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calcChain+xml" PartName="/xl/calcChain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7.xml"/>
  <Override ContentType="application/vnd.openxmlformats-officedocument.spreadsheetml.comments+xml" PartName="/xl/comments8.xml"/>
  <Override ContentType="application/vnd.openxmlformats-officedocument.spreadsheetml.comments+xml" PartName="/xl/comments9.xml"/>
  <Override ContentType="application/vnd.openxmlformats-officedocument.spreadsheetml.externalLink+xml" PartName="/xl/externalLinks/externalLink1.xml"/>
  <Override ContentType="application/vnd.openxmlformats-officedocument.spreadsheetml.sheetMetadata+xml" PartName="/xl/metadata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>
    <mc:Choice Requires="x15">
      <x15ac:absPath xmlns:x15ac="http://schemas.microsoft.com/office/spreadsheetml/2010/11/ac" url="C:\업무_DEK\01_Retrofit\01-20_공사\01-20-12_BMS\01-20-12-56_보고서\"/>
    </mc:Choice>
  </mc:AlternateContent>
  <xr:revisionPtr revIDLastSave="0" documentId="13_ncr:1_{195F34F7-5036-4A2F-B4A3-A1E32A153577}" xr6:coauthVersionLast="47" xr6:coauthVersionMax="47" xr10:uidLastSave="{00000000-0000-0000-0000-000000000000}"/>
  <bookViews>
    <workbookView xWindow="34320" yWindow="-80" windowWidth="25120" windowHeight="16200" tabRatio="788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각층분기별_유효전력량(전월)" sheetId="116" r:id="rId5"/>
    <sheet name="8층 사무실 분전반" sheetId="114" state="hidden" r:id="rId6"/>
    <sheet name="7층_부하량(월간_MIN)" sheetId="130" r:id="rId7"/>
    <sheet name="7층_부하량(월간_MAX)" sheetId="138" r:id="rId8"/>
    <sheet name="7층_부하량(월간_AVG)" sheetId="139" r:id="rId9"/>
    <sheet name="7F_current" sheetId="120" state="hidden" r:id="rId10"/>
    <sheet name="6층_부하량(월간_MIN)" sheetId="131" r:id="rId11"/>
    <sheet name="6F_current" sheetId="124" state="hidden" r:id="rId12"/>
    <sheet name="6층_부하량(월간_MAX)" sheetId="140" r:id="rId13"/>
    <sheet name="6층_부하량(월간_AVG)" sheetId="141" r:id="rId14"/>
    <sheet name="5층_부하량(월간_MIN)" sheetId="132" r:id="rId15"/>
    <sheet name="5F_current" sheetId="123" state="hidden" r:id="rId16"/>
    <sheet name="5층_부하량(월간_MAX)" sheetId="142" r:id="rId17"/>
    <sheet name="5층_부하량(월간_AVG)" sheetId="143" r:id="rId18"/>
    <sheet name="4층_부하량(월간_MIN)" sheetId="133" r:id="rId19"/>
    <sheet name="4층_부하량(월간_MAX)" sheetId="145" r:id="rId20"/>
    <sheet name="4층_부하량(월간_AVG)" sheetId="144" r:id="rId21"/>
    <sheet name="7층_부하량" sheetId="134" r:id="rId22"/>
    <sheet name="6층_부하량" sheetId="135" r:id="rId23"/>
    <sheet name="5층_부하량" sheetId="136" r:id="rId24"/>
    <sheet name="4층_부하량" sheetId="137" r:id="rId25"/>
    <sheet name="4F_current" sheetId="125" state="hidden" r:id="rId26"/>
    <sheet name="각_층_분전반_부하량" sheetId="95" state="hidden" r:id="rId27"/>
    <sheet name="세분화" sheetId="113" state="hidden" r:id="rId28"/>
    <sheet name="SJT설비_7층_IPD" sheetId="110" state="hidden" r:id="rId29"/>
  </sheets>
  <externalReferences>
    <externalReference r:id="rId30"/>
  </externalReferences>
  <definedNames>
    <definedName name="_xlnm._FilterDatabase" localSheetId="0" hidden="1">'7층_랙별_계통_및_부하량'!$A$4:$AN$276</definedName>
    <definedName name="_xlnm.Print_Area" localSheetId="20">'4층_부하량(월간_AVG)'!$A$1:$U$91</definedName>
    <definedName name="_xlnm.Print_Area" localSheetId="19">'4층_부하량(월간_MAX)'!$A$1:$U$91</definedName>
    <definedName name="_xlnm.Print_Area" localSheetId="18">'4층_부하량(월간_MIN)'!$A$1:$U$91</definedName>
    <definedName name="_xlnm.Print_Area" localSheetId="17">'5층_부하량(월간_AVG)'!$A$1:$T$554</definedName>
    <definedName name="_xlnm.Print_Area" localSheetId="16">'5층_부하량(월간_MAX)'!$A$1:$T$554</definedName>
    <definedName name="_xlnm.Print_Area" localSheetId="14">'5층_부하량(월간_MIN)'!$A$1:$T$554</definedName>
    <definedName name="_xlnm.Print_Area" localSheetId="1">'6층_랙별_계통 및_부하량'!#REF!</definedName>
    <definedName name="_xlnm.Print_Area" localSheetId="13">'6층_부하량(월간_AVG)'!$A$1:$R$445</definedName>
    <definedName name="_xlnm.Print_Area" localSheetId="12">'6층_부하량(월간_MAX)'!$A$1:$R$445</definedName>
    <definedName name="_xlnm.Print_Area" localSheetId="10">'6층_부하량(월간_MIN)'!$A$1:$R$445</definedName>
    <definedName name="_xlnm.Print_Area" localSheetId="8">'7층_부하량(월간_AVG)'!$A$1:$T$170</definedName>
    <definedName name="_xlnm.Print_Area" localSheetId="7">'7층_부하량(월간_MAX)'!$A$1:$T$170</definedName>
    <definedName name="_xlnm.Print_Area" localSheetId="6">'7층_부하량(월간_MIN)'!$A$1:$T$170</definedName>
    <definedName name="_xlnm.Print_Area" localSheetId="28">SJT설비_7층_IPD!$A$1:$P$469</definedName>
    <definedName name="_xlnm.Print_Titles" localSheetId="1">'6층_랙별_계통 및_부하량'!#REF!</definedName>
  </definedName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33" i="96" l="1"/>
  <c r="X333" i="96"/>
  <c r="Y303" i="96"/>
  <c r="X303" i="96"/>
  <c r="Y302" i="96"/>
  <c r="X302" i="96"/>
  <c r="Y301" i="96"/>
  <c r="X301" i="96"/>
  <c r="Z301" i="96" s="1"/>
  <c r="Y285" i="96"/>
  <c r="X285" i="96"/>
  <c r="Y284" i="96"/>
  <c r="X284" i="96"/>
  <c r="Y277" i="96"/>
  <c r="X277" i="96"/>
  <c r="Y276" i="96"/>
  <c r="X276" i="96"/>
  <c r="Z276" i="96" s="1"/>
  <c r="Y275" i="96"/>
  <c r="X275" i="96"/>
  <c r="Y274" i="96"/>
  <c r="X274" i="96"/>
  <c r="Y273" i="96"/>
  <c r="X273" i="96"/>
  <c r="Y272" i="96"/>
  <c r="X272" i="96"/>
  <c r="Y271" i="96"/>
  <c r="X271" i="96"/>
  <c r="Y267" i="96"/>
  <c r="X267" i="96"/>
  <c r="Y266" i="96"/>
  <c r="X266" i="96"/>
  <c r="Y265" i="96"/>
  <c r="X265" i="96"/>
  <c r="Z265" i="96" s="1"/>
  <c r="Y264" i="96"/>
  <c r="X264" i="96"/>
  <c r="Y263" i="96"/>
  <c r="X263" i="96"/>
  <c r="Y262" i="96"/>
  <c r="X262" i="96"/>
  <c r="Y261" i="96"/>
  <c r="X261" i="96"/>
  <c r="Z261" i="96" s="1"/>
  <c r="Y258" i="96"/>
  <c r="X258" i="96"/>
  <c r="Y257" i="96"/>
  <c r="X257" i="96"/>
  <c r="Y256" i="96"/>
  <c r="X256" i="96"/>
  <c r="Y255" i="96"/>
  <c r="X255" i="96"/>
  <c r="Y254" i="96"/>
  <c r="X254" i="96"/>
  <c r="X235" i="96"/>
  <c r="Y234" i="96"/>
  <c r="X234" i="96"/>
  <c r="Y233" i="96"/>
  <c r="X233" i="96"/>
  <c r="Z233" i="96" s="1"/>
  <c r="Y232" i="96"/>
  <c r="Z232" i="96" s="1"/>
  <c r="X232" i="96"/>
  <c r="Y231" i="96"/>
  <c r="X231" i="96"/>
  <c r="Y230" i="96"/>
  <c r="X230" i="96"/>
  <c r="Y229" i="96"/>
  <c r="X229" i="96"/>
  <c r="Z229" i="96" s="1"/>
  <c r="Y228" i="96"/>
  <c r="X228" i="96"/>
  <c r="Y227" i="96"/>
  <c r="X227" i="96"/>
  <c r="Y226" i="96"/>
  <c r="X226" i="96"/>
  <c r="Y225" i="96"/>
  <c r="X225" i="96"/>
  <c r="Y224" i="96"/>
  <c r="Z224" i="96" s="1"/>
  <c r="X224" i="96"/>
  <c r="Y223" i="96"/>
  <c r="X223" i="96"/>
  <c r="Y222" i="96"/>
  <c r="X222" i="96"/>
  <c r="Y221" i="96"/>
  <c r="X221" i="96"/>
  <c r="Y220" i="96"/>
  <c r="X220" i="96"/>
  <c r="Y219" i="96"/>
  <c r="X219" i="96"/>
  <c r="Y218" i="96"/>
  <c r="X218" i="96"/>
  <c r="Y217" i="96"/>
  <c r="X217" i="96"/>
  <c r="Y216" i="96"/>
  <c r="Z216" i="96" s="1"/>
  <c r="X216" i="96"/>
  <c r="Y215" i="96"/>
  <c r="X215" i="96"/>
  <c r="Y214" i="96"/>
  <c r="X214" i="96"/>
  <c r="Y213" i="96"/>
  <c r="X213" i="96"/>
  <c r="Y212" i="96"/>
  <c r="Z212" i="96" s="1"/>
  <c r="X212" i="96"/>
  <c r="Y211" i="96"/>
  <c r="X211" i="96"/>
  <c r="Y210" i="96"/>
  <c r="X210" i="96"/>
  <c r="Y209" i="96"/>
  <c r="X209" i="96"/>
  <c r="Y208" i="96"/>
  <c r="X208" i="96"/>
  <c r="Y206" i="96"/>
  <c r="X206" i="96"/>
  <c r="Y192" i="96"/>
  <c r="X192" i="96"/>
  <c r="Y191" i="96"/>
  <c r="X191" i="96"/>
  <c r="Z191" i="96" s="1"/>
  <c r="Y190" i="96"/>
  <c r="Z190" i="96" s="1"/>
  <c r="X190" i="96"/>
  <c r="Y189" i="96"/>
  <c r="X189" i="96"/>
  <c r="Y188" i="96"/>
  <c r="X188" i="96"/>
  <c r="Y187" i="96"/>
  <c r="X187" i="96"/>
  <c r="Y186" i="96"/>
  <c r="Z186" i="96" s="1"/>
  <c r="X186" i="96"/>
  <c r="Y185" i="96"/>
  <c r="X185" i="96"/>
  <c r="Y175" i="96"/>
  <c r="X175" i="96"/>
  <c r="Y174" i="96"/>
  <c r="X174" i="96"/>
  <c r="Y160" i="96"/>
  <c r="Z160" i="96" s="1"/>
  <c r="X160" i="96"/>
  <c r="Y159" i="96"/>
  <c r="X159" i="96"/>
  <c r="Y158" i="96"/>
  <c r="X158" i="96"/>
  <c r="Y157" i="96"/>
  <c r="X157" i="96"/>
  <c r="Z157" i="96" s="1"/>
  <c r="Y150" i="96"/>
  <c r="Z150" i="96" s="1"/>
  <c r="X150" i="96"/>
  <c r="Y149" i="96"/>
  <c r="X149" i="96"/>
  <c r="Y148" i="96"/>
  <c r="X148" i="96"/>
  <c r="Y147" i="96"/>
  <c r="X147" i="96"/>
  <c r="Y146" i="96"/>
  <c r="Z146" i="96" s="1"/>
  <c r="X146" i="96"/>
  <c r="Y145" i="96"/>
  <c r="X145" i="96"/>
  <c r="Y144" i="96"/>
  <c r="X144" i="96"/>
  <c r="Y143" i="96"/>
  <c r="X143" i="96"/>
  <c r="Z143" i="96" s="1"/>
  <c r="Y138" i="96"/>
  <c r="Z138" i="96" s="1"/>
  <c r="Y130" i="96"/>
  <c r="X130" i="96"/>
  <c r="Y129" i="96"/>
  <c r="X129" i="96"/>
  <c r="Y128" i="96"/>
  <c r="X128" i="96"/>
  <c r="Y127" i="96"/>
  <c r="X127" i="96"/>
  <c r="Y126" i="96"/>
  <c r="X126" i="96"/>
  <c r="Y123" i="96"/>
  <c r="X123" i="96"/>
  <c r="Y120" i="96"/>
  <c r="X120" i="96"/>
  <c r="Y119" i="96"/>
  <c r="X119" i="96"/>
  <c r="Y118" i="96"/>
  <c r="X118" i="96"/>
  <c r="Z228" i="96"/>
  <c r="Z127" i="96"/>
  <c r="X342" i="96"/>
  <c r="X341" i="96"/>
  <c r="X340" i="96"/>
  <c r="Y339" i="96"/>
  <c r="Y338" i="96"/>
  <c r="Y337" i="96"/>
  <c r="X336" i="96"/>
  <c r="Z336" i="96" s="1"/>
  <c r="X335" i="96"/>
  <c r="Y334" i="96"/>
  <c r="X334" i="96"/>
  <c r="Y332" i="96"/>
  <c r="X332" i="96"/>
  <c r="Y331" i="96"/>
  <c r="X331" i="96"/>
  <c r="Y330" i="96"/>
  <c r="Z330" i="96" s="1"/>
  <c r="X330" i="96"/>
  <c r="Y329" i="96"/>
  <c r="X329" i="96"/>
  <c r="Y328" i="96"/>
  <c r="X328" i="96"/>
  <c r="Y327" i="96"/>
  <c r="X327" i="96"/>
  <c r="Y326" i="96"/>
  <c r="Z326" i="96" s="1"/>
  <c r="X326" i="96"/>
  <c r="Y325" i="96"/>
  <c r="X325" i="96"/>
  <c r="Y324" i="96"/>
  <c r="X324" i="96"/>
  <c r="Y323" i="96"/>
  <c r="X323" i="96"/>
  <c r="Y313" i="96"/>
  <c r="Z313" i="96" s="1"/>
  <c r="X313" i="96"/>
  <c r="Y312" i="96"/>
  <c r="X312" i="96"/>
  <c r="Y311" i="96"/>
  <c r="X311" i="96"/>
  <c r="Y310" i="96"/>
  <c r="X310" i="96"/>
  <c r="Y309" i="96"/>
  <c r="Z309" i="96" s="1"/>
  <c r="X309" i="96"/>
  <c r="Y308" i="96"/>
  <c r="X308" i="96"/>
  <c r="Y305" i="96"/>
  <c r="X305" i="96"/>
  <c r="Y304" i="96"/>
  <c r="X304" i="96"/>
  <c r="Y300" i="96"/>
  <c r="Z300" i="96" s="1"/>
  <c r="X300" i="96"/>
  <c r="Y295" i="96"/>
  <c r="X295" i="96"/>
  <c r="Y294" i="96"/>
  <c r="X294" i="96"/>
  <c r="Y293" i="96"/>
  <c r="X293" i="96"/>
  <c r="Y292" i="96"/>
  <c r="Z292" i="96" s="1"/>
  <c r="X292" i="96"/>
  <c r="Y291" i="96"/>
  <c r="X291" i="96"/>
  <c r="Y290" i="96"/>
  <c r="X290" i="96"/>
  <c r="Y283" i="96"/>
  <c r="X283" i="96"/>
  <c r="Y282" i="96"/>
  <c r="Z282" i="96" s="1"/>
  <c r="X282" i="96"/>
  <c r="Y281" i="96"/>
  <c r="X281" i="96"/>
  <c r="Y280" i="96"/>
  <c r="X280" i="96"/>
  <c r="Y253" i="96"/>
  <c r="X253" i="96"/>
  <c r="Y252" i="96"/>
  <c r="Z252" i="96" s="1"/>
  <c r="X252" i="96"/>
  <c r="Y251" i="96"/>
  <c r="X251" i="96"/>
  <c r="Y250" i="96"/>
  <c r="X250" i="96"/>
  <c r="Y249" i="96"/>
  <c r="X249" i="96"/>
  <c r="Y246" i="96"/>
  <c r="Z246" i="96" s="1"/>
  <c r="X246" i="96"/>
  <c r="Y245" i="96"/>
  <c r="X245" i="96"/>
  <c r="Y244" i="96"/>
  <c r="X244" i="96"/>
  <c r="Y243" i="96"/>
  <c r="X243" i="96"/>
  <c r="Y242" i="96"/>
  <c r="Z242" i="96" s="1"/>
  <c r="X242" i="96"/>
  <c r="Y241" i="96"/>
  <c r="X241" i="96"/>
  <c r="Y240" i="96"/>
  <c r="X240" i="96"/>
  <c r="Y239" i="96"/>
  <c r="X239" i="96"/>
  <c r="Y238" i="96"/>
  <c r="Z238" i="96" s="1"/>
  <c r="X238" i="96"/>
  <c r="Y236" i="96"/>
  <c r="X236" i="96"/>
  <c r="Y235" i="96"/>
  <c r="Y207" i="96"/>
  <c r="X207" i="96"/>
  <c r="Y205" i="96"/>
  <c r="X205" i="96"/>
  <c r="Z205" i="96" s="1"/>
  <c r="Y204" i="96"/>
  <c r="X204" i="96"/>
  <c r="Y203" i="96"/>
  <c r="X203" i="96"/>
  <c r="Y202" i="96"/>
  <c r="X202" i="96"/>
  <c r="Y201" i="96"/>
  <c r="X201" i="96"/>
  <c r="Z201" i="96" s="1"/>
  <c r="Y200" i="96"/>
  <c r="X200" i="96"/>
  <c r="Y199" i="96"/>
  <c r="X199" i="96"/>
  <c r="Y198" i="96"/>
  <c r="X198" i="96"/>
  <c r="Y197" i="96"/>
  <c r="X197" i="96"/>
  <c r="Z197" i="96" s="1"/>
  <c r="Y182" i="96"/>
  <c r="X182" i="96"/>
  <c r="Y181" i="96"/>
  <c r="X181" i="96"/>
  <c r="Y180" i="96"/>
  <c r="X180" i="96"/>
  <c r="Y179" i="96"/>
  <c r="X179" i="96"/>
  <c r="Y178" i="96"/>
  <c r="X178" i="96"/>
  <c r="Y177" i="96"/>
  <c r="X177" i="96"/>
  <c r="Y176" i="96"/>
  <c r="X176" i="96"/>
  <c r="Y171" i="96"/>
  <c r="X171" i="96"/>
  <c r="Z171" i="96" s="1"/>
  <c r="Y170" i="96"/>
  <c r="X170" i="96"/>
  <c r="Y169" i="96"/>
  <c r="X169" i="96"/>
  <c r="Y168" i="96"/>
  <c r="X168" i="96"/>
  <c r="Y167" i="96"/>
  <c r="X167" i="96"/>
  <c r="Z167" i="96" s="1"/>
  <c r="Y166" i="96"/>
  <c r="X166" i="96"/>
  <c r="Y165" i="96"/>
  <c r="X165" i="96"/>
  <c r="Y164" i="96"/>
  <c r="X164" i="96"/>
  <c r="Y163" i="96"/>
  <c r="X163" i="96"/>
  <c r="Z163" i="96" s="1"/>
  <c r="Y156" i="96"/>
  <c r="X156" i="96"/>
  <c r="Y155" i="96"/>
  <c r="X155" i="96"/>
  <c r="Y154" i="96"/>
  <c r="X154" i="96"/>
  <c r="Y153" i="96"/>
  <c r="X153" i="96"/>
  <c r="Z153" i="96" s="1"/>
  <c r="Y152" i="96"/>
  <c r="X152" i="96"/>
  <c r="Y142" i="96"/>
  <c r="X142" i="96"/>
  <c r="Y140" i="96"/>
  <c r="X140" i="96"/>
  <c r="Y139" i="96"/>
  <c r="X139" i="96"/>
  <c r="Z139" i="96" s="1"/>
  <c r="X138" i="96"/>
  <c r="Y137" i="96"/>
  <c r="X137" i="96"/>
  <c r="Y136" i="96"/>
  <c r="X136" i="96"/>
  <c r="Y135" i="96"/>
  <c r="X135" i="96"/>
  <c r="Y134" i="96"/>
  <c r="Z134" i="96" s="1"/>
  <c r="X134" i="96"/>
  <c r="Y133" i="96"/>
  <c r="X133" i="96"/>
  <c r="Y132" i="96"/>
  <c r="X132" i="96"/>
  <c r="Y125" i="96"/>
  <c r="X125" i="96"/>
  <c r="Y124" i="96"/>
  <c r="X124" i="96"/>
  <c r="Y122" i="96"/>
  <c r="X122" i="96"/>
  <c r="Y121" i="96"/>
  <c r="X121" i="96"/>
  <c r="Y116" i="96"/>
  <c r="X116" i="96"/>
  <c r="Y115" i="96"/>
  <c r="Z115" i="96" s="1"/>
  <c r="X115" i="96"/>
  <c r="Y114" i="96"/>
  <c r="X114" i="96"/>
  <c r="Y113" i="96"/>
  <c r="X113" i="96"/>
  <c r="Y112" i="96"/>
  <c r="X112" i="96"/>
  <c r="Y111" i="96"/>
  <c r="Z111" i="96" s="1"/>
  <c r="X111" i="96"/>
  <c r="Y110" i="96"/>
  <c r="X110" i="96"/>
  <c r="Y109" i="96"/>
  <c r="X109" i="96"/>
  <c r="Y108" i="96"/>
  <c r="X108" i="96"/>
  <c r="Y106" i="96"/>
  <c r="Z106" i="96" s="1"/>
  <c r="X106" i="96"/>
  <c r="Y105" i="96"/>
  <c r="X105" i="96"/>
  <c r="Y104" i="96"/>
  <c r="X104" i="96"/>
  <c r="Y103" i="96"/>
  <c r="X103" i="96"/>
  <c r="Y102" i="96"/>
  <c r="X102" i="96"/>
  <c r="Y101" i="96"/>
  <c r="X101" i="96"/>
  <c r="Y100" i="96"/>
  <c r="X100" i="96"/>
  <c r="Y99" i="96"/>
  <c r="X99" i="96"/>
  <c r="Y98" i="96"/>
  <c r="Z98" i="96" s="1"/>
  <c r="X98" i="96"/>
  <c r="Z179" i="96"/>
  <c r="Z102" i="96"/>
  <c r="W228" i="102"/>
  <c r="W225" i="102"/>
  <c r="W220" i="102"/>
  <c r="W214" i="102"/>
  <c r="W210" i="102"/>
  <c r="W207" i="102"/>
  <c r="W204" i="102"/>
  <c r="W198" i="102"/>
  <c r="W195" i="102"/>
  <c r="W187" i="102"/>
  <c r="W52" i="102"/>
  <c r="W40" i="102"/>
  <c r="W28" i="102"/>
  <c r="W16" i="102"/>
  <c r="W14" i="102"/>
  <c r="W13" i="102"/>
  <c r="X177" i="102"/>
  <c r="X167" i="102"/>
  <c r="X157" i="102"/>
  <c r="X147" i="102"/>
  <c r="X135" i="102"/>
  <c r="X127" i="102"/>
  <c r="X116" i="102"/>
  <c r="X105" i="102"/>
  <c r="Y105" i="102" s="1"/>
  <c r="AF105" i="102" s="1"/>
  <c r="X95" i="102"/>
  <c r="X85" i="102"/>
  <c r="X75" i="102"/>
  <c r="X64" i="102"/>
  <c r="X12" i="102"/>
  <c r="X11" i="102"/>
  <c r="X10" i="102"/>
  <c r="X9" i="102"/>
  <c r="Y9" i="102" s="1"/>
  <c r="AF9" i="102" s="1"/>
  <c r="X6" i="102"/>
  <c r="Y135" i="102"/>
  <c r="AF135" i="102" s="1"/>
  <c r="X228" i="102"/>
  <c r="X225" i="102"/>
  <c r="X220" i="102"/>
  <c r="X214" i="102"/>
  <c r="X210" i="102"/>
  <c r="X207" i="102"/>
  <c r="X204" i="102"/>
  <c r="X198" i="102"/>
  <c r="X195" i="102"/>
  <c r="X187" i="102"/>
  <c r="X52" i="102"/>
  <c r="X40" i="102"/>
  <c r="X28" i="102"/>
  <c r="X16" i="102"/>
  <c r="X14" i="102"/>
  <c r="X13" i="102"/>
  <c r="W177" i="102"/>
  <c r="W167" i="102"/>
  <c r="W157" i="102"/>
  <c r="W147" i="102"/>
  <c r="W135" i="102"/>
  <c r="W127" i="102"/>
  <c r="W116" i="102"/>
  <c r="W105" i="102"/>
  <c r="W95" i="102"/>
  <c r="W85" i="102"/>
  <c r="W75" i="102"/>
  <c r="W64" i="102"/>
  <c r="W12" i="102"/>
  <c r="W11" i="102"/>
  <c r="W10" i="102"/>
  <c r="W9" i="102"/>
  <c r="W8" i="102"/>
  <c r="W7" i="102"/>
  <c r="W5" i="102"/>
  <c r="Y11" i="102"/>
  <c r="AF11" i="102" s="1"/>
  <c r="AK278" i="112" a="1"/>
  <c r="AK278" i="112" s="1"/>
  <c r="AL278" i="112" s="1"/>
  <c r="AH278" i="112"/>
  <c r="AK277" i="112" a="1"/>
  <c r="AK277" i="112" s="1"/>
  <c r="AL277" i="112" s="1"/>
  <c r="AK276" i="112" a="1"/>
  <c r="AK276" i="112" s="1"/>
  <c r="AL276" i="112" s="1"/>
  <c r="AH276" i="112"/>
  <c r="AI276" i="112" s="1"/>
  <c r="AK275" i="112" a="1"/>
  <c r="AK275" i="112" s="1"/>
  <c r="AH275" i="112"/>
  <c r="AK274" i="112" a="1"/>
  <c r="AK274" i="112" s="1"/>
  <c r="AL274" i="112" s="1"/>
  <c r="AH274" i="112"/>
  <c r="AK273" i="112" a="1"/>
  <c r="AK273" i="112" s="1"/>
  <c r="AL273" i="112" s="1"/>
  <c r="AH273" i="112"/>
  <c r="AK272" i="112"/>
  <c r="AK272" i="112" a="1"/>
  <c r="AH272" i="112"/>
  <c r="AK271" i="112"/>
  <c r="AK271" i="112" a="1"/>
  <c r="AH271" i="112"/>
  <c r="AK270" i="112"/>
  <c r="AL270" i="112" s="1"/>
  <c r="AK270" i="112" a="1"/>
  <c r="AH270" i="112"/>
  <c r="AK269" i="112" a="1"/>
  <c r="AK269" i="112" s="1"/>
  <c r="AL269" i="112" s="1"/>
  <c r="AH269" i="112"/>
  <c r="AK268" i="112" a="1"/>
  <c r="AK268" i="112" s="1"/>
  <c r="AL268" i="112" s="1"/>
  <c r="AH268" i="112"/>
  <c r="AI268" i="112" s="1"/>
  <c r="AK267" i="112" a="1"/>
  <c r="AK267" i="112" s="1"/>
  <c r="AH267" i="112"/>
  <c r="AJ266" i="112" a="1"/>
  <c r="AJ266" i="112" s="1"/>
  <c r="AL266" i="112" s="1"/>
  <c r="AG266" i="112"/>
  <c r="AK265" i="112" a="1"/>
  <c r="AK265" i="112" s="1"/>
  <c r="AL265" i="112" s="1"/>
  <c r="AH265" i="112"/>
  <c r="AK264" i="112"/>
  <c r="AK264" i="112" a="1"/>
  <c r="AH264" i="112"/>
  <c r="AK263" i="112"/>
  <c r="AK263" i="112" a="1"/>
  <c r="AH263" i="112"/>
  <c r="AJ262" i="112"/>
  <c r="AL262" i="112" s="1"/>
  <c r="AJ262" i="112" a="1"/>
  <c r="AG262" i="112"/>
  <c r="AJ261" i="112" a="1"/>
  <c r="AJ261" i="112" s="1"/>
  <c r="AL261" i="112" s="1"/>
  <c r="AG261" i="112"/>
  <c r="AJ260" i="112" a="1"/>
  <c r="AJ260" i="112" s="1"/>
  <c r="AL260" i="112" s="1"/>
  <c r="AG260" i="112"/>
  <c r="AI260" i="112" s="1"/>
  <c r="AJ259" i="112" a="1"/>
  <c r="AJ259" i="112" s="1"/>
  <c r="AG259" i="112"/>
  <c r="AJ258" i="112" a="1"/>
  <c r="AJ258" i="112" s="1"/>
  <c r="AL258" i="112" s="1"/>
  <c r="AG258" i="112"/>
  <c r="AJ257" i="112" a="1"/>
  <c r="AJ257" i="112" s="1"/>
  <c r="AL257" i="112" s="1"/>
  <c r="AG257" i="112"/>
  <c r="AJ256" i="112"/>
  <c r="AJ256" i="112" a="1"/>
  <c r="AG256" i="112"/>
  <c r="AJ255" i="112"/>
  <c r="AJ255" i="112" a="1"/>
  <c r="AG255" i="112"/>
  <c r="AJ254" i="112"/>
  <c r="AL254" i="112" s="1"/>
  <c r="AJ254" i="112" a="1"/>
  <c r="AG254" i="112"/>
  <c r="AJ253" i="112" a="1"/>
  <c r="AJ253" i="112" s="1"/>
  <c r="AL253" i="112" s="1"/>
  <c r="AG253" i="112"/>
  <c r="AJ252" i="112" a="1"/>
  <c r="AJ252" i="112" s="1"/>
  <c r="AL252" i="112" s="1"/>
  <c r="AG252" i="112"/>
  <c r="AI252" i="112" s="1"/>
  <c r="AJ251" i="112" a="1"/>
  <c r="AJ251" i="112" s="1"/>
  <c r="AL251" i="112" s="1"/>
  <c r="AG251" i="112"/>
  <c r="AJ250" i="112" a="1"/>
  <c r="AJ250" i="112" s="1"/>
  <c r="AL250" i="112" s="1"/>
  <c r="AG250" i="112"/>
  <c r="AG249" i="112"/>
  <c r="AK248" i="112"/>
  <c r="AK248" i="112" a="1"/>
  <c r="AH248" i="112"/>
  <c r="AK247" i="112" a="1"/>
  <c r="AK247" i="112" s="1"/>
  <c r="AL247" i="112" s="1"/>
  <c r="AH247" i="112"/>
  <c r="AK246" i="112" a="1"/>
  <c r="AK246" i="112" s="1"/>
  <c r="AJ246" i="112"/>
  <c r="AL246" i="112" s="1"/>
  <c r="AJ246" i="112" a="1"/>
  <c r="AH246" i="112"/>
  <c r="AG246" i="112"/>
  <c r="AK245" i="112" a="1"/>
  <c r="AK245" i="112" s="1"/>
  <c r="AJ245" i="112" a="1"/>
  <c r="AJ245" i="112" s="1"/>
  <c r="AL245" i="112" s="1"/>
  <c r="AH245" i="112"/>
  <c r="AI245" i="112" s="1"/>
  <c r="AG245" i="112"/>
  <c r="AK244" i="112"/>
  <c r="AK244" i="112" a="1"/>
  <c r="AJ244" i="112" a="1"/>
  <c r="AJ244" i="112" s="1"/>
  <c r="AL244" i="112" s="1"/>
  <c r="AH244" i="112"/>
  <c r="AG244" i="112"/>
  <c r="AK243" i="112"/>
  <c r="AK243" i="112" a="1"/>
  <c r="AJ243" i="112" a="1"/>
  <c r="AJ243" i="112" s="1"/>
  <c r="AL243" i="112" s="1"/>
  <c r="AH243" i="112"/>
  <c r="AG243" i="112"/>
  <c r="AI243" i="112" s="1"/>
  <c r="AK240" i="112" a="1"/>
  <c r="AK240" i="112" s="1"/>
  <c r="AJ240" i="112"/>
  <c r="AJ240" i="112" a="1"/>
  <c r="AH240" i="112"/>
  <c r="AG240" i="112"/>
  <c r="AK239" i="112" a="1"/>
  <c r="AK239" i="112" s="1"/>
  <c r="AJ239" i="112" a="1"/>
  <c r="AJ239" i="112" s="1"/>
  <c r="AH239" i="112"/>
  <c r="AI239" i="112" s="1"/>
  <c r="AG239" i="112"/>
  <c r="AK238" i="112" a="1"/>
  <c r="AK238" i="112" s="1"/>
  <c r="AJ238" i="112" a="1"/>
  <c r="AJ238" i="112" s="1"/>
  <c r="AL238" i="112" s="1"/>
  <c r="AH238" i="112"/>
  <c r="AG238" i="112"/>
  <c r="AK237" i="112"/>
  <c r="AK237" i="112" a="1"/>
  <c r="AJ237" i="112" a="1"/>
  <c r="AJ237" i="112" s="1"/>
  <c r="AH237" i="112"/>
  <c r="AG237" i="112"/>
  <c r="AI237" i="112" s="1"/>
  <c r="AK231" i="112" a="1"/>
  <c r="AK231" i="112" s="1"/>
  <c r="AJ231" i="112"/>
  <c r="AL231" i="112" s="1"/>
  <c r="AJ231" i="112" a="1"/>
  <c r="AH231" i="112"/>
  <c r="AG231" i="112"/>
  <c r="AK230" i="112" a="1"/>
  <c r="AK230" i="112" s="1"/>
  <c r="AJ230" i="112" a="1"/>
  <c r="AJ230" i="112" s="1"/>
  <c r="AL230" i="112" s="1"/>
  <c r="AH230" i="112"/>
  <c r="AI230" i="112" s="1"/>
  <c r="AG230" i="112"/>
  <c r="AK229" i="112" a="1"/>
  <c r="AK229" i="112" s="1"/>
  <c r="AJ229" i="112" a="1"/>
  <c r="AJ229" i="112" s="1"/>
  <c r="AL229" i="112" s="1"/>
  <c r="AH229" i="112"/>
  <c r="AG229" i="112"/>
  <c r="AK228" i="112"/>
  <c r="AK228" i="112" a="1"/>
  <c r="AJ228" i="112" a="1"/>
  <c r="AJ228" i="112" s="1"/>
  <c r="AL228" i="112" s="1"/>
  <c r="AH228" i="112"/>
  <c r="AG228" i="112"/>
  <c r="AK226" i="112" a="1"/>
  <c r="AK226" i="112" s="1"/>
  <c r="AJ226" i="112"/>
  <c r="AJ226" i="112" a="1"/>
  <c r="AH226" i="112"/>
  <c r="AG226" i="112"/>
  <c r="AK224" i="112" a="1"/>
  <c r="AK224" i="112" s="1"/>
  <c r="AJ224" i="112" a="1"/>
  <c r="AJ224" i="112" s="1"/>
  <c r="AH224" i="112"/>
  <c r="AI224" i="112" s="1"/>
  <c r="AG224" i="112"/>
  <c r="AK221" i="112" a="1"/>
  <c r="AK221" i="112" s="1"/>
  <c r="AJ221" i="112" a="1"/>
  <c r="AJ221" i="112" s="1"/>
  <c r="AL221" i="112" s="1"/>
  <c r="AH221" i="112"/>
  <c r="AG221" i="112"/>
  <c r="AK220" i="112"/>
  <c r="AK220" i="112" a="1"/>
  <c r="AJ220" i="112" a="1"/>
  <c r="AJ220" i="112" s="1"/>
  <c r="AL220" i="112" s="1"/>
  <c r="AH220" i="112"/>
  <c r="AG220" i="112"/>
  <c r="AI220" i="112" s="1"/>
  <c r="AK219" i="112" a="1"/>
  <c r="AK219" i="112" s="1"/>
  <c r="AJ219" i="112"/>
  <c r="AL219" i="112" s="1"/>
  <c r="AJ219" i="112" a="1"/>
  <c r="AH219" i="112"/>
  <c r="AG219" i="112"/>
  <c r="AK218" i="112" a="1"/>
  <c r="AK218" i="112" s="1"/>
  <c r="AJ218" i="112" a="1"/>
  <c r="AJ218" i="112" s="1"/>
  <c r="AL218" i="112" s="1"/>
  <c r="AH218" i="112"/>
  <c r="AG218" i="112"/>
  <c r="AI218" i="112" s="1"/>
  <c r="AK214" i="112" a="1"/>
  <c r="AK214" i="112" s="1"/>
  <c r="AJ214" i="112" a="1"/>
  <c r="AJ214" i="112" s="1"/>
  <c r="AH214" i="112"/>
  <c r="AG214" i="112"/>
  <c r="AI214" i="112" s="1"/>
  <c r="AK212" i="112"/>
  <c r="AL212" i="112" s="1"/>
  <c r="AK212" i="112" a="1"/>
  <c r="AH212" i="112"/>
  <c r="AK211" i="112"/>
  <c r="AK211" i="112" a="1"/>
  <c r="AJ211" i="112"/>
  <c r="AJ211" i="112" a="1"/>
  <c r="AH211" i="112"/>
  <c r="AG211" i="112"/>
  <c r="AI211" i="112" s="1"/>
  <c r="AH210" i="112"/>
  <c r="AG210" i="112"/>
  <c r="AK209" i="112"/>
  <c r="AK209" i="112" a="1"/>
  <c r="AJ209" i="112"/>
  <c r="AJ209" i="112" a="1"/>
  <c r="AH209" i="112"/>
  <c r="AG209" i="112"/>
  <c r="AK208" i="112"/>
  <c r="AK208" i="112" a="1"/>
  <c r="AJ208" i="112"/>
  <c r="AL208" i="112" s="1"/>
  <c r="AJ208" i="112" a="1"/>
  <c r="AH208" i="112"/>
  <c r="AG208" i="112"/>
  <c r="AK207" i="112" a="1"/>
  <c r="AK207" i="112" s="1"/>
  <c r="AJ207" i="112"/>
  <c r="AJ207" i="112" a="1"/>
  <c r="AH207" i="112"/>
  <c r="AG207" i="112"/>
  <c r="AJ206" i="112"/>
  <c r="AL206" i="112" s="1"/>
  <c r="AJ206" i="112" a="1"/>
  <c r="AG206" i="112"/>
  <c r="AK203" i="112"/>
  <c r="AK203" i="112" a="1"/>
  <c r="AH203" i="112"/>
  <c r="AJ202" i="112"/>
  <c r="AJ202" i="112" a="1"/>
  <c r="AG202" i="112"/>
  <c r="AI202" i="112" s="1"/>
  <c r="AJ201" i="112" a="1"/>
  <c r="AJ201" i="112" s="1"/>
  <c r="AL201" i="112" s="1"/>
  <c r="AG201" i="112"/>
  <c r="AI201" i="112" s="1"/>
  <c r="AK200" i="112"/>
  <c r="AK200" i="112" a="1"/>
  <c r="AH200" i="112"/>
  <c r="AI200" i="112" s="1"/>
  <c r="AK199" i="112" a="1"/>
  <c r="AK199" i="112" s="1"/>
  <c r="AL199" i="112" s="1"/>
  <c r="AH199" i="112"/>
  <c r="AK198" i="112" a="1"/>
  <c r="AK198" i="112" s="1"/>
  <c r="AL198" i="112" s="1"/>
  <c r="AH198" i="112"/>
  <c r="AK197" i="112" a="1"/>
  <c r="AK197" i="112" s="1"/>
  <c r="AJ197" i="112" a="1"/>
  <c r="AJ197" i="112" s="1"/>
  <c r="AH197" i="112"/>
  <c r="AG197" i="112"/>
  <c r="AI197" i="112" s="1"/>
  <c r="AK196" i="112"/>
  <c r="AK196" i="112" a="1"/>
  <c r="AJ196" i="112" a="1"/>
  <c r="AJ196" i="112" s="1"/>
  <c r="AH196" i="112"/>
  <c r="AG196" i="112"/>
  <c r="AK191" i="112" a="1"/>
  <c r="AK191" i="112" s="1"/>
  <c r="AJ191" i="112"/>
  <c r="AJ191" i="112" a="1"/>
  <c r="AH191" i="112"/>
  <c r="AG191" i="112"/>
  <c r="AI191" i="112" s="1"/>
  <c r="AK190" i="112" a="1"/>
  <c r="AK190" i="112" s="1"/>
  <c r="AJ190" i="112" a="1"/>
  <c r="AJ190" i="112" s="1"/>
  <c r="AH190" i="112"/>
  <c r="AG190" i="112"/>
  <c r="AK189" i="112" a="1"/>
  <c r="AK189" i="112" s="1"/>
  <c r="AL189" i="112" s="1"/>
  <c r="AH189" i="112"/>
  <c r="AK188" i="112"/>
  <c r="AK188" i="112" a="1"/>
  <c r="AJ188" i="112" a="1"/>
  <c r="AJ188" i="112" s="1"/>
  <c r="AH188" i="112"/>
  <c r="AG188" i="112"/>
  <c r="AK187" i="112"/>
  <c r="AK187" i="112" a="1"/>
  <c r="AJ187" i="112"/>
  <c r="AL187" i="112" s="1"/>
  <c r="AJ187" i="112" a="1"/>
  <c r="AH187" i="112"/>
  <c r="AK185" i="112"/>
  <c r="AK185" i="112" a="1"/>
  <c r="AJ185" i="112" a="1"/>
  <c r="AJ185" i="112" s="1"/>
  <c r="AH185" i="112"/>
  <c r="AG185" i="112"/>
  <c r="AI185" i="112" s="1"/>
  <c r="AK180" i="112" a="1"/>
  <c r="AK180" i="112" s="1"/>
  <c r="AJ180" i="112"/>
  <c r="AL180" i="112" s="1"/>
  <c r="AJ180" i="112" a="1"/>
  <c r="AH180" i="112"/>
  <c r="AG180" i="112"/>
  <c r="AI180" i="112" s="1"/>
  <c r="AK179" i="112" a="1"/>
  <c r="AK179" i="112" s="1"/>
  <c r="AJ179" i="112" a="1"/>
  <c r="AJ179" i="112" s="1"/>
  <c r="AL179" i="112" s="1"/>
  <c r="AH179" i="112"/>
  <c r="AG179" i="112"/>
  <c r="AK178" i="112" a="1"/>
  <c r="AK178" i="112" s="1"/>
  <c r="AJ178" i="112" a="1"/>
  <c r="AJ178" i="112" s="1"/>
  <c r="AL178" i="112" s="1"/>
  <c r="AH178" i="112"/>
  <c r="AG178" i="112"/>
  <c r="AI178" i="112" s="1"/>
  <c r="AK177" i="112"/>
  <c r="AK177" i="112" a="1"/>
  <c r="AJ177" i="112" a="1"/>
  <c r="AJ177" i="112" s="1"/>
  <c r="AL177" i="112" s="1"/>
  <c r="AH177" i="112"/>
  <c r="AG177" i="112"/>
  <c r="AK176" i="112" a="1"/>
  <c r="AK176" i="112" s="1"/>
  <c r="AJ176" i="112"/>
  <c r="AL176" i="112" s="1"/>
  <c r="AJ176" i="112" a="1"/>
  <c r="AH176" i="112"/>
  <c r="AG176" i="112"/>
  <c r="AI176" i="112" s="1"/>
  <c r="AK175" i="112" a="1"/>
  <c r="AK175" i="112" s="1"/>
  <c r="AJ175" i="112" a="1"/>
  <c r="AJ175" i="112" s="1"/>
  <c r="AL175" i="112" s="1"/>
  <c r="AH175" i="112"/>
  <c r="AG175" i="112"/>
  <c r="AK173" i="112" a="1"/>
  <c r="AK173" i="112" s="1"/>
  <c r="AJ173" i="112" a="1"/>
  <c r="AJ173" i="112" s="1"/>
  <c r="AH173" i="112"/>
  <c r="AG173" i="112"/>
  <c r="AI173" i="112" s="1"/>
  <c r="AK172" i="112"/>
  <c r="AK172" i="112" a="1"/>
  <c r="AJ172" i="112" a="1"/>
  <c r="AJ172" i="112" s="1"/>
  <c r="AH172" i="112"/>
  <c r="AG172" i="112"/>
  <c r="AK171" i="112" a="1"/>
  <c r="AK171" i="112" s="1"/>
  <c r="AJ171" i="112"/>
  <c r="AJ171" i="112" a="1"/>
  <c r="AH171" i="112"/>
  <c r="AG171" i="112"/>
  <c r="AI171" i="112" s="1"/>
  <c r="AK170" i="112" a="1"/>
  <c r="AK170" i="112" s="1"/>
  <c r="AJ170" i="112" a="1"/>
  <c r="AJ170" i="112" s="1"/>
  <c r="AH170" i="112"/>
  <c r="AI170" i="112" s="1"/>
  <c r="AG170" i="112"/>
  <c r="AK169" i="112" a="1"/>
  <c r="AK169" i="112" s="1"/>
  <c r="AJ169" i="112" a="1"/>
  <c r="AJ169" i="112" s="1"/>
  <c r="AH169" i="112"/>
  <c r="AG169" i="112"/>
  <c r="AI169" i="112" s="1"/>
  <c r="AK168" i="112"/>
  <c r="AK168" i="112" a="1"/>
  <c r="AJ168" i="112" a="1"/>
  <c r="AJ168" i="112" s="1"/>
  <c r="AH168" i="112"/>
  <c r="AG168" i="112"/>
  <c r="AK167" i="112" a="1"/>
  <c r="AK167" i="112" s="1"/>
  <c r="AJ167" i="112"/>
  <c r="AJ167" i="112" a="1"/>
  <c r="AH167" i="112"/>
  <c r="AG167" i="112"/>
  <c r="AK166" i="112" a="1"/>
  <c r="AK166" i="112" s="1"/>
  <c r="AJ166" i="112" a="1"/>
  <c r="AJ166" i="112" s="1"/>
  <c r="AH166" i="112"/>
  <c r="AG166" i="112"/>
  <c r="AI166" i="112" s="1"/>
  <c r="AK165" i="112" a="1"/>
  <c r="AK165" i="112" s="1"/>
  <c r="AJ165" i="112" a="1"/>
  <c r="AJ165" i="112" s="1"/>
  <c r="AH165" i="112"/>
  <c r="AG165" i="112"/>
  <c r="AI165" i="112" s="1"/>
  <c r="AK164" i="112"/>
  <c r="AK164" i="112" a="1"/>
  <c r="AJ164" i="112" a="1"/>
  <c r="AJ164" i="112" s="1"/>
  <c r="AH164" i="112"/>
  <c r="AG164" i="112"/>
  <c r="AK163" i="112" a="1"/>
  <c r="AK163" i="112" s="1"/>
  <c r="AJ163" i="112"/>
  <c r="AL163" i="112" s="1"/>
  <c r="AJ163" i="112" a="1"/>
  <c r="AH163" i="112"/>
  <c r="AG163" i="112"/>
  <c r="AI163" i="112" s="1"/>
  <c r="AK162" i="112" a="1"/>
  <c r="AK162" i="112" s="1"/>
  <c r="AJ162" i="112" a="1"/>
  <c r="AJ162" i="112" s="1"/>
  <c r="AL162" i="112" s="1"/>
  <c r="AH162" i="112"/>
  <c r="AG162" i="112"/>
  <c r="AK161" i="112" a="1"/>
  <c r="AK161" i="112" s="1"/>
  <c r="AJ161" i="112" a="1"/>
  <c r="AJ161" i="112" s="1"/>
  <c r="AL161" i="112" s="1"/>
  <c r="AH161" i="112"/>
  <c r="AG161" i="112"/>
  <c r="AI161" i="112" s="1"/>
  <c r="AK160" i="112" a="1"/>
  <c r="AK160" i="112" s="1"/>
  <c r="AJ160" i="112" a="1"/>
  <c r="AJ160" i="112" s="1"/>
  <c r="AL160" i="112" s="1"/>
  <c r="AH160" i="112"/>
  <c r="AG160" i="112"/>
  <c r="AK151" i="112" a="1"/>
  <c r="AK151" i="112" s="1"/>
  <c r="AJ151" i="112" a="1"/>
  <c r="AJ151" i="112" s="1"/>
  <c r="AH151" i="112"/>
  <c r="AG151" i="112"/>
  <c r="AI151" i="112" s="1"/>
  <c r="AK150" i="112" a="1"/>
  <c r="AK150" i="112" s="1"/>
  <c r="AJ150" i="112" a="1"/>
  <c r="AJ150" i="112" s="1"/>
  <c r="AL150" i="112" s="1"/>
  <c r="AH150" i="112"/>
  <c r="AG150" i="112"/>
  <c r="AI150" i="112" s="1"/>
  <c r="AK148" i="112" a="1"/>
  <c r="AK148" i="112" s="1"/>
  <c r="AJ148" i="112" a="1"/>
  <c r="AJ148" i="112" s="1"/>
  <c r="AH148" i="112"/>
  <c r="AG148" i="112"/>
  <c r="AI148" i="112" s="1"/>
  <c r="AK146" i="112" a="1"/>
  <c r="AK146" i="112" s="1"/>
  <c r="AJ146" i="112" a="1"/>
  <c r="AJ146" i="112" s="1"/>
  <c r="AL146" i="112" s="1"/>
  <c r="AH146" i="112"/>
  <c r="AG146" i="112"/>
  <c r="AK144" i="112" a="1"/>
  <c r="AK144" i="112" s="1"/>
  <c r="AJ144" i="112" a="1"/>
  <c r="AJ144" i="112" s="1"/>
  <c r="AH144" i="112"/>
  <c r="AG144" i="112"/>
  <c r="AK117" i="112" a="1"/>
  <c r="AK117" i="112" s="1"/>
  <c r="AJ117" i="112" a="1"/>
  <c r="AJ117" i="112" s="1"/>
  <c r="AL117" i="112" s="1"/>
  <c r="AH117" i="112"/>
  <c r="AG117" i="112"/>
  <c r="AI117" i="112" s="1"/>
  <c r="AK116" i="112" a="1"/>
  <c r="AK116" i="112" s="1"/>
  <c r="AJ116" i="112" a="1"/>
  <c r="AJ116" i="112" s="1"/>
  <c r="AL116" i="112" s="1"/>
  <c r="AH116" i="112"/>
  <c r="AG116" i="112"/>
  <c r="AK104" i="112"/>
  <c r="AK104" i="112" a="1"/>
  <c r="AJ104" i="112" a="1"/>
  <c r="AJ104" i="112" s="1"/>
  <c r="AH104" i="112"/>
  <c r="AG104" i="112"/>
  <c r="AI104" i="112" s="1"/>
  <c r="AK103" i="112" a="1"/>
  <c r="AK103" i="112" s="1"/>
  <c r="AJ103" i="112" a="1"/>
  <c r="AJ103" i="112" s="1"/>
  <c r="AH103" i="112"/>
  <c r="AG103" i="112"/>
  <c r="AK102" i="112" a="1"/>
  <c r="AK102" i="112" s="1"/>
  <c r="AJ102" i="112" a="1"/>
  <c r="AJ102" i="112" s="1"/>
  <c r="AH102" i="112"/>
  <c r="AG102" i="112"/>
  <c r="AI102" i="112" s="1"/>
  <c r="AK101" i="112" a="1"/>
  <c r="AK101" i="112" s="1"/>
  <c r="AJ101" i="112" a="1"/>
  <c r="AJ101" i="112" s="1"/>
  <c r="AH101" i="112"/>
  <c r="AG101" i="112"/>
  <c r="AK100" i="112" a="1"/>
  <c r="AK100" i="112" s="1"/>
  <c r="AJ100" i="112" a="1"/>
  <c r="AJ100" i="112" s="1"/>
  <c r="AH100" i="112"/>
  <c r="AG100" i="112"/>
  <c r="AK99" i="112" a="1"/>
  <c r="AK99" i="112" s="1"/>
  <c r="AJ99" i="112" a="1"/>
  <c r="AJ99" i="112" s="1"/>
  <c r="AH99" i="112"/>
  <c r="AG99" i="112"/>
  <c r="AK98" i="112" a="1"/>
  <c r="AK98" i="112" s="1"/>
  <c r="AJ98" i="112" a="1"/>
  <c r="AJ98" i="112" s="1"/>
  <c r="AH98" i="112"/>
  <c r="AG98" i="112"/>
  <c r="AI98" i="112" s="1"/>
  <c r="AK97" i="112" a="1"/>
  <c r="AK97" i="112" s="1"/>
  <c r="AJ97" i="112" a="1"/>
  <c r="AJ97" i="112" s="1"/>
  <c r="AH97" i="112"/>
  <c r="AG97" i="112"/>
  <c r="AK96" i="112"/>
  <c r="AK96" i="112" a="1"/>
  <c r="AJ96" i="112" a="1"/>
  <c r="AJ96" i="112" s="1"/>
  <c r="AH96" i="112"/>
  <c r="AG96" i="112"/>
  <c r="AI96" i="112" s="1"/>
  <c r="AJ94" i="112" a="1"/>
  <c r="AJ94" i="112" s="1"/>
  <c r="AG94" i="112"/>
  <c r="AJ62" i="112"/>
  <c r="AL62" i="112" s="1"/>
  <c r="AJ62" i="112" a="1"/>
  <c r="AG62" i="112"/>
  <c r="AK49" i="112" a="1"/>
  <c r="AK49" i="112" s="1"/>
  <c r="AJ49" i="112" a="1"/>
  <c r="AJ49" i="112" s="1"/>
  <c r="AH49" i="112"/>
  <c r="AG49" i="112"/>
  <c r="AI49" i="112" s="1"/>
  <c r="AK37" i="112" a="1"/>
  <c r="AK37" i="112" s="1"/>
  <c r="AJ37" i="112" a="1"/>
  <c r="AJ37" i="112" s="1"/>
  <c r="AL37" i="112" s="1"/>
  <c r="AH37" i="112"/>
  <c r="AG37" i="112"/>
  <c r="AI37" i="112" s="1"/>
  <c r="AK36" i="112" a="1"/>
  <c r="AK36" i="112" s="1"/>
  <c r="AJ36" i="112" a="1"/>
  <c r="AJ36" i="112" s="1"/>
  <c r="AL36" i="112" s="1"/>
  <c r="AH36" i="112"/>
  <c r="AG36" i="112"/>
  <c r="AK30" i="112" a="1"/>
  <c r="AK30" i="112" s="1"/>
  <c r="AL30" i="112" s="1"/>
  <c r="AH30" i="112"/>
  <c r="AI30" i="112" s="1"/>
  <c r="AK25" i="112"/>
  <c r="AK25" i="112" a="1"/>
  <c r="AJ25" i="112"/>
  <c r="AL25" i="112" s="1"/>
  <c r="AJ25" i="112" a="1"/>
  <c r="AH25" i="112"/>
  <c r="AG25" i="112"/>
  <c r="AK24" i="112" a="1"/>
  <c r="AK24" i="112" s="1"/>
  <c r="AJ24" i="112"/>
  <c r="AL24" i="112" s="1"/>
  <c r="AJ24" i="112" a="1"/>
  <c r="AH24" i="112"/>
  <c r="AI24" i="112" s="1"/>
  <c r="AG24" i="112"/>
  <c r="AK23" i="112"/>
  <c r="AK23" i="112" a="1"/>
  <c r="AJ23" i="112" a="1"/>
  <c r="AJ23" i="112" s="1"/>
  <c r="AH23" i="112"/>
  <c r="AI23" i="112" s="1"/>
  <c r="AG23" i="112"/>
  <c r="AK8" i="112"/>
  <c r="AK8" i="112" a="1"/>
  <c r="AJ8" i="112"/>
  <c r="AJ8" i="112" a="1"/>
  <c r="AH8" i="112"/>
  <c r="AG8" i="112"/>
  <c r="AI8" i="112" s="1"/>
  <c r="AK6" i="112"/>
  <c r="AL6" i="112" s="1"/>
  <c r="AK6" i="112" a="1"/>
  <c r="AH6" i="112"/>
  <c r="AJ5" i="112" a="1"/>
  <c r="AJ5" i="112" s="1"/>
  <c r="AL5" i="112" s="1"/>
  <c r="AG5" i="112"/>
  <c r="AI278" i="112"/>
  <c r="J278" i="112"/>
  <c r="AI277" i="112"/>
  <c r="J277" i="112"/>
  <c r="J276" i="112"/>
  <c r="AL275" i="112"/>
  <c r="AI275" i="112"/>
  <c r="J275" i="112"/>
  <c r="AI274" i="112"/>
  <c r="J274" i="112"/>
  <c r="AI273" i="112"/>
  <c r="J273" i="112"/>
  <c r="AL272" i="112"/>
  <c r="AI272" i="112"/>
  <c r="J272" i="112"/>
  <c r="AL271" i="112"/>
  <c r="AI271" i="112"/>
  <c r="J271" i="112"/>
  <c r="AI270" i="112"/>
  <c r="J270" i="112"/>
  <c r="AI269" i="112"/>
  <c r="J269" i="112"/>
  <c r="J268" i="112"/>
  <c r="AL267" i="112"/>
  <c r="AI267" i="112"/>
  <c r="J267" i="112"/>
  <c r="AI266" i="112"/>
  <c r="I266" i="112"/>
  <c r="AI265" i="112"/>
  <c r="J265" i="112"/>
  <c r="AL264" i="112"/>
  <c r="AI264" i="112"/>
  <c r="J264" i="112"/>
  <c r="AL263" i="112"/>
  <c r="AI263" i="112"/>
  <c r="J263" i="112"/>
  <c r="AI262" i="112"/>
  <c r="I262" i="112"/>
  <c r="AI261" i="112"/>
  <c r="I261" i="112"/>
  <c r="I260" i="112"/>
  <c r="AL259" i="112"/>
  <c r="AI259" i="112"/>
  <c r="I259" i="112"/>
  <c r="AI258" i="112"/>
  <c r="I258" i="112"/>
  <c r="AI257" i="112"/>
  <c r="I257" i="112"/>
  <c r="AL256" i="112"/>
  <c r="AI256" i="112"/>
  <c r="I256" i="112"/>
  <c r="AL255" i="112"/>
  <c r="AI255" i="112"/>
  <c r="I255" i="112"/>
  <c r="AI254" i="112"/>
  <c r="I254" i="112"/>
  <c r="AI253" i="112"/>
  <c r="I253" i="112"/>
  <c r="I252" i="112"/>
  <c r="AI251" i="112"/>
  <c r="I251" i="112"/>
  <c r="AI250" i="112"/>
  <c r="I250" i="112"/>
  <c r="AL249" i="112"/>
  <c r="AI249" i="112"/>
  <c r="I249" i="112"/>
  <c r="AL248" i="112"/>
  <c r="AI248" i="112"/>
  <c r="J248" i="112"/>
  <c r="AI247" i="112"/>
  <c r="J247" i="112"/>
  <c r="AI246" i="112"/>
  <c r="J246" i="112"/>
  <c r="I246" i="112"/>
  <c r="J245" i="112"/>
  <c r="I245" i="112"/>
  <c r="AI244" i="112"/>
  <c r="J244" i="112"/>
  <c r="I244" i="112"/>
  <c r="J243" i="112"/>
  <c r="I243" i="112"/>
  <c r="AL242" i="112"/>
  <c r="J242" i="112"/>
  <c r="I242" i="112"/>
  <c r="AL241" i="112"/>
  <c r="J241" i="112"/>
  <c r="I241" i="112"/>
  <c r="AL240" i="112"/>
  <c r="AI240" i="112"/>
  <c r="J240" i="112"/>
  <c r="I240" i="112"/>
  <c r="AL239" i="112"/>
  <c r="J239" i="112"/>
  <c r="I239" i="112"/>
  <c r="AI238" i="112"/>
  <c r="J238" i="112"/>
  <c r="I238" i="112"/>
  <c r="AL237" i="112"/>
  <c r="J237" i="112"/>
  <c r="I237" i="112"/>
  <c r="AL236" i="112"/>
  <c r="AL235" i="112"/>
  <c r="AL234" i="112"/>
  <c r="AL233" i="112"/>
  <c r="AL232" i="112"/>
  <c r="AI231" i="112"/>
  <c r="J231" i="112"/>
  <c r="I231" i="112"/>
  <c r="J230" i="112"/>
  <c r="I230" i="112"/>
  <c r="AI229" i="112"/>
  <c r="J229" i="112"/>
  <c r="I229" i="112"/>
  <c r="AI228" i="112"/>
  <c r="J228" i="112"/>
  <c r="I228" i="112"/>
  <c r="AL227" i="112"/>
  <c r="AI226" i="112"/>
  <c r="J226" i="112"/>
  <c r="I226" i="112"/>
  <c r="AL225" i="112"/>
  <c r="J225" i="112"/>
  <c r="I225" i="112"/>
  <c r="AL224" i="112"/>
  <c r="J224" i="112"/>
  <c r="I224" i="112"/>
  <c r="AL223" i="112"/>
  <c r="AL222" i="112"/>
  <c r="AI221" i="112"/>
  <c r="J221" i="112"/>
  <c r="I221" i="112"/>
  <c r="J220" i="112"/>
  <c r="I220" i="112"/>
  <c r="AI219" i="112"/>
  <c r="J219" i="112"/>
  <c r="I219" i="112"/>
  <c r="J218" i="112"/>
  <c r="I218" i="112"/>
  <c r="AL217" i="112"/>
  <c r="AL216" i="112"/>
  <c r="AL215" i="112"/>
  <c r="J214" i="112"/>
  <c r="I214" i="112"/>
  <c r="AL213" i="112"/>
  <c r="AI213" i="112"/>
  <c r="AI212" i="112"/>
  <c r="J212" i="112"/>
  <c r="J211" i="112"/>
  <c r="I211" i="112"/>
  <c r="AL210" i="112"/>
  <c r="J210" i="112"/>
  <c r="I210" i="112"/>
  <c r="AL209" i="112"/>
  <c r="AI209" i="112"/>
  <c r="J209" i="112"/>
  <c r="I209" i="112"/>
  <c r="AI208" i="112"/>
  <c r="J208" i="112"/>
  <c r="I208" i="112"/>
  <c r="AL207" i="112"/>
  <c r="AI206" i="112"/>
  <c r="J207" i="112"/>
  <c r="I207" i="112"/>
  <c r="I206" i="112"/>
  <c r="AL205" i="112"/>
  <c r="AL204" i="112"/>
  <c r="AL203" i="112"/>
  <c r="AI203" i="112"/>
  <c r="J203" i="112"/>
  <c r="AL202" i="112"/>
  <c r="I202" i="112"/>
  <c r="I201" i="112"/>
  <c r="AL200" i="112"/>
  <c r="J200" i="112"/>
  <c r="AI199" i="112"/>
  <c r="J199" i="112"/>
  <c r="AI198" i="112"/>
  <c r="J198" i="112"/>
  <c r="J197" i="112"/>
  <c r="I197" i="112"/>
  <c r="AI196" i="112"/>
  <c r="J196" i="112"/>
  <c r="I196" i="112"/>
  <c r="AL195" i="112"/>
  <c r="AL194" i="112"/>
  <c r="J194" i="112"/>
  <c r="I194" i="112"/>
  <c r="AL193" i="112"/>
  <c r="AL192" i="112"/>
  <c r="J191" i="112"/>
  <c r="I191" i="112"/>
  <c r="AI190" i="112"/>
  <c r="J190" i="112"/>
  <c r="I190" i="112"/>
  <c r="AI189" i="112"/>
  <c r="J189" i="112"/>
  <c r="AI188" i="112"/>
  <c r="J188" i="112"/>
  <c r="I188" i="112"/>
  <c r="AG187" i="112"/>
  <c r="AI187" i="112" s="1"/>
  <c r="J187" i="112"/>
  <c r="I187" i="112"/>
  <c r="AL186" i="112"/>
  <c r="J186" i="112"/>
  <c r="I186" i="112"/>
  <c r="AL185" i="112"/>
  <c r="J185" i="112"/>
  <c r="I185" i="112"/>
  <c r="AL184" i="112"/>
  <c r="AL183" i="112"/>
  <c r="AI183" i="112"/>
  <c r="AL182" i="112"/>
  <c r="AL181" i="112"/>
  <c r="AI181" i="112"/>
  <c r="J180" i="112"/>
  <c r="I180" i="112"/>
  <c r="AI179" i="112"/>
  <c r="J179" i="112"/>
  <c r="I179" i="112"/>
  <c r="J178" i="112"/>
  <c r="I178" i="112"/>
  <c r="AI177" i="112"/>
  <c r="J177" i="112"/>
  <c r="I177" i="112"/>
  <c r="J176" i="112"/>
  <c r="I176" i="112"/>
  <c r="AI175" i="112"/>
  <c r="J175" i="112"/>
  <c r="I175" i="112"/>
  <c r="AL174" i="112"/>
  <c r="J174" i="112"/>
  <c r="I174" i="112"/>
  <c r="J173" i="112"/>
  <c r="I173" i="112"/>
  <c r="AI172" i="112"/>
  <c r="J172" i="112"/>
  <c r="I172" i="112"/>
  <c r="J171" i="112"/>
  <c r="I171" i="112"/>
  <c r="J170" i="112"/>
  <c r="I170" i="112"/>
  <c r="J169" i="112"/>
  <c r="I169" i="112"/>
  <c r="AI168" i="112"/>
  <c r="J168" i="112"/>
  <c r="I168" i="112"/>
  <c r="AI167" i="112"/>
  <c r="J167" i="112"/>
  <c r="I167" i="112"/>
  <c r="J166" i="112"/>
  <c r="I166" i="112"/>
  <c r="J165" i="112"/>
  <c r="I165" i="112"/>
  <c r="J164" i="112"/>
  <c r="I164" i="112"/>
  <c r="J163" i="112"/>
  <c r="I163" i="112"/>
  <c r="AI162" i="112"/>
  <c r="J162" i="112"/>
  <c r="I162" i="112"/>
  <c r="J161" i="112"/>
  <c r="I161" i="112"/>
  <c r="AI160" i="112"/>
  <c r="J160" i="112"/>
  <c r="I160" i="112"/>
  <c r="AL159" i="112"/>
  <c r="J159" i="112"/>
  <c r="I159" i="112"/>
  <c r="AL158" i="112"/>
  <c r="J158" i="112"/>
  <c r="I158" i="112"/>
  <c r="AL157" i="112"/>
  <c r="J157" i="112"/>
  <c r="I157" i="112"/>
  <c r="AL156" i="112"/>
  <c r="J156" i="112"/>
  <c r="I156" i="112"/>
  <c r="AL155" i="112"/>
  <c r="J155" i="112"/>
  <c r="I155" i="112"/>
  <c r="AL154" i="112"/>
  <c r="J154" i="112"/>
  <c r="I154" i="112"/>
  <c r="AL153" i="112"/>
  <c r="AI153" i="112"/>
  <c r="AL152" i="112"/>
  <c r="AI152" i="112"/>
  <c r="AL151" i="112"/>
  <c r="J151" i="112"/>
  <c r="I151" i="112"/>
  <c r="J150" i="112"/>
  <c r="I150" i="112"/>
  <c r="AL149" i="112"/>
  <c r="J149" i="112"/>
  <c r="I149" i="112"/>
  <c r="J148" i="112"/>
  <c r="I148" i="112"/>
  <c r="AL147" i="112"/>
  <c r="J147" i="112"/>
  <c r="I147" i="112"/>
  <c r="AI146" i="112"/>
  <c r="J146" i="112"/>
  <c r="I146" i="112"/>
  <c r="AL145" i="112"/>
  <c r="AI144" i="112"/>
  <c r="J144" i="112"/>
  <c r="I144" i="112"/>
  <c r="AL143" i="112"/>
  <c r="J143" i="112"/>
  <c r="I143" i="112"/>
  <c r="AL142" i="112"/>
  <c r="J142" i="112"/>
  <c r="I142" i="112"/>
  <c r="AL141" i="112"/>
  <c r="J141" i="112"/>
  <c r="I141" i="112"/>
  <c r="AL140" i="112"/>
  <c r="J140" i="112"/>
  <c r="I140" i="112"/>
  <c r="AL139" i="112"/>
  <c r="AL138" i="112"/>
  <c r="J138" i="112"/>
  <c r="I138" i="112"/>
  <c r="AL137" i="112"/>
  <c r="J137" i="112"/>
  <c r="I137" i="112"/>
  <c r="AL136" i="112"/>
  <c r="AI136" i="112"/>
  <c r="AL135" i="112"/>
  <c r="J135" i="112"/>
  <c r="I135" i="112"/>
  <c r="AL134" i="112"/>
  <c r="AL133" i="112"/>
  <c r="J133" i="112"/>
  <c r="I133" i="112"/>
  <c r="AL132" i="112"/>
  <c r="J132" i="112"/>
  <c r="I132" i="112"/>
  <c r="AL131" i="112"/>
  <c r="J131" i="112"/>
  <c r="I131" i="112"/>
  <c r="AL130" i="112"/>
  <c r="J130" i="112"/>
  <c r="I130" i="112"/>
  <c r="AL129" i="112"/>
  <c r="J129" i="112"/>
  <c r="I129" i="112"/>
  <c r="AL128" i="112"/>
  <c r="J128" i="112"/>
  <c r="I128" i="112"/>
  <c r="AL127" i="112"/>
  <c r="J127" i="112"/>
  <c r="I127" i="112"/>
  <c r="AL126" i="112"/>
  <c r="J126" i="112"/>
  <c r="I126" i="112"/>
  <c r="AL125" i="112"/>
  <c r="J125" i="112"/>
  <c r="I125" i="112"/>
  <c r="AL124" i="112"/>
  <c r="J124" i="112"/>
  <c r="I124" i="112"/>
  <c r="AL123" i="112"/>
  <c r="J123" i="112"/>
  <c r="I123" i="112"/>
  <c r="AL122" i="112"/>
  <c r="J122" i="112"/>
  <c r="I122" i="112"/>
  <c r="AL121" i="112"/>
  <c r="AL120" i="112"/>
  <c r="AL119" i="112"/>
  <c r="AL118" i="112"/>
  <c r="J117" i="112"/>
  <c r="I117" i="112"/>
  <c r="AI116" i="112"/>
  <c r="J116" i="112"/>
  <c r="I116" i="112"/>
  <c r="AL115" i="112"/>
  <c r="J115" i="112"/>
  <c r="I115" i="112"/>
  <c r="AL114" i="112"/>
  <c r="J114" i="112"/>
  <c r="I114" i="112"/>
  <c r="AL113" i="112"/>
  <c r="J113" i="112"/>
  <c r="I113" i="112"/>
  <c r="AL112" i="112"/>
  <c r="J112" i="112"/>
  <c r="I112" i="112"/>
  <c r="AL111" i="112"/>
  <c r="J111" i="112"/>
  <c r="I111" i="112"/>
  <c r="AL110" i="112"/>
  <c r="J110" i="112"/>
  <c r="I110" i="112"/>
  <c r="AL109" i="112"/>
  <c r="J109" i="112"/>
  <c r="I109" i="112"/>
  <c r="AL108" i="112"/>
  <c r="J108" i="112"/>
  <c r="I108" i="112"/>
  <c r="AL107" i="112"/>
  <c r="J107" i="112"/>
  <c r="I107" i="112"/>
  <c r="AL106" i="112"/>
  <c r="J106" i="112"/>
  <c r="I106" i="112"/>
  <c r="AL105" i="112"/>
  <c r="J105" i="112"/>
  <c r="I105" i="112"/>
  <c r="J104" i="112"/>
  <c r="I104" i="112"/>
  <c r="AI103" i="112"/>
  <c r="J103" i="112"/>
  <c r="I103" i="112"/>
  <c r="J102" i="112"/>
  <c r="I102" i="112"/>
  <c r="AI101" i="112"/>
  <c r="J101" i="112"/>
  <c r="I101" i="112"/>
  <c r="AI100" i="112"/>
  <c r="J100" i="112"/>
  <c r="I100" i="112"/>
  <c r="AI99" i="112"/>
  <c r="J99" i="112"/>
  <c r="I99" i="112"/>
  <c r="J98" i="112"/>
  <c r="I98" i="112"/>
  <c r="AI97" i="112"/>
  <c r="J97" i="112"/>
  <c r="I97" i="112"/>
  <c r="J96" i="112"/>
  <c r="I96" i="112"/>
  <c r="AL95" i="112"/>
  <c r="AL94" i="112"/>
  <c r="AI94" i="112"/>
  <c r="I94" i="112"/>
  <c r="AL93" i="112"/>
  <c r="AL92" i="112"/>
  <c r="AL91" i="112"/>
  <c r="J91" i="112"/>
  <c r="I91" i="112"/>
  <c r="AL90" i="112"/>
  <c r="J90" i="112"/>
  <c r="I90" i="112"/>
  <c r="AL89" i="112"/>
  <c r="J89" i="112"/>
  <c r="I89" i="112"/>
  <c r="AL88" i="112"/>
  <c r="J88" i="112"/>
  <c r="I88" i="112"/>
  <c r="AL87" i="112"/>
  <c r="J87" i="112"/>
  <c r="I87" i="112"/>
  <c r="AL86" i="112"/>
  <c r="J86" i="112"/>
  <c r="I86" i="112"/>
  <c r="AL85" i="112"/>
  <c r="J85" i="112"/>
  <c r="I85" i="112"/>
  <c r="AL84" i="112"/>
  <c r="AL83" i="112"/>
  <c r="J83" i="112"/>
  <c r="I83" i="112"/>
  <c r="AL82" i="112"/>
  <c r="AL81" i="112"/>
  <c r="AL80" i="112"/>
  <c r="J80" i="112"/>
  <c r="I80" i="112"/>
  <c r="AL79" i="112"/>
  <c r="AI79" i="112"/>
  <c r="AL78" i="112"/>
  <c r="J78" i="112"/>
  <c r="I78" i="112"/>
  <c r="AL77" i="112"/>
  <c r="J77" i="112"/>
  <c r="I77" i="112"/>
  <c r="AL76" i="112"/>
  <c r="J76" i="112"/>
  <c r="I76" i="112"/>
  <c r="AL75" i="112"/>
  <c r="J75" i="112"/>
  <c r="I75" i="112"/>
  <c r="AL74" i="112"/>
  <c r="J74" i="112"/>
  <c r="I74" i="112"/>
  <c r="AL73" i="112"/>
  <c r="J73" i="112"/>
  <c r="I73" i="112"/>
  <c r="AL72" i="112"/>
  <c r="J72" i="112"/>
  <c r="I72" i="112"/>
  <c r="AL71" i="112"/>
  <c r="J71" i="112"/>
  <c r="I71" i="112"/>
  <c r="AL70" i="112"/>
  <c r="J70" i="112"/>
  <c r="I70" i="112"/>
  <c r="AL69" i="112"/>
  <c r="J69" i="112"/>
  <c r="I69" i="112"/>
  <c r="AL68" i="112"/>
  <c r="J68" i="112"/>
  <c r="I68" i="112"/>
  <c r="AL67" i="112"/>
  <c r="J67" i="112"/>
  <c r="I67" i="112"/>
  <c r="AL66" i="112"/>
  <c r="J66" i="112"/>
  <c r="I66" i="112"/>
  <c r="AL65" i="112"/>
  <c r="AI65" i="112"/>
  <c r="AL64" i="112"/>
  <c r="J64" i="112"/>
  <c r="I64" i="112"/>
  <c r="AL63" i="112"/>
  <c r="J63" i="112"/>
  <c r="I63" i="112"/>
  <c r="AI62" i="112"/>
  <c r="I62" i="112"/>
  <c r="AL61" i="112"/>
  <c r="J61" i="112"/>
  <c r="I61" i="112"/>
  <c r="AL60" i="112"/>
  <c r="AL59" i="112"/>
  <c r="J59" i="112"/>
  <c r="I59" i="112"/>
  <c r="AL58" i="112"/>
  <c r="J58" i="112"/>
  <c r="I58" i="112"/>
  <c r="AL57" i="112"/>
  <c r="AL56" i="112"/>
  <c r="J56" i="112"/>
  <c r="I56" i="112"/>
  <c r="AL55" i="112"/>
  <c r="J55" i="112"/>
  <c r="I55" i="112"/>
  <c r="AL54" i="112"/>
  <c r="J54" i="112"/>
  <c r="I54" i="112"/>
  <c r="AL53" i="112"/>
  <c r="J53" i="112"/>
  <c r="I53" i="112"/>
  <c r="AL52" i="112"/>
  <c r="J52" i="112"/>
  <c r="I52" i="112"/>
  <c r="AL51" i="112"/>
  <c r="J51" i="112"/>
  <c r="I51" i="112"/>
  <c r="AL50" i="112"/>
  <c r="J50" i="112"/>
  <c r="I50" i="112"/>
  <c r="J49" i="112"/>
  <c r="I49" i="112"/>
  <c r="AL48" i="112"/>
  <c r="J48" i="112"/>
  <c r="I48" i="112"/>
  <c r="AL47" i="112"/>
  <c r="J47" i="112"/>
  <c r="I47" i="112"/>
  <c r="AL46" i="112"/>
  <c r="J46" i="112"/>
  <c r="I46" i="112"/>
  <c r="AL45" i="112"/>
  <c r="J45" i="112"/>
  <c r="I45" i="112"/>
  <c r="AL44" i="112"/>
  <c r="J44" i="112"/>
  <c r="I44" i="112"/>
  <c r="AL43" i="112"/>
  <c r="J43" i="112"/>
  <c r="I43" i="112"/>
  <c r="AL42" i="112"/>
  <c r="J42" i="112"/>
  <c r="I42" i="112"/>
  <c r="AL41" i="112"/>
  <c r="J41" i="112"/>
  <c r="I41" i="112"/>
  <c r="AL40" i="112"/>
  <c r="J40" i="112"/>
  <c r="I40" i="112"/>
  <c r="AL39" i="112"/>
  <c r="J39" i="112"/>
  <c r="I39" i="112"/>
  <c r="AL38" i="112"/>
  <c r="J38" i="112"/>
  <c r="I38" i="112"/>
  <c r="J37" i="112"/>
  <c r="I37" i="112"/>
  <c r="AI36" i="112"/>
  <c r="J36" i="112"/>
  <c r="I36" i="112"/>
  <c r="AL35" i="112"/>
  <c r="J35" i="112"/>
  <c r="I35" i="112"/>
  <c r="AL34" i="112"/>
  <c r="J34" i="112"/>
  <c r="I34" i="112"/>
  <c r="AL33" i="112"/>
  <c r="J33" i="112"/>
  <c r="I33" i="112"/>
  <c r="AL32" i="112"/>
  <c r="J32" i="112"/>
  <c r="I32" i="112"/>
  <c r="AL31" i="112"/>
  <c r="J31" i="112"/>
  <c r="I31" i="112"/>
  <c r="J30" i="112"/>
  <c r="AL29" i="112"/>
  <c r="J29" i="112"/>
  <c r="I29" i="112"/>
  <c r="AL28" i="112"/>
  <c r="AL27" i="112"/>
  <c r="J27" i="112"/>
  <c r="I27" i="112"/>
  <c r="AL26" i="112"/>
  <c r="J26" i="112"/>
  <c r="I26" i="112"/>
  <c r="AI25" i="112"/>
  <c r="J25" i="112"/>
  <c r="I25" i="112"/>
  <c r="J24" i="112"/>
  <c r="I24" i="112"/>
  <c r="J23" i="112"/>
  <c r="I23" i="112"/>
  <c r="AL22" i="112"/>
  <c r="AL21" i="112"/>
  <c r="J21" i="112"/>
  <c r="I21" i="112"/>
  <c r="AL20" i="112"/>
  <c r="J20" i="112"/>
  <c r="I20" i="112"/>
  <c r="AL19" i="112"/>
  <c r="J19" i="112"/>
  <c r="I19" i="112"/>
  <c r="AL18" i="112"/>
  <c r="J18" i="112"/>
  <c r="I18" i="112"/>
  <c r="AL17" i="112"/>
  <c r="J17" i="112"/>
  <c r="I17" i="112"/>
  <c r="AL16" i="112"/>
  <c r="J16" i="112"/>
  <c r="I16" i="112"/>
  <c r="AL15" i="112"/>
  <c r="AL14" i="112"/>
  <c r="AL13" i="112"/>
  <c r="AL12" i="112"/>
  <c r="J12" i="112"/>
  <c r="I12" i="112"/>
  <c r="AL11" i="112"/>
  <c r="J11" i="112"/>
  <c r="I11" i="112"/>
  <c r="AL10" i="112"/>
  <c r="J10" i="112"/>
  <c r="I10" i="112"/>
  <c r="AL9" i="112"/>
  <c r="J9" i="112"/>
  <c r="I9" i="112"/>
  <c r="J8" i="112"/>
  <c r="I8" i="112"/>
  <c r="AL7" i="112"/>
  <c r="J7" i="112"/>
  <c r="I7" i="112"/>
  <c r="AI6" i="112"/>
  <c r="J6" i="112"/>
  <c r="AI5" i="112"/>
  <c r="I5" i="112"/>
  <c r="AA342" i="96" a="1"/>
  <c r="AA342" i="96" s="1"/>
  <c r="AA341" i="96" a="1"/>
  <c r="AA341" i="96" s="1"/>
  <c r="AA340" i="96" a="1"/>
  <c r="AA340" i="96" s="1"/>
  <c r="AC340" i="96" s="1"/>
  <c r="AB339" i="96"/>
  <c r="AB339" i="96" a="1"/>
  <c r="AB338" i="96" a="1"/>
  <c r="AB338" i="96" s="1"/>
  <c r="AB337" i="96"/>
  <c r="AB337" i="96" a="1"/>
  <c r="AA336" i="96" a="1"/>
  <c r="AA336" i="96" s="1"/>
  <c r="AA335" i="96" a="1"/>
  <c r="AA335" i="96" s="1"/>
  <c r="AC335" i="96" s="1"/>
  <c r="AB334" i="96" a="1"/>
  <c r="AB334" i="96" s="1"/>
  <c r="AA334" i="96" a="1"/>
  <c r="AA334" i="96" s="1"/>
  <c r="AB333" i="96" a="1"/>
  <c r="AB333" i="96" s="1"/>
  <c r="AA333" i="96" a="1"/>
  <c r="AA333" i="96" s="1"/>
  <c r="AB332" i="96" a="1"/>
  <c r="AB332" i="96" s="1"/>
  <c r="AA332" i="96" a="1"/>
  <c r="AA332" i="96" s="1"/>
  <c r="AC332" i="96" s="1"/>
  <c r="AB331" i="96" a="1"/>
  <c r="AB331" i="96" s="1"/>
  <c r="AA331" i="96" a="1"/>
  <c r="AA331" i="96" s="1"/>
  <c r="AB330" i="96" a="1"/>
  <c r="AB330" i="96" s="1"/>
  <c r="AA330" i="96" a="1"/>
  <c r="AA330" i="96" s="1"/>
  <c r="AB329" i="96"/>
  <c r="AB329" i="96" a="1"/>
  <c r="AA329" i="96" a="1"/>
  <c r="AA329" i="96" s="1"/>
  <c r="AB328" i="96" a="1"/>
  <c r="AB328" i="96" s="1"/>
  <c r="AA328" i="96" a="1"/>
  <c r="AA328" i="96" s="1"/>
  <c r="AC328" i="96" s="1"/>
  <c r="AB327" i="96" a="1"/>
  <c r="AB327" i="96" s="1"/>
  <c r="AA327" i="96" a="1"/>
  <c r="AA327" i="96" s="1"/>
  <c r="AB326" i="96" a="1"/>
  <c r="AB326" i="96" s="1"/>
  <c r="AA326" i="96" a="1"/>
  <c r="AA326" i="96" s="1"/>
  <c r="AB325" i="96" a="1"/>
  <c r="AB325" i="96" s="1"/>
  <c r="AA325" i="96" a="1"/>
  <c r="AA325" i="96" s="1"/>
  <c r="AB324" i="96" a="1"/>
  <c r="AB324" i="96" s="1"/>
  <c r="AA324" i="96"/>
  <c r="AA324" i="96" a="1"/>
  <c r="AB323" i="96" a="1"/>
  <c r="AB323" i="96" s="1"/>
  <c r="AA323" i="96" a="1"/>
  <c r="AA323" i="96" s="1"/>
  <c r="AB313" i="96" a="1"/>
  <c r="AB313" i="96" s="1"/>
  <c r="AA313" i="96" a="1"/>
  <c r="AA313" i="96" s="1"/>
  <c r="AB312" i="96" a="1"/>
  <c r="AB312" i="96" s="1"/>
  <c r="AA312" i="96" a="1"/>
  <c r="AA312" i="96" s="1"/>
  <c r="AB311" i="96" a="1"/>
  <c r="AB311" i="96" s="1"/>
  <c r="AA311" i="96" a="1"/>
  <c r="AA311" i="96" s="1"/>
  <c r="AC311" i="96" s="1"/>
  <c r="AB310" i="96" a="1"/>
  <c r="AB310" i="96" s="1"/>
  <c r="AA310" i="96" a="1"/>
  <c r="AA310" i="96" s="1"/>
  <c r="AB309" i="96" a="1"/>
  <c r="AB309" i="96" s="1"/>
  <c r="AA309" i="96" a="1"/>
  <c r="AA309" i="96" s="1"/>
  <c r="AB308" i="96" a="1"/>
  <c r="AB308" i="96" s="1"/>
  <c r="AA308" i="96" a="1"/>
  <c r="AA308" i="96" s="1"/>
  <c r="AB305" i="96" a="1"/>
  <c r="AB305" i="96" s="1"/>
  <c r="AA305" i="96" a="1"/>
  <c r="AA305" i="96" s="1"/>
  <c r="AC305" i="96" s="1"/>
  <c r="AB304" i="96" a="1"/>
  <c r="AB304" i="96" s="1"/>
  <c r="AA304" i="96" a="1"/>
  <c r="AA304" i="96" s="1"/>
  <c r="AB303" i="96" a="1"/>
  <c r="AB303" i="96" s="1"/>
  <c r="AA303" i="96" a="1"/>
  <c r="AA303" i="96" s="1"/>
  <c r="AB302" i="96" a="1"/>
  <c r="AB302" i="96" s="1"/>
  <c r="AA302" i="96" a="1"/>
  <c r="AA302" i="96" s="1"/>
  <c r="AB301" i="96"/>
  <c r="AB301" i="96" a="1"/>
  <c r="AA301" i="96" a="1"/>
  <c r="AA301" i="96" s="1"/>
  <c r="AB300" i="96" a="1"/>
  <c r="AB300" i="96" s="1"/>
  <c r="AA300" i="96" a="1"/>
  <c r="AA300" i="96" s="1"/>
  <c r="AC300" i="96" s="1"/>
  <c r="AB295" i="96" a="1"/>
  <c r="AB295" i="96" s="1"/>
  <c r="AA295" i="96" a="1"/>
  <c r="AA295" i="96" s="1"/>
  <c r="AB294" i="96" a="1"/>
  <c r="AB294" i="96" s="1"/>
  <c r="AA294" i="96" a="1"/>
  <c r="AA294" i="96" s="1"/>
  <c r="AB293" i="96"/>
  <c r="AB293" i="96" a="1"/>
  <c r="AA293" i="96"/>
  <c r="AA293" i="96" a="1"/>
  <c r="AB292" i="96" a="1"/>
  <c r="AB292" i="96" s="1"/>
  <c r="AA292" i="96" a="1"/>
  <c r="AA292" i="96" s="1"/>
  <c r="AC292" i="96" s="1"/>
  <c r="AB291" i="96" a="1"/>
  <c r="AB291" i="96" s="1"/>
  <c r="AA291" i="96" a="1"/>
  <c r="AA291" i="96" s="1"/>
  <c r="AB290" i="96" a="1"/>
  <c r="AB290" i="96" s="1"/>
  <c r="AA290" i="96" a="1"/>
  <c r="AA290" i="96" s="1"/>
  <c r="AB285" i="96"/>
  <c r="AB285" i="96" a="1"/>
  <c r="AA285" i="96" a="1"/>
  <c r="AA285" i="96" s="1"/>
  <c r="AB284" i="96" a="1"/>
  <c r="AB284" i="96" s="1"/>
  <c r="AA284" i="96" a="1"/>
  <c r="AA284" i="96" s="1"/>
  <c r="AB283" i="96" a="1"/>
  <c r="AB283" i="96" s="1"/>
  <c r="AA283" i="96" a="1"/>
  <c r="AA283" i="96" s="1"/>
  <c r="AB282" i="96" a="1"/>
  <c r="AB282" i="96" s="1"/>
  <c r="AA282" i="96" a="1"/>
  <c r="AA282" i="96" s="1"/>
  <c r="AB281" i="96"/>
  <c r="AB281" i="96" a="1"/>
  <c r="AA281" i="96"/>
  <c r="AA281" i="96" a="1"/>
  <c r="AB280" i="96" a="1"/>
  <c r="AB280" i="96" s="1"/>
  <c r="AA280" i="96" a="1"/>
  <c r="AA280" i="96" s="1"/>
  <c r="AB277" i="96" a="1"/>
  <c r="AB277" i="96" s="1"/>
  <c r="AA277" i="96" a="1"/>
  <c r="AA277" i="96" s="1"/>
  <c r="AB276" i="96" a="1"/>
  <c r="AB276" i="96" s="1"/>
  <c r="AA276" i="96" a="1"/>
  <c r="AA276" i="96" s="1"/>
  <c r="AB275" i="96"/>
  <c r="AB275" i="96" a="1"/>
  <c r="AA275" i="96" a="1"/>
  <c r="AA275" i="96" s="1"/>
  <c r="AB274" i="96" a="1"/>
  <c r="AB274" i="96" s="1"/>
  <c r="AA274" i="96" a="1"/>
  <c r="AA274" i="96" s="1"/>
  <c r="AB273" i="96" a="1"/>
  <c r="AB273" i="96" s="1"/>
  <c r="AA273" i="96" a="1"/>
  <c r="AA273" i="96" s="1"/>
  <c r="AB272" i="96" a="1"/>
  <c r="AB272" i="96" s="1"/>
  <c r="AA272" i="96" a="1"/>
  <c r="AA272" i="96" s="1"/>
  <c r="AB271" i="96"/>
  <c r="AB271" i="96" a="1"/>
  <c r="AA271" i="96"/>
  <c r="AA271" i="96" a="1"/>
  <c r="AB267" i="96" a="1"/>
  <c r="AB267" i="96" s="1"/>
  <c r="AA267" i="96" a="1"/>
  <c r="AA267" i="96" s="1"/>
  <c r="AC267" i="96" s="1"/>
  <c r="AB266" i="96" a="1"/>
  <c r="AB266" i="96" s="1"/>
  <c r="AA266" i="96" a="1"/>
  <c r="AA266" i="96" s="1"/>
  <c r="AB265" i="96" a="1"/>
  <c r="AB265" i="96" s="1"/>
  <c r="AA265" i="96" a="1"/>
  <c r="AA265" i="96" s="1"/>
  <c r="AB264" i="96"/>
  <c r="AB264" i="96" a="1"/>
  <c r="AA264" i="96" a="1"/>
  <c r="AA264" i="96" s="1"/>
  <c r="AC264" i="96" s="1"/>
  <c r="AB263" i="96" a="1"/>
  <c r="AB263" i="96" s="1"/>
  <c r="AA263" i="96" a="1"/>
  <c r="AA263" i="96" s="1"/>
  <c r="AC263" i="96" s="1"/>
  <c r="AB262" i="96" a="1"/>
  <c r="AB262" i="96" s="1"/>
  <c r="AA262" i="96" a="1"/>
  <c r="AA262" i="96" s="1"/>
  <c r="AB261" i="96" a="1"/>
  <c r="AB261" i="96" s="1"/>
  <c r="AA261" i="96" a="1"/>
  <c r="AA261" i="96" s="1"/>
  <c r="AB258" i="96"/>
  <c r="AB258" i="96" a="1"/>
  <c r="AA258" i="96" a="1"/>
  <c r="AA258" i="96" s="1"/>
  <c r="AB257" i="96" a="1"/>
  <c r="AB257" i="96" s="1"/>
  <c r="AA257" i="96" a="1"/>
  <c r="AA257" i="96" s="1"/>
  <c r="AC257" i="96" s="1"/>
  <c r="AB256" i="96" a="1"/>
  <c r="AB256" i="96" s="1"/>
  <c r="AA256" i="96" a="1"/>
  <c r="AA256" i="96" s="1"/>
  <c r="AB255" i="96" a="1"/>
  <c r="AB255" i="96" s="1"/>
  <c r="AA255" i="96" a="1"/>
  <c r="AA255" i="96" s="1"/>
  <c r="AB254" i="96"/>
  <c r="AB254" i="96" a="1"/>
  <c r="AA254" i="96" a="1"/>
  <c r="AA254" i="96" s="1"/>
  <c r="AB253" i="96" a="1"/>
  <c r="AB253" i="96" s="1"/>
  <c r="AA253" i="96" a="1"/>
  <c r="AA253" i="96" s="1"/>
  <c r="AC253" i="96" s="1"/>
  <c r="AB252" i="96" a="1"/>
  <c r="AB252" i="96" s="1"/>
  <c r="AA252" i="96" a="1"/>
  <c r="AA252" i="96" s="1"/>
  <c r="AB251" i="96" a="1"/>
  <c r="AB251" i="96" s="1"/>
  <c r="AA251" i="96" a="1"/>
  <c r="AA251" i="96" s="1"/>
  <c r="AB250" i="96"/>
  <c r="AB250" i="96" a="1"/>
  <c r="AA250" i="96" a="1"/>
  <c r="AA250" i="96" s="1"/>
  <c r="AC250" i="96" s="1"/>
  <c r="AB249" i="96" a="1"/>
  <c r="AB249" i="96" s="1"/>
  <c r="AA249" i="96" a="1"/>
  <c r="AA249" i="96" s="1"/>
  <c r="AC249" i="96" s="1"/>
  <c r="AB246" i="96" a="1"/>
  <c r="AB246" i="96" s="1"/>
  <c r="AA246" i="96" a="1"/>
  <c r="AA246" i="96" s="1"/>
  <c r="AB245" i="96" a="1"/>
  <c r="AB245" i="96" s="1"/>
  <c r="AA245" i="96" a="1"/>
  <c r="AA245" i="96" s="1"/>
  <c r="AB244" i="96"/>
  <c r="AB244" i="96" a="1"/>
  <c r="AA244" i="96" a="1"/>
  <c r="AA244" i="96" s="1"/>
  <c r="AC244" i="96" s="1"/>
  <c r="AB243" i="96" a="1"/>
  <c r="AB243" i="96" s="1"/>
  <c r="AA243" i="96" a="1"/>
  <c r="AA243" i="96" s="1"/>
  <c r="AC243" i="96" s="1"/>
  <c r="AB242" i="96" a="1"/>
  <c r="AB242" i="96" s="1"/>
  <c r="AA242" i="96" a="1"/>
  <c r="AA242" i="96" s="1"/>
  <c r="AB241" i="96" a="1"/>
  <c r="AB241" i="96" s="1"/>
  <c r="AA241" i="96" a="1"/>
  <c r="AA241" i="96" s="1"/>
  <c r="AB240" i="96"/>
  <c r="AB240" i="96" a="1"/>
  <c r="AA240" i="96" a="1"/>
  <c r="AA240" i="96" s="1"/>
  <c r="AC240" i="96" s="1"/>
  <c r="AB239" i="96" a="1"/>
  <c r="AB239" i="96" s="1"/>
  <c r="AA239" i="96" a="1"/>
  <c r="AA239" i="96" s="1"/>
  <c r="AB238" i="96" a="1"/>
  <c r="AB238" i="96" s="1"/>
  <c r="AA238" i="96" a="1"/>
  <c r="AA238" i="96" s="1"/>
  <c r="AB236" i="96" a="1"/>
  <c r="AB236" i="96" s="1"/>
  <c r="AA236" i="96" a="1"/>
  <c r="AA236" i="96" s="1"/>
  <c r="AB235" i="96"/>
  <c r="AB235" i="96" a="1"/>
  <c r="AA235" i="96" a="1"/>
  <c r="AA235" i="96" s="1"/>
  <c r="AC235" i="96" s="1"/>
  <c r="AB234" i="96" a="1"/>
  <c r="AB234" i="96" s="1"/>
  <c r="AA234" i="96" a="1"/>
  <c r="AA234" i="96" s="1"/>
  <c r="AC234" i="96" s="1"/>
  <c r="AB233" i="96" a="1"/>
  <c r="AB233" i="96" s="1"/>
  <c r="AA233" i="96" a="1"/>
  <c r="AA233" i="96" s="1"/>
  <c r="AB232" i="96" a="1"/>
  <c r="AB232" i="96" s="1"/>
  <c r="AA232" i="96" a="1"/>
  <c r="AA232" i="96" s="1"/>
  <c r="AB231" i="96"/>
  <c r="AB231" i="96" a="1"/>
  <c r="AA231" i="96" a="1"/>
  <c r="AA231" i="96" s="1"/>
  <c r="AC231" i="96" s="1"/>
  <c r="AB230" i="96" a="1"/>
  <c r="AB230" i="96" s="1"/>
  <c r="AA230" i="96" a="1"/>
  <c r="AA230" i="96" s="1"/>
  <c r="AC230" i="96" s="1"/>
  <c r="AB229" i="96" a="1"/>
  <c r="AB229" i="96" s="1"/>
  <c r="AA229" i="96" a="1"/>
  <c r="AA229" i="96" s="1"/>
  <c r="AB228" i="96" a="1"/>
  <c r="AB228" i="96" s="1"/>
  <c r="AA228" i="96" a="1"/>
  <c r="AA228" i="96" s="1"/>
  <c r="AB227" i="96"/>
  <c r="AB227" i="96" a="1"/>
  <c r="AA227" i="96" a="1"/>
  <c r="AA227" i="96" s="1"/>
  <c r="AC227" i="96" s="1"/>
  <c r="AB226" i="96" a="1"/>
  <c r="AB226" i="96" s="1"/>
  <c r="AA226" i="96" a="1"/>
  <c r="AA226" i="96" s="1"/>
  <c r="AC226" i="96" s="1"/>
  <c r="AB225" i="96" a="1"/>
  <c r="AB225" i="96" s="1"/>
  <c r="AA225" i="96" a="1"/>
  <c r="AA225" i="96" s="1"/>
  <c r="AB224" i="96" a="1"/>
  <c r="AB224" i="96" s="1"/>
  <c r="AA224" i="96" a="1"/>
  <c r="AA224" i="96" s="1"/>
  <c r="AB223" i="96"/>
  <c r="AB223" i="96" a="1"/>
  <c r="AA223" i="96" a="1"/>
  <c r="AA223" i="96" s="1"/>
  <c r="AB222" i="96" a="1"/>
  <c r="AB222" i="96" s="1"/>
  <c r="AA222" i="96" a="1"/>
  <c r="AA222" i="96" s="1"/>
  <c r="AC222" i="96" s="1"/>
  <c r="AB221" i="96" a="1"/>
  <c r="AB221" i="96" s="1"/>
  <c r="AA221" i="96" a="1"/>
  <c r="AA221" i="96" s="1"/>
  <c r="AB220" i="96" a="1"/>
  <c r="AB220" i="96" s="1"/>
  <c r="AA220" i="96" a="1"/>
  <c r="AA220" i="96" s="1"/>
  <c r="AB219" i="96"/>
  <c r="AB219" i="96" a="1"/>
  <c r="AA219" i="96" a="1"/>
  <c r="AA219" i="96" s="1"/>
  <c r="AB218" i="96" a="1"/>
  <c r="AB218" i="96" s="1"/>
  <c r="AA218" i="96" a="1"/>
  <c r="AA218" i="96" s="1"/>
  <c r="AB217" i="96" a="1"/>
  <c r="AB217" i="96" s="1"/>
  <c r="AA217" i="96" a="1"/>
  <c r="AA217" i="96" s="1"/>
  <c r="AC217" i="96" s="1"/>
  <c r="AB216" i="96" a="1"/>
  <c r="AB216" i="96" s="1"/>
  <c r="AA216" i="96" a="1"/>
  <c r="AA216" i="96" s="1"/>
  <c r="AB215" i="96"/>
  <c r="AB215" i="96" a="1"/>
  <c r="AA215" i="96" a="1"/>
  <c r="AA215" i="96" s="1"/>
  <c r="AB214" i="96" a="1"/>
  <c r="AB214" i="96" s="1"/>
  <c r="AA214" i="96" a="1"/>
  <c r="AA214" i="96" s="1"/>
  <c r="AB213" i="96" a="1"/>
  <c r="AB213" i="96" s="1"/>
  <c r="AA213" i="96" a="1"/>
  <c r="AA213" i="96" s="1"/>
  <c r="AC213" i="96" s="1"/>
  <c r="AB212" i="96" a="1"/>
  <c r="AB212" i="96" s="1"/>
  <c r="AA212" i="96" a="1"/>
  <c r="AA212" i="96" s="1"/>
  <c r="AB211" i="96"/>
  <c r="AB211" i="96" a="1"/>
  <c r="AA211" i="96" a="1"/>
  <c r="AA211" i="96" s="1"/>
  <c r="AC211" i="96" s="1"/>
  <c r="AB210" i="96" a="1"/>
  <c r="AB210" i="96" s="1"/>
  <c r="AA210" i="96" a="1"/>
  <c r="AA210" i="96" s="1"/>
  <c r="AC210" i="96" s="1"/>
  <c r="AB209" i="96" a="1"/>
  <c r="AB209" i="96" s="1"/>
  <c r="AA209" i="96" a="1"/>
  <c r="AA209" i="96" s="1"/>
  <c r="AB208" i="96" a="1"/>
  <c r="AB208" i="96" s="1"/>
  <c r="AA208" i="96" a="1"/>
  <c r="AA208" i="96" s="1"/>
  <c r="AB207" i="96"/>
  <c r="AB207" i="96" a="1"/>
  <c r="AA207" i="96" a="1"/>
  <c r="AA207" i="96" s="1"/>
  <c r="AC207" i="96" s="1"/>
  <c r="AB206" i="96" a="1"/>
  <c r="AB206" i="96" s="1"/>
  <c r="AA206" i="96" a="1"/>
  <c r="AA206" i="96" s="1"/>
  <c r="AC206" i="96" s="1"/>
  <c r="AB205" i="96" a="1"/>
  <c r="AB205" i="96" s="1"/>
  <c r="AA205" i="96" a="1"/>
  <c r="AA205" i="96" s="1"/>
  <c r="AB204" i="96" a="1"/>
  <c r="AB204" i="96" s="1"/>
  <c r="AA204" i="96" a="1"/>
  <c r="AA204" i="96" s="1"/>
  <c r="AB203" i="96"/>
  <c r="AB203" i="96" a="1"/>
  <c r="AA203" i="96" a="1"/>
  <c r="AA203" i="96" s="1"/>
  <c r="AC203" i="96" s="1"/>
  <c r="AB202" i="96" a="1"/>
  <c r="AB202" i="96" s="1"/>
  <c r="AA202" i="96" a="1"/>
  <c r="AA202" i="96" s="1"/>
  <c r="AC202" i="96" s="1"/>
  <c r="AB201" i="96" a="1"/>
  <c r="AB201" i="96" s="1"/>
  <c r="AA201" i="96" a="1"/>
  <c r="AA201" i="96" s="1"/>
  <c r="AB200" i="96" a="1"/>
  <c r="AB200" i="96" s="1"/>
  <c r="AA200" i="96" a="1"/>
  <c r="AA200" i="96" s="1"/>
  <c r="AB199" i="96"/>
  <c r="AB199" i="96" a="1"/>
  <c r="AA199" i="96" a="1"/>
  <c r="AA199" i="96" s="1"/>
  <c r="AC199" i="96" s="1"/>
  <c r="AB198" i="96" a="1"/>
  <c r="AB198" i="96" s="1"/>
  <c r="AA198" i="96" a="1"/>
  <c r="AA198" i="96" s="1"/>
  <c r="AC198" i="96" s="1"/>
  <c r="AB197" i="96" a="1"/>
  <c r="AB197" i="96" s="1"/>
  <c r="AA197" i="96" a="1"/>
  <c r="AA197" i="96" s="1"/>
  <c r="AB192" i="96" a="1"/>
  <c r="AB192" i="96" s="1"/>
  <c r="AA192" i="96" a="1"/>
  <c r="AA192" i="96" s="1"/>
  <c r="Z192" i="96"/>
  <c r="AB191" i="96"/>
  <c r="AB191" i="96" a="1"/>
  <c r="AA191" i="96" a="1"/>
  <c r="AA191" i="96" s="1"/>
  <c r="AB190" i="96" a="1"/>
  <c r="AB190" i="96" s="1"/>
  <c r="AA190" i="96" a="1"/>
  <c r="AA190" i="96" s="1"/>
  <c r="AC190" i="96" s="1"/>
  <c r="AB189" i="96" a="1"/>
  <c r="AB189" i="96" s="1"/>
  <c r="AA189" i="96" a="1"/>
  <c r="AA189" i="96" s="1"/>
  <c r="AB188" i="96" a="1"/>
  <c r="AB188" i="96" s="1"/>
  <c r="AA188" i="96" a="1"/>
  <c r="AA188" i="96" s="1"/>
  <c r="AB187" i="96"/>
  <c r="AB187" i="96" a="1"/>
  <c r="AA187" i="96" a="1"/>
  <c r="AA187" i="96" s="1"/>
  <c r="AC187" i="96" s="1"/>
  <c r="AB186" i="96" a="1"/>
  <c r="AB186" i="96" s="1"/>
  <c r="AA186" i="96"/>
  <c r="AA186" i="96" a="1"/>
  <c r="AB185" i="96" a="1"/>
  <c r="AB185" i="96" s="1"/>
  <c r="AA185" i="96"/>
  <c r="AA185" i="96" a="1"/>
  <c r="AB182" i="96"/>
  <c r="AB182" i="96" a="1"/>
  <c r="AA182" i="96" a="1"/>
  <c r="AA182" i="96" s="1"/>
  <c r="AB181" i="96" a="1"/>
  <c r="AB181" i="96" s="1"/>
  <c r="AA181" i="96"/>
  <c r="AA181" i="96" a="1"/>
  <c r="AB180" i="96"/>
  <c r="AB180" i="96" a="1"/>
  <c r="AA180" i="96" a="1"/>
  <c r="AA180" i="96" s="1"/>
  <c r="AC180" i="96" s="1"/>
  <c r="AB179" i="96" a="1"/>
  <c r="AB179" i="96" s="1"/>
  <c r="AA179" i="96" a="1"/>
  <c r="AA179" i="96" s="1"/>
  <c r="AB178" i="96" a="1"/>
  <c r="AB178" i="96" s="1"/>
  <c r="AA178" i="96" a="1"/>
  <c r="AA178" i="96" s="1"/>
  <c r="AB177" i="96"/>
  <c r="AB177" i="96" a="1"/>
  <c r="AA177" i="96" a="1"/>
  <c r="AA177" i="96" s="1"/>
  <c r="AC177" i="96" s="1"/>
  <c r="AB176" i="96" a="1"/>
  <c r="AB176" i="96" s="1"/>
  <c r="AA176" i="96"/>
  <c r="AA176" i="96" a="1"/>
  <c r="AB175" i="96" a="1"/>
  <c r="AB175" i="96" s="1"/>
  <c r="AA175" i="96"/>
  <c r="AA175" i="96" a="1"/>
  <c r="AB174" i="96"/>
  <c r="AB174" i="96" a="1"/>
  <c r="AA174" i="96" a="1"/>
  <c r="AA174" i="96" s="1"/>
  <c r="AB171" i="96" a="1"/>
  <c r="AB171" i="96" s="1"/>
  <c r="AA171" i="96"/>
  <c r="AA171" i="96" a="1"/>
  <c r="AB170" i="96"/>
  <c r="AB170" i="96" a="1"/>
  <c r="AA170" i="96" a="1"/>
  <c r="AA170" i="96" s="1"/>
  <c r="AC170" i="96" s="1"/>
  <c r="Z170" i="96"/>
  <c r="AB169" i="96" a="1"/>
  <c r="AB169" i="96" s="1"/>
  <c r="AA169" i="96" a="1"/>
  <c r="AA169" i="96" s="1"/>
  <c r="AC169" i="96" s="1"/>
  <c r="AB168" i="96" a="1"/>
  <c r="AB168" i="96" s="1"/>
  <c r="AA168" i="96" a="1"/>
  <c r="AA168" i="96" s="1"/>
  <c r="AB167" i="96"/>
  <c r="AB167" i="96" a="1"/>
  <c r="AA167" i="96" a="1"/>
  <c r="AA167" i="96" s="1"/>
  <c r="AC167" i="96" s="1"/>
  <c r="AB166" i="96" a="1"/>
  <c r="AB166" i="96" s="1"/>
  <c r="AA166" i="96"/>
  <c r="AA166" i="96" a="1"/>
  <c r="AB165" i="96" a="1"/>
  <c r="AB165" i="96" s="1"/>
  <c r="AA165" i="96"/>
  <c r="AA165" i="96" a="1"/>
  <c r="AB164" i="96"/>
  <c r="AB164" i="96" a="1"/>
  <c r="AA164" i="96" a="1"/>
  <c r="AA164" i="96" s="1"/>
  <c r="AB163" i="96" a="1"/>
  <c r="AB163" i="96" s="1"/>
  <c r="AA163" i="96"/>
  <c r="AA163" i="96" a="1"/>
  <c r="AB160" i="96"/>
  <c r="AB160" i="96" a="1"/>
  <c r="AA160" i="96" a="1"/>
  <c r="AA160" i="96" s="1"/>
  <c r="AC160" i="96" s="1"/>
  <c r="AB159" i="96" a="1"/>
  <c r="AB159" i="96" s="1"/>
  <c r="AA159" i="96" a="1"/>
  <c r="AA159" i="96" s="1"/>
  <c r="AB158" i="96" a="1"/>
  <c r="AB158" i="96" s="1"/>
  <c r="AA158" i="96" a="1"/>
  <c r="AA158" i="96" s="1"/>
  <c r="AB157" i="96"/>
  <c r="AB157" i="96" a="1"/>
  <c r="AA157" i="96" a="1"/>
  <c r="AA157" i="96" s="1"/>
  <c r="AC157" i="96" s="1"/>
  <c r="AB156" i="96" a="1"/>
  <c r="AB156" i="96" s="1"/>
  <c r="AA156" i="96"/>
  <c r="AA156" i="96" a="1"/>
  <c r="AB155" i="96" a="1"/>
  <c r="AB155" i="96" s="1"/>
  <c r="AA155" i="96"/>
  <c r="AA155" i="96" a="1"/>
  <c r="AB154" i="96"/>
  <c r="AB154" i="96" a="1"/>
  <c r="AA154" i="96" a="1"/>
  <c r="AA154" i="96" s="1"/>
  <c r="AB153" i="96" a="1"/>
  <c r="AB153" i="96" s="1"/>
  <c r="AA153" i="96"/>
  <c r="AC153" i="96" s="1"/>
  <c r="AA153" i="96" a="1"/>
  <c r="AB152" i="96"/>
  <c r="AB152" i="96" a="1"/>
  <c r="AA152" i="96" a="1"/>
  <c r="AA152" i="96" s="1"/>
  <c r="AB150" i="96" a="1"/>
  <c r="AB150" i="96" s="1"/>
  <c r="AA150" i="96" a="1"/>
  <c r="AA150" i="96" s="1"/>
  <c r="AC150" i="96" s="1"/>
  <c r="AB149" i="96" a="1"/>
  <c r="AB149" i="96" s="1"/>
  <c r="AA149" i="96" a="1"/>
  <c r="AA149" i="96" s="1"/>
  <c r="AB148" i="96"/>
  <c r="AB148" i="96" a="1"/>
  <c r="AA148" i="96" a="1"/>
  <c r="AA148" i="96" s="1"/>
  <c r="AC148" i="96" s="1"/>
  <c r="AB147" i="96" a="1"/>
  <c r="AB147" i="96" s="1"/>
  <c r="AA147" i="96"/>
  <c r="AC147" i="96" s="1"/>
  <c r="AA147" i="96" a="1"/>
  <c r="AB146" i="96" a="1"/>
  <c r="AB146" i="96" s="1"/>
  <c r="AA146" i="96"/>
  <c r="AC146" i="96" s="1"/>
  <c r="AA146" i="96" a="1"/>
  <c r="AB145" i="96"/>
  <c r="AB145" i="96" a="1"/>
  <c r="AA145" i="96" a="1"/>
  <c r="AA145" i="96" s="1"/>
  <c r="Z145" i="96"/>
  <c r="AB144" i="96" a="1"/>
  <c r="AB144" i="96" s="1"/>
  <c r="AA144" i="96"/>
  <c r="AA144" i="96" a="1"/>
  <c r="Z144" i="96"/>
  <c r="AB143" i="96"/>
  <c r="AB143" i="96" a="1"/>
  <c r="AA143" i="96" a="1"/>
  <c r="AA143" i="96" s="1"/>
  <c r="AC143" i="96" s="1"/>
  <c r="AB142" i="96" a="1"/>
  <c r="AB142" i="96" s="1"/>
  <c r="AA142" i="96" a="1"/>
  <c r="AA142" i="96" s="1"/>
  <c r="AC142" i="96" s="1"/>
  <c r="Z142" i="96"/>
  <c r="AB140" i="96" a="1"/>
  <c r="AB140" i="96" s="1"/>
  <c r="AA140" i="96" a="1"/>
  <c r="AA140" i="96" s="1"/>
  <c r="AC140" i="96" s="1"/>
  <c r="AB139" i="96"/>
  <c r="AB139" i="96" a="1"/>
  <c r="AA139" i="96" a="1"/>
  <c r="AA139" i="96" s="1"/>
  <c r="AB138" i="96" a="1"/>
  <c r="AB138" i="96" s="1"/>
  <c r="AA138" i="96"/>
  <c r="AA138" i="96" a="1"/>
  <c r="AB137" i="96" a="1"/>
  <c r="AB137" i="96" s="1"/>
  <c r="AA137" i="96"/>
  <c r="AA137" i="96" a="1"/>
  <c r="AB136" i="96"/>
  <c r="AB136" i="96" a="1"/>
  <c r="AA136" i="96" a="1"/>
  <c r="AA136" i="96" s="1"/>
  <c r="AB135" i="96" a="1"/>
  <c r="AB135" i="96" s="1"/>
  <c r="AA135" i="96"/>
  <c r="AA135" i="96" a="1"/>
  <c r="AB134" i="96"/>
  <c r="AB134" i="96" a="1"/>
  <c r="AA134" i="96" a="1"/>
  <c r="AA134" i="96" s="1"/>
  <c r="AC134" i="96" s="1"/>
  <c r="AB133" i="96" a="1"/>
  <c r="AB133" i="96" s="1"/>
  <c r="AA133" i="96" a="1"/>
  <c r="AA133" i="96" s="1"/>
  <c r="AC133" i="96" s="1"/>
  <c r="AB132" i="96" a="1"/>
  <c r="AB132" i="96" s="1"/>
  <c r="AA132" i="96" a="1"/>
  <c r="AA132" i="96" s="1"/>
  <c r="AB130" i="96"/>
  <c r="AB130" i="96" a="1"/>
  <c r="AA130" i="96" a="1"/>
  <c r="AA130" i="96" s="1"/>
  <c r="AC130" i="96" s="1"/>
  <c r="Z130" i="96"/>
  <c r="AB129" i="96" a="1"/>
  <c r="AB129" i="96" s="1"/>
  <c r="AA129" i="96"/>
  <c r="AA129" i="96" a="1"/>
  <c r="Z129" i="96"/>
  <c r="AB128" i="96" a="1"/>
  <c r="AB128" i="96" s="1"/>
  <c r="AA128" i="96"/>
  <c r="AA128" i="96" a="1"/>
  <c r="AB127" i="96"/>
  <c r="AB127" i="96" a="1"/>
  <c r="AA127" i="96" a="1"/>
  <c r="AA127" i="96" s="1"/>
  <c r="AB126" i="96" a="1"/>
  <c r="AB126" i="96" s="1"/>
  <c r="AA126" i="96"/>
  <c r="AA126" i="96" a="1"/>
  <c r="AB125" i="96"/>
  <c r="AB125" i="96" a="1"/>
  <c r="AA125" i="96" a="1"/>
  <c r="AA125" i="96" s="1"/>
  <c r="AB124" i="96" a="1"/>
  <c r="AB124" i="96" s="1"/>
  <c r="AA124" i="96"/>
  <c r="AA124" i="96" a="1"/>
  <c r="AB123" i="96"/>
  <c r="AB123" i="96" a="1"/>
  <c r="AA123" i="96" a="1"/>
  <c r="AA123" i="96" s="1"/>
  <c r="AC123" i="96" s="1"/>
  <c r="AB122" i="96" a="1"/>
  <c r="AB122" i="96" s="1"/>
  <c r="AA122" i="96"/>
  <c r="AA122" i="96" a="1"/>
  <c r="AB121" i="96"/>
  <c r="AB121" i="96" a="1"/>
  <c r="AA121" i="96" a="1"/>
  <c r="AA121" i="96" s="1"/>
  <c r="AC121" i="96" s="1"/>
  <c r="AB120" i="96" a="1"/>
  <c r="AB120" i="96" s="1"/>
  <c r="AA120" i="96"/>
  <c r="AC120" i="96" s="1"/>
  <c r="AA120" i="96" a="1"/>
  <c r="Z120" i="96"/>
  <c r="AB119" i="96"/>
  <c r="AB119" i="96" a="1"/>
  <c r="AA119" i="96" a="1"/>
  <c r="AA119" i="96" s="1"/>
  <c r="AC119" i="96" s="1"/>
  <c r="AB118" i="96" a="1"/>
  <c r="AB118" i="96" s="1"/>
  <c r="AA118" i="96"/>
  <c r="AC118" i="96" s="1"/>
  <c r="AA118" i="96" a="1"/>
  <c r="AB116" i="96"/>
  <c r="AB116" i="96" a="1"/>
  <c r="AA116" i="96" a="1"/>
  <c r="AA116" i="96" s="1"/>
  <c r="AC116" i="96" s="1"/>
  <c r="AB115" i="96" a="1"/>
  <c r="AB115" i="96" s="1"/>
  <c r="AA115" i="96"/>
  <c r="AC115" i="96" s="1"/>
  <c r="AA115" i="96" a="1"/>
  <c r="AB114" i="96" a="1"/>
  <c r="AB114" i="96" s="1"/>
  <c r="AA114" i="96" a="1"/>
  <c r="AA114" i="96" s="1"/>
  <c r="AC114" i="96" s="1"/>
  <c r="Z114" i="96"/>
  <c r="AB113" i="96" a="1"/>
  <c r="AB113" i="96" s="1"/>
  <c r="AA113" i="96" a="1"/>
  <c r="AA113" i="96" s="1"/>
  <c r="AC113" i="96" s="1"/>
  <c r="AB112" i="96"/>
  <c r="AB112" i="96" a="1"/>
  <c r="AA112" i="96" a="1"/>
  <c r="AA112" i="96" s="1"/>
  <c r="AB111" i="96" a="1"/>
  <c r="AB111" i="96" s="1"/>
  <c r="AA111" i="96" a="1"/>
  <c r="AA111" i="96" s="1"/>
  <c r="AC111" i="96" s="1"/>
  <c r="AB110" i="96" a="1"/>
  <c r="AB110" i="96" s="1"/>
  <c r="AA110" i="96" a="1"/>
  <c r="AA110" i="96" s="1"/>
  <c r="Z110" i="96"/>
  <c r="AB109" i="96" a="1"/>
  <c r="AB109" i="96" s="1"/>
  <c r="AA109" i="96" a="1"/>
  <c r="AA109" i="96" s="1"/>
  <c r="AC109" i="96" s="1"/>
  <c r="Z109" i="96"/>
  <c r="AB108" i="96" a="1"/>
  <c r="AB108" i="96" s="1"/>
  <c r="AA108" i="96" a="1"/>
  <c r="AA108" i="96" s="1"/>
  <c r="AB106" i="96" a="1"/>
  <c r="AB106" i="96" s="1"/>
  <c r="AA106" i="96" a="1"/>
  <c r="AA106" i="96" s="1"/>
  <c r="AC106" i="96" s="1"/>
  <c r="AB105" i="96" a="1"/>
  <c r="AB105" i="96" s="1"/>
  <c r="AA105" i="96" a="1"/>
  <c r="AA105" i="96" s="1"/>
  <c r="AC105" i="96" s="1"/>
  <c r="Z105" i="96"/>
  <c r="AB104" i="96" a="1"/>
  <c r="AB104" i="96" s="1"/>
  <c r="AA104" i="96" a="1"/>
  <c r="AA104" i="96" s="1"/>
  <c r="AC104" i="96" s="1"/>
  <c r="Z104" i="96"/>
  <c r="AB103" i="96" a="1"/>
  <c r="AB103" i="96" s="1"/>
  <c r="AA103" i="96" a="1"/>
  <c r="AA103" i="96" s="1"/>
  <c r="AC103" i="96" s="1"/>
  <c r="Z103" i="96"/>
  <c r="AB102" i="96" a="1"/>
  <c r="AB102" i="96" s="1"/>
  <c r="AA102" i="96" a="1"/>
  <c r="AA102" i="96" s="1"/>
  <c r="AC102" i="96" s="1"/>
  <c r="AB101" i="96" a="1"/>
  <c r="AB101" i="96" s="1"/>
  <c r="AA101" i="96" a="1"/>
  <c r="AA101" i="96" s="1"/>
  <c r="AC101" i="96" s="1"/>
  <c r="Z101" i="96"/>
  <c r="AB100" i="96" a="1"/>
  <c r="AB100" i="96" s="1"/>
  <c r="AA100" i="96" a="1"/>
  <c r="AA100" i="96" s="1"/>
  <c r="AC100" i="96" s="1"/>
  <c r="Z100" i="96"/>
  <c r="AB99" i="96" a="1"/>
  <c r="AB99" i="96" s="1"/>
  <c r="AA99" i="96" a="1"/>
  <c r="AA99" i="96" s="1"/>
  <c r="AC99" i="96" s="1"/>
  <c r="Z99" i="96"/>
  <c r="AB98" i="96" a="1"/>
  <c r="AB98" i="96" s="1"/>
  <c r="AA98" i="96" a="1"/>
  <c r="AA98" i="96" s="1"/>
  <c r="AC342" i="96"/>
  <c r="Z342" i="96"/>
  <c r="H342" i="96"/>
  <c r="AC341" i="96"/>
  <c r="Z341" i="96"/>
  <c r="H341" i="96"/>
  <c r="Z340" i="96"/>
  <c r="H340" i="96"/>
  <c r="AC339" i="96"/>
  <c r="Z339" i="96"/>
  <c r="I339" i="96"/>
  <c r="AC338" i="96"/>
  <c r="Z338" i="96"/>
  <c r="I338" i="96"/>
  <c r="AC337" i="96"/>
  <c r="Z337" i="96"/>
  <c r="I337" i="96"/>
  <c r="AC336" i="96"/>
  <c r="H336" i="96"/>
  <c r="Z335" i="96"/>
  <c r="H335" i="96"/>
  <c r="AC334" i="96"/>
  <c r="Z334" i="96"/>
  <c r="I334" i="96"/>
  <c r="H334" i="96"/>
  <c r="Z333" i="96"/>
  <c r="I333" i="96"/>
  <c r="H333" i="96"/>
  <c r="Z332" i="96"/>
  <c r="I332" i="96"/>
  <c r="H332" i="96"/>
  <c r="Z331" i="96"/>
  <c r="I331" i="96"/>
  <c r="H331" i="96"/>
  <c r="AC330" i="96"/>
  <c r="I330" i="96"/>
  <c r="H330" i="96"/>
  <c r="Z329" i="96"/>
  <c r="I329" i="96"/>
  <c r="H329" i="96"/>
  <c r="Z328" i="96"/>
  <c r="I328" i="96"/>
  <c r="H328" i="96"/>
  <c r="AC327" i="96"/>
  <c r="I327" i="96"/>
  <c r="H327" i="96"/>
  <c r="AC326" i="96"/>
  <c r="I326" i="96"/>
  <c r="H326" i="96"/>
  <c r="I325" i="96"/>
  <c r="H325" i="96"/>
  <c r="Z324" i="96"/>
  <c r="I324" i="96"/>
  <c r="H324" i="96"/>
  <c r="AC323" i="96"/>
  <c r="Z323" i="96"/>
  <c r="I323" i="96"/>
  <c r="H323" i="96"/>
  <c r="AC322" i="96"/>
  <c r="Z322" i="96"/>
  <c r="I322" i="96"/>
  <c r="H322" i="96"/>
  <c r="AC321" i="96"/>
  <c r="Z321" i="96"/>
  <c r="I321" i="96"/>
  <c r="H321" i="96"/>
  <c r="AC320" i="96"/>
  <c r="Z320" i="96"/>
  <c r="I320" i="96"/>
  <c r="H320" i="96"/>
  <c r="AC319" i="96"/>
  <c r="I319" i="96"/>
  <c r="H319" i="96"/>
  <c r="AC318" i="96"/>
  <c r="I318" i="96"/>
  <c r="H318" i="96"/>
  <c r="AC317" i="96"/>
  <c r="I317" i="96"/>
  <c r="H317" i="96"/>
  <c r="AC316" i="96"/>
  <c r="I316" i="96"/>
  <c r="H316" i="96"/>
  <c r="AC315" i="96"/>
  <c r="I315" i="96"/>
  <c r="H315" i="96"/>
  <c r="AC314" i="96"/>
  <c r="I314" i="96"/>
  <c r="H314" i="96"/>
  <c r="AC313" i="96"/>
  <c r="I313" i="96"/>
  <c r="H313" i="96"/>
  <c r="AC312" i="96"/>
  <c r="Z312" i="96"/>
  <c r="I312" i="96"/>
  <c r="H312" i="96"/>
  <c r="Z311" i="96"/>
  <c r="I311" i="96"/>
  <c r="H311" i="96"/>
  <c r="Z310" i="96"/>
  <c r="I310" i="96"/>
  <c r="H310" i="96"/>
  <c r="AC309" i="96"/>
  <c r="I309" i="96"/>
  <c r="H309" i="96"/>
  <c r="AC308" i="96"/>
  <c r="Z308" i="96"/>
  <c r="I308" i="96"/>
  <c r="H308" i="96"/>
  <c r="AC307" i="96"/>
  <c r="AC306" i="96"/>
  <c r="Z305" i="96"/>
  <c r="I305" i="96"/>
  <c r="H305" i="96"/>
  <c r="AC304" i="96"/>
  <c r="Z304" i="96"/>
  <c r="I304" i="96"/>
  <c r="H304" i="96"/>
  <c r="AC303" i="96"/>
  <c r="Z303" i="96"/>
  <c r="I303" i="96"/>
  <c r="H303" i="96"/>
  <c r="AC302" i="96"/>
  <c r="Z302" i="96"/>
  <c r="I302" i="96"/>
  <c r="H302" i="96"/>
  <c r="I301" i="96"/>
  <c r="H301" i="96"/>
  <c r="I300" i="96"/>
  <c r="H300" i="96"/>
  <c r="AC299" i="96"/>
  <c r="AC298" i="96"/>
  <c r="AC297" i="96"/>
  <c r="AC296" i="96"/>
  <c r="I295" i="96"/>
  <c r="H295" i="96"/>
  <c r="AC294" i="96"/>
  <c r="Z294" i="96"/>
  <c r="I294" i="96"/>
  <c r="H294" i="96"/>
  <c r="AC293" i="96"/>
  <c r="Z293" i="96"/>
  <c r="I293" i="96"/>
  <c r="H293" i="96"/>
  <c r="I292" i="96"/>
  <c r="H292" i="96"/>
  <c r="Z291" i="96"/>
  <c r="I291" i="96"/>
  <c r="H291" i="96"/>
  <c r="AC290" i="96"/>
  <c r="Z290" i="96"/>
  <c r="I290" i="96"/>
  <c r="H290" i="96"/>
  <c r="AC289" i="96"/>
  <c r="Z289" i="96"/>
  <c r="AC288" i="96"/>
  <c r="Z288" i="96"/>
  <c r="AC287" i="96"/>
  <c r="Z287" i="96"/>
  <c r="AC286" i="96"/>
  <c r="Z285" i="96"/>
  <c r="I285" i="96"/>
  <c r="H285" i="96"/>
  <c r="Z284" i="96"/>
  <c r="I284" i="96"/>
  <c r="H284" i="96"/>
  <c r="AC283" i="96"/>
  <c r="Z283" i="96"/>
  <c r="I283" i="96"/>
  <c r="H283" i="96"/>
  <c r="AC282" i="96"/>
  <c r="I282" i="96"/>
  <c r="H282" i="96"/>
  <c r="Z281" i="96"/>
  <c r="I281" i="96"/>
  <c r="H281" i="96"/>
  <c r="Z280" i="96"/>
  <c r="I280" i="96"/>
  <c r="H280" i="96"/>
  <c r="AC279" i="96"/>
  <c r="AC278" i="96"/>
  <c r="AC277" i="96"/>
  <c r="Z277" i="96"/>
  <c r="I277" i="96"/>
  <c r="H277" i="96"/>
  <c r="I276" i="96"/>
  <c r="H276" i="96"/>
  <c r="Z275" i="96"/>
  <c r="I275" i="96"/>
  <c r="H275" i="96"/>
  <c r="I274" i="96"/>
  <c r="H274" i="96"/>
  <c r="Z273" i="96"/>
  <c r="I273" i="96"/>
  <c r="H273" i="96"/>
  <c r="I272" i="96"/>
  <c r="H272" i="96"/>
  <c r="AC271" i="96"/>
  <c r="Z271" i="96"/>
  <c r="I271" i="96"/>
  <c r="H271" i="96"/>
  <c r="AC270" i="96"/>
  <c r="Z270" i="96"/>
  <c r="AC269" i="96"/>
  <c r="Z269" i="96"/>
  <c r="AC268" i="96"/>
  <c r="Z268" i="96"/>
  <c r="Z267" i="96"/>
  <c r="I267" i="96"/>
  <c r="H267" i="96"/>
  <c r="AC266" i="96"/>
  <c r="Z266" i="96"/>
  <c r="I266" i="96"/>
  <c r="H266" i="96"/>
  <c r="AC265" i="96"/>
  <c r="I265" i="96"/>
  <c r="H265" i="96"/>
  <c r="Z264" i="96"/>
  <c r="I264" i="96"/>
  <c r="H264" i="96"/>
  <c r="Z263" i="96"/>
  <c r="I263" i="96"/>
  <c r="H263" i="96"/>
  <c r="AC262" i="96"/>
  <c r="Z262" i="96"/>
  <c r="I262" i="96"/>
  <c r="H262" i="96"/>
  <c r="AC261" i="96"/>
  <c r="I261" i="96"/>
  <c r="H261" i="96"/>
  <c r="AC260" i="96"/>
  <c r="Z260" i="96"/>
  <c r="AC259" i="96"/>
  <c r="Z259" i="96"/>
  <c r="I258" i="96"/>
  <c r="H258" i="96"/>
  <c r="I257" i="96"/>
  <c r="H257" i="96"/>
  <c r="I256" i="96"/>
  <c r="H256" i="96"/>
  <c r="AC255" i="96"/>
  <c r="I255" i="96"/>
  <c r="H255" i="96"/>
  <c r="I254" i="96"/>
  <c r="H254" i="96"/>
  <c r="I253" i="96"/>
  <c r="H253" i="96"/>
  <c r="AC252" i="96"/>
  <c r="I252" i="96"/>
  <c r="H252" i="96"/>
  <c r="AC251" i="96"/>
  <c r="Z251" i="96"/>
  <c r="I251" i="96"/>
  <c r="H251" i="96"/>
  <c r="Z250" i="96"/>
  <c r="I250" i="96"/>
  <c r="H250" i="96"/>
  <c r="I249" i="96"/>
  <c r="H249" i="96"/>
  <c r="AC248" i="96"/>
  <c r="Z248" i="96"/>
  <c r="AC247" i="96"/>
  <c r="Z247" i="96"/>
  <c r="AC246" i="96"/>
  <c r="I246" i="96"/>
  <c r="H246" i="96"/>
  <c r="AC245" i="96"/>
  <c r="Z245" i="96"/>
  <c r="I245" i="96"/>
  <c r="H245" i="96"/>
  <c r="Z244" i="96"/>
  <c r="I244" i="96"/>
  <c r="H244" i="96"/>
  <c r="Z243" i="96"/>
  <c r="I243" i="96"/>
  <c r="H243" i="96"/>
  <c r="AC242" i="96"/>
  <c r="I242" i="96"/>
  <c r="H242" i="96"/>
  <c r="I241" i="96"/>
  <c r="H241" i="96"/>
  <c r="Z240" i="96"/>
  <c r="I240" i="96"/>
  <c r="H240" i="96"/>
  <c r="I239" i="96"/>
  <c r="H239" i="96"/>
  <c r="AC238" i="96"/>
  <c r="I238" i="96"/>
  <c r="H238" i="96"/>
  <c r="AC237" i="96"/>
  <c r="Z237" i="96"/>
  <c r="AC236" i="96"/>
  <c r="Z236" i="96"/>
  <c r="I236" i="96"/>
  <c r="H236" i="96"/>
  <c r="I235" i="96"/>
  <c r="H235" i="96"/>
  <c r="Z234" i="96"/>
  <c r="I234" i="96"/>
  <c r="H234" i="96"/>
  <c r="AC233" i="96"/>
  <c r="I233" i="96"/>
  <c r="H233" i="96"/>
  <c r="AC232" i="96"/>
  <c r="I232" i="96"/>
  <c r="H232" i="96"/>
  <c r="I231" i="96"/>
  <c r="H231" i="96"/>
  <c r="Z230" i="96"/>
  <c r="I230" i="96"/>
  <c r="H230" i="96"/>
  <c r="AC229" i="96"/>
  <c r="I229" i="96"/>
  <c r="H229" i="96"/>
  <c r="AC228" i="96"/>
  <c r="I228" i="96"/>
  <c r="H228" i="96"/>
  <c r="I227" i="96"/>
  <c r="H227" i="96"/>
  <c r="Z226" i="96"/>
  <c r="I226" i="96"/>
  <c r="H226" i="96"/>
  <c r="I225" i="96"/>
  <c r="H225" i="96"/>
  <c r="AC224" i="96"/>
  <c r="I224" i="96"/>
  <c r="H224" i="96"/>
  <c r="I223" i="96"/>
  <c r="H223" i="96"/>
  <c r="Z222" i="96"/>
  <c r="I222" i="96"/>
  <c r="H222" i="96"/>
  <c r="I221" i="96"/>
  <c r="H221" i="96"/>
  <c r="AC220" i="96"/>
  <c r="I220" i="96"/>
  <c r="H220" i="96"/>
  <c r="I219" i="96"/>
  <c r="H219" i="96"/>
  <c r="I218" i="96"/>
  <c r="H218" i="96"/>
  <c r="Z217" i="96"/>
  <c r="I217" i="96"/>
  <c r="H217" i="96"/>
  <c r="AC216" i="96"/>
  <c r="I216" i="96"/>
  <c r="H216" i="96"/>
  <c r="I215" i="96"/>
  <c r="H215" i="96"/>
  <c r="I214" i="96"/>
  <c r="H214" i="96"/>
  <c r="I213" i="96"/>
  <c r="H213" i="96"/>
  <c r="AC212" i="96"/>
  <c r="I212" i="96"/>
  <c r="H212" i="96"/>
  <c r="Z211" i="96"/>
  <c r="I211" i="96"/>
  <c r="H211" i="96"/>
  <c r="Z210" i="96"/>
  <c r="I210" i="96"/>
  <c r="H210" i="96"/>
  <c r="AC209" i="96"/>
  <c r="Z209" i="96"/>
  <c r="I209" i="96"/>
  <c r="H209" i="96"/>
  <c r="AC208" i="96"/>
  <c r="I208" i="96"/>
  <c r="H208" i="96"/>
  <c r="Z207" i="96"/>
  <c r="I207" i="96"/>
  <c r="H207" i="96"/>
  <c r="Z206" i="96"/>
  <c r="I206" i="96"/>
  <c r="H206" i="96"/>
  <c r="I205" i="96"/>
  <c r="H205" i="96"/>
  <c r="AC204" i="96"/>
  <c r="Z204" i="96"/>
  <c r="I204" i="96"/>
  <c r="H204" i="96"/>
  <c r="Z203" i="96"/>
  <c r="I203" i="96"/>
  <c r="H203" i="96"/>
  <c r="Z202" i="96"/>
  <c r="I202" i="96"/>
  <c r="H202" i="96"/>
  <c r="AC201" i="96"/>
  <c r="I201" i="96"/>
  <c r="H201" i="96"/>
  <c r="AC200" i="96"/>
  <c r="I200" i="96"/>
  <c r="H200" i="96"/>
  <c r="Z199" i="96"/>
  <c r="I199" i="96"/>
  <c r="H199" i="96"/>
  <c r="Z198" i="96"/>
  <c r="I198" i="96"/>
  <c r="H198" i="96"/>
  <c r="I197" i="96"/>
  <c r="H197" i="96"/>
  <c r="AC196" i="96"/>
  <c r="AC195" i="96"/>
  <c r="AC194" i="96"/>
  <c r="AC193" i="96"/>
  <c r="AC192" i="96"/>
  <c r="I192" i="96"/>
  <c r="H192" i="96"/>
  <c r="I191" i="96"/>
  <c r="H191" i="96"/>
  <c r="I190" i="96"/>
  <c r="H190" i="96"/>
  <c r="AC189" i="96"/>
  <c r="Z189" i="96"/>
  <c r="I189" i="96"/>
  <c r="H189" i="96"/>
  <c r="Z188" i="96"/>
  <c r="I188" i="96"/>
  <c r="H188" i="96"/>
  <c r="Z187" i="96"/>
  <c r="I187" i="96"/>
  <c r="H187" i="96"/>
  <c r="I186" i="96"/>
  <c r="H186" i="96"/>
  <c r="AC185" i="96"/>
  <c r="Z185" i="96"/>
  <c r="I185" i="96"/>
  <c r="H185" i="96"/>
  <c r="AC184" i="96"/>
  <c r="AC183" i="96"/>
  <c r="AC182" i="96"/>
  <c r="Z182" i="96"/>
  <c r="I182" i="96"/>
  <c r="H182" i="96"/>
  <c r="AC181" i="96"/>
  <c r="Z181" i="96"/>
  <c r="I181" i="96"/>
  <c r="H181" i="96"/>
  <c r="Z180" i="96"/>
  <c r="I180" i="96"/>
  <c r="H180" i="96"/>
  <c r="I179" i="96"/>
  <c r="H179" i="96"/>
  <c r="AC178" i="96"/>
  <c r="Z178" i="96"/>
  <c r="I178" i="96"/>
  <c r="H178" i="96"/>
  <c r="Z177" i="96"/>
  <c r="I177" i="96"/>
  <c r="H177" i="96"/>
  <c r="AC176" i="96"/>
  <c r="Z176" i="96"/>
  <c r="I176" i="96"/>
  <c r="H176" i="96"/>
  <c r="AC175" i="96"/>
  <c r="Z175" i="96"/>
  <c r="I175" i="96"/>
  <c r="H175" i="96"/>
  <c r="AC174" i="96"/>
  <c r="Z174" i="96"/>
  <c r="I174" i="96"/>
  <c r="H174" i="96"/>
  <c r="AC173" i="96"/>
  <c r="AC172" i="96"/>
  <c r="AC171" i="96"/>
  <c r="I171" i="96"/>
  <c r="H171" i="96"/>
  <c r="I170" i="96"/>
  <c r="H170" i="96"/>
  <c r="Z169" i="96"/>
  <c r="I169" i="96"/>
  <c r="H169" i="96"/>
  <c r="Z168" i="96"/>
  <c r="I168" i="96"/>
  <c r="H168" i="96"/>
  <c r="I167" i="96"/>
  <c r="H167" i="96"/>
  <c r="AC166" i="96"/>
  <c r="Z166" i="96"/>
  <c r="I166" i="96"/>
  <c r="H166" i="96"/>
  <c r="AC165" i="96"/>
  <c r="Z165" i="96"/>
  <c r="I165" i="96"/>
  <c r="H165" i="96"/>
  <c r="AC164" i="96"/>
  <c r="Z164" i="96"/>
  <c r="I164" i="96"/>
  <c r="H164" i="96"/>
  <c r="AC163" i="96"/>
  <c r="I163" i="96"/>
  <c r="H163" i="96"/>
  <c r="AC162" i="96"/>
  <c r="AC161" i="96"/>
  <c r="I160" i="96"/>
  <c r="H160" i="96"/>
  <c r="Z159" i="96"/>
  <c r="I159" i="96"/>
  <c r="H159" i="96"/>
  <c r="Z158" i="96"/>
  <c r="I158" i="96"/>
  <c r="H158" i="96"/>
  <c r="I157" i="96"/>
  <c r="H157" i="96"/>
  <c r="AC156" i="96"/>
  <c r="Z156" i="96"/>
  <c r="I156" i="96"/>
  <c r="H156" i="96"/>
  <c r="Z155" i="96"/>
  <c r="I155" i="96"/>
  <c r="H155" i="96"/>
  <c r="AC154" i="96"/>
  <c r="Z154" i="96"/>
  <c r="I154" i="96"/>
  <c r="H154" i="96"/>
  <c r="I153" i="96"/>
  <c r="H153" i="96"/>
  <c r="Z152" i="96"/>
  <c r="I152" i="96"/>
  <c r="H152" i="96"/>
  <c r="AC151" i="96"/>
  <c r="I150" i="96"/>
  <c r="H150" i="96"/>
  <c r="Z149" i="96"/>
  <c r="I149" i="96"/>
  <c r="H149" i="96"/>
  <c r="Z148" i="96"/>
  <c r="I148" i="96"/>
  <c r="H148" i="96"/>
  <c r="Z147" i="96"/>
  <c r="I147" i="96"/>
  <c r="H147" i="96"/>
  <c r="I146" i="96"/>
  <c r="H146" i="96"/>
  <c r="I145" i="96"/>
  <c r="H145" i="96"/>
  <c r="AC144" i="96"/>
  <c r="I144" i="96"/>
  <c r="H144" i="96"/>
  <c r="I143" i="96"/>
  <c r="H143" i="96"/>
  <c r="I142" i="96"/>
  <c r="H142" i="96"/>
  <c r="AC141" i="96"/>
  <c r="Z140" i="96"/>
  <c r="I140" i="96"/>
  <c r="H140" i="96"/>
  <c r="I139" i="96"/>
  <c r="H139" i="96"/>
  <c r="I138" i="96"/>
  <c r="H138" i="96"/>
  <c r="AC137" i="96"/>
  <c r="Z137" i="96"/>
  <c r="I137" i="96"/>
  <c r="H137" i="96"/>
  <c r="AC136" i="96"/>
  <c r="Z136" i="96"/>
  <c r="I136" i="96"/>
  <c r="H136" i="96"/>
  <c r="AC135" i="96"/>
  <c r="Z135" i="96"/>
  <c r="I135" i="96"/>
  <c r="H135" i="96"/>
  <c r="I134" i="96"/>
  <c r="H134" i="96"/>
  <c r="Z133" i="96"/>
  <c r="I133" i="96"/>
  <c r="H133" i="96"/>
  <c r="AC132" i="96"/>
  <c r="Z132" i="96"/>
  <c r="I132" i="96"/>
  <c r="H132" i="96"/>
  <c r="AC131" i="96"/>
  <c r="I130" i="96"/>
  <c r="H130" i="96"/>
  <c r="AC129" i="96"/>
  <c r="I129" i="96"/>
  <c r="H129" i="96"/>
  <c r="Z128" i="96"/>
  <c r="I128" i="96"/>
  <c r="H128" i="96"/>
  <c r="AC127" i="96"/>
  <c r="I127" i="96"/>
  <c r="H127" i="96"/>
  <c r="AC126" i="96"/>
  <c r="Z126" i="96"/>
  <c r="I126" i="96"/>
  <c r="H126" i="96"/>
  <c r="I125" i="96"/>
  <c r="H125" i="96"/>
  <c r="I124" i="96"/>
  <c r="H124" i="96"/>
  <c r="I123" i="96"/>
  <c r="H123" i="96"/>
  <c r="AC122" i="96"/>
  <c r="I122" i="96"/>
  <c r="H122" i="96"/>
  <c r="I121" i="96"/>
  <c r="H121" i="96"/>
  <c r="I120" i="96"/>
  <c r="H120" i="96"/>
  <c r="Z119" i="96"/>
  <c r="I119" i="96"/>
  <c r="H119" i="96"/>
  <c r="Z118" i="96"/>
  <c r="I118" i="96"/>
  <c r="H118" i="96"/>
  <c r="AC117" i="96"/>
  <c r="Z116" i="96"/>
  <c r="I116" i="96"/>
  <c r="H116" i="96"/>
  <c r="I115" i="96"/>
  <c r="H115" i="96"/>
  <c r="I114" i="96"/>
  <c r="H114" i="96"/>
  <c r="Z113" i="96"/>
  <c r="I113" i="96"/>
  <c r="H113" i="96"/>
  <c r="Z112" i="96"/>
  <c r="I112" i="96"/>
  <c r="H112" i="96"/>
  <c r="I111" i="96"/>
  <c r="H111" i="96"/>
  <c r="I110" i="96"/>
  <c r="H110" i="96"/>
  <c r="I109" i="96"/>
  <c r="H109" i="96"/>
  <c r="Z108" i="96"/>
  <c r="I108" i="96"/>
  <c r="H108" i="96"/>
  <c r="AC107" i="96"/>
  <c r="I106" i="96"/>
  <c r="H106" i="96"/>
  <c r="I105" i="96"/>
  <c r="H105" i="96"/>
  <c r="I104" i="96"/>
  <c r="H104" i="96"/>
  <c r="I103" i="96"/>
  <c r="H103" i="96"/>
  <c r="I102" i="96"/>
  <c r="H102" i="96"/>
  <c r="I101" i="96"/>
  <c r="H101" i="96"/>
  <c r="I100" i="96"/>
  <c r="H100" i="96"/>
  <c r="I99" i="96"/>
  <c r="H99" i="96"/>
  <c r="I98" i="96"/>
  <c r="H98" i="96"/>
  <c r="AC97" i="96"/>
  <c r="Z96" i="96"/>
  <c r="Z95" i="96"/>
  <c r="Z94" i="96"/>
  <c r="Z93" i="96"/>
  <c r="Z92" i="96"/>
  <c r="Z91" i="96"/>
  <c r="Z90" i="96"/>
  <c r="Z89" i="96"/>
  <c r="Z88" i="96"/>
  <c r="Z87" i="96"/>
  <c r="Z86" i="96"/>
  <c r="Z85" i="96"/>
  <c r="Z84" i="96"/>
  <c r="Z83" i="96"/>
  <c r="Z82" i="96"/>
  <c r="Z81" i="96"/>
  <c r="Z80" i="96"/>
  <c r="Z79" i="96"/>
  <c r="Z77" i="96"/>
  <c r="Z75" i="96"/>
  <c r="Z74" i="96"/>
  <c r="Z73" i="96"/>
  <c r="Z72" i="96"/>
  <c r="Z71" i="96"/>
  <c r="Z70" i="96"/>
  <c r="Z69" i="96"/>
  <c r="Z68" i="96"/>
  <c r="Z67" i="96"/>
  <c r="Z66" i="96"/>
  <c r="Z65" i="96"/>
  <c r="Z64" i="96"/>
  <c r="Z63" i="96"/>
  <c r="Z62" i="96"/>
  <c r="Z61" i="96"/>
  <c r="Z60" i="96"/>
  <c r="Z59" i="96"/>
  <c r="Z58" i="96"/>
  <c r="Z57" i="96"/>
  <c r="Z56" i="96"/>
  <c r="Z55" i="96"/>
  <c r="Z54" i="96"/>
  <c r="Z53" i="96"/>
  <c r="Z52" i="96"/>
  <c r="Z51" i="96"/>
  <c r="Z50" i="96"/>
  <c r="Z49" i="96"/>
  <c r="Z48" i="96"/>
  <c r="Z47" i="96"/>
  <c r="Z46" i="96"/>
  <c r="Z45" i="96"/>
  <c r="Z44" i="96"/>
  <c r="Z43" i="96"/>
  <c r="Z42" i="96"/>
  <c r="Z41" i="96"/>
  <c r="Z39" i="96"/>
  <c r="Z38" i="96"/>
  <c r="Z37" i="96"/>
  <c r="Z36" i="96"/>
  <c r="Z35" i="96"/>
  <c r="Z34" i="96"/>
  <c r="Z33" i="96"/>
  <c r="Z32" i="96"/>
  <c r="Z31" i="96"/>
  <c r="Z30" i="96"/>
  <c r="Z29" i="96"/>
  <c r="Z28" i="96"/>
  <c r="Z27" i="96"/>
  <c r="Z26" i="96"/>
  <c r="Z25" i="96"/>
  <c r="Z23" i="96"/>
  <c r="Z22" i="96"/>
  <c r="Z21" i="96"/>
  <c r="Z20" i="96"/>
  <c r="Z19" i="96"/>
  <c r="Z18" i="96"/>
  <c r="Z17" i="96"/>
  <c r="Z16" i="96"/>
  <c r="Z15" i="96"/>
  <c r="Z14" i="96"/>
  <c r="Z13" i="96"/>
  <c r="Z12" i="96"/>
  <c r="Z11" i="96"/>
  <c r="Z10" i="96"/>
  <c r="Z9" i="96"/>
  <c r="Z8" i="96"/>
  <c r="Z7" i="96"/>
  <c r="Z6" i="96"/>
  <c r="Z5" i="96"/>
  <c r="AB315" i="103" a="1"/>
  <c r="AB315" i="103" s="1"/>
  <c r="Y315" i="103"/>
  <c r="AB314" i="103" a="1"/>
  <c r="AB314" i="103" s="1"/>
  <c r="Y314" i="103"/>
  <c r="AB313" i="103" a="1"/>
  <c r="AB313" i="103" s="1"/>
  <c r="Y313" i="103"/>
  <c r="AB312" i="103"/>
  <c r="AB312" i="103" a="1"/>
  <c r="Y312" i="103"/>
  <c r="AB311" i="103"/>
  <c r="AB311" i="103" a="1"/>
  <c r="Y311" i="103"/>
  <c r="AA310" i="103"/>
  <c r="AA310" i="103" a="1"/>
  <c r="X310" i="103"/>
  <c r="AA309" i="103" a="1"/>
  <c r="AA309" i="103" s="1"/>
  <c r="X309" i="103"/>
  <c r="Y308" i="103"/>
  <c r="X308" i="103"/>
  <c r="Y307" i="103"/>
  <c r="X307" i="103"/>
  <c r="AB306" i="103" a="1"/>
  <c r="AB306" i="103" s="1"/>
  <c r="Y306" i="103"/>
  <c r="AB305" i="103" a="1"/>
  <c r="AB305" i="103" s="1"/>
  <c r="Y305" i="103"/>
  <c r="AB304" i="103"/>
  <c r="AB304" i="103" a="1"/>
  <c r="Y304" i="103"/>
  <c r="AB303" i="103" a="1"/>
  <c r="AB303" i="103" s="1"/>
  <c r="Y303" i="103"/>
  <c r="AB302" i="103"/>
  <c r="AB302" i="103" a="1"/>
  <c r="Y302" i="103"/>
  <c r="Z302" i="103" s="1"/>
  <c r="AB301" i="103" a="1"/>
  <c r="AB301" i="103" s="1"/>
  <c r="Y301" i="103"/>
  <c r="AB300" i="103"/>
  <c r="AB300" i="103" a="1"/>
  <c r="Y300" i="103"/>
  <c r="AB299" i="103" a="1"/>
  <c r="AB299" i="103" s="1"/>
  <c r="AC299" i="103" s="1"/>
  <c r="Y299" i="103"/>
  <c r="AB298" i="103" a="1"/>
  <c r="AB298" i="103" s="1"/>
  <c r="Y298" i="103"/>
  <c r="AA297" i="103" a="1"/>
  <c r="AA297" i="103" s="1"/>
  <c r="X297" i="103"/>
  <c r="AA296" i="103"/>
  <c r="AA296" i="103" a="1"/>
  <c r="X296" i="103"/>
  <c r="AB295" i="103" a="1"/>
  <c r="AB295" i="103" s="1"/>
  <c r="AA295" i="103" a="1"/>
  <c r="AA295" i="103" s="1"/>
  <c r="Y295" i="103"/>
  <c r="X295" i="103"/>
  <c r="Y294" i="103"/>
  <c r="X293" i="103"/>
  <c r="AB292" i="103" a="1"/>
  <c r="AB292" i="103" s="1"/>
  <c r="Y292" i="103"/>
  <c r="AB291" i="103"/>
  <c r="AB291" i="103" a="1"/>
  <c r="AA291" i="103"/>
  <c r="AA291" i="103" a="1"/>
  <c r="Y291" i="103"/>
  <c r="X291" i="103"/>
  <c r="AB290" i="103"/>
  <c r="AB290" i="103" a="1"/>
  <c r="AA290" i="103"/>
  <c r="AA290" i="103" a="1"/>
  <c r="Y290" i="103"/>
  <c r="X290" i="103"/>
  <c r="AB289" i="103" a="1"/>
  <c r="AB289" i="103" s="1"/>
  <c r="AA289" i="103"/>
  <c r="AA289" i="103" a="1"/>
  <c r="Y289" i="103"/>
  <c r="X289" i="103"/>
  <c r="AB288" i="103"/>
  <c r="AB288" i="103" a="1"/>
  <c r="AA288" i="103" a="1"/>
  <c r="AA288" i="103" s="1"/>
  <c r="Y288" i="103"/>
  <c r="X288" i="103"/>
  <c r="AB287" i="103" a="1"/>
  <c r="AB287" i="103" s="1"/>
  <c r="AA287" i="103"/>
  <c r="AA287" i="103" a="1"/>
  <c r="Y287" i="103"/>
  <c r="X287" i="103"/>
  <c r="AB286" i="103" a="1"/>
  <c r="AB286" i="103" s="1"/>
  <c r="Y286" i="103"/>
  <c r="AB285" i="103" a="1"/>
  <c r="AB285" i="103" s="1"/>
  <c r="AA285" i="103"/>
  <c r="AA285" i="103" a="1"/>
  <c r="Y285" i="103"/>
  <c r="X285" i="103"/>
  <c r="AB284" i="103"/>
  <c r="AB284" i="103" a="1"/>
  <c r="AA284" i="103" a="1"/>
  <c r="AA284" i="103" s="1"/>
  <c r="Y284" i="103"/>
  <c r="X284" i="103"/>
  <c r="AB283" i="103" a="1"/>
  <c r="AB283" i="103" s="1"/>
  <c r="AA283" i="103" a="1"/>
  <c r="AA283" i="103" s="1"/>
  <c r="Y283" i="103"/>
  <c r="X283" i="103"/>
  <c r="AB282" i="103"/>
  <c r="AB282" i="103" a="1"/>
  <c r="AA282" i="103" a="1"/>
  <c r="AA282" i="103" s="1"/>
  <c r="Y282" i="103"/>
  <c r="X282" i="103"/>
  <c r="AB281" i="103" a="1"/>
  <c r="AB281" i="103" s="1"/>
  <c r="AA281" i="103"/>
  <c r="AA281" i="103" a="1"/>
  <c r="Y281" i="103"/>
  <c r="X281" i="103"/>
  <c r="AB280" i="103" a="1"/>
  <c r="AB280" i="103" s="1"/>
  <c r="AA280" i="103" a="1"/>
  <c r="AA280" i="103" s="1"/>
  <c r="Y280" i="103"/>
  <c r="X280" i="103"/>
  <c r="AB279" i="103" a="1"/>
  <c r="AB279" i="103" s="1"/>
  <c r="AA279" i="103" a="1"/>
  <c r="AA279" i="103" s="1"/>
  <c r="Y279" i="103"/>
  <c r="X279" i="103"/>
  <c r="AB278" i="103"/>
  <c r="AB278" i="103" a="1"/>
  <c r="AA278" i="103" a="1"/>
  <c r="AA278" i="103" s="1"/>
  <c r="Y278" i="103"/>
  <c r="X278" i="103"/>
  <c r="AB277" i="103" a="1"/>
  <c r="AB277" i="103" s="1"/>
  <c r="AA277" i="103"/>
  <c r="AA277" i="103" a="1"/>
  <c r="Y277" i="103"/>
  <c r="X277" i="103"/>
  <c r="AB276" i="103" a="1"/>
  <c r="AB276" i="103" s="1"/>
  <c r="AA276" i="103" a="1"/>
  <c r="AA276" i="103" s="1"/>
  <c r="Y276" i="103"/>
  <c r="X276" i="103"/>
  <c r="AB275" i="103" a="1"/>
  <c r="AB275" i="103" s="1"/>
  <c r="AA275" i="103" a="1"/>
  <c r="AA275" i="103" s="1"/>
  <c r="AC275" i="103" s="1"/>
  <c r="Y275" i="103"/>
  <c r="X275" i="103"/>
  <c r="AB274" i="103"/>
  <c r="AB274" i="103" a="1"/>
  <c r="AA274" i="103" a="1"/>
  <c r="AA274" i="103" s="1"/>
  <c r="Y274" i="103"/>
  <c r="X274" i="103"/>
  <c r="AB273" i="103" a="1"/>
  <c r="AB273" i="103" s="1"/>
  <c r="AA273" i="103"/>
  <c r="AA273" i="103" a="1"/>
  <c r="Y273" i="103"/>
  <c r="X273" i="103"/>
  <c r="AB272" i="103" a="1"/>
  <c r="AB272" i="103" s="1"/>
  <c r="AA272" i="103" a="1"/>
  <c r="AA272" i="103" s="1"/>
  <c r="Y272" i="103"/>
  <c r="X272" i="103"/>
  <c r="AB271" i="103" a="1"/>
  <c r="AB271" i="103" s="1"/>
  <c r="AA271" i="103" a="1"/>
  <c r="AA271" i="103" s="1"/>
  <c r="AC271" i="103" s="1"/>
  <c r="Y271" i="103"/>
  <c r="X271" i="103"/>
  <c r="AB270" i="103"/>
  <c r="AB270" i="103" a="1"/>
  <c r="AA270" i="103" a="1"/>
  <c r="AA270" i="103" s="1"/>
  <c r="Y270" i="103"/>
  <c r="X270" i="103"/>
  <c r="AB269" i="103" a="1"/>
  <c r="AB269" i="103" s="1"/>
  <c r="AA269" i="103"/>
  <c r="AA269" i="103" a="1"/>
  <c r="Y269" i="103"/>
  <c r="X269" i="103"/>
  <c r="AB268" i="103" a="1"/>
  <c r="AB268" i="103" s="1"/>
  <c r="AA268" i="103" a="1"/>
  <c r="AA268" i="103" s="1"/>
  <c r="Y268" i="103"/>
  <c r="X268" i="103"/>
  <c r="AB267" i="103" a="1"/>
  <c r="AB267" i="103" s="1"/>
  <c r="AA267" i="103" a="1"/>
  <c r="AA267" i="103" s="1"/>
  <c r="Y267" i="103"/>
  <c r="X267" i="103"/>
  <c r="AB266" i="103" a="1"/>
  <c r="AB266" i="103" s="1"/>
  <c r="AA266" i="103" a="1"/>
  <c r="AA266" i="103" s="1"/>
  <c r="Y266" i="103"/>
  <c r="X266" i="103"/>
  <c r="AB265" i="103" a="1"/>
  <c r="AB265" i="103" s="1"/>
  <c r="AA265" i="103" a="1"/>
  <c r="AA265" i="103" s="1"/>
  <c r="Y265" i="103"/>
  <c r="X265" i="103"/>
  <c r="AB264" i="103" a="1"/>
  <c r="AB264" i="103" s="1"/>
  <c r="AA264" i="103" a="1"/>
  <c r="AA264" i="103" s="1"/>
  <c r="Y264" i="103"/>
  <c r="X264" i="103"/>
  <c r="AB263" i="103" a="1"/>
  <c r="AB263" i="103" s="1"/>
  <c r="AA263" i="103" a="1"/>
  <c r="AA263" i="103" s="1"/>
  <c r="Y263" i="103"/>
  <c r="X263" i="103"/>
  <c r="AB262" i="103" a="1"/>
  <c r="AB262" i="103" s="1"/>
  <c r="AA262" i="103" a="1"/>
  <c r="AA262" i="103" s="1"/>
  <c r="Y262" i="103"/>
  <c r="X262" i="103"/>
  <c r="AB261" i="103" a="1"/>
  <c r="AB261" i="103" s="1"/>
  <c r="AA261" i="103" a="1"/>
  <c r="AA261" i="103" s="1"/>
  <c r="Y261" i="103"/>
  <c r="X261" i="103"/>
  <c r="AB260" i="103" a="1"/>
  <c r="AB260" i="103" s="1"/>
  <c r="AA260" i="103" a="1"/>
  <c r="AA260" i="103" s="1"/>
  <c r="Y260" i="103"/>
  <c r="X260" i="103"/>
  <c r="AB258" i="103" a="1"/>
  <c r="AB258" i="103" s="1"/>
  <c r="Y258" i="103"/>
  <c r="AA257" i="103"/>
  <c r="AA257" i="103" a="1"/>
  <c r="X257" i="103"/>
  <c r="Z257" i="103" s="1"/>
  <c r="AB256" i="103" a="1"/>
  <c r="AB256" i="103" s="1"/>
  <c r="AA256" i="103" a="1"/>
  <c r="AA256" i="103" s="1"/>
  <c r="Y256" i="103"/>
  <c r="X256" i="103"/>
  <c r="AB255" i="103" a="1"/>
  <c r="AB255" i="103" s="1"/>
  <c r="AA255" i="103" a="1"/>
  <c r="AA255" i="103" s="1"/>
  <c r="Y255" i="103"/>
  <c r="X255" i="103"/>
  <c r="AB254" i="103" a="1"/>
  <c r="AB254" i="103" s="1"/>
  <c r="AA254" i="103" a="1"/>
  <c r="AA254" i="103" s="1"/>
  <c r="Y254" i="103"/>
  <c r="X254" i="103"/>
  <c r="AA253" i="103" a="1"/>
  <c r="AA253" i="103" s="1"/>
  <c r="X253" i="103"/>
  <c r="AB252" i="103"/>
  <c r="AB252" i="103" a="1"/>
  <c r="AA252" i="103"/>
  <c r="AA252" i="103" a="1"/>
  <c r="Y252" i="103"/>
  <c r="X252" i="103"/>
  <c r="AB251" i="103"/>
  <c r="AB251" i="103" a="1"/>
  <c r="AA251" i="103"/>
  <c r="AA251" i="103" a="1"/>
  <c r="Y251" i="103"/>
  <c r="X251" i="103"/>
  <c r="AB250" i="103"/>
  <c r="AB250" i="103" a="1"/>
  <c r="AA250" i="103"/>
  <c r="AA250" i="103" a="1"/>
  <c r="Y250" i="103"/>
  <c r="X250" i="103"/>
  <c r="AB249" i="103"/>
  <c r="AB249" i="103" a="1"/>
  <c r="AA249" i="103"/>
  <c r="AA249" i="103" a="1"/>
  <c r="Y249" i="103"/>
  <c r="X249" i="103"/>
  <c r="AB248" i="103"/>
  <c r="AB248" i="103" a="1"/>
  <c r="AA248" i="103"/>
  <c r="AA248" i="103" a="1"/>
  <c r="Y248" i="103"/>
  <c r="X248" i="103"/>
  <c r="AB247" i="103"/>
  <c r="AB247" i="103" a="1"/>
  <c r="AA247" i="103"/>
  <c r="AA247" i="103" a="1"/>
  <c r="Y247" i="103"/>
  <c r="X247" i="103"/>
  <c r="AB246" i="103"/>
  <c r="AB246" i="103" a="1"/>
  <c r="AA246" i="103"/>
  <c r="AA246" i="103" a="1"/>
  <c r="Y246" i="103"/>
  <c r="X246" i="103"/>
  <c r="AB245" i="103"/>
  <c r="AB245" i="103" a="1"/>
  <c r="AA245" i="103"/>
  <c r="AA245" i="103" a="1"/>
  <c r="Y245" i="103"/>
  <c r="X245" i="103"/>
  <c r="AB244" i="103"/>
  <c r="AB244" i="103" a="1"/>
  <c r="AA244" i="103"/>
  <c r="AA244" i="103" a="1"/>
  <c r="Y244" i="103"/>
  <c r="X244" i="103"/>
  <c r="AB243" i="103"/>
  <c r="AB243" i="103" a="1"/>
  <c r="AA243" i="103"/>
  <c r="AA243" i="103" a="1"/>
  <c r="Y243" i="103"/>
  <c r="X243" i="103"/>
  <c r="AB242" i="103"/>
  <c r="AB242" i="103" a="1"/>
  <c r="AA242" i="103"/>
  <c r="AA242" i="103" a="1"/>
  <c r="Y242" i="103"/>
  <c r="X242" i="103"/>
  <c r="AB241" i="103"/>
  <c r="AB241" i="103" a="1"/>
  <c r="AA241" i="103"/>
  <c r="AA241" i="103" a="1"/>
  <c r="Y241" i="103"/>
  <c r="X241" i="103"/>
  <c r="AB240" i="103"/>
  <c r="AB240" i="103" a="1"/>
  <c r="AA240" i="103"/>
  <c r="AA240" i="103" a="1"/>
  <c r="Y240" i="103"/>
  <c r="X240" i="103"/>
  <c r="AB239" i="103"/>
  <c r="AB239" i="103" a="1"/>
  <c r="AA239" i="103"/>
  <c r="AA239" i="103" a="1"/>
  <c r="Y239" i="103"/>
  <c r="X239" i="103"/>
  <c r="AB238" i="103"/>
  <c r="AB238" i="103" a="1"/>
  <c r="AA238" i="103"/>
  <c r="AA238" i="103" a="1"/>
  <c r="Y238" i="103"/>
  <c r="X238" i="103"/>
  <c r="AB237" i="103"/>
  <c r="AB237" i="103" a="1"/>
  <c r="AA237" i="103"/>
  <c r="AA237" i="103" a="1"/>
  <c r="Y237" i="103"/>
  <c r="X237" i="103"/>
  <c r="AB236" i="103"/>
  <c r="AB236" i="103" a="1"/>
  <c r="AA236" i="103"/>
  <c r="AA236" i="103" a="1"/>
  <c r="Y236" i="103"/>
  <c r="X236" i="103"/>
  <c r="AB235" i="103"/>
  <c r="AB235" i="103" a="1"/>
  <c r="AA235" i="103"/>
  <c r="AA235" i="103" a="1"/>
  <c r="Y235" i="103"/>
  <c r="X235" i="103"/>
  <c r="AB234" i="103"/>
  <c r="AB234" i="103" a="1"/>
  <c r="AA234" i="103"/>
  <c r="AA234" i="103" a="1"/>
  <c r="Y234" i="103"/>
  <c r="X234" i="103"/>
  <c r="AB233" i="103"/>
  <c r="AB233" i="103" a="1"/>
  <c r="AA233" i="103"/>
  <c r="AA233" i="103" a="1"/>
  <c r="Y233" i="103"/>
  <c r="X233" i="103"/>
  <c r="AB232" i="103"/>
  <c r="AB232" i="103" a="1"/>
  <c r="AA232" i="103"/>
  <c r="AA232" i="103" a="1"/>
  <c r="Y232" i="103"/>
  <c r="X232" i="103"/>
  <c r="AB231" i="103"/>
  <c r="AB231" i="103" a="1"/>
  <c r="AA231" i="103"/>
  <c r="AA231" i="103" a="1"/>
  <c r="Y231" i="103"/>
  <c r="X231" i="103"/>
  <c r="AB228" i="103"/>
  <c r="AB228" i="103" a="1"/>
  <c r="AA228" i="103"/>
  <c r="AA228" i="103" a="1"/>
  <c r="Y228" i="103"/>
  <c r="X228" i="103"/>
  <c r="AB227" i="103"/>
  <c r="AB227" i="103" a="1"/>
  <c r="AA227" i="103"/>
  <c r="AA227" i="103" a="1"/>
  <c r="Y227" i="103"/>
  <c r="X227" i="103"/>
  <c r="AB226" i="103" a="1"/>
  <c r="AB226" i="103" s="1"/>
  <c r="AA226" i="103"/>
  <c r="AA226" i="103" a="1"/>
  <c r="Y226" i="103"/>
  <c r="X226" i="103"/>
  <c r="AB225" i="103"/>
  <c r="AB225" i="103" a="1"/>
  <c r="AA225" i="103" a="1"/>
  <c r="AA225" i="103" s="1"/>
  <c r="Y225" i="103"/>
  <c r="X225" i="103"/>
  <c r="AB224" i="103" a="1"/>
  <c r="AB224" i="103" s="1"/>
  <c r="AA224" i="103" a="1"/>
  <c r="AA224" i="103" s="1"/>
  <c r="Y224" i="103"/>
  <c r="X224" i="103"/>
  <c r="AB223" i="103"/>
  <c r="AB223" i="103" a="1"/>
  <c r="AA223" i="103" a="1"/>
  <c r="AA223" i="103" s="1"/>
  <c r="Y223" i="103"/>
  <c r="X223" i="103"/>
  <c r="AB222" i="103" a="1"/>
  <c r="AB222" i="103" s="1"/>
  <c r="AA222" i="103"/>
  <c r="AA222" i="103" a="1"/>
  <c r="Y222" i="103"/>
  <c r="X222" i="103"/>
  <c r="AB221" i="103" a="1"/>
  <c r="AB221" i="103" s="1"/>
  <c r="AA221" i="103" a="1"/>
  <c r="AA221" i="103" s="1"/>
  <c r="Y221" i="103"/>
  <c r="X221" i="103"/>
  <c r="AB218" i="103" a="1"/>
  <c r="AB218" i="103" s="1"/>
  <c r="AA218" i="103" a="1"/>
  <c r="AA218" i="103" s="1"/>
  <c r="Y218" i="103"/>
  <c r="X218" i="103"/>
  <c r="AB217" i="103"/>
  <c r="AB217" i="103" a="1"/>
  <c r="AA217" i="103" a="1"/>
  <c r="AA217" i="103" s="1"/>
  <c r="Y217" i="103"/>
  <c r="X217" i="103"/>
  <c r="AB216" i="103" a="1"/>
  <c r="AB216" i="103" s="1"/>
  <c r="AA216" i="103"/>
  <c r="AA216" i="103" a="1"/>
  <c r="Y216" i="103"/>
  <c r="X216" i="103"/>
  <c r="AB215" i="103" a="1"/>
  <c r="AB215" i="103" s="1"/>
  <c r="AA215" i="103" a="1"/>
  <c r="AA215" i="103" s="1"/>
  <c r="Y215" i="103"/>
  <c r="X215" i="103"/>
  <c r="AB214" i="103" a="1"/>
  <c r="AB214" i="103" s="1"/>
  <c r="AA214" i="103" a="1"/>
  <c r="AA214" i="103" s="1"/>
  <c r="Y214" i="103"/>
  <c r="X214" i="103"/>
  <c r="AB213" i="103"/>
  <c r="AB213" i="103" a="1"/>
  <c r="AA213" i="103" a="1"/>
  <c r="AA213" i="103" s="1"/>
  <c r="Y213" i="103"/>
  <c r="X213" i="103"/>
  <c r="AB212" i="103" a="1"/>
  <c r="AB212" i="103" s="1"/>
  <c r="AA212" i="103"/>
  <c r="AA212" i="103" a="1"/>
  <c r="Y212" i="103"/>
  <c r="X212" i="103"/>
  <c r="AB211" i="103" a="1"/>
  <c r="AB211" i="103" s="1"/>
  <c r="AA211" i="103" a="1"/>
  <c r="AA211" i="103" s="1"/>
  <c r="Y211" i="103"/>
  <c r="Z211" i="103" s="1"/>
  <c r="X211" i="103"/>
  <c r="AB210" i="103" a="1"/>
  <c r="AB210" i="103" s="1"/>
  <c r="AA210" i="103" a="1"/>
  <c r="AA210" i="103" s="1"/>
  <c r="Y210" i="103"/>
  <c r="X210" i="103"/>
  <c r="AB209" i="103"/>
  <c r="AB209" i="103" a="1"/>
  <c r="AA209" i="103" a="1"/>
  <c r="AA209" i="103" s="1"/>
  <c r="Y209" i="103"/>
  <c r="X209" i="103"/>
  <c r="AB208" i="103" a="1"/>
  <c r="AB208" i="103" s="1"/>
  <c r="AA208" i="103"/>
  <c r="AA208" i="103" a="1"/>
  <c r="Y208" i="103"/>
  <c r="X208" i="103"/>
  <c r="AB207" i="103" a="1"/>
  <c r="AB207" i="103" s="1"/>
  <c r="AA207" i="103" a="1"/>
  <c r="AA207" i="103" s="1"/>
  <c r="Y207" i="103"/>
  <c r="X207" i="103"/>
  <c r="AB206" i="103" a="1"/>
  <c r="AB206" i="103" s="1"/>
  <c r="AA206" i="103" a="1"/>
  <c r="AA206" i="103" s="1"/>
  <c r="Y206" i="103"/>
  <c r="X206" i="103"/>
  <c r="AB205" i="103"/>
  <c r="AB205" i="103" a="1"/>
  <c r="AA205" i="103" a="1"/>
  <c r="AA205" i="103" s="1"/>
  <c r="Y205" i="103"/>
  <c r="X205" i="103"/>
  <c r="AB204" i="103" a="1"/>
  <c r="AB204" i="103" s="1"/>
  <c r="AA204" i="103"/>
  <c r="AA204" i="103" a="1"/>
  <c r="Y204" i="103"/>
  <c r="X204" i="103"/>
  <c r="AB203" i="103" a="1"/>
  <c r="AB203" i="103" s="1"/>
  <c r="AA203" i="103" a="1"/>
  <c r="AA203" i="103" s="1"/>
  <c r="Y203" i="103"/>
  <c r="Z203" i="103" s="1"/>
  <c r="X203" i="103"/>
  <c r="AB202" i="103" a="1"/>
  <c r="AB202" i="103" s="1"/>
  <c r="AA202" i="103" a="1"/>
  <c r="AA202" i="103" s="1"/>
  <c r="Y202" i="103"/>
  <c r="X202" i="103"/>
  <c r="AB201" i="103"/>
  <c r="AB201" i="103" a="1"/>
  <c r="AA201" i="103" a="1"/>
  <c r="AA201" i="103" s="1"/>
  <c r="Y201" i="103"/>
  <c r="X201" i="103"/>
  <c r="AB200" i="103" a="1"/>
  <c r="AB200" i="103" s="1"/>
  <c r="AA200" i="103"/>
  <c r="AA200" i="103" a="1"/>
  <c r="Y200" i="103"/>
  <c r="X200" i="103"/>
  <c r="AB199" i="103" a="1"/>
  <c r="AB199" i="103" s="1"/>
  <c r="AA199" i="103" a="1"/>
  <c r="AA199" i="103" s="1"/>
  <c r="Y199" i="103"/>
  <c r="X199" i="103"/>
  <c r="AB198" i="103" a="1"/>
  <c r="AB198" i="103" s="1"/>
  <c r="AA198" i="103" a="1"/>
  <c r="AA198" i="103" s="1"/>
  <c r="Y198" i="103"/>
  <c r="X198" i="103"/>
  <c r="AB197" i="103"/>
  <c r="AB197" i="103" a="1"/>
  <c r="AA197" i="103" a="1"/>
  <c r="AA197" i="103" s="1"/>
  <c r="Y197" i="103"/>
  <c r="X197" i="103"/>
  <c r="AB196" i="103" a="1"/>
  <c r="AB196" i="103" s="1"/>
  <c r="AA196" i="103"/>
  <c r="AA196" i="103" a="1"/>
  <c r="Y196" i="103"/>
  <c r="X196" i="103"/>
  <c r="AB195" i="103" a="1"/>
  <c r="AB195" i="103" s="1"/>
  <c r="AA195" i="103" a="1"/>
  <c r="AA195" i="103" s="1"/>
  <c r="Y195" i="103"/>
  <c r="X195" i="103"/>
  <c r="AB194" i="103" a="1"/>
  <c r="AB194" i="103" s="1"/>
  <c r="AA194" i="103" a="1"/>
  <c r="AA194" i="103" s="1"/>
  <c r="Y194" i="103"/>
  <c r="X194" i="103"/>
  <c r="AB193" i="103"/>
  <c r="AB193" i="103" a="1"/>
  <c r="AA193" i="103" a="1"/>
  <c r="AA193" i="103" s="1"/>
  <c r="Y193" i="103"/>
  <c r="X193" i="103"/>
  <c r="AB192" i="103" a="1"/>
  <c r="AB192" i="103" s="1"/>
  <c r="AA192" i="103"/>
  <c r="AA192" i="103" a="1"/>
  <c r="Y192" i="103"/>
  <c r="X192" i="103"/>
  <c r="AB191" i="103" a="1"/>
  <c r="AB191" i="103" s="1"/>
  <c r="AA191" i="103" a="1"/>
  <c r="AA191" i="103" s="1"/>
  <c r="Y191" i="103"/>
  <c r="X191" i="103"/>
  <c r="AB190" i="103" a="1"/>
  <c r="AB190" i="103" s="1"/>
  <c r="AA190" i="103" a="1"/>
  <c r="AA190" i="103" s="1"/>
  <c r="Y190" i="103"/>
  <c r="X190" i="103"/>
  <c r="AB189" i="103"/>
  <c r="AB189" i="103" a="1"/>
  <c r="AA189" i="103" a="1"/>
  <c r="AA189" i="103" s="1"/>
  <c r="Y189" i="103"/>
  <c r="X189" i="103"/>
  <c r="AB188" i="103" a="1"/>
  <c r="AB188" i="103" s="1"/>
  <c r="AA188" i="103" a="1"/>
  <c r="AA188" i="103" s="1"/>
  <c r="Y188" i="103"/>
  <c r="X188" i="103"/>
  <c r="AB187" i="103" a="1"/>
  <c r="AB187" i="103" s="1"/>
  <c r="AA187" i="103" a="1"/>
  <c r="AA187" i="103" s="1"/>
  <c r="Y187" i="103"/>
  <c r="X187" i="103"/>
  <c r="AB186" i="103" a="1"/>
  <c r="AB186" i="103" s="1"/>
  <c r="AA186" i="103" a="1"/>
  <c r="AA186" i="103" s="1"/>
  <c r="Y186" i="103"/>
  <c r="X186" i="103"/>
  <c r="AB185" i="103"/>
  <c r="AB185" i="103" a="1"/>
  <c r="AA185" i="103" a="1"/>
  <c r="AA185" i="103" s="1"/>
  <c r="Y185" i="103"/>
  <c r="X185" i="103"/>
  <c r="AB184" i="103" a="1"/>
  <c r="AB184" i="103" s="1"/>
  <c r="AA184" i="103"/>
  <c r="AA184" i="103" a="1"/>
  <c r="Y184" i="103"/>
  <c r="X184" i="103"/>
  <c r="AB183" i="103" a="1"/>
  <c r="AB183" i="103" s="1"/>
  <c r="AA183" i="103" a="1"/>
  <c r="AA183" i="103" s="1"/>
  <c r="Y183" i="103"/>
  <c r="X183" i="103"/>
  <c r="AB182" i="103" a="1"/>
  <c r="AB182" i="103" s="1"/>
  <c r="AA182" i="103" a="1"/>
  <c r="AA182" i="103" s="1"/>
  <c r="Y182" i="103"/>
  <c r="X182" i="103"/>
  <c r="AB181" i="103" a="1"/>
  <c r="AB181" i="103" s="1"/>
  <c r="AA181" i="103" a="1"/>
  <c r="AA181" i="103" s="1"/>
  <c r="Y181" i="103"/>
  <c r="X181" i="103"/>
  <c r="AB180" i="103" a="1"/>
  <c r="AB180" i="103" s="1"/>
  <c r="AA180" i="103"/>
  <c r="AA180" i="103" a="1"/>
  <c r="Y180" i="103"/>
  <c r="X180" i="103"/>
  <c r="AB179" i="103" a="1"/>
  <c r="AB179" i="103" s="1"/>
  <c r="AA179" i="103" a="1"/>
  <c r="AA179" i="103" s="1"/>
  <c r="Y179" i="103"/>
  <c r="X179" i="103"/>
  <c r="AB178" i="103" a="1"/>
  <c r="AB178" i="103" s="1"/>
  <c r="AA178" i="103" a="1"/>
  <c r="AA178" i="103" s="1"/>
  <c r="Y178" i="103"/>
  <c r="X178" i="103"/>
  <c r="AB177" i="103" a="1"/>
  <c r="AB177" i="103" s="1"/>
  <c r="AA177" i="103" a="1"/>
  <c r="AA177" i="103" s="1"/>
  <c r="Y177" i="103"/>
  <c r="X177" i="103"/>
  <c r="AB176" i="103" a="1"/>
  <c r="AB176" i="103" s="1"/>
  <c r="AA176" i="103" a="1"/>
  <c r="AA176" i="103" s="1"/>
  <c r="Y176" i="103"/>
  <c r="X176" i="103"/>
  <c r="AB175" i="103" a="1"/>
  <c r="AB175" i="103" s="1"/>
  <c r="AA175" i="103" a="1"/>
  <c r="AA175" i="103" s="1"/>
  <c r="Y175" i="103"/>
  <c r="X175" i="103"/>
  <c r="AB174" i="103" a="1"/>
  <c r="AB174" i="103" s="1"/>
  <c r="AA174" i="103" a="1"/>
  <c r="AA174" i="103" s="1"/>
  <c r="Y174" i="103"/>
  <c r="X174" i="103"/>
  <c r="AB173" i="103"/>
  <c r="AB173" i="103" a="1"/>
  <c r="AA173" i="103" a="1"/>
  <c r="AA173" i="103" s="1"/>
  <c r="Y173" i="103"/>
  <c r="X173" i="103"/>
  <c r="AB172" i="103" a="1"/>
  <c r="AB172" i="103" s="1"/>
  <c r="AA172" i="103" a="1"/>
  <c r="AA172" i="103" s="1"/>
  <c r="Y172" i="103"/>
  <c r="X172" i="103"/>
  <c r="AB171" i="103" a="1"/>
  <c r="AB171" i="103" s="1"/>
  <c r="AA171" i="103" a="1"/>
  <c r="AA171" i="103" s="1"/>
  <c r="Y171" i="103"/>
  <c r="X171" i="103"/>
  <c r="AB170" i="103" a="1"/>
  <c r="AB170" i="103" s="1"/>
  <c r="AA170" i="103" a="1"/>
  <c r="AA170" i="103" s="1"/>
  <c r="Y170" i="103"/>
  <c r="X170" i="103"/>
  <c r="AB169" i="103" a="1"/>
  <c r="AB169" i="103" s="1"/>
  <c r="AA169" i="103" a="1"/>
  <c r="AA169" i="103" s="1"/>
  <c r="Y169" i="103"/>
  <c r="X169" i="103"/>
  <c r="AB168" i="103" a="1"/>
  <c r="AB168" i="103" s="1"/>
  <c r="AA168" i="103" a="1"/>
  <c r="AA168" i="103" s="1"/>
  <c r="Y168" i="103"/>
  <c r="X168" i="103"/>
  <c r="AB167" i="103" a="1"/>
  <c r="AB167" i="103" s="1"/>
  <c r="AA167" i="103" a="1"/>
  <c r="AA167" i="103" s="1"/>
  <c r="Y167" i="103"/>
  <c r="X167" i="103"/>
  <c r="AB166" i="103" a="1"/>
  <c r="AB166" i="103" s="1"/>
  <c r="AA166" i="103" a="1"/>
  <c r="AA166" i="103" s="1"/>
  <c r="Y166" i="103"/>
  <c r="X166" i="103"/>
  <c r="AB165" i="103" a="1"/>
  <c r="AB165" i="103" s="1"/>
  <c r="AA165" i="103" a="1"/>
  <c r="AA165" i="103" s="1"/>
  <c r="Y165" i="103"/>
  <c r="X165" i="103"/>
  <c r="Z165" i="103" s="1"/>
  <c r="AB164" i="103" a="1"/>
  <c r="AB164" i="103" s="1"/>
  <c r="AA164" i="103" a="1"/>
  <c r="AA164" i="103" s="1"/>
  <c r="Y164" i="103"/>
  <c r="X164" i="103"/>
  <c r="AB163" i="103" a="1"/>
  <c r="AB163" i="103" s="1"/>
  <c r="AA163" i="103" a="1"/>
  <c r="AA163" i="103" s="1"/>
  <c r="Y163" i="103"/>
  <c r="X163" i="103"/>
  <c r="AB160" i="103" a="1"/>
  <c r="AB160" i="103" s="1"/>
  <c r="AA160" i="103" a="1"/>
  <c r="AA160" i="103" s="1"/>
  <c r="AC160" i="103" s="1"/>
  <c r="Y160" i="103"/>
  <c r="X160" i="103"/>
  <c r="AB159" i="103" a="1"/>
  <c r="AB159" i="103" s="1"/>
  <c r="AA159" i="103" a="1"/>
  <c r="AA159" i="103" s="1"/>
  <c r="Y159" i="103"/>
  <c r="X159" i="103"/>
  <c r="AB158" i="103" a="1"/>
  <c r="AB158" i="103" s="1"/>
  <c r="AA158" i="103" a="1"/>
  <c r="AA158" i="103" s="1"/>
  <c r="AC158" i="103" s="1"/>
  <c r="Y158" i="103"/>
  <c r="X158" i="103"/>
  <c r="Z158" i="103" s="1"/>
  <c r="AB157" i="103" a="1"/>
  <c r="AB157" i="103" s="1"/>
  <c r="AA157" i="103" a="1"/>
  <c r="AA157" i="103" s="1"/>
  <c r="Y157" i="103"/>
  <c r="X157" i="103"/>
  <c r="AB156" i="103" a="1"/>
  <c r="AB156" i="103" s="1"/>
  <c r="AA156" i="103" a="1"/>
  <c r="AA156" i="103" s="1"/>
  <c r="Y156" i="103"/>
  <c r="X156" i="103"/>
  <c r="AB155" i="103" a="1"/>
  <c r="AB155" i="103" s="1"/>
  <c r="AA155" i="103" a="1"/>
  <c r="AA155" i="103" s="1"/>
  <c r="Y155" i="103"/>
  <c r="X155" i="103"/>
  <c r="AB154" i="103" a="1"/>
  <c r="AB154" i="103" s="1"/>
  <c r="AA154" i="103" a="1"/>
  <c r="AA154" i="103" s="1"/>
  <c r="AC154" i="103" s="1"/>
  <c r="Y154" i="103"/>
  <c r="X154" i="103"/>
  <c r="AB153" i="103" a="1"/>
  <c r="AB153" i="103" s="1"/>
  <c r="AA153" i="103" a="1"/>
  <c r="AA153" i="103" s="1"/>
  <c r="Y153" i="103"/>
  <c r="X153" i="103"/>
  <c r="AB150" i="103" a="1"/>
  <c r="AB150" i="103" s="1"/>
  <c r="AA150" i="103" a="1"/>
  <c r="AA150" i="103" s="1"/>
  <c r="Y150" i="103"/>
  <c r="X150" i="103"/>
  <c r="AB149" i="103" a="1"/>
  <c r="AB149" i="103" s="1"/>
  <c r="AA149" i="103" a="1"/>
  <c r="AA149" i="103" s="1"/>
  <c r="Y149" i="103"/>
  <c r="X149" i="103"/>
  <c r="AB148" i="103" a="1"/>
  <c r="AB148" i="103" s="1"/>
  <c r="AA148" i="103" a="1"/>
  <c r="AA148" i="103" s="1"/>
  <c r="AC148" i="103" s="1"/>
  <c r="Y148" i="103"/>
  <c r="X148" i="103"/>
  <c r="AB147" i="103" a="1"/>
  <c r="AB147" i="103" s="1"/>
  <c r="AA147" i="103" a="1"/>
  <c r="AA147" i="103" s="1"/>
  <c r="Y147" i="103"/>
  <c r="X147" i="103"/>
  <c r="AB146" i="103" a="1"/>
  <c r="AB146" i="103" s="1"/>
  <c r="AA146" i="103" a="1"/>
  <c r="AA146" i="103" s="1"/>
  <c r="Y146" i="103"/>
  <c r="X146" i="103"/>
  <c r="AB145" i="103" a="1"/>
  <c r="AB145" i="103" s="1"/>
  <c r="AA145" i="103" a="1"/>
  <c r="AA145" i="103" s="1"/>
  <c r="Y145" i="103"/>
  <c r="X145" i="103"/>
  <c r="AB144" i="103" a="1"/>
  <c r="AB144" i="103" s="1"/>
  <c r="AA144" i="103" a="1"/>
  <c r="AA144" i="103" s="1"/>
  <c r="Y144" i="103"/>
  <c r="X144" i="103"/>
  <c r="AB143" i="103" a="1"/>
  <c r="AB143" i="103" s="1"/>
  <c r="AA143" i="103" a="1"/>
  <c r="AA143" i="103" s="1"/>
  <c r="Y143" i="103"/>
  <c r="X143" i="103"/>
  <c r="AB140" i="103" a="1"/>
  <c r="AB140" i="103" s="1"/>
  <c r="AA140" i="103" a="1"/>
  <c r="AA140" i="103" s="1"/>
  <c r="Y140" i="103"/>
  <c r="X140" i="103"/>
  <c r="AB139" i="103" a="1"/>
  <c r="AB139" i="103" s="1"/>
  <c r="AA139" i="103" a="1"/>
  <c r="AA139" i="103" s="1"/>
  <c r="Y139" i="103"/>
  <c r="X139" i="103"/>
  <c r="AB138" i="103" a="1"/>
  <c r="AB138" i="103" s="1"/>
  <c r="AA138" i="103" a="1"/>
  <c r="AA138" i="103" s="1"/>
  <c r="AC138" i="103" s="1"/>
  <c r="Y138" i="103"/>
  <c r="X138" i="103"/>
  <c r="AB137" i="103" a="1"/>
  <c r="AB137" i="103" s="1"/>
  <c r="AA137" i="103" a="1"/>
  <c r="AA137" i="103" s="1"/>
  <c r="Y137" i="103"/>
  <c r="X137" i="103"/>
  <c r="AB136" i="103" a="1"/>
  <c r="AB136" i="103" s="1"/>
  <c r="AA136" i="103" a="1"/>
  <c r="AA136" i="103" s="1"/>
  <c r="Y136" i="103"/>
  <c r="X136" i="103"/>
  <c r="AB135" i="103" a="1"/>
  <c r="AB135" i="103" s="1"/>
  <c r="AA135" i="103" a="1"/>
  <c r="AA135" i="103" s="1"/>
  <c r="Y135" i="103"/>
  <c r="X135" i="103"/>
  <c r="AB134" i="103" a="1"/>
  <c r="AB134" i="103" s="1"/>
  <c r="AA134" i="103" a="1"/>
  <c r="AA134" i="103" s="1"/>
  <c r="AC134" i="103" s="1"/>
  <c r="Y134" i="103"/>
  <c r="X134" i="103"/>
  <c r="AB133" i="103" a="1"/>
  <c r="AB133" i="103" s="1"/>
  <c r="AA133" i="103" a="1"/>
  <c r="AA133" i="103" s="1"/>
  <c r="Y133" i="103"/>
  <c r="X133" i="103"/>
  <c r="AB113" i="103" a="1"/>
  <c r="AB113" i="103" s="1"/>
  <c r="AA113" i="103" a="1"/>
  <c r="AA113" i="103" s="1"/>
  <c r="Y113" i="103"/>
  <c r="X113" i="103"/>
  <c r="AB109" i="103" a="1"/>
  <c r="AB109" i="103" s="1"/>
  <c r="AA109" i="103" a="1"/>
  <c r="AA109" i="103" s="1"/>
  <c r="Y109" i="103"/>
  <c r="X109" i="103"/>
  <c r="AB108" i="103" a="1"/>
  <c r="AB108" i="103" s="1"/>
  <c r="AA108" i="103" a="1"/>
  <c r="AA108" i="103" s="1"/>
  <c r="AC108" i="103" s="1"/>
  <c r="Y108" i="103"/>
  <c r="X108" i="103"/>
  <c r="AB107" i="103" a="1"/>
  <c r="AB107" i="103" s="1"/>
  <c r="AA107" i="103" a="1"/>
  <c r="AA107" i="103" s="1"/>
  <c r="Y107" i="103"/>
  <c r="X107" i="103"/>
  <c r="AB106" i="103" a="1"/>
  <c r="AB106" i="103" s="1"/>
  <c r="AA106" i="103" a="1"/>
  <c r="AA106" i="103" s="1"/>
  <c r="Y106" i="103"/>
  <c r="X106" i="103"/>
  <c r="AB105" i="103" a="1"/>
  <c r="AB105" i="103" s="1"/>
  <c r="AA105" i="103" a="1"/>
  <c r="AA105" i="103" s="1"/>
  <c r="Y105" i="103"/>
  <c r="X105" i="103"/>
  <c r="AB104" i="103" a="1"/>
  <c r="AB104" i="103" s="1"/>
  <c r="AA104" i="103" a="1"/>
  <c r="AA104" i="103" s="1"/>
  <c r="AC104" i="103" s="1"/>
  <c r="Y104" i="103"/>
  <c r="X104" i="103"/>
  <c r="AB103" i="103" a="1"/>
  <c r="AB103" i="103" s="1"/>
  <c r="AA103" i="103" a="1"/>
  <c r="AA103" i="103" s="1"/>
  <c r="Y103" i="103"/>
  <c r="X103" i="103"/>
  <c r="AB102" i="103" a="1"/>
  <c r="AB102" i="103" s="1"/>
  <c r="AA102" i="103" a="1"/>
  <c r="AA102" i="103" s="1"/>
  <c r="Y102" i="103"/>
  <c r="X102" i="103"/>
  <c r="AB101" i="103" a="1"/>
  <c r="AB101" i="103" s="1"/>
  <c r="AA101" i="103" a="1"/>
  <c r="AA101" i="103" s="1"/>
  <c r="Y101" i="103"/>
  <c r="X101" i="103"/>
  <c r="AB100" i="103" a="1"/>
  <c r="AB100" i="103" s="1"/>
  <c r="AA100" i="103" a="1"/>
  <c r="AA100" i="103" s="1"/>
  <c r="Y100" i="103"/>
  <c r="X100" i="103"/>
  <c r="Z100" i="103" s="1"/>
  <c r="AB99" i="103" a="1"/>
  <c r="AB99" i="103" s="1"/>
  <c r="AA99" i="103" a="1"/>
  <c r="AA99" i="103" s="1"/>
  <c r="Y99" i="103"/>
  <c r="X99" i="103"/>
  <c r="AB98" i="103" a="1"/>
  <c r="AB98" i="103" s="1"/>
  <c r="AA98" i="103" a="1"/>
  <c r="AA98" i="103" s="1"/>
  <c r="Y98" i="103"/>
  <c r="X98" i="103"/>
  <c r="Z98" i="103" s="1"/>
  <c r="AB97" i="103" a="1"/>
  <c r="AB97" i="103" s="1"/>
  <c r="AA97" i="103" a="1"/>
  <c r="AA97" i="103" s="1"/>
  <c r="Y97" i="103"/>
  <c r="X97" i="103"/>
  <c r="AB96" i="103" a="1"/>
  <c r="AB96" i="103" s="1"/>
  <c r="AA96" i="103" a="1"/>
  <c r="AA96" i="103" s="1"/>
  <c r="AC96" i="103" s="1"/>
  <c r="Y96" i="103"/>
  <c r="X96" i="103"/>
  <c r="AB95" i="103" a="1"/>
  <c r="AB95" i="103" s="1"/>
  <c r="AA95" i="103" a="1"/>
  <c r="AA95" i="103" s="1"/>
  <c r="Y95" i="103"/>
  <c r="X95" i="103"/>
  <c r="AB94" i="103" a="1"/>
  <c r="AB94" i="103" s="1"/>
  <c r="AA94" i="103" a="1"/>
  <c r="AA94" i="103" s="1"/>
  <c r="Y94" i="103"/>
  <c r="X94" i="103"/>
  <c r="AB93" i="103" a="1"/>
  <c r="AB93" i="103" s="1"/>
  <c r="AA93" i="103" a="1"/>
  <c r="AA93" i="103" s="1"/>
  <c r="Y93" i="103"/>
  <c r="X93" i="103"/>
  <c r="AB92" i="103" a="1"/>
  <c r="AB92" i="103" s="1"/>
  <c r="AA92" i="103" a="1"/>
  <c r="AA92" i="103" s="1"/>
  <c r="Y92" i="103"/>
  <c r="X92" i="103"/>
  <c r="AB91" i="103" a="1"/>
  <c r="AB91" i="103" s="1"/>
  <c r="AA91" i="103" a="1"/>
  <c r="AA91" i="103" s="1"/>
  <c r="Y91" i="103"/>
  <c r="X91" i="103"/>
  <c r="AB90" i="103" a="1"/>
  <c r="AB90" i="103" s="1"/>
  <c r="AA90" i="103" a="1"/>
  <c r="AA90" i="103" s="1"/>
  <c r="Y90" i="103"/>
  <c r="X90" i="103"/>
  <c r="AB89" i="103" a="1"/>
  <c r="AB89" i="103" s="1"/>
  <c r="AA89" i="103" a="1"/>
  <c r="AA89" i="103" s="1"/>
  <c r="Y89" i="103"/>
  <c r="X89" i="103"/>
  <c r="AB88" i="103" a="1"/>
  <c r="AB88" i="103" s="1"/>
  <c r="AA88" i="103" a="1"/>
  <c r="AA88" i="103" s="1"/>
  <c r="Y88" i="103"/>
  <c r="X88" i="103"/>
  <c r="Z88" i="103" s="1"/>
  <c r="AB87" i="103" a="1"/>
  <c r="AB87" i="103" s="1"/>
  <c r="AA87" i="103" a="1"/>
  <c r="AA87" i="103" s="1"/>
  <c r="Y87" i="103"/>
  <c r="X87" i="103"/>
  <c r="AB86" i="103" a="1"/>
  <c r="AB86" i="103" s="1"/>
  <c r="AA86" i="103" a="1"/>
  <c r="AA86" i="103" s="1"/>
  <c r="Y86" i="103"/>
  <c r="X86" i="103"/>
  <c r="Z85" i="103" s="1"/>
  <c r="AB85" i="103" a="1"/>
  <c r="AB85" i="103" s="1"/>
  <c r="AA85" i="103" a="1"/>
  <c r="AA85" i="103" s="1"/>
  <c r="Y85" i="103"/>
  <c r="X85" i="103"/>
  <c r="AB84" i="103" a="1"/>
  <c r="AB84" i="103" s="1"/>
  <c r="AA84" i="103" a="1"/>
  <c r="AA84" i="103" s="1"/>
  <c r="Y84" i="103"/>
  <c r="X84" i="103"/>
  <c r="AB83" i="103" a="1"/>
  <c r="AB83" i="103" s="1"/>
  <c r="AA83" i="103" a="1"/>
  <c r="AA83" i="103" s="1"/>
  <c r="Y83" i="103"/>
  <c r="X83" i="103"/>
  <c r="AB82" i="103" a="1"/>
  <c r="AB82" i="103" s="1"/>
  <c r="AA82" i="103" a="1"/>
  <c r="AA82" i="103" s="1"/>
  <c r="Y82" i="103"/>
  <c r="X82" i="103"/>
  <c r="AB81" i="103" a="1"/>
  <c r="AB81" i="103" s="1"/>
  <c r="AA81" i="103" a="1"/>
  <c r="AA81" i="103" s="1"/>
  <c r="Y81" i="103"/>
  <c r="X81" i="103"/>
  <c r="AB80" i="103" a="1"/>
  <c r="AB80" i="103" s="1"/>
  <c r="AA80" i="103" a="1"/>
  <c r="AA80" i="103" s="1"/>
  <c r="AC80" i="103" s="1"/>
  <c r="Y80" i="103"/>
  <c r="X80" i="103"/>
  <c r="AB79" i="103" a="1"/>
  <c r="AB79" i="103" s="1"/>
  <c r="AA79" i="103" a="1"/>
  <c r="AA79" i="103" s="1"/>
  <c r="AC79" i="103" s="1"/>
  <c r="Y79" i="103"/>
  <c r="X79" i="103"/>
  <c r="AB78" i="103" a="1"/>
  <c r="AB78" i="103" s="1"/>
  <c r="AA78" i="103" a="1"/>
  <c r="AA78" i="103" s="1"/>
  <c r="Y78" i="103"/>
  <c r="X78" i="103"/>
  <c r="AB77" i="103" a="1"/>
  <c r="AB77" i="103" s="1"/>
  <c r="AA77" i="103" a="1"/>
  <c r="AA77" i="103" s="1"/>
  <c r="Y77" i="103"/>
  <c r="X77" i="103"/>
  <c r="AB76" i="103" a="1"/>
  <c r="AB76" i="103" s="1"/>
  <c r="AA76" i="103" a="1"/>
  <c r="AA76" i="103" s="1"/>
  <c r="AC76" i="103" s="1"/>
  <c r="Y76" i="103"/>
  <c r="X76" i="103"/>
  <c r="Z76" i="103" s="1"/>
  <c r="AB75" i="103" a="1"/>
  <c r="AB75" i="103" s="1"/>
  <c r="AA75" i="103" a="1"/>
  <c r="AA75" i="103" s="1"/>
  <c r="Y75" i="103"/>
  <c r="X75" i="103"/>
  <c r="AB74" i="103" a="1"/>
  <c r="AB74" i="103" s="1"/>
  <c r="AA74" i="103" a="1"/>
  <c r="AA74" i="103" s="1"/>
  <c r="AC74" i="103" s="1"/>
  <c r="Y74" i="103"/>
  <c r="X74" i="103"/>
  <c r="AB73" i="103" a="1"/>
  <c r="AB73" i="103" s="1"/>
  <c r="AA73" i="103" a="1"/>
  <c r="AA73" i="103" s="1"/>
  <c r="Y73" i="103"/>
  <c r="X73" i="103"/>
  <c r="AB72" i="103" a="1"/>
  <c r="AB72" i="103" s="1"/>
  <c r="AA72" i="103" a="1"/>
  <c r="AA72" i="103" s="1"/>
  <c r="AC72" i="103" s="1"/>
  <c r="Y72" i="103"/>
  <c r="X72" i="103"/>
  <c r="AB71" i="103" a="1"/>
  <c r="AB71" i="103" s="1"/>
  <c r="AA71" i="103" a="1"/>
  <c r="AA71" i="103" s="1"/>
  <c r="AC71" i="103" s="1"/>
  <c r="Y71" i="103"/>
  <c r="X71" i="103"/>
  <c r="AB70" i="103" a="1"/>
  <c r="AB70" i="103" s="1"/>
  <c r="AA70" i="103" a="1"/>
  <c r="AA70" i="103" s="1"/>
  <c r="Y70" i="103"/>
  <c r="X70" i="103"/>
  <c r="AB69" i="103" a="1"/>
  <c r="AB69" i="103" s="1"/>
  <c r="AA69" i="103" a="1"/>
  <c r="AA69" i="103" s="1"/>
  <c r="Y69" i="103"/>
  <c r="X69" i="103"/>
  <c r="AB68" i="103" a="1"/>
  <c r="AB68" i="103" s="1"/>
  <c r="AA68" i="103" a="1"/>
  <c r="AA68" i="103" s="1"/>
  <c r="Y68" i="103"/>
  <c r="X68" i="103"/>
  <c r="AB67" i="103" a="1"/>
  <c r="AB67" i="103" s="1"/>
  <c r="AA67" i="103" a="1"/>
  <c r="AA67" i="103" s="1"/>
  <c r="Y67" i="103"/>
  <c r="X67" i="103"/>
  <c r="Z67" i="103" s="1"/>
  <c r="AB66" i="103" a="1"/>
  <c r="AB66" i="103" s="1"/>
  <c r="AA66" i="103" a="1"/>
  <c r="AA66" i="103" s="1"/>
  <c r="Y66" i="103"/>
  <c r="X66" i="103"/>
  <c r="AB65" i="103" a="1"/>
  <c r="AB65" i="103" s="1"/>
  <c r="AA65" i="103" a="1"/>
  <c r="AA65" i="103" s="1"/>
  <c r="Y65" i="103"/>
  <c r="X65" i="103"/>
  <c r="AB64" i="103" a="1"/>
  <c r="AB64" i="103" s="1"/>
  <c r="AA64" i="103" a="1"/>
  <c r="AA64" i="103" s="1"/>
  <c r="AC64" i="103" s="1"/>
  <c r="Y64" i="103"/>
  <c r="X64" i="103"/>
  <c r="AB63" i="103" a="1"/>
  <c r="AB63" i="103" s="1"/>
  <c r="AA63" i="103" a="1"/>
  <c r="AA63" i="103" s="1"/>
  <c r="AC63" i="103" s="1"/>
  <c r="Y63" i="103"/>
  <c r="X63" i="103"/>
  <c r="AB62" i="103" a="1"/>
  <c r="AB62" i="103" s="1"/>
  <c r="AA62" i="103" a="1"/>
  <c r="AA62" i="103" s="1"/>
  <c r="Y62" i="103"/>
  <c r="X62" i="103"/>
  <c r="Z62" i="103" s="1"/>
  <c r="AB61" i="103" a="1"/>
  <c r="AB61" i="103" s="1"/>
  <c r="AA61" i="103" a="1"/>
  <c r="AA61" i="103" s="1"/>
  <c r="Y61" i="103"/>
  <c r="X61" i="103"/>
  <c r="AB60" i="103" a="1"/>
  <c r="AB60" i="103" s="1"/>
  <c r="AA60" i="103" a="1"/>
  <c r="AA60" i="103" s="1"/>
  <c r="Y60" i="103"/>
  <c r="X60" i="103"/>
  <c r="AB59" i="103" a="1"/>
  <c r="AB59" i="103" s="1"/>
  <c r="AA59" i="103" a="1"/>
  <c r="AA59" i="103" s="1"/>
  <c r="Y59" i="103"/>
  <c r="X59" i="103"/>
  <c r="Z59" i="103" s="1"/>
  <c r="AB58" i="103" a="1"/>
  <c r="AB58" i="103" s="1"/>
  <c r="AA58" i="103" a="1"/>
  <c r="AA58" i="103" s="1"/>
  <c r="Y58" i="103"/>
  <c r="X58" i="103"/>
  <c r="AB57" i="103" a="1"/>
  <c r="AB57" i="103" s="1"/>
  <c r="AA57" i="103" a="1"/>
  <c r="AA57" i="103" s="1"/>
  <c r="Y57" i="103"/>
  <c r="X57" i="103"/>
  <c r="Z57" i="103" s="1"/>
  <c r="AB56" i="103" a="1"/>
  <c r="AB56" i="103" s="1"/>
  <c r="AA56" i="103" a="1"/>
  <c r="AA56" i="103" s="1"/>
  <c r="AC56" i="103" s="1"/>
  <c r="Y56" i="103"/>
  <c r="X56" i="103"/>
  <c r="Z56" i="103" s="1"/>
  <c r="AB55" i="103" a="1"/>
  <c r="AB55" i="103" s="1"/>
  <c r="AA55" i="103" a="1"/>
  <c r="AA55" i="103" s="1"/>
  <c r="AC55" i="103" s="1"/>
  <c r="Y55" i="103"/>
  <c r="X55" i="103"/>
  <c r="Z55" i="103" s="1"/>
  <c r="AB54" i="103" a="1"/>
  <c r="AB54" i="103" s="1"/>
  <c r="AA54" i="103" a="1"/>
  <c r="AA54" i="103" s="1"/>
  <c r="Y54" i="103"/>
  <c r="X54" i="103"/>
  <c r="AB53" i="103" a="1"/>
  <c r="AB53" i="103" s="1"/>
  <c r="AA53" i="103" a="1"/>
  <c r="AA53" i="103" s="1"/>
  <c r="Y53" i="103"/>
  <c r="X53" i="103"/>
  <c r="AB52" i="103" a="1"/>
  <c r="AB52" i="103" s="1"/>
  <c r="AA52" i="103" a="1"/>
  <c r="AA52" i="103" s="1"/>
  <c r="Y52" i="103"/>
  <c r="X52" i="103"/>
  <c r="Z52" i="103" s="1"/>
  <c r="AA51" i="103" a="1"/>
  <c r="AA51" i="103" s="1"/>
  <c r="X51" i="103"/>
  <c r="AB50" i="103" a="1"/>
  <c r="AB50" i="103" s="1"/>
  <c r="AA50" i="103"/>
  <c r="AA50" i="103" a="1"/>
  <c r="Y50" i="103"/>
  <c r="X50" i="103"/>
  <c r="AB49" i="103"/>
  <c r="AB49" i="103" a="1"/>
  <c r="AA49" i="103" a="1"/>
  <c r="AA49" i="103" s="1"/>
  <c r="AC49" i="103" s="1"/>
  <c r="Y49" i="103"/>
  <c r="X49" i="103"/>
  <c r="AB48" i="103"/>
  <c r="AB48" i="103" a="1"/>
  <c r="AA48" i="103"/>
  <c r="AA48" i="103" a="1"/>
  <c r="Y48" i="103"/>
  <c r="X48" i="103"/>
  <c r="AB47" i="103"/>
  <c r="AB47" i="103" a="1"/>
  <c r="AA47" i="103"/>
  <c r="AA47" i="103" a="1"/>
  <c r="Y47" i="103"/>
  <c r="X47" i="103"/>
  <c r="AB46" i="103" a="1"/>
  <c r="AB46" i="103" s="1"/>
  <c r="AA46" i="103"/>
  <c r="AA46" i="103" a="1"/>
  <c r="Y46" i="103"/>
  <c r="X46" i="103"/>
  <c r="AB45" i="103"/>
  <c r="AB45" i="103" a="1"/>
  <c r="AA45" i="103" a="1"/>
  <c r="AA45" i="103" s="1"/>
  <c r="Y45" i="103"/>
  <c r="X45" i="103"/>
  <c r="AB44" i="103"/>
  <c r="AB44" i="103" a="1"/>
  <c r="AA44" i="103"/>
  <c r="AC44" i="103" s="1"/>
  <c r="AA44" i="103" a="1"/>
  <c r="Y44" i="103"/>
  <c r="X44" i="103"/>
  <c r="AB43" i="103"/>
  <c r="AB43" i="103" a="1"/>
  <c r="AA43" i="103"/>
  <c r="AA43" i="103" a="1"/>
  <c r="Y43" i="103"/>
  <c r="X43" i="103"/>
  <c r="AB42" i="103" a="1"/>
  <c r="AB42" i="103" s="1"/>
  <c r="AA42" i="103"/>
  <c r="AA42" i="103" a="1"/>
  <c r="Y42" i="103"/>
  <c r="X42" i="103"/>
  <c r="AB41" i="103"/>
  <c r="AB41" i="103" a="1"/>
  <c r="AA41" i="103" a="1"/>
  <c r="AA41" i="103" s="1"/>
  <c r="AC41" i="103" s="1"/>
  <c r="Y41" i="103"/>
  <c r="X41" i="103"/>
  <c r="AB40" i="103"/>
  <c r="AB40" i="103" a="1"/>
  <c r="AA40" i="103"/>
  <c r="AC40" i="103" s="1"/>
  <c r="AA40" i="103" a="1"/>
  <c r="Y40" i="103"/>
  <c r="X40" i="103"/>
  <c r="AB39" i="103"/>
  <c r="AB39" i="103" a="1"/>
  <c r="AA39" i="103"/>
  <c r="AA39" i="103" a="1"/>
  <c r="Y39" i="103"/>
  <c r="X39" i="103"/>
  <c r="AB38" i="103" a="1"/>
  <c r="AB38" i="103" s="1"/>
  <c r="AA38" i="103"/>
  <c r="AA38" i="103" a="1"/>
  <c r="Y38" i="103"/>
  <c r="X38" i="103"/>
  <c r="AB37" i="103"/>
  <c r="AB37" i="103" a="1"/>
  <c r="AA37" i="103" a="1"/>
  <c r="AA37" i="103" s="1"/>
  <c r="AC37" i="103" s="1"/>
  <c r="Y37" i="103"/>
  <c r="X37" i="103"/>
  <c r="AB36" i="103"/>
  <c r="AB36" i="103" a="1"/>
  <c r="AA36" i="103"/>
  <c r="AC36" i="103" s="1"/>
  <c r="AA36" i="103" a="1"/>
  <c r="Y36" i="103"/>
  <c r="X36" i="103"/>
  <c r="AB35" i="103"/>
  <c r="AB35" i="103" a="1"/>
  <c r="AA35" i="103"/>
  <c r="AA35" i="103" a="1"/>
  <c r="Y35" i="103"/>
  <c r="X35" i="103"/>
  <c r="AB34" i="103" a="1"/>
  <c r="AB34" i="103" s="1"/>
  <c r="AA34" i="103"/>
  <c r="AA34" i="103" a="1"/>
  <c r="Y34" i="103"/>
  <c r="X34" i="103"/>
  <c r="AB32" i="103"/>
  <c r="AB32" i="103" a="1"/>
  <c r="AA32" i="103" a="1"/>
  <c r="AA32" i="103" s="1"/>
  <c r="AC32" i="103" s="1"/>
  <c r="Y32" i="103"/>
  <c r="X32" i="103"/>
  <c r="AB31" i="103"/>
  <c r="AB31" i="103" a="1"/>
  <c r="AA31" i="103"/>
  <c r="AC31" i="103" s="1"/>
  <c r="AA31" i="103" a="1"/>
  <c r="Y31" i="103"/>
  <c r="X31" i="103"/>
  <c r="AB30" i="103"/>
  <c r="AB30" i="103" a="1"/>
  <c r="AA30" i="103"/>
  <c r="AA30" i="103" a="1"/>
  <c r="Y30" i="103"/>
  <c r="X30" i="103"/>
  <c r="AB29" i="103" a="1"/>
  <c r="AB29" i="103" s="1"/>
  <c r="AA29" i="103"/>
  <c r="AA29" i="103" a="1"/>
  <c r="Y29" i="103"/>
  <c r="X29" i="103"/>
  <c r="AB28" i="103"/>
  <c r="AB28" i="103" a="1"/>
  <c r="AA28" i="103" a="1"/>
  <c r="AA28" i="103" s="1"/>
  <c r="AC28" i="103" s="1"/>
  <c r="Y28" i="103"/>
  <c r="X28" i="103"/>
  <c r="AB27" i="103"/>
  <c r="AB27" i="103" a="1"/>
  <c r="AA27" i="103"/>
  <c r="AA27" i="103" a="1"/>
  <c r="Y27" i="103"/>
  <c r="X27" i="103"/>
  <c r="Z27" i="103" s="1"/>
  <c r="AB26" i="103"/>
  <c r="AB26" i="103" a="1"/>
  <c r="AA26" i="103"/>
  <c r="AA26" i="103" a="1"/>
  <c r="Y26" i="103"/>
  <c r="X26" i="103"/>
  <c r="AB25" i="103" a="1"/>
  <c r="AB25" i="103" s="1"/>
  <c r="AA25" i="103"/>
  <c r="AA25" i="103" a="1"/>
  <c r="Y25" i="103"/>
  <c r="X25" i="103"/>
  <c r="AB24" i="103"/>
  <c r="AB24" i="103" a="1"/>
  <c r="AA24" i="103" a="1"/>
  <c r="AA24" i="103" s="1"/>
  <c r="AC24" i="103" s="1"/>
  <c r="Y24" i="103"/>
  <c r="X24" i="103"/>
  <c r="AB23" i="103"/>
  <c r="AB23" i="103" a="1"/>
  <c r="AA23" i="103"/>
  <c r="AC23" i="103" s="1"/>
  <c r="AA23" i="103" a="1"/>
  <c r="Y23" i="103"/>
  <c r="X23" i="103"/>
  <c r="AB22" i="103"/>
  <c r="AB22" i="103" a="1"/>
  <c r="AA22" i="103"/>
  <c r="AA22" i="103" a="1"/>
  <c r="Y22" i="103"/>
  <c r="Z22" i="103" s="1"/>
  <c r="X22" i="103"/>
  <c r="AB21" i="103" a="1"/>
  <c r="AB21" i="103" s="1"/>
  <c r="AA21" i="103"/>
  <c r="AA21" i="103" a="1"/>
  <c r="Y21" i="103"/>
  <c r="X21" i="103"/>
  <c r="AB20" i="103"/>
  <c r="AB20" i="103" a="1"/>
  <c r="AA20" i="103" a="1"/>
  <c r="AA20" i="103" s="1"/>
  <c r="AC20" i="103" s="1"/>
  <c r="Y20" i="103"/>
  <c r="X20" i="103"/>
  <c r="AB19" i="103"/>
  <c r="AB19" i="103" a="1"/>
  <c r="AA19" i="103"/>
  <c r="AA19" i="103" a="1"/>
  <c r="Y19" i="103"/>
  <c r="X19" i="103"/>
  <c r="Z19" i="103" s="1"/>
  <c r="AB18" i="103"/>
  <c r="AB18" i="103" a="1"/>
  <c r="AA18" i="103"/>
  <c r="AA18" i="103" a="1"/>
  <c r="Y18" i="103"/>
  <c r="X18" i="103"/>
  <c r="AB17" i="103" a="1"/>
  <c r="AB17" i="103" s="1"/>
  <c r="AA17" i="103"/>
  <c r="AA17" i="103" a="1"/>
  <c r="Y17" i="103"/>
  <c r="X17" i="103"/>
  <c r="AB16" i="103"/>
  <c r="AB16" i="103" a="1"/>
  <c r="AA16" i="103" a="1"/>
  <c r="AA16" i="103" s="1"/>
  <c r="Y16" i="103"/>
  <c r="Z16" i="103" s="1"/>
  <c r="X16" i="103"/>
  <c r="AB15" i="103"/>
  <c r="AB15" i="103" a="1"/>
  <c r="AA15" i="103"/>
  <c r="AA15" i="103" a="1"/>
  <c r="Y15" i="103"/>
  <c r="X15" i="103"/>
  <c r="AB14" i="103"/>
  <c r="AB14" i="103" a="1"/>
  <c r="AA14" i="103"/>
  <c r="AA14" i="103" a="1"/>
  <c r="Y14" i="103"/>
  <c r="Z14" i="103" s="1"/>
  <c r="X14" i="103"/>
  <c r="AB13" i="103" a="1"/>
  <c r="AB13" i="103" s="1"/>
  <c r="AA13" i="103"/>
  <c r="AA13" i="103" a="1"/>
  <c r="Y13" i="103"/>
  <c r="X13" i="103"/>
  <c r="AB12" i="103"/>
  <c r="AB12" i="103" a="1"/>
  <c r="AA12" i="103" a="1"/>
  <c r="AA12" i="103" s="1"/>
  <c r="Y12" i="103"/>
  <c r="X12" i="103"/>
  <c r="AB11" i="103"/>
  <c r="AB11" i="103" a="1"/>
  <c r="AA11" i="103"/>
  <c r="AC11" i="103" s="1"/>
  <c r="AA11" i="103" a="1"/>
  <c r="Y11" i="103"/>
  <c r="X11" i="103"/>
  <c r="Z11" i="103" s="1"/>
  <c r="AB10" i="103"/>
  <c r="AB10" i="103" a="1"/>
  <c r="AA10" i="103"/>
  <c r="AA10" i="103" a="1"/>
  <c r="Y10" i="103"/>
  <c r="X10" i="103"/>
  <c r="AB9" i="103" a="1"/>
  <c r="AB9" i="103" s="1"/>
  <c r="AA9" i="103"/>
  <c r="AA9" i="103" a="1"/>
  <c r="Y9" i="103"/>
  <c r="X9" i="103"/>
  <c r="AB8" i="103"/>
  <c r="AB8" i="103" a="1"/>
  <c r="AA8" i="103" a="1"/>
  <c r="AA8" i="103" s="1"/>
  <c r="Y8" i="103"/>
  <c r="X8" i="103"/>
  <c r="AB7" i="103"/>
  <c r="AB7" i="103" a="1"/>
  <c r="AA7" i="103"/>
  <c r="AA7" i="103" a="1"/>
  <c r="Y7" i="103"/>
  <c r="X7" i="103"/>
  <c r="Z7" i="103" s="1"/>
  <c r="AB6" i="103"/>
  <c r="AB6" i="103" a="1"/>
  <c r="AA6" i="103"/>
  <c r="AA6" i="103" a="1"/>
  <c r="Y6" i="103"/>
  <c r="Z6" i="103" s="1"/>
  <c r="X6" i="103"/>
  <c r="AB5" i="103" a="1"/>
  <c r="AB5" i="103" s="1"/>
  <c r="AA5" i="103" a="1"/>
  <c r="AA5" i="103" s="1"/>
  <c r="Y5" i="103"/>
  <c r="X5" i="103"/>
  <c r="Z5" i="103" s="1"/>
  <c r="AC315" i="103"/>
  <c r="Z315" i="103"/>
  <c r="I315" i="103"/>
  <c r="AC314" i="103"/>
  <c r="Z314" i="103"/>
  <c r="I314" i="103"/>
  <c r="Z313" i="103"/>
  <c r="I313" i="103"/>
  <c r="AC312" i="103"/>
  <c r="I312" i="103"/>
  <c r="AC311" i="103"/>
  <c r="Z311" i="103"/>
  <c r="I311" i="103"/>
  <c r="AC310" i="103"/>
  <c r="H310" i="103"/>
  <c r="AC309" i="103"/>
  <c r="Z309" i="103"/>
  <c r="H309" i="103"/>
  <c r="Z308" i="103"/>
  <c r="Z307" i="103"/>
  <c r="AC306" i="103"/>
  <c r="Z306" i="103"/>
  <c r="I306" i="103"/>
  <c r="AC305" i="103"/>
  <c r="Z305" i="103"/>
  <c r="I305" i="103"/>
  <c r="AC304" i="103"/>
  <c r="Z304" i="103"/>
  <c r="I304" i="103"/>
  <c r="AC303" i="103"/>
  <c r="Z303" i="103"/>
  <c r="I303" i="103"/>
  <c r="AC302" i="103"/>
  <c r="I302" i="103"/>
  <c r="AC301" i="103"/>
  <c r="Z301" i="103"/>
  <c r="I301" i="103"/>
  <c r="AC300" i="103"/>
  <c r="Z300" i="103"/>
  <c r="I300" i="103"/>
  <c r="Z299" i="103"/>
  <c r="I299" i="103"/>
  <c r="AC298" i="103"/>
  <c r="Z298" i="103"/>
  <c r="I298" i="103"/>
  <c r="AC297" i="103"/>
  <c r="Z297" i="103"/>
  <c r="H297" i="103"/>
  <c r="AC296" i="103"/>
  <c r="Z296" i="103"/>
  <c r="H296" i="103"/>
  <c r="Z295" i="103"/>
  <c r="I295" i="103"/>
  <c r="H295" i="103"/>
  <c r="Z294" i="103"/>
  <c r="Z293" i="103"/>
  <c r="AC292" i="103"/>
  <c r="Z292" i="103"/>
  <c r="I292" i="103"/>
  <c r="AC291" i="103"/>
  <c r="Z291" i="103"/>
  <c r="I291" i="103"/>
  <c r="H291" i="103"/>
  <c r="AC290" i="103"/>
  <c r="Z290" i="103"/>
  <c r="I290" i="103"/>
  <c r="H290" i="103"/>
  <c r="AC289" i="103"/>
  <c r="Z289" i="103"/>
  <c r="I289" i="103"/>
  <c r="H289" i="103"/>
  <c r="Z288" i="103"/>
  <c r="I288" i="103"/>
  <c r="H288" i="103"/>
  <c r="AC287" i="103"/>
  <c r="Z287" i="103"/>
  <c r="I287" i="103"/>
  <c r="H287" i="103"/>
  <c r="AC286" i="103"/>
  <c r="Z286" i="103"/>
  <c r="I286" i="103"/>
  <c r="AC285" i="103"/>
  <c r="Z285" i="103"/>
  <c r="I285" i="103"/>
  <c r="H285" i="103"/>
  <c r="Z284" i="103"/>
  <c r="I284" i="103"/>
  <c r="H284" i="103"/>
  <c r="AC283" i="103"/>
  <c r="Z283" i="103"/>
  <c r="I283" i="103"/>
  <c r="H283" i="103"/>
  <c r="AC282" i="103"/>
  <c r="Z282" i="103"/>
  <c r="I282" i="103"/>
  <c r="H282" i="103"/>
  <c r="AC281" i="103"/>
  <c r="Z281" i="103"/>
  <c r="I281" i="103"/>
  <c r="H281" i="103"/>
  <c r="AC280" i="103"/>
  <c r="Z280" i="103"/>
  <c r="I280" i="103"/>
  <c r="H280" i="103"/>
  <c r="AC279" i="103"/>
  <c r="Z279" i="103"/>
  <c r="I279" i="103"/>
  <c r="H279" i="103"/>
  <c r="AC278" i="103"/>
  <c r="Z278" i="103"/>
  <c r="I278" i="103"/>
  <c r="H278" i="103"/>
  <c r="AC277" i="103"/>
  <c r="Z277" i="103"/>
  <c r="I277" i="103"/>
  <c r="H277" i="103"/>
  <c r="Z276" i="103"/>
  <c r="I276" i="103"/>
  <c r="H276" i="103"/>
  <c r="Z275" i="103"/>
  <c r="I275" i="103"/>
  <c r="H275" i="103"/>
  <c r="AC274" i="103"/>
  <c r="Z274" i="103"/>
  <c r="I274" i="103"/>
  <c r="H274" i="103"/>
  <c r="AC273" i="103"/>
  <c r="Z273" i="103"/>
  <c r="I273" i="103"/>
  <c r="H273" i="103"/>
  <c r="AC272" i="103"/>
  <c r="Z272" i="103"/>
  <c r="I272" i="103"/>
  <c r="H272" i="103"/>
  <c r="Z271" i="103"/>
  <c r="I271" i="103"/>
  <c r="H271" i="103"/>
  <c r="AC270" i="103"/>
  <c r="Z270" i="103"/>
  <c r="I270" i="103"/>
  <c r="H270" i="103"/>
  <c r="Z269" i="103"/>
  <c r="I269" i="103"/>
  <c r="H269" i="103"/>
  <c r="Z268" i="103"/>
  <c r="I268" i="103"/>
  <c r="H268" i="103"/>
  <c r="AC267" i="103"/>
  <c r="Z267" i="103"/>
  <c r="I267" i="103"/>
  <c r="H267" i="103"/>
  <c r="AC266" i="103"/>
  <c r="Z266" i="103"/>
  <c r="I266" i="103"/>
  <c r="H266" i="103"/>
  <c r="AC265" i="103"/>
  <c r="Z265" i="103"/>
  <c r="I265" i="103"/>
  <c r="H265" i="103"/>
  <c r="AC264" i="103"/>
  <c r="Z264" i="103"/>
  <c r="I264" i="103"/>
  <c r="H264" i="103"/>
  <c r="Z263" i="103"/>
  <c r="I263" i="103"/>
  <c r="H263" i="103"/>
  <c r="AC262" i="103"/>
  <c r="I262" i="103"/>
  <c r="H262" i="103"/>
  <c r="AC261" i="103"/>
  <c r="Z261" i="103"/>
  <c r="I261" i="103"/>
  <c r="H261" i="103"/>
  <c r="Z260" i="103"/>
  <c r="I260" i="103"/>
  <c r="H260" i="103"/>
  <c r="Z259" i="103"/>
  <c r="AC258" i="103"/>
  <c r="Z258" i="103"/>
  <c r="I258" i="103"/>
  <c r="AC257" i="103"/>
  <c r="H257" i="103"/>
  <c r="AC256" i="103"/>
  <c r="Z256" i="103"/>
  <c r="I256" i="103"/>
  <c r="H256" i="103"/>
  <c r="AC255" i="103"/>
  <c r="Z255" i="103"/>
  <c r="I255" i="103"/>
  <c r="H255" i="103"/>
  <c r="AC254" i="103"/>
  <c r="Z254" i="103"/>
  <c r="I254" i="103"/>
  <c r="H254" i="103"/>
  <c r="AC253" i="103"/>
  <c r="Z253" i="103"/>
  <c r="H253" i="103"/>
  <c r="AC252" i="103"/>
  <c r="Z252" i="103"/>
  <c r="I252" i="103"/>
  <c r="H252" i="103"/>
  <c r="AC251" i="103"/>
  <c r="Z251" i="103"/>
  <c r="I251" i="103"/>
  <c r="H251" i="103"/>
  <c r="Z250" i="103"/>
  <c r="I250" i="103"/>
  <c r="H250" i="103"/>
  <c r="AC249" i="103"/>
  <c r="Z249" i="103"/>
  <c r="I249" i="103"/>
  <c r="H249" i="103"/>
  <c r="Z248" i="103"/>
  <c r="I248" i="103"/>
  <c r="H248" i="103"/>
  <c r="AC247" i="103"/>
  <c r="Z247" i="103"/>
  <c r="I247" i="103"/>
  <c r="H247" i="103"/>
  <c r="AC246" i="103"/>
  <c r="Z246" i="103"/>
  <c r="I246" i="103"/>
  <c r="H246" i="103"/>
  <c r="Z245" i="103"/>
  <c r="I245" i="103"/>
  <c r="H245" i="103"/>
  <c r="AC244" i="103"/>
  <c r="Z244" i="103"/>
  <c r="I244" i="103"/>
  <c r="H244" i="103"/>
  <c r="Z243" i="103"/>
  <c r="I243" i="103"/>
  <c r="H243" i="103"/>
  <c r="AC242" i="103"/>
  <c r="I242" i="103"/>
  <c r="H242" i="103"/>
  <c r="AC241" i="103"/>
  <c r="Z241" i="103"/>
  <c r="I241" i="103"/>
  <c r="H241" i="103"/>
  <c r="AC240" i="103"/>
  <c r="Z240" i="103"/>
  <c r="I240" i="103"/>
  <c r="H240" i="103"/>
  <c r="AC239" i="103"/>
  <c r="Z239" i="103"/>
  <c r="I239" i="103"/>
  <c r="H239" i="103"/>
  <c r="Z238" i="103"/>
  <c r="I238" i="103"/>
  <c r="H238" i="103"/>
  <c r="AC237" i="103"/>
  <c r="Z237" i="103"/>
  <c r="I237" i="103"/>
  <c r="H237" i="103"/>
  <c r="AC236" i="103"/>
  <c r="Z236" i="103"/>
  <c r="I236" i="103"/>
  <c r="H236" i="103"/>
  <c r="Z235" i="103"/>
  <c r="I235" i="103"/>
  <c r="H235" i="103"/>
  <c r="AC234" i="103"/>
  <c r="Z234" i="103"/>
  <c r="I234" i="103"/>
  <c r="H234" i="103"/>
  <c r="AC233" i="103"/>
  <c r="Z233" i="103"/>
  <c r="I233" i="103"/>
  <c r="H233" i="103"/>
  <c r="Z232" i="103"/>
  <c r="I232" i="103"/>
  <c r="H232" i="103"/>
  <c r="AC231" i="103"/>
  <c r="Z231" i="103"/>
  <c r="I231" i="103"/>
  <c r="H231" i="103"/>
  <c r="AC228" i="103"/>
  <c r="Z228" i="103"/>
  <c r="I228" i="103"/>
  <c r="H228" i="103"/>
  <c r="AC227" i="103"/>
  <c r="Z227" i="103"/>
  <c r="I227" i="103"/>
  <c r="H227" i="103"/>
  <c r="Z226" i="103"/>
  <c r="I226" i="103"/>
  <c r="H226" i="103"/>
  <c r="Z225" i="103"/>
  <c r="I225" i="103"/>
  <c r="H225" i="103"/>
  <c r="AC224" i="103"/>
  <c r="Z224" i="103"/>
  <c r="I224" i="103"/>
  <c r="H224" i="103"/>
  <c r="Z223" i="103"/>
  <c r="I223" i="103"/>
  <c r="H223" i="103"/>
  <c r="AC222" i="103"/>
  <c r="I222" i="103"/>
  <c r="H222" i="103"/>
  <c r="AC221" i="103"/>
  <c r="Z221" i="103"/>
  <c r="I221" i="103"/>
  <c r="H221" i="103"/>
  <c r="AC218" i="103"/>
  <c r="Z218" i="103"/>
  <c r="I218" i="103"/>
  <c r="H218" i="103"/>
  <c r="AC217" i="103"/>
  <c r="Z217" i="103"/>
  <c r="I217" i="103"/>
  <c r="H217" i="103"/>
  <c r="AC216" i="103"/>
  <c r="Z216" i="103"/>
  <c r="I216" i="103"/>
  <c r="H216" i="103"/>
  <c r="AC215" i="103"/>
  <c r="Z215" i="103"/>
  <c r="I215" i="103"/>
  <c r="H215" i="103"/>
  <c r="AC214" i="103"/>
  <c r="Z214" i="103"/>
  <c r="I214" i="103"/>
  <c r="H214" i="103"/>
  <c r="Z213" i="103"/>
  <c r="I213" i="103"/>
  <c r="H213" i="103"/>
  <c r="AC212" i="103"/>
  <c r="Z212" i="103"/>
  <c r="I212" i="103"/>
  <c r="H212" i="103"/>
  <c r="I211" i="103"/>
  <c r="H211" i="103"/>
  <c r="AK210" i="103"/>
  <c r="Z209" i="103"/>
  <c r="I210" i="103"/>
  <c r="H210" i="103"/>
  <c r="AC209" i="103"/>
  <c r="I209" i="103"/>
  <c r="H209" i="103"/>
  <c r="I208" i="103"/>
  <c r="H208" i="103"/>
  <c r="AC207" i="103"/>
  <c r="Z207" i="103"/>
  <c r="I207" i="103"/>
  <c r="H207" i="103"/>
  <c r="I206" i="103"/>
  <c r="H206" i="103"/>
  <c r="AC205" i="103"/>
  <c r="Z205" i="103"/>
  <c r="I205" i="103"/>
  <c r="H205" i="103"/>
  <c r="I204" i="103"/>
  <c r="H204" i="103"/>
  <c r="I203" i="103"/>
  <c r="H203" i="103"/>
  <c r="I202" i="103"/>
  <c r="H202" i="103"/>
  <c r="Z201" i="103"/>
  <c r="I201" i="103"/>
  <c r="H201" i="103"/>
  <c r="I200" i="103"/>
  <c r="H200" i="103"/>
  <c r="I199" i="103"/>
  <c r="H199" i="103"/>
  <c r="Z197" i="103"/>
  <c r="I198" i="103"/>
  <c r="H198" i="103"/>
  <c r="AC197" i="103"/>
  <c r="I197" i="103"/>
  <c r="H197" i="103"/>
  <c r="AC195" i="103"/>
  <c r="I196" i="103"/>
  <c r="H196" i="103"/>
  <c r="Z195" i="103"/>
  <c r="I195" i="103"/>
  <c r="H195" i="103"/>
  <c r="I194" i="103"/>
  <c r="H194" i="103"/>
  <c r="Z193" i="103"/>
  <c r="I193" i="103"/>
  <c r="H193" i="103"/>
  <c r="I192" i="103"/>
  <c r="H192" i="103"/>
  <c r="AC191" i="103"/>
  <c r="I191" i="103"/>
  <c r="H191" i="103"/>
  <c r="I190" i="103"/>
  <c r="H190" i="103"/>
  <c r="Z189" i="103"/>
  <c r="I189" i="103"/>
  <c r="H189" i="103"/>
  <c r="I188" i="103"/>
  <c r="H188" i="103"/>
  <c r="AC187" i="103"/>
  <c r="Z187" i="103"/>
  <c r="I187" i="103"/>
  <c r="H187" i="103"/>
  <c r="I186" i="103"/>
  <c r="H186" i="103"/>
  <c r="Z185" i="103"/>
  <c r="I185" i="103"/>
  <c r="H185" i="103"/>
  <c r="I184" i="103"/>
  <c r="H184" i="103"/>
  <c r="Z183" i="103"/>
  <c r="I183" i="103"/>
  <c r="H183" i="103"/>
  <c r="I182" i="103"/>
  <c r="H182" i="103"/>
  <c r="AC181" i="103"/>
  <c r="Z181" i="103"/>
  <c r="I181" i="103"/>
  <c r="H181" i="103"/>
  <c r="Z179" i="103"/>
  <c r="I180" i="103"/>
  <c r="H180" i="103"/>
  <c r="AC179" i="103"/>
  <c r="I179" i="103"/>
  <c r="H179" i="103"/>
  <c r="I178" i="103"/>
  <c r="H178" i="103"/>
  <c r="AC177" i="103"/>
  <c r="Z177" i="103"/>
  <c r="I177" i="103"/>
  <c r="H177" i="103"/>
  <c r="Z175" i="103"/>
  <c r="I176" i="103"/>
  <c r="H176" i="103"/>
  <c r="I175" i="103"/>
  <c r="H175" i="103"/>
  <c r="I174" i="103"/>
  <c r="H174" i="103"/>
  <c r="Z173" i="103"/>
  <c r="I173" i="103"/>
  <c r="H173" i="103"/>
  <c r="I172" i="103"/>
  <c r="H172" i="103"/>
  <c r="AC171" i="103"/>
  <c r="Z171" i="103"/>
  <c r="I171" i="103"/>
  <c r="H171" i="103"/>
  <c r="I170" i="103"/>
  <c r="H170" i="103"/>
  <c r="AC169" i="103"/>
  <c r="Z169" i="103"/>
  <c r="I169" i="103"/>
  <c r="H169" i="103"/>
  <c r="I168" i="103"/>
  <c r="H168" i="103"/>
  <c r="Z167" i="103"/>
  <c r="I167" i="103"/>
  <c r="H167" i="103"/>
  <c r="I166" i="103"/>
  <c r="H166" i="103"/>
  <c r="AC165" i="103"/>
  <c r="I165" i="103"/>
  <c r="H165" i="103"/>
  <c r="I164" i="103"/>
  <c r="H164" i="103"/>
  <c r="Z163" i="103"/>
  <c r="I163" i="103"/>
  <c r="H163" i="103"/>
  <c r="Z160" i="103"/>
  <c r="I160" i="103"/>
  <c r="H160" i="103"/>
  <c r="Z159" i="103"/>
  <c r="I159" i="103"/>
  <c r="H159" i="103"/>
  <c r="I158" i="103"/>
  <c r="H158" i="103"/>
  <c r="Z157" i="103"/>
  <c r="I157" i="103"/>
  <c r="H157" i="103"/>
  <c r="Z156" i="103"/>
  <c r="I156" i="103"/>
  <c r="H156" i="103"/>
  <c r="I155" i="103"/>
  <c r="H155" i="103"/>
  <c r="Z154" i="103"/>
  <c r="I154" i="103"/>
  <c r="H154" i="103"/>
  <c r="AC153" i="103"/>
  <c r="Z153" i="103"/>
  <c r="I153" i="103"/>
  <c r="H153" i="103"/>
  <c r="AC150" i="103"/>
  <c r="Z150" i="103"/>
  <c r="I150" i="103"/>
  <c r="H150" i="103"/>
  <c r="AC149" i="103"/>
  <c r="Z149" i="103"/>
  <c r="I149" i="103"/>
  <c r="H149" i="103"/>
  <c r="Z148" i="103"/>
  <c r="I148" i="103"/>
  <c r="H148" i="103"/>
  <c r="AC147" i="103"/>
  <c r="Z147" i="103"/>
  <c r="I147" i="103"/>
  <c r="H147" i="103"/>
  <c r="AC146" i="103"/>
  <c r="Z146" i="103"/>
  <c r="I146" i="103"/>
  <c r="H146" i="103"/>
  <c r="Z145" i="103"/>
  <c r="I145" i="103"/>
  <c r="H145" i="103"/>
  <c r="Z144" i="103"/>
  <c r="I144" i="103"/>
  <c r="H144" i="103"/>
  <c r="I143" i="103"/>
  <c r="H143" i="103"/>
  <c r="Z140" i="103"/>
  <c r="I140" i="103"/>
  <c r="H140" i="103"/>
  <c r="I139" i="103"/>
  <c r="H139" i="103"/>
  <c r="Z138" i="103"/>
  <c r="I138" i="103"/>
  <c r="H138" i="103"/>
  <c r="AC137" i="103"/>
  <c r="Z137" i="103"/>
  <c r="I137" i="103"/>
  <c r="H137" i="103"/>
  <c r="AC136" i="103"/>
  <c r="Z136" i="103"/>
  <c r="I136" i="103"/>
  <c r="H136" i="103"/>
  <c r="AC135" i="103"/>
  <c r="Z135" i="103"/>
  <c r="I135" i="103"/>
  <c r="H135" i="103"/>
  <c r="Z134" i="103"/>
  <c r="I134" i="103"/>
  <c r="H134" i="103"/>
  <c r="AC133" i="103"/>
  <c r="Z133" i="103"/>
  <c r="I133" i="103"/>
  <c r="H133" i="103"/>
  <c r="AC113" i="103"/>
  <c r="Z113" i="103"/>
  <c r="I113" i="103"/>
  <c r="H113" i="103"/>
  <c r="AC109" i="103"/>
  <c r="Z109" i="103"/>
  <c r="I109" i="103"/>
  <c r="H109" i="103"/>
  <c r="Z108" i="103"/>
  <c r="I108" i="103"/>
  <c r="H108" i="103"/>
  <c r="Z107" i="103"/>
  <c r="I107" i="103"/>
  <c r="H107" i="103"/>
  <c r="AC106" i="103"/>
  <c r="Z106" i="103"/>
  <c r="I106" i="103"/>
  <c r="H106" i="103"/>
  <c r="AC105" i="103"/>
  <c r="Z105" i="103"/>
  <c r="I105" i="103"/>
  <c r="H105" i="103"/>
  <c r="Z104" i="103"/>
  <c r="I104" i="103"/>
  <c r="H104" i="103"/>
  <c r="Z103" i="103"/>
  <c r="I103" i="103"/>
  <c r="H103" i="103"/>
  <c r="Z102" i="103"/>
  <c r="I102" i="103"/>
  <c r="H102" i="103"/>
  <c r="Z101" i="103"/>
  <c r="I101" i="103"/>
  <c r="H101" i="103"/>
  <c r="I100" i="103"/>
  <c r="H100" i="103"/>
  <c r="AC99" i="103"/>
  <c r="Z99" i="103"/>
  <c r="I99" i="103"/>
  <c r="H99" i="103"/>
  <c r="AC98" i="103"/>
  <c r="I98" i="103"/>
  <c r="H98" i="103"/>
  <c r="AC97" i="103"/>
  <c r="Z97" i="103"/>
  <c r="I97" i="103"/>
  <c r="H97" i="103"/>
  <c r="Z96" i="103"/>
  <c r="I96" i="103"/>
  <c r="H96" i="103"/>
  <c r="Z95" i="103"/>
  <c r="I95" i="103"/>
  <c r="H95" i="103"/>
  <c r="I94" i="103"/>
  <c r="H94" i="103"/>
  <c r="AC93" i="103"/>
  <c r="I93" i="103"/>
  <c r="H93" i="103"/>
  <c r="I92" i="103"/>
  <c r="H92" i="103"/>
  <c r="Z91" i="103"/>
  <c r="I91" i="103"/>
  <c r="H91" i="103"/>
  <c r="I90" i="103"/>
  <c r="H90" i="103"/>
  <c r="I89" i="103"/>
  <c r="H89" i="103"/>
  <c r="I88" i="103"/>
  <c r="H88" i="103"/>
  <c r="I87" i="103"/>
  <c r="H87" i="103"/>
  <c r="I86" i="103"/>
  <c r="H86" i="103"/>
  <c r="AC85" i="103"/>
  <c r="I85" i="103"/>
  <c r="H85" i="103"/>
  <c r="I84" i="103"/>
  <c r="H84" i="103"/>
  <c r="Z82" i="103"/>
  <c r="I83" i="103"/>
  <c r="H83" i="103"/>
  <c r="I82" i="103"/>
  <c r="H82" i="103"/>
  <c r="AC81" i="103"/>
  <c r="Z81" i="103"/>
  <c r="I81" i="103"/>
  <c r="H81" i="103"/>
  <c r="Z80" i="103"/>
  <c r="I80" i="103"/>
  <c r="H80" i="103"/>
  <c r="I79" i="103"/>
  <c r="H79" i="103"/>
  <c r="Z78" i="103"/>
  <c r="I78" i="103"/>
  <c r="H78" i="103"/>
  <c r="AC77" i="103"/>
  <c r="I77" i="103"/>
  <c r="H77" i="103"/>
  <c r="I76" i="103"/>
  <c r="H76" i="103"/>
  <c r="AC75" i="103"/>
  <c r="I75" i="103"/>
  <c r="H75" i="103"/>
  <c r="Z74" i="103"/>
  <c r="I74" i="103"/>
  <c r="H74" i="103"/>
  <c r="AC73" i="103"/>
  <c r="Z73" i="103"/>
  <c r="I73" i="103"/>
  <c r="H73" i="103"/>
  <c r="Z72" i="103"/>
  <c r="I72" i="103"/>
  <c r="H72" i="103"/>
  <c r="I71" i="103"/>
  <c r="H71" i="103"/>
  <c r="Z70" i="103"/>
  <c r="I70" i="103"/>
  <c r="H70" i="103"/>
  <c r="AC69" i="103"/>
  <c r="Z69" i="103"/>
  <c r="I69" i="103"/>
  <c r="H69" i="103"/>
  <c r="I68" i="103"/>
  <c r="H68" i="103"/>
  <c r="I67" i="103"/>
  <c r="H67" i="103"/>
  <c r="Z66" i="103"/>
  <c r="I66" i="103"/>
  <c r="H66" i="103"/>
  <c r="I65" i="103"/>
  <c r="H65" i="103"/>
  <c r="Z64" i="103"/>
  <c r="I64" i="103"/>
  <c r="H64" i="103"/>
  <c r="Z63" i="103"/>
  <c r="I63" i="103"/>
  <c r="H63" i="103"/>
  <c r="I62" i="103"/>
  <c r="H62" i="103"/>
  <c r="I61" i="103"/>
  <c r="H61" i="103"/>
  <c r="Z60" i="103"/>
  <c r="I60" i="103"/>
  <c r="H60" i="103"/>
  <c r="I59" i="103"/>
  <c r="H59" i="103"/>
  <c r="I58" i="103"/>
  <c r="H58" i="103"/>
  <c r="AC57" i="103"/>
  <c r="I57" i="103"/>
  <c r="H57" i="103"/>
  <c r="I56" i="103"/>
  <c r="H56" i="103"/>
  <c r="I55" i="103"/>
  <c r="H55" i="103"/>
  <c r="Z54" i="103"/>
  <c r="I54" i="103"/>
  <c r="H54" i="103"/>
  <c r="AC53" i="103"/>
  <c r="Z53" i="103"/>
  <c r="I53" i="103"/>
  <c r="H53" i="103"/>
  <c r="I52" i="103"/>
  <c r="H52" i="103"/>
  <c r="H51" i="103"/>
  <c r="AC50" i="103"/>
  <c r="Z50" i="103"/>
  <c r="I50" i="103"/>
  <c r="H50" i="103"/>
  <c r="Z49" i="103"/>
  <c r="I49" i="103"/>
  <c r="H49" i="103"/>
  <c r="AC47" i="103"/>
  <c r="I48" i="103"/>
  <c r="H48" i="103"/>
  <c r="Z47" i="103"/>
  <c r="I47" i="103"/>
  <c r="H47" i="103"/>
  <c r="Z46" i="103"/>
  <c r="I46" i="103"/>
  <c r="H46" i="103"/>
  <c r="Z45" i="103"/>
  <c r="I45" i="103"/>
  <c r="H45" i="103"/>
  <c r="Z44" i="103"/>
  <c r="I44" i="103"/>
  <c r="H44" i="103"/>
  <c r="AC43" i="103"/>
  <c r="Z43" i="103"/>
  <c r="I43" i="103"/>
  <c r="H43" i="103"/>
  <c r="AC42" i="103"/>
  <c r="Z42" i="103"/>
  <c r="I42" i="103"/>
  <c r="H42" i="103"/>
  <c r="Z41" i="103"/>
  <c r="I41" i="103"/>
  <c r="H41" i="103"/>
  <c r="Z40" i="103"/>
  <c r="I40" i="103"/>
  <c r="H40" i="103"/>
  <c r="AC39" i="103"/>
  <c r="Z39" i="103"/>
  <c r="I39" i="103"/>
  <c r="H39" i="103"/>
  <c r="AC38" i="103"/>
  <c r="Z38" i="103"/>
  <c r="I38" i="103"/>
  <c r="H38" i="103"/>
  <c r="Z37" i="103"/>
  <c r="I37" i="103"/>
  <c r="H37" i="103"/>
  <c r="Z36" i="103"/>
  <c r="I36" i="103"/>
  <c r="H36" i="103"/>
  <c r="AC35" i="103"/>
  <c r="Z35" i="103"/>
  <c r="I35" i="103"/>
  <c r="H35" i="103"/>
  <c r="AC34" i="103"/>
  <c r="Z34" i="103"/>
  <c r="I34" i="103"/>
  <c r="H34" i="103"/>
  <c r="Z32" i="103"/>
  <c r="I32" i="103"/>
  <c r="H32" i="103"/>
  <c r="Z31" i="103"/>
  <c r="I31" i="103"/>
  <c r="H31" i="103"/>
  <c r="I30" i="103"/>
  <c r="H30" i="103"/>
  <c r="I29" i="103"/>
  <c r="H29" i="103"/>
  <c r="Z28" i="103"/>
  <c r="I28" i="103"/>
  <c r="H28" i="103"/>
  <c r="AC27" i="103"/>
  <c r="I27" i="103"/>
  <c r="H27" i="103"/>
  <c r="AC25" i="103"/>
  <c r="I26" i="103"/>
  <c r="H26" i="103"/>
  <c r="Z25" i="103"/>
  <c r="I25" i="103"/>
  <c r="H25" i="103"/>
  <c r="Z24" i="103"/>
  <c r="I24" i="103"/>
  <c r="H24" i="103"/>
  <c r="Z23" i="103"/>
  <c r="I23" i="103"/>
  <c r="H23" i="103"/>
  <c r="I22" i="103"/>
  <c r="H22" i="103"/>
  <c r="I21" i="103"/>
  <c r="H21" i="103"/>
  <c r="Z20" i="103"/>
  <c r="I20" i="103"/>
  <c r="H20" i="103"/>
  <c r="AC19" i="103"/>
  <c r="I19" i="103"/>
  <c r="H19" i="103"/>
  <c r="AC18" i="103"/>
  <c r="Z18" i="103"/>
  <c r="I18" i="103"/>
  <c r="H18" i="103"/>
  <c r="Z17" i="103"/>
  <c r="I17" i="103"/>
  <c r="H17" i="103"/>
  <c r="I16" i="103"/>
  <c r="H16" i="103"/>
  <c r="I15" i="103"/>
  <c r="H15" i="103"/>
  <c r="AC14" i="103"/>
  <c r="I14" i="103"/>
  <c r="H14" i="103"/>
  <c r="AC13" i="103"/>
  <c r="Z13" i="103"/>
  <c r="I13" i="103"/>
  <c r="H13" i="103"/>
  <c r="Z12" i="103"/>
  <c r="I12" i="103"/>
  <c r="H12" i="103"/>
  <c r="I11" i="103"/>
  <c r="H11" i="103"/>
  <c r="I10" i="103"/>
  <c r="H10" i="103"/>
  <c r="AC9" i="103"/>
  <c r="Z9" i="103"/>
  <c r="I9" i="103"/>
  <c r="H9" i="103"/>
  <c r="I8" i="103"/>
  <c r="H8" i="103"/>
  <c r="I7" i="103"/>
  <c r="H7" i="103"/>
  <c r="AC6" i="103"/>
  <c r="I6" i="103"/>
  <c r="H6" i="103"/>
  <c r="I5" i="103"/>
  <c r="H5" i="103"/>
  <c r="AA228" i="102" a="1"/>
  <c r="AA228" i="102" s="1"/>
  <c r="Z228" i="102" a="1"/>
  <c r="Z228" i="102" s="1"/>
  <c r="AA225" i="102" a="1"/>
  <c r="AA225" i="102" s="1"/>
  <c r="Z225" i="102" a="1"/>
  <c r="Z225" i="102" s="1"/>
  <c r="AA220" i="102" a="1"/>
  <c r="AA220" i="102" s="1"/>
  <c r="Z220" i="102" a="1"/>
  <c r="Z220" i="102" s="1"/>
  <c r="AA214" i="102" a="1"/>
  <c r="AA214" i="102" s="1"/>
  <c r="Z214" i="102" a="1"/>
  <c r="Z214" i="102" s="1"/>
  <c r="AA210" i="102" a="1"/>
  <c r="AA210" i="102" s="1"/>
  <c r="Z210" i="102" a="1"/>
  <c r="Z210" i="102" s="1"/>
  <c r="AA207" i="102" a="1"/>
  <c r="AA207" i="102" s="1"/>
  <c r="Z207" i="102" a="1"/>
  <c r="Z207" i="102" s="1"/>
  <c r="Y207" i="102"/>
  <c r="AF207" i="102" s="1"/>
  <c r="AA204" i="102" a="1"/>
  <c r="AA204" i="102" s="1"/>
  <c r="Z204" i="102" a="1"/>
  <c r="Z204" i="102" s="1"/>
  <c r="AA198" i="102" a="1"/>
  <c r="AA198" i="102" s="1"/>
  <c r="Z198" i="102" a="1"/>
  <c r="Z198" i="102" s="1"/>
  <c r="AA195" i="102" a="1"/>
  <c r="AA195" i="102" s="1"/>
  <c r="Z195" i="102" a="1"/>
  <c r="Z195" i="102" s="1"/>
  <c r="Y195" i="102"/>
  <c r="AF195" i="102" s="1"/>
  <c r="AA187" i="102" a="1"/>
  <c r="AA187" i="102" s="1"/>
  <c r="Z187" i="102" a="1"/>
  <c r="Z187" i="102" s="1"/>
  <c r="Y187" i="102"/>
  <c r="AF187" i="102" s="1"/>
  <c r="AA177" i="102" a="1"/>
  <c r="AA177" i="102" s="1"/>
  <c r="Z177" i="102" a="1"/>
  <c r="Z177" i="102" s="1"/>
  <c r="AA167" i="102" a="1"/>
  <c r="AA167" i="102" s="1"/>
  <c r="Z167" i="102" a="1"/>
  <c r="Z167" i="102" s="1"/>
  <c r="Y167" i="102"/>
  <c r="AF167" i="102" s="1"/>
  <c r="AA157" i="102" a="1"/>
  <c r="AA157" i="102" s="1"/>
  <c r="Z157" i="102" a="1"/>
  <c r="Z157" i="102" s="1"/>
  <c r="AA147" i="102" a="1"/>
  <c r="AA147" i="102" s="1"/>
  <c r="Z147" i="102" a="1"/>
  <c r="Z147" i="102" s="1"/>
  <c r="AA135" i="102" a="1"/>
  <c r="AA135" i="102" s="1"/>
  <c r="Z135" i="102" a="1"/>
  <c r="Z135" i="102" s="1"/>
  <c r="AA127" i="102" a="1"/>
  <c r="AA127" i="102" s="1"/>
  <c r="Z127" i="102" a="1"/>
  <c r="Z127" i="102" s="1"/>
  <c r="AA116" i="102" a="1"/>
  <c r="AA116" i="102" s="1"/>
  <c r="Z116" i="102" a="1"/>
  <c r="Z116" i="102" s="1"/>
  <c r="AA105" i="102" a="1"/>
  <c r="AA105" i="102" s="1"/>
  <c r="Z105" i="102" a="1"/>
  <c r="Z105" i="102" s="1"/>
  <c r="AA95" i="102" a="1"/>
  <c r="AA95" i="102" s="1"/>
  <c r="Z95" i="102" a="1"/>
  <c r="Z95" i="102" s="1"/>
  <c r="Y95" i="102"/>
  <c r="AF95" i="102" s="1"/>
  <c r="AA85" i="102" a="1"/>
  <c r="AA85" i="102" s="1"/>
  <c r="Z85" i="102" a="1"/>
  <c r="Z85" i="102" s="1"/>
  <c r="AA75" i="102" a="1"/>
  <c r="AA75" i="102" s="1"/>
  <c r="Z75" i="102" a="1"/>
  <c r="Z75" i="102" s="1"/>
  <c r="AA64" i="102" a="1"/>
  <c r="AA64" i="102" s="1"/>
  <c r="Z64" i="102" a="1"/>
  <c r="Z64" i="102" s="1"/>
  <c r="Y64" i="102"/>
  <c r="AF64" i="102" s="1"/>
  <c r="AA52" i="102" a="1"/>
  <c r="AA52" i="102" s="1"/>
  <c r="Z52" i="102" a="1"/>
  <c r="Z52" i="102" s="1"/>
  <c r="AA40" i="102" a="1"/>
  <c r="AA40" i="102" s="1"/>
  <c r="Z40" i="102" a="1"/>
  <c r="Z40" i="102" s="1"/>
  <c r="Y40" i="102"/>
  <c r="AF40" i="102" s="1"/>
  <c r="AA28" i="102" a="1"/>
  <c r="AA28" i="102" s="1"/>
  <c r="Z28" i="102" a="1"/>
  <c r="Z28" i="102" s="1"/>
  <c r="Y28" i="102"/>
  <c r="AF28" i="102" s="1"/>
  <c r="AA16" i="102" a="1"/>
  <c r="AA16" i="102" s="1"/>
  <c r="Z16" i="102" a="1"/>
  <c r="Z16" i="102" s="1"/>
  <c r="AA14" i="102" a="1"/>
  <c r="AA14" i="102" s="1"/>
  <c r="Z14" i="102" a="1"/>
  <c r="Z14" i="102" s="1"/>
  <c r="AA13" i="102" a="1"/>
  <c r="AA13" i="102" s="1"/>
  <c r="Z13" i="102" a="1"/>
  <c r="Z13" i="102" s="1"/>
  <c r="AA12" i="102" a="1"/>
  <c r="AA12" i="102" s="1"/>
  <c r="Z12" i="102" a="1"/>
  <c r="Z12" i="102" s="1"/>
  <c r="Y12" i="102"/>
  <c r="AF12" i="102" s="1"/>
  <c r="AA11" i="102" a="1"/>
  <c r="AA11" i="102" s="1"/>
  <c r="Z11" i="102" a="1"/>
  <c r="Z11" i="102" s="1"/>
  <c r="AA10" i="102" a="1"/>
  <c r="AA10" i="102" s="1"/>
  <c r="Z10" i="102" a="1"/>
  <c r="Z10" i="102" s="1"/>
  <c r="AA9" i="102" a="1"/>
  <c r="AA9" i="102" s="1"/>
  <c r="Z9" i="102" a="1"/>
  <c r="Z9" i="102" s="1"/>
  <c r="Z8" i="102" a="1"/>
  <c r="Z8" i="102" s="1"/>
  <c r="AB8" i="102" s="1"/>
  <c r="Y8" i="102"/>
  <c r="AF8" i="102" s="1"/>
  <c r="Z7" i="102" a="1"/>
  <c r="Z7" i="102"/>
  <c r="Y7" i="102"/>
  <c r="AF7" i="102" s="1"/>
  <c r="AA6" i="102" a="1"/>
  <c r="AA6" i="102" s="1"/>
  <c r="AB6" i="102" s="1"/>
  <c r="Z5" i="102" a="1"/>
  <c r="Z5" i="102"/>
  <c r="Y225" i="102"/>
  <c r="AF225" i="102" s="1"/>
  <c r="Y177" i="102"/>
  <c r="AF177" i="102" s="1"/>
  <c r="Y75" i="102"/>
  <c r="AF75" i="102" s="1"/>
  <c r="Y52" i="102"/>
  <c r="AF52" i="102" s="1"/>
  <c r="Y16" i="102"/>
  <c r="AF16" i="102" s="1"/>
  <c r="Y157" i="102"/>
  <c r="AF157" i="102" s="1"/>
  <c r="AB7" i="102"/>
  <c r="AF233" i="102"/>
  <c r="AF232" i="102"/>
  <c r="AF231" i="102"/>
  <c r="AF230" i="102"/>
  <c r="AF229" i="102"/>
  <c r="Y228" i="102"/>
  <c r="AF228" i="102" s="1"/>
  <c r="H228" i="102"/>
  <c r="G228" i="102"/>
  <c r="AF227" i="102"/>
  <c r="AF226" i="102"/>
  <c r="H225" i="102"/>
  <c r="G225" i="102"/>
  <c r="AF224" i="102"/>
  <c r="AF223" i="102"/>
  <c r="AF222" i="102"/>
  <c r="AF221" i="102"/>
  <c r="Y220" i="102"/>
  <c r="AF220" i="102" s="1"/>
  <c r="H220" i="102"/>
  <c r="G220" i="102"/>
  <c r="AF219" i="102"/>
  <c r="AF218" i="102"/>
  <c r="AF217" i="102"/>
  <c r="AF216" i="102"/>
  <c r="AF215" i="102"/>
  <c r="Y214" i="102"/>
  <c r="AF214" i="102" s="1"/>
  <c r="H214" i="102"/>
  <c r="G214" i="102"/>
  <c r="AF213" i="102"/>
  <c r="AF212" i="102"/>
  <c r="AF211" i="102"/>
  <c r="Y210" i="102"/>
  <c r="AF210" i="102" s="1"/>
  <c r="H210" i="102"/>
  <c r="G210" i="102"/>
  <c r="AF209" i="102"/>
  <c r="AF208" i="102"/>
  <c r="H207" i="102"/>
  <c r="G207" i="102"/>
  <c r="AF206" i="102"/>
  <c r="AF205" i="102"/>
  <c r="H204" i="102"/>
  <c r="G204" i="102"/>
  <c r="AF203" i="102"/>
  <c r="AF202" i="102"/>
  <c r="AF201" i="102"/>
  <c r="AF200" i="102"/>
  <c r="AF199" i="102"/>
  <c r="H198" i="102"/>
  <c r="G198" i="102"/>
  <c r="AF197" i="102"/>
  <c r="AF196" i="102"/>
  <c r="H195" i="102"/>
  <c r="G195" i="102"/>
  <c r="AF194" i="102"/>
  <c r="AF193" i="102"/>
  <c r="AF192" i="102"/>
  <c r="AF191" i="102"/>
  <c r="AF190" i="102"/>
  <c r="AF189" i="102"/>
  <c r="AF188" i="102"/>
  <c r="H187" i="102"/>
  <c r="G187" i="102"/>
  <c r="AF186" i="102"/>
  <c r="AF185" i="102"/>
  <c r="AF184" i="102"/>
  <c r="AF183" i="102"/>
  <c r="AF182" i="102"/>
  <c r="AF181" i="102"/>
  <c r="AF180" i="102"/>
  <c r="AF179" i="102"/>
  <c r="AF178" i="102"/>
  <c r="H177" i="102"/>
  <c r="G177" i="102"/>
  <c r="AF176" i="102"/>
  <c r="AF175" i="102"/>
  <c r="AF174" i="102"/>
  <c r="AF173" i="102"/>
  <c r="AF172" i="102"/>
  <c r="AF171" i="102"/>
  <c r="AF170" i="102"/>
  <c r="AF169" i="102"/>
  <c r="AF168" i="102"/>
  <c r="H167" i="102"/>
  <c r="G167" i="102"/>
  <c r="AF166" i="102"/>
  <c r="AF165" i="102"/>
  <c r="AF164" i="102"/>
  <c r="AF163" i="102"/>
  <c r="AF162" i="102"/>
  <c r="AF161" i="102"/>
  <c r="AF160" i="102"/>
  <c r="AF159" i="102"/>
  <c r="AF158" i="102"/>
  <c r="H157" i="102"/>
  <c r="G157" i="102"/>
  <c r="AF156" i="102"/>
  <c r="AF155" i="102"/>
  <c r="AF154" i="102"/>
  <c r="AF153" i="102"/>
  <c r="AF152" i="102"/>
  <c r="AF151" i="102"/>
  <c r="AF150" i="102"/>
  <c r="AF149" i="102"/>
  <c r="AF148" i="102"/>
  <c r="Y147" i="102"/>
  <c r="AF147" i="102" s="1"/>
  <c r="H147" i="102"/>
  <c r="G147" i="102"/>
  <c r="AF146" i="102"/>
  <c r="AF145" i="102"/>
  <c r="AF144" i="102"/>
  <c r="AF143" i="102"/>
  <c r="AF142" i="102"/>
  <c r="AF141" i="102"/>
  <c r="AF140" i="102"/>
  <c r="AF139" i="102"/>
  <c r="AF138" i="102"/>
  <c r="AF137" i="102"/>
  <c r="AF136" i="102"/>
  <c r="H135" i="102"/>
  <c r="G135" i="102"/>
  <c r="AF134" i="102"/>
  <c r="AF133" i="102"/>
  <c r="AF132" i="102"/>
  <c r="AF131" i="102"/>
  <c r="AF130" i="102"/>
  <c r="AF129" i="102"/>
  <c r="AF128" i="102"/>
  <c r="H127" i="102"/>
  <c r="G127" i="102"/>
  <c r="AF126" i="102"/>
  <c r="AF125" i="102"/>
  <c r="AF124" i="102"/>
  <c r="AF123" i="102"/>
  <c r="AF122" i="102"/>
  <c r="AF121" i="102"/>
  <c r="AF120" i="102"/>
  <c r="AF119" i="102"/>
  <c r="AF118" i="102"/>
  <c r="AF117" i="102"/>
  <c r="H116" i="102"/>
  <c r="G116" i="102"/>
  <c r="AF115" i="102"/>
  <c r="AF114" i="102"/>
  <c r="AF113" i="102"/>
  <c r="AF112" i="102"/>
  <c r="AF111" i="102"/>
  <c r="AF110" i="102"/>
  <c r="AF109" i="102"/>
  <c r="AF108" i="102"/>
  <c r="AF107" i="102"/>
  <c r="AF106" i="102"/>
  <c r="H105" i="102"/>
  <c r="G105" i="102"/>
  <c r="AF104" i="102"/>
  <c r="AF103" i="102"/>
  <c r="AF102" i="102"/>
  <c r="AF101" i="102"/>
  <c r="AF100" i="102"/>
  <c r="AF99" i="102"/>
  <c r="AF98" i="102"/>
  <c r="AF97" i="102"/>
  <c r="AF96" i="102"/>
  <c r="H95" i="102"/>
  <c r="G95" i="102"/>
  <c r="AF94" i="102"/>
  <c r="AF93" i="102"/>
  <c r="AF92" i="102"/>
  <c r="AF91" i="102"/>
  <c r="AF90" i="102"/>
  <c r="AF89" i="102"/>
  <c r="AF88" i="102"/>
  <c r="AF87" i="102"/>
  <c r="AF86" i="102"/>
  <c r="Y85" i="102"/>
  <c r="AF85" i="102" s="1"/>
  <c r="H85" i="102"/>
  <c r="G85" i="102"/>
  <c r="AF84" i="102"/>
  <c r="AF83" i="102"/>
  <c r="AF82" i="102"/>
  <c r="AF81" i="102"/>
  <c r="AF80" i="102"/>
  <c r="AF79" i="102"/>
  <c r="AF78" i="102"/>
  <c r="AF77" i="102"/>
  <c r="AF76" i="102"/>
  <c r="H75" i="102"/>
  <c r="G75" i="102"/>
  <c r="AF74" i="102"/>
  <c r="AF73" i="102"/>
  <c r="AF72" i="102"/>
  <c r="AF71" i="102"/>
  <c r="AF70" i="102"/>
  <c r="AF69" i="102"/>
  <c r="AF68" i="102"/>
  <c r="AF67" i="102"/>
  <c r="AF66" i="102"/>
  <c r="AF65" i="102"/>
  <c r="H64" i="102"/>
  <c r="G64" i="102"/>
  <c r="AF63" i="102"/>
  <c r="AF62" i="102"/>
  <c r="AF61" i="102"/>
  <c r="AF60" i="102"/>
  <c r="AF59" i="102"/>
  <c r="AF58" i="102"/>
  <c r="AF57" i="102"/>
  <c r="AF56" i="102"/>
  <c r="AF55" i="102"/>
  <c r="AF54" i="102"/>
  <c r="AF53" i="102"/>
  <c r="H52" i="102"/>
  <c r="G52" i="102"/>
  <c r="AF51" i="102"/>
  <c r="AF50" i="102"/>
  <c r="AF49" i="102"/>
  <c r="AF48" i="102"/>
  <c r="AF47" i="102"/>
  <c r="AF46" i="102"/>
  <c r="AF45" i="102"/>
  <c r="AF44" i="102"/>
  <c r="AF43" i="102"/>
  <c r="AF42" i="102"/>
  <c r="AF41" i="102"/>
  <c r="H40" i="102"/>
  <c r="G40" i="102"/>
  <c r="AF39" i="102"/>
  <c r="AF38" i="102"/>
  <c r="AF37" i="102"/>
  <c r="AF36" i="102"/>
  <c r="AF35" i="102"/>
  <c r="AF34" i="102"/>
  <c r="AF33" i="102"/>
  <c r="AF32" i="102"/>
  <c r="AF31" i="102"/>
  <c r="AF30" i="102"/>
  <c r="AF29" i="102"/>
  <c r="H28" i="102"/>
  <c r="G28" i="102"/>
  <c r="AF27" i="102"/>
  <c r="AF26" i="102"/>
  <c r="AF25" i="102"/>
  <c r="AF24" i="102"/>
  <c r="AF23" i="102"/>
  <c r="AF22" i="102"/>
  <c r="AF21" i="102"/>
  <c r="AF20" i="102"/>
  <c r="AF19" i="102"/>
  <c r="AF18" i="102"/>
  <c r="AF17" i="102"/>
  <c r="H16" i="102"/>
  <c r="G16" i="102"/>
  <c r="AF15" i="102"/>
  <c r="H14" i="102"/>
  <c r="G14" i="102"/>
  <c r="H13" i="102"/>
  <c r="G13" i="102"/>
  <c r="H12" i="102"/>
  <c r="G12" i="102"/>
  <c r="H11" i="102"/>
  <c r="G11" i="102"/>
  <c r="H10" i="102"/>
  <c r="G10" i="102"/>
  <c r="H9" i="102"/>
  <c r="G9" i="102"/>
  <c r="G8" i="102"/>
  <c r="G7" i="102"/>
  <c r="Y6" i="102"/>
  <c r="AF6" i="102" s="1"/>
  <c r="H6" i="102"/>
  <c r="Y5" i="102"/>
  <c r="G5" i="102"/>
  <c r="Z123" i="96" l="1"/>
  <c r="Y14" i="102"/>
  <c r="AF14" i="102" s="1"/>
  <c r="Y204" i="102"/>
  <c r="AF204" i="102" s="1"/>
  <c r="Y13" i="102"/>
  <c r="AF13" i="102" s="1"/>
  <c r="Y198" i="102"/>
  <c r="AF198" i="102" s="1"/>
  <c r="Y10" i="102"/>
  <c r="AF10" i="102" s="1"/>
  <c r="Y116" i="102"/>
  <c r="AF116" i="102" s="1"/>
  <c r="Y127" i="102"/>
  <c r="AF127" i="102" s="1"/>
  <c r="AL97" i="112"/>
  <c r="AL101" i="112"/>
  <c r="AL166" i="112"/>
  <c r="AL170" i="112"/>
  <c r="AL211" i="112"/>
  <c r="AL49" i="112"/>
  <c r="AL96" i="112"/>
  <c r="AL100" i="112"/>
  <c r="AL104" i="112"/>
  <c r="AJ279" i="112"/>
  <c r="AL144" i="112"/>
  <c r="AL165" i="112"/>
  <c r="AL169" i="112"/>
  <c r="AL173" i="112"/>
  <c r="AL191" i="112"/>
  <c r="AL8" i="112"/>
  <c r="AL23" i="112"/>
  <c r="AL188" i="112"/>
  <c r="AL214" i="112"/>
  <c r="AI279" i="112"/>
  <c r="AL99" i="112"/>
  <c r="AL103" i="112"/>
  <c r="AL148" i="112"/>
  <c r="AL164" i="112"/>
  <c r="AL168" i="112"/>
  <c r="AL172" i="112"/>
  <c r="AL190" i="112"/>
  <c r="AL197" i="112"/>
  <c r="AL226" i="112"/>
  <c r="AL98" i="112"/>
  <c r="AL102" i="112"/>
  <c r="AL167" i="112"/>
  <c r="AL171" i="112"/>
  <c r="AL196" i="112"/>
  <c r="AC139" i="96"/>
  <c r="AC128" i="96"/>
  <c r="AC145" i="96"/>
  <c r="AC152" i="96"/>
  <c r="AC159" i="96"/>
  <c r="AC108" i="96"/>
  <c r="AC112" i="96"/>
  <c r="AC138" i="96"/>
  <c r="AC149" i="96"/>
  <c r="AC158" i="96"/>
  <c r="AC168" i="96"/>
  <c r="AC186" i="96"/>
  <c r="AC197" i="96"/>
  <c r="AC205" i="96"/>
  <c r="AC110" i="96"/>
  <c r="AC155" i="96"/>
  <c r="AC179" i="96"/>
  <c r="Z213" i="96"/>
  <c r="Z227" i="96"/>
  <c r="Z235" i="96"/>
  <c r="Z255" i="96"/>
  <c r="Z257" i="96"/>
  <c r="Z272" i="96"/>
  <c r="AC284" i="96"/>
  <c r="AC285" i="96"/>
  <c r="AC295" i="96"/>
  <c r="AC324" i="96"/>
  <c r="AA344" i="96"/>
  <c r="Z200" i="96"/>
  <c r="Z220" i="96"/>
  <c r="Z253" i="96"/>
  <c r="AC275" i="96"/>
  <c r="AC276" i="96"/>
  <c r="AC301" i="96"/>
  <c r="AC329" i="96"/>
  <c r="AC273" i="96"/>
  <c r="AC310" i="96"/>
  <c r="Z327" i="96"/>
  <c r="AC333" i="96"/>
  <c r="AC98" i="96"/>
  <c r="Z231" i="96"/>
  <c r="Z208" i="96"/>
  <c r="Z249" i="96"/>
  <c r="AC280" i="96"/>
  <c r="AC281" i="96"/>
  <c r="AC291" i="96"/>
  <c r="AC331" i="96"/>
  <c r="Z295" i="96"/>
  <c r="Z191" i="103"/>
  <c r="AC12" i="103"/>
  <c r="AC45" i="103"/>
  <c r="AA316" i="103"/>
  <c r="AC5" i="103"/>
  <c r="AC7" i="103"/>
  <c r="AC16" i="103"/>
  <c r="AC17" i="103"/>
  <c r="AC52" i="103"/>
  <c r="AC54" i="103"/>
  <c r="AB316" i="103"/>
  <c r="AC60" i="103"/>
  <c r="AC65" i="103"/>
  <c r="AC67" i="103"/>
  <c r="AC88" i="103"/>
  <c r="AC91" i="103"/>
  <c r="AC107" i="103"/>
  <c r="AC139" i="103"/>
  <c r="AC143" i="103"/>
  <c r="AC175" i="103"/>
  <c r="AC232" i="103"/>
  <c r="AC59" i="103"/>
  <c r="AC58" i="103"/>
  <c r="Z93" i="103"/>
  <c r="AC95" i="103"/>
  <c r="AC101" i="103"/>
  <c r="AC103" i="103"/>
  <c r="AC159" i="103"/>
  <c r="AC173" i="103"/>
  <c r="AC183" i="103"/>
  <c r="AC185" i="103"/>
  <c r="AC189" i="103"/>
  <c r="AC193" i="103"/>
  <c r="Z199" i="103"/>
  <c r="AF210" i="103" s="1"/>
  <c r="AC225" i="103"/>
  <c r="AC100" i="103"/>
  <c r="AC102" i="103"/>
  <c r="Z155" i="103"/>
  <c r="AC157" i="103"/>
  <c r="AC163" i="103"/>
  <c r="Z71" i="103"/>
  <c r="Z75" i="103"/>
  <c r="Z77" i="103"/>
  <c r="Z79" i="103"/>
  <c r="AC156" i="103"/>
  <c r="AC199" i="103"/>
  <c r="AC201" i="103"/>
  <c r="AC203" i="103"/>
  <c r="Z58" i="103"/>
  <c r="Z65" i="103"/>
  <c r="Z68" i="103"/>
  <c r="Z139" i="103"/>
  <c r="Z143" i="103"/>
  <c r="Z316" i="103" s="1"/>
  <c r="Z317" i="103" s="1"/>
  <c r="AC145" i="103"/>
  <c r="AC155" i="103"/>
  <c r="AC167" i="103"/>
  <c r="AC62" i="103"/>
  <c r="AC70" i="103"/>
  <c r="AF101" i="103"/>
  <c r="AC78" i="103"/>
  <c r="AC82" i="103"/>
  <c r="AC140" i="103"/>
  <c r="AC144" i="103"/>
  <c r="AC213" i="103"/>
  <c r="Z222" i="103"/>
  <c r="Z242" i="103"/>
  <c r="AC276" i="103"/>
  <c r="AC295" i="103"/>
  <c r="AF306" i="103"/>
  <c r="AF244" i="103"/>
  <c r="AC235" i="103"/>
  <c r="AF258" i="103"/>
  <c r="AC250" i="103"/>
  <c r="AC238" i="103"/>
  <c r="AC263" i="103"/>
  <c r="AC284" i="103"/>
  <c r="AC226" i="103"/>
  <c r="AC243" i="103"/>
  <c r="AC248" i="103"/>
  <c r="AC260" i="103"/>
  <c r="AC288" i="103"/>
  <c r="AC211" i="103"/>
  <c r="AC245" i="103"/>
  <c r="AC269" i="103"/>
  <c r="AC223" i="103"/>
  <c r="AC268" i="103"/>
  <c r="AF313" i="103"/>
  <c r="AB9" i="102"/>
  <c r="AB11" i="102"/>
  <c r="AB13" i="102"/>
  <c r="AB16" i="102"/>
  <c r="AB40" i="102"/>
  <c r="AB64" i="102"/>
  <c r="AB85" i="102"/>
  <c r="AB105" i="102"/>
  <c r="AB127" i="102"/>
  <c r="AB147" i="102"/>
  <c r="AB167" i="102"/>
  <c r="AB187" i="102"/>
  <c r="AB198" i="102"/>
  <c r="AB207" i="102"/>
  <c r="AB10" i="102"/>
  <c r="AB14" i="102"/>
  <c r="AB28" i="102"/>
  <c r="AB52" i="102"/>
  <c r="AB75" i="102"/>
  <c r="AB95" i="102"/>
  <c r="AB116" i="102"/>
  <c r="AB135" i="102"/>
  <c r="AB157" i="102"/>
  <c r="AB177" i="102"/>
  <c r="AB195" i="102"/>
  <c r="AB210" i="102"/>
  <c r="AB220" i="102"/>
  <c r="AB228" i="102"/>
  <c r="Z235" i="102"/>
  <c r="AB214" i="102"/>
  <c r="AB204" i="102"/>
  <c r="AF5" i="102"/>
  <c r="AB12" i="102"/>
  <c r="AB225" i="102"/>
  <c r="AB5" i="102"/>
  <c r="Y235" i="102" l="1"/>
  <c r="Y236" i="102" s="1"/>
  <c r="AF234" i="102"/>
  <c r="Z344" i="96"/>
  <c r="Z345" i="96" s="1"/>
  <c r="AJ210" i="103"/>
  <c r="AL210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K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S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T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S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S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27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<sst xmlns="http://schemas.openxmlformats.org/spreadsheetml/2006/main" count="60018" uniqueCount="9723">
  <si>
    <t>7층 전송 및 고객 랙별 부하 사용내역</t>
    <phoneticPr fontId="11" type="noConversion"/>
  </si>
  <si>
    <t>2023년 기준</t>
    <phoneticPr fontId="11" type="noConversion"/>
  </si>
  <si>
    <t>구분</t>
  </si>
  <si>
    <t>DEKR
NO.</t>
    <phoneticPr fontId="11" type="noConversion"/>
  </si>
  <si>
    <t>BAY
NAME</t>
  </si>
  <si>
    <t>RACK
NAME</t>
  </si>
  <si>
    <t>전원구성</t>
  </si>
  <si>
    <t>차단기 정보(수정)</t>
    <phoneticPr fontId="11" type="noConversion"/>
  </si>
  <si>
    <t>Fuse/차단기 정보</t>
    <phoneticPr fontId="11" type="noConversion"/>
  </si>
  <si>
    <t>IPD/2차분전반
사용정보</t>
    <phoneticPr fontId="11" type="noConversion"/>
  </si>
  <si>
    <t>2차 분전반/정류기
정보</t>
    <phoneticPr fontId="11" type="noConversion"/>
  </si>
  <si>
    <t>1차 분전반 사용정보</t>
    <phoneticPr fontId="11" type="noConversion"/>
  </si>
  <si>
    <t>1차 분전반 정보</t>
    <phoneticPr fontId="11" type="noConversion"/>
  </si>
  <si>
    <t>배전반 정보</t>
    <phoneticPr fontId="11" type="noConversion"/>
  </si>
  <si>
    <t>TR 정보</t>
    <phoneticPr fontId="11" type="noConversion"/>
  </si>
  <si>
    <t>RACK별 장비명</t>
  </si>
  <si>
    <t>비고</t>
  </si>
  <si>
    <t>AC</t>
  </si>
  <si>
    <t>DC</t>
  </si>
  <si>
    <t>A</t>
    <phoneticPr fontId="11" type="noConversion"/>
  </si>
  <si>
    <t>B</t>
    <phoneticPr fontId="11" type="noConversion"/>
  </si>
  <si>
    <t>A전원</t>
    <phoneticPr fontId="11" type="noConversion"/>
  </si>
  <si>
    <t>B전원</t>
    <phoneticPr fontId="11" type="noConversion"/>
  </si>
  <si>
    <t>합계</t>
    <phoneticPr fontId="11" type="noConversion"/>
  </si>
  <si>
    <t>SJT</t>
    <phoneticPr fontId="11" type="noConversion"/>
  </si>
  <si>
    <t>정류기실</t>
    <phoneticPr fontId="11" type="noConversion"/>
  </si>
  <si>
    <t>SJT 정류기1</t>
    <phoneticPr fontId="11" type="noConversion"/>
  </si>
  <si>
    <t>○</t>
  </si>
  <si>
    <t>7-1-A4-06 / 4P 225A</t>
    <phoneticPr fontId="11" type="noConversion"/>
  </si>
  <si>
    <t>7-1-A4
(4P 400A)</t>
    <phoneticPr fontId="11" type="noConversion"/>
  </si>
  <si>
    <t>LV-7A #06 / 3P 320A
(U7-6A)</t>
    <phoneticPr fontId="11" type="noConversion"/>
  </si>
  <si>
    <t>TR-7A 1000kVA</t>
    <phoneticPr fontId="11" type="noConversion"/>
  </si>
  <si>
    <t>SJT 정류기2</t>
    <phoneticPr fontId="11" type="noConversion"/>
  </si>
  <si>
    <t>7-1-B4-01 / 3P 150A</t>
    <phoneticPr fontId="11" type="noConversion"/>
  </si>
  <si>
    <t>7-1-B4
(4P 400A)</t>
    <phoneticPr fontId="11" type="noConversion"/>
  </si>
  <si>
    <t>LV-7B #07 / 3P 320A
(U7-7B)</t>
    <phoneticPr fontId="11" type="noConversion"/>
  </si>
  <si>
    <t>TR-7B 1000kVA</t>
    <phoneticPr fontId="11" type="noConversion"/>
  </si>
  <si>
    <t>1열</t>
  </si>
  <si>
    <t>B625</t>
    <phoneticPr fontId="11" type="noConversion"/>
  </si>
  <si>
    <t>111 BAY</t>
  </si>
  <si>
    <t>111B_ZTE325</t>
  </si>
  <si>
    <t>A-2</t>
  </si>
  <si>
    <t>B-2</t>
  </si>
  <si>
    <t>IPD A-2-57 / 35A</t>
    <phoneticPr fontId="11" type="noConversion"/>
  </si>
  <si>
    <t>IPD B-2-57 / 35A</t>
    <phoneticPr fontId="11" type="noConversion"/>
  </si>
  <si>
    <t>IPD A-2</t>
    <phoneticPr fontId="11" type="noConversion"/>
  </si>
  <si>
    <t>IPD B-2</t>
    <phoneticPr fontId="11" type="noConversion"/>
  </si>
  <si>
    <t>정류기 A
-48V 1400A</t>
    <phoneticPr fontId="11" type="noConversion"/>
  </si>
  <si>
    <t>정류기 B
-48V 1400A</t>
    <phoneticPr fontId="11" type="noConversion"/>
  </si>
  <si>
    <t>UPS 출력
배전반A,
#06 
4P 225A</t>
    <phoneticPr fontId="11" type="noConversion"/>
  </si>
  <si>
    <t>UPS 출력
배전반B,
 #01
3P 150A</t>
    <phoneticPr fontId="11" type="noConversion"/>
  </si>
  <si>
    <t>UPS 출력
배전반A,
4P 400A</t>
    <phoneticPr fontId="11" type="noConversion"/>
  </si>
  <si>
    <t>UPS 출력
배전반B,
4P 400A</t>
    <phoneticPr fontId="11" type="noConversion"/>
  </si>
  <si>
    <t>B624</t>
    <phoneticPr fontId="11" type="noConversion"/>
  </si>
  <si>
    <t>112 BAY</t>
  </si>
  <si>
    <t>112B_ZTE325</t>
  </si>
  <si>
    <t>IPD A-2-54 / 35A</t>
    <phoneticPr fontId="11" type="noConversion"/>
  </si>
  <si>
    <t>IPD B-2-54 / 35A</t>
    <phoneticPr fontId="11" type="noConversion"/>
  </si>
  <si>
    <t>B623</t>
    <phoneticPr fontId="11" type="noConversion"/>
  </si>
  <si>
    <t>113 BAY</t>
  </si>
  <si>
    <t>113B_ZTE325</t>
  </si>
  <si>
    <t>IPD A-2-55 / 35A</t>
    <phoneticPr fontId="11" type="noConversion"/>
  </si>
  <si>
    <t>IPD B-2-55 / 35A</t>
    <phoneticPr fontId="11" type="noConversion"/>
  </si>
  <si>
    <t>B622</t>
    <phoneticPr fontId="11" type="noConversion"/>
  </si>
  <si>
    <t>114 BAY</t>
  </si>
  <si>
    <t>114B_ZTE325</t>
  </si>
  <si>
    <t>IPD A-2-56 / 35A</t>
    <phoneticPr fontId="11" type="noConversion"/>
  </si>
  <si>
    <t>IPD B-2-56 / 35A</t>
    <phoneticPr fontId="11" type="noConversion"/>
  </si>
  <si>
    <t>B621</t>
    <phoneticPr fontId="11" type="noConversion"/>
  </si>
  <si>
    <t>115 BAY</t>
  </si>
  <si>
    <t>115B_ZTE325</t>
  </si>
  <si>
    <t>IPD A-2-59 / 35A</t>
    <phoneticPr fontId="11" type="noConversion"/>
  </si>
  <si>
    <t>IPD B-2-59 / 35A</t>
    <phoneticPr fontId="11" type="noConversion"/>
  </si>
  <si>
    <t>B620</t>
    <phoneticPr fontId="11" type="noConversion"/>
  </si>
  <si>
    <t>116 BAY</t>
  </si>
  <si>
    <t>116B_ZTE385</t>
  </si>
  <si>
    <t>IPD A-2-61 / 35A</t>
    <phoneticPr fontId="11" type="noConversion"/>
  </si>
  <si>
    <t>IPD B-2-61 / 35A</t>
    <phoneticPr fontId="11" type="noConversion"/>
  </si>
  <si>
    <t>B619</t>
    <phoneticPr fontId="11" type="noConversion"/>
  </si>
  <si>
    <t>117 BAY</t>
  </si>
  <si>
    <t>117B_ZTE385</t>
  </si>
  <si>
    <t>IPD A-2-60 / 35A</t>
    <phoneticPr fontId="11" type="noConversion"/>
  </si>
  <si>
    <t>IPD B-2-60 / 35A</t>
    <phoneticPr fontId="11" type="noConversion"/>
  </si>
  <si>
    <t>B618</t>
    <phoneticPr fontId="11" type="noConversion"/>
  </si>
  <si>
    <t>118 BAY</t>
  </si>
  <si>
    <t>118B_ZTE385</t>
  </si>
  <si>
    <t>IPD A-2-64 / 50A</t>
    <phoneticPr fontId="11" type="noConversion"/>
  </si>
  <si>
    <t>IPD B-2-64 / 50A</t>
    <phoneticPr fontId="11" type="noConversion"/>
  </si>
  <si>
    <t>B617</t>
    <phoneticPr fontId="11" type="noConversion"/>
  </si>
  <si>
    <t>119 BAY</t>
  </si>
  <si>
    <t>119B_우리넷</t>
  </si>
  <si>
    <t>IPD A-2-65 / 35A</t>
    <phoneticPr fontId="11" type="noConversion"/>
  </si>
  <si>
    <t>IPD B-2-65 / 35A</t>
    <phoneticPr fontId="11" type="noConversion"/>
  </si>
  <si>
    <t>B616</t>
    <phoneticPr fontId="11" type="noConversion"/>
  </si>
  <si>
    <t>120 BAY</t>
  </si>
  <si>
    <t>120B_ZTE325</t>
  </si>
  <si>
    <t>IPD A-2-67 / 50A</t>
    <phoneticPr fontId="11" type="noConversion"/>
  </si>
  <si>
    <t>IPD B-2-67 / 50A</t>
    <phoneticPr fontId="11" type="noConversion"/>
  </si>
  <si>
    <t>B615</t>
    <phoneticPr fontId="11" type="noConversion"/>
  </si>
  <si>
    <t>121 BAY</t>
  </si>
  <si>
    <t>121B_ZTE325</t>
  </si>
  <si>
    <t>IPD A-2-66 / 50A</t>
    <phoneticPr fontId="11" type="noConversion"/>
  </si>
  <si>
    <t>IPD B-2-66 / 50A</t>
    <phoneticPr fontId="11" type="noConversion"/>
  </si>
  <si>
    <t>2열</t>
  </si>
  <si>
    <t>C409</t>
    <phoneticPr fontId="11" type="noConversion"/>
  </si>
  <si>
    <t>202 BAY</t>
  </si>
  <si>
    <t>203B_인테넷팀</t>
  </si>
  <si>
    <t>U3-7A-32 / 2P 30A</t>
    <phoneticPr fontId="11" type="noConversion"/>
  </si>
  <si>
    <t>U3-7B-32 / 2P 30A</t>
  </si>
  <si>
    <t>U3-7A
(U7-5A)
4P 300A</t>
    <phoneticPr fontId="11" type="noConversion"/>
  </si>
  <si>
    <t>U3-7B
(U7-6B)
4P 300A</t>
    <phoneticPr fontId="11" type="noConversion"/>
  </si>
  <si>
    <t>LV-7A #05 / 3P 320A
(U7-5A)</t>
    <phoneticPr fontId="11" type="noConversion"/>
  </si>
  <si>
    <t>LV-7B #06 / 3P 320A
(U7-6B)</t>
  </si>
  <si>
    <t>'23.07. 31  전기투입/세종요청 1랙 증설</t>
  </si>
  <si>
    <t>C408</t>
    <phoneticPr fontId="11" type="noConversion"/>
  </si>
  <si>
    <t>203 BAY</t>
  </si>
  <si>
    <t>203B_세종/아톤AWS</t>
    <phoneticPr fontId="11" type="noConversion"/>
  </si>
  <si>
    <t>세종 긴급청약</t>
    <phoneticPr fontId="11" type="noConversion"/>
  </si>
  <si>
    <t>22.07.14 구성 및 전기투입</t>
    <phoneticPr fontId="31" type="noConversion"/>
  </si>
  <si>
    <t>C407</t>
    <phoneticPr fontId="11" type="noConversion"/>
  </si>
  <si>
    <t>204 BAY</t>
  </si>
  <si>
    <t>204B_인테넷팀</t>
  </si>
  <si>
    <t>U3-7A-25 / 2P 30A</t>
    <phoneticPr fontId="11" type="noConversion"/>
  </si>
  <si>
    <t>U3-7B-25 / 2P 30A</t>
    <phoneticPr fontId="11" type="noConversion"/>
  </si>
  <si>
    <t>인터넷팀 장비</t>
  </si>
  <si>
    <t>C406</t>
    <phoneticPr fontId="11" type="noConversion"/>
  </si>
  <si>
    <t>205 BAY</t>
  </si>
  <si>
    <t>205B_인테넷팀</t>
  </si>
  <si>
    <t>U3-7A-23 / 2P 30A</t>
    <phoneticPr fontId="11" type="noConversion"/>
  </si>
  <si>
    <t>U3-7B-23 / 2P 30A</t>
    <phoneticPr fontId="11" type="noConversion"/>
  </si>
  <si>
    <t>C405</t>
    <phoneticPr fontId="11" type="noConversion"/>
  </si>
  <si>
    <t>206 BAY</t>
  </si>
  <si>
    <t>206B_인테넷팀</t>
  </si>
  <si>
    <t>U3-7A-21 / 2P 30A</t>
    <phoneticPr fontId="11" type="noConversion"/>
  </si>
  <si>
    <t>U3-7B-21 / 2P 30A</t>
    <phoneticPr fontId="11" type="noConversion"/>
  </si>
  <si>
    <t>C404</t>
    <phoneticPr fontId="11" type="noConversion"/>
  </si>
  <si>
    <t>207 BAY</t>
  </si>
  <si>
    <t>207B_인테넷팀</t>
  </si>
  <si>
    <t>U3-7A-19 / 2P 30A</t>
    <phoneticPr fontId="11" type="noConversion"/>
  </si>
  <si>
    <t>U3-7B-19 / 2P 30A</t>
    <phoneticPr fontId="11" type="noConversion"/>
  </si>
  <si>
    <t>C403</t>
    <phoneticPr fontId="11" type="noConversion"/>
  </si>
  <si>
    <t>208 BAY</t>
  </si>
  <si>
    <t>208B_인테넷팀</t>
  </si>
  <si>
    <t>U3-7A-17 / 2P 30A</t>
    <phoneticPr fontId="11" type="noConversion"/>
  </si>
  <si>
    <t>U3-7B-17 / 2P 30A</t>
    <phoneticPr fontId="11" type="noConversion"/>
  </si>
  <si>
    <t>U3-7A-27 / 2P 30A</t>
    <phoneticPr fontId="11" type="noConversion"/>
  </si>
  <si>
    <t>U3-7B-27 / 2P 30A</t>
    <phoneticPr fontId="11" type="noConversion"/>
  </si>
  <si>
    <t>C402</t>
    <phoneticPr fontId="11" type="noConversion"/>
  </si>
  <si>
    <t>209 BAY</t>
  </si>
  <si>
    <t>209B_인테넷팀</t>
  </si>
  <si>
    <t>U3-7A-11 / 2P 30A</t>
    <phoneticPr fontId="11" type="noConversion"/>
  </si>
  <si>
    <t>U3-7B-11 / 2P 30A</t>
    <phoneticPr fontId="11" type="noConversion"/>
  </si>
  <si>
    <t>AC 콘센트 라벨 : 409Bay-A &amp; 409Bay-B</t>
    <phoneticPr fontId="31" type="noConversion"/>
  </si>
  <si>
    <t>C401</t>
    <phoneticPr fontId="11" type="noConversion"/>
  </si>
  <si>
    <t>210 BAY</t>
  </si>
  <si>
    <t>210B_인테넷팀</t>
  </si>
  <si>
    <t>U3-7A-13 / 2P 30A</t>
    <phoneticPr fontId="11" type="noConversion"/>
  </si>
  <si>
    <t>U3-7B-13 / 2P 30A</t>
    <phoneticPr fontId="11" type="noConversion"/>
  </si>
  <si>
    <t>AC 콘센트 라벨 : 410Bay-A &amp; 410Bay-B</t>
    <phoneticPr fontId="31" type="noConversion"/>
  </si>
  <si>
    <t>B524</t>
    <phoneticPr fontId="11" type="noConversion"/>
  </si>
  <si>
    <t>212 BAY</t>
  </si>
  <si>
    <t>212B_코위버155M</t>
  </si>
  <si>
    <t>IPD A-2-12 / 50A</t>
    <phoneticPr fontId="11" type="noConversion"/>
  </si>
  <si>
    <t>IPD B-2-12 / 50A</t>
    <phoneticPr fontId="11" type="noConversion"/>
  </si>
  <si>
    <t>213 BAY</t>
  </si>
  <si>
    <t>214 BAY</t>
  </si>
  <si>
    <t>215 BAY</t>
  </si>
  <si>
    <t>216 BAY</t>
  </si>
  <si>
    <t>B517</t>
    <phoneticPr fontId="11" type="noConversion"/>
  </si>
  <si>
    <t>217 BAY</t>
  </si>
  <si>
    <t>DEKR, Network Rack#1</t>
    <phoneticPr fontId="11" type="noConversion"/>
  </si>
  <si>
    <t>U3-7A-16 / 2P 30A</t>
    <phoneticPr fontId="11" type="noConversion"/>
  </si>
  <si>
    <t>U3-7B-16 / 2P 30A</t>
    <phoneticPr fontId="11" type="noConversion"/>
  </si>
  <si>
    <t>U3-7A(U7-5A)
4P 300A</t>
    <phoneticPr fontId="11" type="noConversion"/>
  </si>
  <si>
    <t>U3-7B(U7-6B)
4P 300A</t>
  </si>
  <si>
    <t>2022.01.12 전기투입</t>
    <phoneticPr fontId="11" type="noConversion"/>
  </si>
  <si>
    <t>B516</t>
    <phoneticPr fontId="11" type="noConversion"/>
  </si>
  <si>
    <t>218 BAY</t>
  </si>
  <si>
    <t>DEKR, Network Rack#2</t>
  </si>
  <si>
    <t>U3-7A-14 / 2P 30A</t>
    <phoneticPr fontId="11" type="noConversion"/>
  </si>
  <si>
    <t>U3-7B-14 / 2P 30A</t>
    <phoneticPr fontId="11" type="noConversion"/>
  </si>
  <si>
    <t>2022.01.12 전기투입</t>
  </si>
  <si>
    <t>B515</t>
    <phoneticPr fontId="11" type="noConversion"/>
  </si>
  <si>
    <t>219 BAY</t>
  </si>
  <si>
    <t>219B_코위버PTN</t>
  </si>
  <si>
    <t>IPD A-2-22 / 50A</t>
    <phoneticPr fontId="11" type="noConversion"/>
  </si>
  <si>
    <t>IPD B-2-22 / 50A</t>
    <phoneticPr fontId="11" type="noConversion"/>
  </si>
  <si>
    <t>B510</t>
    <phoneticPr fontId="11" type="noConversion"/>
  </si>
  <si>
    <t>223 BAY</t>
  </si>
  <si>
    <t>223B_코위버155M</t>
  </si>
  <si>
    <t>A-3</t>
  </si>
  <si>
    <t>B-3</t>
  </si>
  <si>
    <t>IPD A-3-18 / 35A</t>
    <phoneticPr fontId="11" type="noConversion"/>
  </si>
  <si>
    <t>IPD B-3-18 / 35A</t>
    <phoneticPr fontId="11" type="noConversion"/>
  </si>
  <si>
    <t>IPD A-3</t>
    <phoneticPr fontId="11" type="noConversion"/>
  </si>
  <si>
    <t>IPD B-3</t>
    <phoneticPr fontId="11" type="noConversion"/>
  </si>
  <si>
    <t>B509</t>
    <phoneticPr fontId="11" type="noConversion"/>
  </si>
  <si>
    <t>224 BAY</t>
  </si>
  <si>
    <t>224B_우리넷</t>
  </si>
  <si>
    <t>IPD A-3-19 / 35A</t>
    <phoneticPr fontId="11" type="noConversion"/>
  </si>
  <si>
    <t>IPD B-3-19 / 50A</t>
    <phoneticPr fontId="11" type="noConversion"/>
  </si>
  <si>
    <t>B508</t>
    <phoneticPr fontId="11" type="noConversion"/>
  </si>
  <si>
    <t>225 BAY</t>
  </si>
  <si>
    <t>225B_코위버622M</t>
  </si>
  <si>
    <t>IPD A-3-52 / 35A</t>
    <phoneticPr fontId="11" type="noConversion"/>
  </si>
  <si>
    <t>IPD B-3-23 / 35A</t>
    <phoneticPr fontId="11" type="noConversion"/>
  </si>
  <si>
    <t>PDP 2개</t>
  </si>
  <si>
    <t>IPD A-3-55 / 35A</t>
    <phoneticPr fontId="11" type="noConversion"/>
  </si>
  <si>
    <t>IPD B-3-54 / 35A</t>
    <phoneticPr fontId="11" type="noConversion"/>
  </si>
  <si>
    <t>B507</t>
    <phoneticPr fontId="11" type="noConversion"/>
  </si>
  <si>
    <t>226 BAY</t>
  </si>
  <si>
    <t>226B_코위버155M</t>
  </si>
  <si>
    <t>IPD A-3-20 / 35A</t>
    <phoneticPr fontId="11" type="noConversion"/>
  </si>
  <si>
    <t>IPD B-3-20 / 50A</t>
    <phoneticPr fontId="11" type="noConversion"/>
  </si>
  <si>
    <t>B506</t>
    <phoneticPr fontId="11" type="noConversion"/>
  </si>
  <si>
    <t>227 BAY</t>
  </si>
  <si>
    <t>227B_ZTE385</t>
  </si>
  <si>
    <t>IPD A-3-21 / 50A</t>
    <phoneticPr fontId="11" type="noConversion"/>
  </si>
  <si>
    <t>IPD B-3-21 / 50A</t>
    <phoneticPr fontId="11" type="noConversion"/>
  </si>
  <si>
    <t>B505</t>
    <phoneticPr fontId="11" type="noConversion"/>
  </si>
  <si>
    <t>228 BAY</t>
  </si>
  <si>
    <t>228B_ZTE385</t>
  </si>
  <si>
    <t>IPD A-3-49 / 50A</t>
    <phoneticPr fontId="11" type="noConversion"/>
  </si>
  <si>
    <t>IPD B-3-49 / 35A</t>
    <phoneticPr fontId="11" type="noConversion"/>
  </si>
  <si>
    <t>B504</t>
    <phoneticPr fontId="11" type="noConversion"/>
  </si>
  <si>
    <t>229 BAY</t>
  </si>
  <si>
    <t>229B_ZTE385</t>
  </si>
  <si>
    <t>IPD A-3-50 / 35A</t>
    <phoneticPr fontId="11" type="noConversion"/>
  </si>
  <si>
    <t>IPD B-3-50 / 35A</t>
    <phoneticPr fontId="11" type="noConversion"/>
  </si>
  <si>
    <t>B503</t>
    <phoneticPr fontId="11" type="noConversion"/>
  </si>
  <si>
    <t>230 BAY</t>
  </si>
  <si>
    <t>230B_ZTE385</t>
  </si>
  <si>
    <t>IPD A-3-51 / 35A</t>
    <phoneticPr fontId="11" type="noConversion"/>
  </si>
  <si>
    <t>IPD B-3-51 / 35A</t>
    <phoneticPr fontId="11" type="noConversion"/>
  </si>
  <si>
    <t>B502</t>
    <phoneticPr fontId="11" type="noConversion"/>
  </si>
  <si>
    <t>231 BAY</t>
  </si>
  <si>
    <t>231B_ZTE385</t>
  </si>
  <si>
    <t>IPD A-3-22 / 35A</t>
    <phoneticPr fontId="11" type="noConversion"/>
  </si>
  <si>
    <t>IPD B-3-22 / 35A</t>
    <phoneticPr fontId="11" type="noConversion"/>
  </si>
  <si>
    <t>A510</t>
    <phoneticPr fontId="11" type="noConversion"/>
  </si>
  <si>
    <t>236 BAY</t>
  </si>
  <si>
    <t>236B_CN4200</t>
  </si>
  <si>
    <t>A-4</t>
  </si>
  <si>
    <t>B-4</t>
  </si>
  <si>
    <t>IPD A-4-53 / 35A</t>
    <phoneticPr fontId="11" type="noConversion"/>
  </si>
  <si>
    <t>IPD B-4-53 / 35A</t>
    <phoneticPr fontId="11" type="noConversion"/>
  </si>
  <si>
    <t>IPD A-4</t>
    <phoneticPr fontId="11" type="noConversion"/>
  </si>
  <si>
    <t>IPD B-4</t>
    <phoneticPr fontId="11" type="noConversion"/>
  </si>
  <si>
    <t>A509</t>
    <phoneticPr fontId="11" type="noConversion"/>
  </si>
  <si>
    <t>237 BAY</t>
  </si>
  <si>
    <t>237B_CN4200</t>
  </si>
  <si>
    <t>IPD A-4-52 / 35A</t>
    <phoneticPr fontId="11" type="noConversion"/>
  </si>
  <si>
    <t>IPD B-4-52 / 35A</t>
    <phoneticPr fontId="11" type="noConversion"/>
  </si>
  <si>
    <t>A508</t>
    <phoneticPr fontId="11" type="noConversion"/>
  </si>
  <si>
    <t>238 BAY</t>
  </si>
  <si>
    <t>238B_동원DWDM</t>
  </si>
  <si>
    <t>IPD A-4-45 / 50A</t>
    <phoneticPr fontId="11" type="noConversion"/>
  </si>
  <si>
    <t>IPD B-4-51 / 50A</t>
    <phoneticPr fontId="11" type="noConversion"/>
  </si>
  <si>
    <t>A507</t>
    <phoneticPr fontId="11" type="noConversion"/>
  </si>
  <si>
    <t>239 BAY</t>
  </si>
  <si>
    <t>239B_OSN7500</t>
  </si>
  <si>
    <t>IPD A-4-10 / 50A</t>
    <phoneticPr fontId="11" type="noConversion"/>
  </si>
  <si>
    <t>IPD B-4-43 / 50A</t>
    <phoneticPr fontId="11" type="noConversion"/>
  </si>
  <si>
    <t>IPD 3개</t>
  </si>
  <si>
    <t>IPD A-4-11 / 50A</t>
    <phoneticPr fontId="11" type="noConversion"/>
  </si>
  <si>
    <t>IPD B-4-44 / 50A</t>
    <phoneticPr fontId="11" type="noConversion"/>
  </si>
  <si>
    <t>IPD A-4-18 / 50A</t>
    <phoneticPr fontId="11" type="noConversion"/>
  </si>
  <si>
    <t>IPD B-4-45 / 50A</t>
    <phoneticPr fontId="11" type="noConversion"/>
  </si>
  <si>
    <t>A506</t>
    <phoneticPr fontId="11" type="noConversion"/>
  </si>
  <si>
    <t>240 BAY</t>
  </si>
  <si>
    <t>240B_코위버CWDM</t>
  </si>
  <si>
    <t>IPD A-4-27 / 50A</t>
    <phoneticPr fontId="11" type="noConversion"/>
  </si>
  <si>
    <t>IPD B-4-57 / 50A</t>
    <phoneticPr fontId="11" type="noConversion"/>
  </si>
  <si>
    <t>IPD A-4-33 / 50A</t>
    <phoneticPr fontId="11" type="noConversion"/>
  </si>
  <si>
    <t>IPD B-4-33 / 50A</t>
    <phoneticPr fontId="11" type="noConversion"/>
  </si>
  <si>
    <t>A505</t>
    <phoneticPr fontId="11" type="noConversion"/>
  </si>
  <si>
    <t>241 BAY</t>
  </si>
  <si>
    <t>241B_인테넷팀</t>
  </si>
  <si>
    <t>U3-7A-07 / 2P 30A</t>
    <phoneticPr fontId="11" type="noConversion"/>
  </si>
  <si>
    <t>U3-7B-07 / 2P 30A</t>
    <phoneticPr fontId="11" type="noConversion"/>
  </si>
  <si>
    <t>A504</t>
    <phoneticPr fontId="11" type="noConversion"/>
  </si>
  <si>
    <t>242 BAY</t>
  </si>
  <si>
    <t>242B_인테넷팀</t>
  </si>
  <si>
    <t>U3-7A-09 / 2P 30A</t>
    <phoneticPr fontId="11" type="noConversion"/>
  </si>
  <si>
    <t>U3-7B-09 / 2P 30A</t>
    <phoneticPr fontId="11" type="noConversion"/>
  </si>
  <si>
    <t>A503</t>
    <phoneticPr fontId="11" type="noConversion"/>
  </si>
  <si>
    <t>243 BAY</t>
  </si>
  <si>
    <t>243B_코위버CWDM</t>
  </si>
  <si>
    <t>IPD A-4-28 / 50A</t>
    <phoneticPr fontId="11" type="noConversion"/>
  </si>
  <si>
    <t>IPD B-4-28 / 50A</t>
    <phoneticPr fontId="11" type="noConversion"/>
  </si>
  <si>
    <t>A502</t>
    <phoneticPr fontId="11" type="noConversion"/>
  </si>
  <si>
    <t>244 BAY</t>
  </si>
  <si>
    <t>244B_코위버CWDM</t>
  </si>
  <si>
    <t>IPD A-4-26 / 50A</t>
    <phoneticPr fontId="11" type="noConversion"/>
  </si>
  <si>
    <t>IPD B-4-26 / 50A</t>
    <phoneticPr fontId="11" type="noConversion"/>
  </si>
  <si>
    <t>3열</t>
  </si>
  <si>
    <t>C310</t>
    <phoneticPr fontId="11" type="noConversion"/>
  </si>
  <si>
    <t>301 BAY</t>
  </si>
  <si>
    <t>301B_드림라인</t>
    <phoneticPr fontId="11" type="noConversion"/>
  </si>
  <si>
    <t>U3-7A-30 / 2P 30A</t>
    <phoneticPr fontId="11" type="noConversion"/>
  </si>
  <si>
    <t>U3-7B-30 / 2P 30A</t>
    <phoneticPr fontId="11" type="noConversion"/>
  </si>
  <si>
    <t>LV-7B #06 / 3P 320A
(U7-6B)</t>
    <phoneticPr fontId="11" type="noConversion"/>
  </si>
  <si>
    <t>C309</t>
    <phoneticPr fontId="11" type="noConversion"/>
  </si>
  <si>
    <t>302 BAY</t>
  </si>
  <si>
    <t>302B_SKB</t>
    <phoneticPr fontId="11" type="noConversion"/>
  </si>
  <si>
    <t>A-1</t>
  </si>
  <si>
    <t>B-1</t>
  </si>
  <si>
    <t>IPD A-1-23 / 100A</t>
    <phoneticPr fontId="11" type="noConversion"/>
  </si>
  <si>
    <t>IPD B-1-23 / 100A</t>
    <phoneticPr fontId="11" type="noConversion"/>
  </si>
  <si>
    <t>IPD A-1</t>
    <phoneticPr fontId="11" type="noConversion"/>
  </si>
  <si>
    <t>IPD B-1</t>
    <phoneticPr fontId="11" type="noConversion"/>
  </si>
  <si>
    <t>C308</t>
    <phoneticPr fontId="11" type="noConversion"/>
  </si>
  <si>
    <t>303 BAY</t>
  </si>
  <si>
    <t>303B_NDCS</t>
  </si>
  <si>
    <t>IPD A-1-18 / 100A</t>
    <phoneticPr fontId="11" type="noConversion"/>
  </si>
  <si>
    <t>IPD B-1-18 / 100A</t>
    <phoneticPr fontId="11" type="noConversion"/>
  </si>
  <si>
    <t>C307</t>
    <phoneticPr fontId="11" type="noConversion"/>
  </si>
  <si>
    <t>304 BAY</t>
  </si>
  <si>
    <t>304B_KT장비</t>
  </si>
  <si>
    <t>IPD A-1-21 / 50A</t>
    <phoneticPr fontId="11" type="noConversion"/>
  </si>
  <si>
    <t>IPD B-1-21 / 50A</t>
    <phoneticPr fontId="11" type="noConversion"/>
  </si>
  <si>
    <t>KT장비</t>
  </si>
  <si>
    <t>C306</t>
    <phoneticPr fontId="11" type="noConversion"/>
  </si>
  <si>
    <t>305 BAY</t>
  </si>
  <si>
    <t>305B_LGU+장비</t>
  </si>
  <si>
    <t>IPD A-1-57 / 50A</t>
    <phoneticPr fontId="11" type="noConversion"/>
  </si>
  <si>
    <t>IPD B-1-57 / 50A</t>
    <phoneticPr fontId="11" type="noConversion"/>
  </si>
  <si>
    <t>LGU+장비</t>
  </si>
  <si>
    <t>C305</t>
    <phoneticPr fontId="11" type="noConversion"/>
  </si>
  <si>
    <t>306 BAY</t>
  </si>
  <si>
    <t>306B_SKB장비</t>
  </si>
  <si>
    <t>IPD A-1-07 / 100A</t>
    <phoneticPr fontId="11" type="noConversion"/>
  </si>
  <si>
    <t>IPD B-1-07 / 100A</t>
    <phoneticPr fontId="11" type="noConversion"/>
  </si>
  <si>
    <t>SKB장비</t>
  </si>
  <si>
    <t>C304</t>
    <phoneticPr fontId="11" type="noConversion"/>
  </si>
  <si>
    <t>307 BAY</t>
  </si>
  <si>
    <t>LGU+PDP</t>
    <phoneticPr fontId="11" type="noConversion"/>
  </si>
  <si>
    <t>IPD A-1-24 / 100A</t>
    <phoneticPr fontId="11" type="noConversion"/>
  </si>
  <si>
    <t>IPD B-1-24 / 100A</t>
    <phoneticPr fontId="11" type="noConversion"/>
  </si>
  <si>
    <t>LGU+ POP 장비</t>
    <phoneticPr fontId="11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</si>
  <si>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</si>
  <si>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</si>
  <si>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</si>
  <si>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</si>
  <si>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</si>
  <si>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</si>
  <si>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</si>
  <si>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</si>
  <si>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1" type="noConversion"/>
  </si>
  <si>
    <t>313 BAY</t>
  </si>
  <si>
    <t>DEK Network Rack</t>
    <phoneticPr fontId="11" type="noConversion"/>
  </si>
  <si>
    <t>U3-7A-28 / 2P 30A</t>
    <phoneticPr fontId="11" type="noConversion"/>
  </si>
  <si>
    <t>U3-7B-28 / 2P 30A</t>
    <phoneticPr fontId="11" type="noConversion"/>
  </si>
  <si>
    <t>전기투입 : '22.02.24</t>
    <phoneticPr fontId="11" type="noConversion"/>
  </si>
  <si>
    <t>DEKR Networks Cabinet('22.02.09)</t>
    <phoneticPr fontId="11" type="noConversion"/>
  </si>
  <si>
    <t>B420</t>
    <phoneticPr fontId="11" type="noConversion"/>
  </si>
  <si>
    <t>314 BAY</t>
  </si>
  <si>
    <t>DEK Network Rack</t>
  </si>
  <si>
    <t>U3-7A-26 / 2P 30A</t>
    <phoneticPr fontId="11" type="noConversion"/>
  </si>
  <si>
    <t>U3-7B-26 / 2P 30A</t>
    <phoneticPr fontId="11" type="noConversion"/>
  </si>
  <si>
    <t>전기투입 : '22.02.24</t>
  </si>
  <si>
    <t>DEKR Networks Cabinet('22.02.09)</t>
  </si>
  <si>
    <t>B419</t>
    <phoneticPr fontId="11" type="noConversion"/>
  </si>
  <si>
    <t>315 BAY</t>
  </si>
  <si>
    <t>U3-7A-24 / 2P 30A</t>
    <phoneticPr fontId="11" type="noConversion"/>
  </si>
  <si>
    <t>U3-7B-24 / 2P 30A</t>
    <phoneticPr fontId="11" type="noConversion"/>
  </si>
  <si>
    <t>B418</t>
    <phoneticPr fontId="11" type="noConversion"/>
  </si>
  <si>
    <t>316 BAY</t>
  </si>
  <si>
    <t>U3-7A-22 / 2P 30A</t>
    <phoneticPr fontId="11" type="noConversion"/>
  </si>
  <si>
    <t>U3-7B-22 / 2P 30A</t>
    <phoneticPr fontId="11" type="noConversion"/>
  </si>
  <si>
    <t>B417</t>
    <phoneticPr fontId="11" type="noConversion"/>
  </si>
  <si>
    <t>317 BAY</t>
  </si>
  <si>
    <t>U3-7A-20 / 2P 30A</t>
    <phoneticPr fontId="11" type="noConversion"/>
  </si>
  <si>
    <t>U3-7B-20 / 2P 30A</t>
    <phoneticPr fontId="11" type="noConversion"/>
  </si>
  <si>
    <t>B416</t>
    <phoneticPr fontId="11" type="noConversion"/>
  </si>
  <si>
    <t>318 BAY</t>
  </si>
  <si>
    <t>U3-7A-18 / 2P 30A</t>
    <phoneticPr fontId="11" type="noConversion"/>
  </si>
  <si>
    <t>U3-7B-18 / 2P 30A</t>
    <phoneticPr fontId="11" type="noConversion"/>
  </si>
  <si>
    <t>B415</t>
    <phoneticPr fontId="11" type="noConversion"/>
  </si>
  <si>
    <t>B411</t>
    <phoneticPr fontId="11" type="noConversion"/>
  </si>
  <si>
    <t>322 BAY</t>
  </si>
  <si>
    <t>322B_7F_Patch</t>
  </si>
  <si>
    <t>U3-7A-29 / 2P 30A</t>
    <phoneticPr fontId="11" type="noConversion"/>
  </si>
  <si>
    <t>PTN 7200 UTP PATCH 예정</t>
  </si>
  <si>
    <t>B410</t>
    <phoneticPr fontId="11" type="noConversion"/>
  </si>
  <si>
    <t>323 BAY</t>
  </si>
  <si>
    <t>B409</t>
    <phoneticPr fontId="11" type="noConversion"/>
  </si>
  <si>
    <t>324 BAY</t>
  </si>
  <si>
    <t>B408</t>
    <phoneticPr fontId="11" type="noConversion"/>
  </si>
  <si>
    <t>325 BAY</t>
  </si>
  <si>
    <t>325B_코위버CWDM</t>
  </si>
  <si>
    <t>IPD A-3-59 / 100A</t>
    <phoneticPr fontId="11" type="noConversion"/>
  </si>
  <si>
    <t>IPD B-3-59 / 100A</t>
    <phoneticPr fontId="11" type="noConversion"/>
  </si>
  <si>
    <t>2012.02.09 설치</t>
  </si>
  <si>
    <t>B407</t>
    <phoneticPr fontId="11" type="noConversion"/>
  </si>
  <si>
    <t>326 BAY</t>
  </si>
  <si>
    <t>326B_코위버1664</t>
  </si>
  <si>
    <t>IPD A-3-23 / 35A</t>
    <phoneticPr fontId="11" type="noConversion"/>
  </si>
  <si>
    <t>IPD B-3-24 / 35A</t>
    <phoneticPr fontId="11" type="noConversion"/>
  </si>
  <si>
    <t>B406</t>
    <phoneticPr fontId="11" type="noConversion"/>
  </si>
  <si>
    <t>327 BAY</t>
  </si>
  <si>
    <t>327B_ZTE385</t>
  </si>
  <si>
    <t>IPD A-3-17 / 50A</t>
    <phoneticPr fontId="11" type="noConversion"/>
  </si>
  <si>
    <t>IPD B-3-17 / 50A</t>
    <phoneticPr fontId="11" type="noConversion"/>
  </si>
  <si>
    <t>B405</t>
    <phoneticPr fontId="11" type="noConversion"/>
  </si>
  <si>
    <t>328 BAY</t>
  </si>
  <si>
    <t>328B_ZTE385</t>
  </si>
  <si>
    <t>IPD A-3-16 / 50A</t>
    <phoneticPr fontId="11" type="noConversion"/>
  </si>
  <si>
    <t>IPD B-3-16 / 50A</t>
    <phoneticPr fontId="11" type="noConversion"/>
  </si>
  <si>
    <t>B404</t>
    <phoneticPr fontId="11" type="noConversion"/>
  </si>
  <si>
    <t>329 BAY</t>
  </si>
  <si>
    <t>329B_ZTE385</t>
  </si>
  <si>
    <t>IPD A-3-15 / 50A</t>
    <phoneticPr fontId="11" type="noConversion"/>
  </si>
  <si>
    <t>IPD B-3-15 / 50A</t>
    <phoneticPr fontId="11" type="noConversion"/>
  </si>
  <si>
    <t>B403</t>
    <phoneticPr fontId="11" type="noConversion"/>
  </si>
  <si>
    <t>330 BAY</t>
  </si>
  <si>
    <t>코위버 ROADM</t>
    <phoneticPr fontId="11" type="noConversion"/>
  </si>
  <si>
    <t>IPD A-3-28 / 100A</t>
    <phoneticPr fontId="11" type="noConversion"/>
  </si>
  <si>
    <t>IPD B-3-28 / 100A</t>
    <phoneticPr fontId="11" type="noConversion"/>
  </si>
  <si>
    <t>2022.02.10 전기구성</t>
    <phoneticPr fontId="11" type="noConversion"/>
  </si>
  <si>
    <t>B402</t>
    <phoneticPr fontId="11" type="noConversion"/>
  </si>
  <si>
    <t>331 BAY</t>
  </si>
  <si>
    <t>IPD A-3-60 / 100A</t>
    <phoneticPr fontId="11" type="noConversion"/>
  </si>
  <si>
    <t>IPD B-3-60 / 100A</t>
    <phoneticPr fontId="11" type="noConversion"/>
  </si>
  <si>
    <t>A411</t>
    <phoneticPr fontId="11" type="noConversion"/>
  </si>
  <si>
    <t>334 BAY</t>
  </si>
  <si>
    <t>334B_CN4200</t>
  </si>
  <si>
    <t>IPD A-4-54 / 35A</t>
    <phoneticPr fontId="11" type="noConversion"/>
  </si>
  <si>
    <t>IPD B-4-54 / 35A</t>
    <phoneticPr fontId="11" type="noConversion"/>
  </si>
  <si>
    <t>A410</t>
    <phoneticPr fontId="11" type="noConversion"/>
  </si>
  <si>
    <t>335 BAY</t>
  </si>
  <si>
    <t>335B_CN4200</t>
  </si>
  <si>
    <t>IPD A-4-46 / 50A</t>
    <phoneticPr fontId="11" type="noConversion"/>
  </si>
  <si>
    <t>IPD B-4-49 / 50A</t>
    <phoneticPr fontId="11" type="noConversion"/>
  </si>
  <si>
    <t>A409</t>
    <phoneticPr fontId="11" type="noConversion"/>
  </si>
  <si>
    <t>336 BAY</t>
  </si>
  <si>
    <t>336B_CN4200</t>
  </si>
  <si>
    <t>IPD A-4-50 / 35A</t>
    <phoneticPr fontId="11" type="noConversion"/>
  </si>
  <si>
    <t>IPD B-4-50 / 35A</t>
    <phoneticPr fontId="11" type="noConversion"/>
  </si>
  <si>
    <t>A408</t>
    <phoneticPr fontId="11" type="noConversion"/>
  </si>
  <si>
    <t>337 BAY</t>
  </si>
  <si>
    <t>337B_CN4200</t>
  </si>
  <si>
    <t>IPD A-4-44 / 35A</t>
    <phoneticPr fontId="11" type="noConversion"/>
  </si>
  <si>
    <t>IPD B-4-48 / 35A</t>
    <phoneticPr fontId="11" type="noConversion"/>
  </si>
  <si>
    <t>U3-7B-08 / 2P 30A</t>
    <phoneticPr fontId="11" type="noConversion"/>
  </si>
  <si>
    <t>A407</t>
    <phoneticPr fontId="11" type="noConversion"/>
  </si>
  <si>
    <t>338 BAY</t>
  </si>
  <si>
    <t>338B_CN4200</t>
  </si>
  <si>
    <t>IPD A-4-43 / 35A</t>
    <phoneticPr fontId="11" type="noConversion"/>
  </si>
  <si>
    <t>IPD B-4-47 / 50A</t>
    <phoneticPr fontId="11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</si>
  <si>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</si>
  <si>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</si>
  <si>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</si>
  <si>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</si>
  <si>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1" type="noConversion"/>
  </si>
  <si>
    <t>340Bay에서 1개 전원 인출사용 중</t>
    <phoneticPr fontId="11" type="noConversion"/>
  </si>
  <si>
    <t>A406</t>
    <phoneticPr fontId="11" type="noConversion"/>
  </si>
  <si>
    <t>339 BAY</t>
  </si>
  <si>
    <t>339B_CN4200</t>
  </si>
  <si>
    <t>IPD B-4-46 / 35A</t>
    <phoneticPr fontId="11" type="noConversion"/>
  </si>
  <si>
    <t>IPD A-4-42 / 35A</t>
    <phoneticPr fontId="11" type="noConversion"/>
  </si>
  <si>
    <t>A405</t>
    <phoneticPr fontId="11" type="noConversion"/>
  </si>
  <si>
    <t>340 BAY</t>
  </si>
  <si>
    <t>340B_인터넷팀</t>
    <phoneticPr fontId="11" type="noConversion"/>
  </si>
  <si>
    <t>UPS A1-25 / 2P 20A</t>
    <phoneticPr fontId="11" type="noConversion"/>
  </si>
  <si>
    <t>UPS A1-20 / 2P 30A</t>
    <phoneticPr fontId="11" type="noConversion"/>
  </si>
  <si>
    <t>UPS 출력분전반 A1 #25</t>
    <phoneticPr fontId="11" type="noConversion"/>
  </si>
  <si>
    <t>UPS 출력분전반 A1 #20</t>
    <phoneticPr fontId="11" type="noConversion"/>
  </si>
  <si>
    <t>UPS 출력
분전반A1,
4P 400A</t>
    <phoneticPr fontId="11" type="noConversion"/>
  </si>
  <si>
    <t>UPS 출력
분전반A, #01
4P 225A</t>
    <phoneticPr fontId="11" type="noConversion"/>
  </si>
  <si>
    <t>UPS 출력
배전반A,
4P 400A</t>
  </si>
  <si>
    <t>인터넷운영팀 MAN Rack #2, A &amp; B전원</t>
    <phoneticPr fontId="11" type="noConversion"/>
  </si>
  <si>
    <t>A404</t>
    <phoneticPr fontId="11" type="noConversion"/>
  </si>
  <si>
    <t>341 BAY</t>
  </si>
  <si>
    <t>341B_인터넷팀</t>
    <phoneticPr fontId="11" type="noConversion"/>
  </si>
  <si>
    <t>UPS A1-40 / 2P 30A</t>
    <phoneticPr fontId="11" type="noConversion"/>
  </si>
  <si>
    <t>UPS B1-38 / 2P 30A</t>
    <phoneticPr fontId="11" type="noConversion"/>
  </si>
  <si>
    <t>UPS 출력분전반 A1 #40</t>
    <phoneticPr fontId="11" type="noConversion"/>
  </si>
  <si>
    <t>UPS 출력분전반 B1 #38</t>
    <phoneticPr fontId="11" type="noConversion"/>
  </si>
  <si>
    <t>UPS 출력
분전반B1,
4P 400A</t>
    <phoneticPr fontId="11" type="noConversion"/>
  </si>
  <si>
    <t>UPS 출력
분전반B, #02
3P 150A</t>
    <phoneticPr fontId="11" type="noConversion"/>
  </si>
  <si>
    <t>UPS 출력
분전반B
4P 400A</t>
    <phoneticPr fontId="11" type="noConversion"/>
  </si>
  <si>
    <t>인터넷팀 장비(MAN POP)</t>
    <phoneticPr fontId="11" type="noConversion"/>
  </si>
  <si>
    <t>A403</t>
    <phoneticPr fontId="11" type="noConversion"/>
  </si>
  <si>
    <t>342 BAY</t>
  </si>
  <si>
    <t>342B_인터넷팀</t>
    <phoneticPr fontId="11" type="noConversion"/>
  </si>
  <si>
    <t>U3-7B-03 / 2P 30A</t>
    <phoneticPr fontId="11" type="noConversion"/>
  </si>
  <si>
    <t>U3-7A-05 / 2P 30A</t>
    <phoneticPr fontId="11" type="noConversion"/>
  </si>
  <si>
    <t>A402</t>
    <phoneticPr fontId="11" type="noConversion"/>
  </si>
  <si>
    <t>343 BAY</t>
  </si>
  <si>
    <t>343B_방송장비</t>
  </si>
  <si>
    <t>IPD A-4-41 / 50A</t>
    <phoneticPr fontId="11" type="noConversion"/>
  </si>
  <si>
    <t>IPD B-4-41 / 50A</t>
    <phoneticPr fontId="11" type="noConversion"/>
  </si>
  <si>
    <t>DC 전원 미사용</t>
  </si>
  <si>
    <t>U3-7A-05 / 2P 30A (342Bay 인출)</t>
    <phoneticPr fontId="11" type="noConversion"/>
  </si>
  <si>
    <t>342Bay에서 1개 전원 인출사용 중</t>
    <phoneticPr fontId="11" type="noConversion"/>
  </si>
  <si>
    <t>4열</t>
  </si>
  <si>
    <t>C208</t>
    <phoneticPr fontId="11" type="noConversion"/>
  </si>
  <si>
    <t>403 BAY</t>
  </si>
  <si>
    <t>403B_사내망</t>
  </si>
  <si>
    <t>라벨 없음(B1 PNL에서 인출 추정)</t>
    <phoneticPr fontId="11" type="noConversion"/>
  </si>
  <si>
    <t>C207</t>
    <phoneticPr fontId="11" type="noConversion"/>
  </si>
  <si>
    <t>404 BAY</t>
  </si>
  <si>
    <t>404B_사내망</t>
  </si>
  <si>
    <t>C206</t>
    <phoneticPr fontId="11" type="noConversion"/>
  </si>
  <si>
    <t>405 BAY</t>
  </si>
  <si>
    <t>405B_서버</t>
  </si>
  <si>
    <t>UPS B1-09 / 2P 20A</t>
    <phoneticPr fontId="11" type="noConversion"/>
  </si>
  <si>
    <t>U3-7A-08 / 2P 30A</t>
    <phoneticPr fontId="11" type="noConversion"/>
  </si>
  <si>
    <t>UPS 출력분전반 B1 #09</t>
    <phoneticPr fontId="11" type="noConversion"/>
  </si>
  <si>
    <t>C205</t>
    <phoneticPr fontId="11" type="noConversion"/>
  </si>
  <si>
    <t>406 BAY</t>
  </si>
  <si>
    <t>406B_DCN</t>
  </si>
  <si>
    <t>IPD A-1-43 / 35A</t>
    <phoneticPr fontId="11" type="noConversion"/>
  </si>
  <si>
    <t>IPD B-1-05 / 35A</t>
    <phoneticPr fontId="11" type="noConversion"/>
  </si>
  <si>
    <t>UPS A1-08 / 2P 30A</t>
    <phoneticPr fontId="11" type="noConversion"/>
  </si>
  <si>
    <t>UPS B1-13 / 2P 20A</t>
    <phoneticPr fontId="11" type="noConversion"/>
  </si>
  <si>
    <t>UPS 출력분전반 A1 #08</t>
    <phoneticPr fontId="11" type="noConversion"/>
  </si>
  <si>
    <t>UPS 출력분전반 B1 #13</t>
    <phoneticPr fontId="11" type="noConversion"/>
  </si>
  <si>
    <t>C204</t>
    <phoneticPr fontId="11" type="noConversion"/>
  </si>
  <si>
    <t>407 BAY</t>
  </si>
  <si>
    <t>407B_DCN</t>
  </si>
  <si>
    <t>IPD A-1-44 / 35A</t>
    <phoneticPr fontId="11" type="noConversion"/>
  </si>
  <si>
    <t>IPD B-1-06 / 35A</t>
    <phoneticPr fontId="11" type="noConversion"/>
  </si>
  <si>
    <t>UPS A1-10 / 2P 30A</t>
    <phoneticPr fontId="11" type="noConversion"/>
  </si>
  <si>
    <t>UPS B1-15 / 2P 20A</t>
    <phoneticPr fontId="11" type="noConversion"/>
  </si>
  <si>
    <t>UPS 출력분전반 A1 #10</t>
    <phoneticPr fontId="11" type="noConversion"/>
  </si>
  <si>
    <t>UPS 출력분전반 B1 #15</t>
    <phoneticPr fontId="11" type="noConversion"/>
  </si>
  <si>
    <t>C203</t>
    <phoneticPr fontId="11" type="noConversion"/>
  </si>
  <si>
    <t>408 BAY</t>
  </si>
  <si>
    <t>408B_DCN</t>
  </si>
  <si>
    <t>UPS A1-12 / 2P 30A</t>
    <phoneticPr fontId="11" type="noConversion"/>
  </si>
  <si>
    <t>UPS B1-17 / 2P 20A</t>
    <phoneticPr fontId="11" type="noConversion"/>
  </si>
  <si>
    <t>UPS 출력분전반 A1 #12</t>
    <phoneticPr fontId="11" type="noConversion"/>
  </si>
  <si>
    <t>UPS 출력분전반 B1 #17</t>
    <phoneticPr fontId="11" type="noConversion"/>
  </si>
  <si>
    <t>C202</t>
    <phoneticPr fontId="11" type="noConversion"/>
  </si>
  <si>
    <t>409 BAY</t>
  </si>
  <si>
    <t>409B_서버</t>
  </si>
  <si>
    <t>UPS A1-12 / 2P 30A (408Bay 인출)</t>
    <phoneticPr fontId="11" type="noConversion"/>
  </si>
  <si>
    <t>UPS B1-17 / 2P 20A (408Bay 인출)</t>
    <phoneticPr fontId="11" type="noConversion"/>
  </si>
  <si>
    <t>408Bay에서 멀티탭 2개 연결 사용 중</t>
    <phoneticPr fontId="11" type="noConversion"/>
  </si>
  <si>
    <t>C201</t>
    <phoneticPr fontId="11" type="noConversion"/>
  </si>
  <si>
    <t>410 BAY</t>
  </si>
  <si>
    <t>410B_전화PBX</t>
  </si>
  <si>
    <t>UPS A1-32 / 2P 30A</t>
    <phoneticPr fontId="11" type="noConversion"/>
  </si>
  <si>
    <t>UPS B1-26 / 2P 30A</t>
    <phoneticPr fontId="11" type="noConversion"/>
  </si>
  <si>
    <t>UPS 출력분전반 A1 #32</t>
    <phoneticPr fontId="11" type="noConversion"/>
  </si>
  <si>
    <t>UPS 출력분전반 B1 #26</t>
    <phoneticPr fontId="11" type="noConversion"/>
  </si>
  <si>
    <t>UPS 출력분전반B
4P 400A</t>
  </si>
  <si>
    <t>PBX 교환기</t>
    <phoneticPr fontId="11" type="noConversion"/>
  </si>
  <si>
    <t>B323</t>
    <phoneticPr fontId="11" type="noConversion"/>
  </si>
  <si>
    <t>413 BAY</t>
  </si>
  <si>
    <t>413B_Patch</t>
  </si>
  <si>
    <t>U3-7A-08 / 2P 30A (405Bay 인출)</t>
    <phoneticPr fontId="11" type="noConversion"/>
  </si>
  <si>
    <t>7F-5F UTP PATCH</t>
  </si>
  <si>
    <t>405Bay에서 1회로 연결 사용 중</t>
    <phoneticPr fontId="11" type="noConversion"/>
  </si>
  <si>
    <t>B322</t>
    <phoneticPr fontId="11" type="noConversion"/>
  </si>
  <si>
    <t>414 BAY</t>
  </si>
  <si>
    <t>414B_드림라인</t>
  </si>
  <si>
    <t>IPD A-2-10 / 35A</t>
    <phoneticPr fontId="11" type="noConversion"/>
  </si>
  <si>
    <t>IPD B-2-10 / 35A</t>
    <phoneticPr fontId="11" type="noConversion"/>
  </si>
  <si>
    <t>드림라인 장비</t>
  </si>
  <si>
    <t>B320</t>
    <phoneticPr fontId="11" type="noConversion"/>
  </si>
  <si>
    <t>415 BAY</t>
  </si>
  <si>
    <t>415B_Patch</t>
  </si>
  <si>
    <t>X</t>
  </si>
  <si>
    <t>7F-5F OJC PATCH</t>
  </si>
  <si>
    <t>B319</t>
    <phoneticPr fontId="11" type="noConversion"/>
  </si>
  <si>
    <t>416 BAY</t>
  </si>
  <si>
    <t>416B_Patch</t>
  </si>
  <si>
    <t>B317</t>
    <phoneticPr fontId="11" type="noConversion"/>
  </si>
  <si>
    <t>418 BAY</t>
  </si>
  <si>
    <t>418B_SKB장비</t>
  </si>
  <si>
    <t>IPD A-2-49 / 35A</t>
    <phoneticPr fontId="11" type="noConversion"/>
  </si>
  <si>
    <t>IPD B-2-49 / 35A</t>
    <phoneticPr fontId="11" type="noConversion"/>
  </si>
  <si>
    <t>B316</t>
    <phoneticPr fontId="11" type="noConversion"/>
  </si>
  <si>
    <t>419 BAY</t>
  </si>
  <si>
    <t>419B_SKB장비</t>
  </si>
  <si>
    <t>IPD A-2-52 / 35A</t>
    <phoneticPr fontId="11" type="noConversion"/>
  </si>
  <si>
    <t>IPD B-2-52 / 35A</t>
    <phoneticPr fontId="11" type="noConversion"/>
  </si>
  <si>
    <t>1회로 사용(차단기 정보 조사 실패</t>
    <phoneticPr fontId="11" type="noConversion"/>
  </si>
  <si>
    <t>1회로. 차단기 정보 파악 불가</t>
    <phoneticPr fontId="11" type="noConversion"/>
  </si>
  <si>
    <t>B315</t>
    <phoneticPr fontId="11" type="noConversion"/>
  </si>
  <si>
    <t>420 BAY</t>
  </si>
  <si>
    <t>420B_DOTS</t>
  </si>
  <si>
    <t>IPD A-3-53 / 35A</t>
    <phoneticPr fontId="11" type="noConversion"/>
  </si>
  <si>
    <t>IPD B-3-52 / 35A</t>
    <phoneticPr fontId="11" type="noConversion"/>
  </si>
  <si>
    <t>B310</t>
    <phoneticPr fontId="11" type="noConversion"/>
  </si>
  <si>
    <t>423 BAY</t>
  </si>
  <si>
    <t>423B_코위버1664</t>
  </si>
  <si>
    <t>IPD A-3-26 / 50A</t>
    <phoneticPr fontId="11" type="noConversion"/>
  </si>
  <si>
    <t>IPD B-3-26 / 50A</t>
    <phoneticPr fontId="11" type="noConversion"/>
  </si>
  <si>
    <t>B309</t>
    <phoneticPr fontId="11" type="noConversion"/>
  </si>
  <si>
    <t>424 BAY</t>
  </si>
  <si>
    <t>424B_ZTE385</t>
  </si>
  <si>
    <t>IPD A-3-27 / 50A</t>
    <phoneticPr fontId="11" type="noConversion"/>
  </si>
  <si>
    <t>IPD B-3-27 / 50A</t>
    <phoneticPr fontId="11" type="noConversion"/>
  </si>
  <si>
    <t>B308</t>
    <phoneticPr fontId="11" type="noConversion"/>
  </si>
  <si>
    <t>425 BAY</t>
  </si>
  <si>
    <t>425B_ZTE POTN</t>
  </si>
  <si>
    <t>IPD A-3-42 / 50A</t>
    <phoneticPr fontId="11" type="noConversion"/>
  </si>
  <si>
    <t>IPD B-3-42 / 50A</t>
    <phoneticPr fontId="11" type="noConversion"/>
  </si>
  <si>
    <t>IPD 2개</t>
  </si>
  <si>
    <t>IPD A-3-43 / 50A</t>
    <phoneticPr fontId="11" type="noConversion"/>
  </si>
  <si>
    <t>IPD B-3-43 / 50A</t>
    <phoneticPr fontId="11" type="noConversion"/>
  </si>
  <si>
    <t>B307</t>
    <phoneticPr fontId="11" type="noConversion"/>
  </si>
  <si>
    <t>426 BAY</t>
  </si>
  <si>
    <t>426B_ZTE POTN</t>
  </si>
  <si>
    <t>IPD A-3-01 / 100A</t>
    <phoneticPr fontId="11" type="noConversion"/>
  </si>
  <si>
    <t>IPD B-3-01 / 100A</t>
    <phoneticPr fontId="11" type="noConversion"/>
  </si>
  <si>
    <t>IPD A-3-02 / 100A</t>
    <phoneticPr fontId="11" type="noConversion"/>
  </si>
  <si>
    <t>IPD B-3-02 / 100A</t>
    <phoneticPr fontId="11" type="noConversion"/>
  </si>
  <si>
    <t>IPD A-3-03 / 50A</t>
    <phoneticPr fontId="11" type="noConversion"/>
  </si>
  <si>
    <t>IPD B-3-03 / 50A</t>
    <phoneticPr fontId="11" type="noConversion"/>
  </si>
  <si>
    <t>B306</t>
    <phoneticPr fontId="11" type="noConversion"/>
  </si>
  <si>
    <t>427 BAY</t>
  </si>
  <si>
    <t>427B_ZTE POTN</t>
  </si>
  <si>
    <t>IPD A-3-57 / 50A</t>
    <phoneticPr fontId="11" type="noConversion"/>
  </si>
  <si>
    <t>IPD B-3-57 / 50A</t>
    <phoneticPr fontId="11" type="noConversion"/>
  </si>
  <si>
    <t>IPD A-3-58 / 50A</t>
    <phoneticPr fontId="11" type="noConversion"/>
  </si>
  <si>
    <t>IPD B-3-58 / 50A</t>
    <phoneticPr fontId="11" type="noConversion"/>
  </si>
  <si>
    <t>A310</t>
    <phoneticPr fontId="11" type="noConversion"/>
  </si>
  <si>
    <t>436 BAY</t>
  </si>
  <si>
    <t>436B_코위버P7200</t>
  </si>
  <si>
    <t>IPD A-4-03 / 100A</t>
    <phoneticPr fontId="11" type="noConversion"/>
  </si>
  <si>
    <t>IPD B-4-03 / 100A</t>
    <phoneticPr fontId="11" type="noConversion"/>
  </si>
  <si>
    <t>A309</t>
    <phoneticPr fontId="11" type="noConversion"/>
  </si>
  <si>
    <t>437 BAY</t>
  </si>
  <si>
    <t>437B(上)_코위버P7200</t>
    <phoneticPr fontId="11" type="noConversion"/>
  </si>
  <si>
    <t>IPD A-4-29 / 100A</t>
    <phoneticPr fontId="11" type="noConversion"/>
  </si>
  <si>
    <t>IPD B-4-29 / 100A</t>
    <phoneticPr fontId="11" type="noConversion"/>
  </si>
  <si>
    <t>코위버P7200</t>
    <phoneticPr fontId="11" type="noConversion"/>
  </si>
  <si>
    <t>437B(下)_텔레필드_FM700</t>
    <phoneticPr fontId="11" type="noConversion"/>
  </si>
  <si>
    <t>IPD A-4-34 / 35A</t>
    <phoneticPr fontId="11" type="noConversion"/>
  </si>
  <si>
    <t>IPD B-4-34 / 35A</t>
    <phoneticPr fontId="11" type="noConversion"/>
  </si>
  <si>
    <t>텔레필드_FM700</t>
    <phoneticPr fontId="11" type="noConversion"/>
  </si>
  <si>
    <t>2021/06/10 전원신규 구성 및 투입</t>
    <phoneticPr fontId="11" type="noConversion"/>
  </si>
  <si>
    <t>A308</t>
    <phoneticPr fontId="11" type="noConversion"/>
  </si>
  <si>
    <t>439 BAY</t>
  </si>
  <si>
    <t>439B_CN6500</t>
  </si>
  <si>
    <t>IPD B-4-30 / 100A</t>
    <phoneticPr fontId="11" type="noConversion"/>
  </si>
  <si>
    <t>IPD A-4-30 / 100A</t>
    <phoneticPr fontId="11" type="noConversion"/>
  </si>
  <si>
    <t>A307</t>
    <phoneticPr fontId="11" type="noConversion"/>
  </si>
  <si>
    <t>440 BAY</t>
  </si>
  <si>
    <t>440B_CN6500</t>
  </si>
  <si>
    <t>IPD B-4-31 / 100A</t>
    <phoneticPr fontId="11" type="noConversion"/>
  </si>
  <si>
    <t>IPD A-4-31 / 100A</t>
    <phoneticPr fontId="11" type="noConversion"/>
  </si>
  <si>
    <t>441 BAY</t>
  </si>
  <si>
    <t>442 BAY</t>
  </si>
  <si>
    <t>443 BAY</t>
  </si>
  <si>
    <t>5열</t>
  </si>
  <si>
    <t>C110</t>
    <phoneticPr fontId="11" type="noConversion"/>
  </si>
  <si>
    <t>501 BAY</t>
  </si>
  <si>
    <t>501B_LGU+장비</t>
  </si>
  <si>
    <t>IPD A-1-19 / 100A</t>
    <phoneticPr fontId="11" type="noConversion"/>
  </si>
  <si>
    <t>IPD B-1-19 / 100A</t>
    <phoneticPr fontId="11" type="noConversion"/>
  </si>
  <si>
    <t>C109</t>
    <phoneticPr fontId="11" type="noConversion"/>
  </si>
  <si>
    <t>502 BAY</t>
  </si>
  <si>
    <t>502B_KT장비</t>
  </si>
  <si>
    <t>IPD A-1-56 / 50A</t>
    <phoneticPr fontId="11" type="noConversion"/>
  </si>
  <si>
    <t>IPD B-1-56 / 50A</t>
    <phoneticPr fontId="11" type="noConversion"/>
  </si>
  <si>
    <t>C108</t>
    <phoneticPr fontId="11" type="noConversion"/>
  </si>
  <si>
    <t>503 BAY</t>
  </si>
  <si>
    <t>503B_KT장비</t>
  </si>
  <si>
    <t>IPD A-1-17 / 50A</t>
    <phoneticPr fontId="11" type="noConversion"/>
  </si>
  <si>
    <t>IPD B-1-17 / 50A</t>
    <phoneticPr fontId="11" type="noConversion"/>
  </si>
  <si>
    <t>C107</t>
    <phoneticPr fontId="11" type="noConversion"/>
  </si>
  <si>
    <t>504 BAY</t>
  </si>
  <si>
    <t>504B_KT장비</t>
  </si>
  <si>
    <t>IPD B-1-16 / 35A</t>
    <phoneticPr fontId="11" type="noConversion"/>
  </si>
  <si>
    <t>IPD A-1-16 / 35A</t>
    <phoneticPr fontId="11" type="noConversion"/>
  </si>
  <si>
    <t>505 BAY</t>
  </si>
  <si>
    <t>C105</t>
    <phoneticPr fontId="11" type="noConversion"/>
  </si>
  <si>
    <t>506 BAY</t>
  </si>
  <si>
    <t>506B_KT장비</t>
  </si>
  <si>
    <t>11(1)</t>
  </si>
  <si>
    <t>14(1)</t>
  </si>
  <si>
    <t>IPD A-1-11(1) / 35A</t>
    <phoneticPr fontId="11" type="noConversion"/>
  </si>
  <si>
    <t>IPD B-1-14(1) / 35A</t>
    <phoneticPr fontId="11" type="noConversion"/>
  </si>
  <si>
    <t>15(2)</t>
  </si>
  <si>
    <t>IPD A-1-15(2) / 35A</t>
    <phoneticPr fontId="11" type="noConversion"/>
  </si>
  <si>
    <t>IPD B-1-15(2) / 35A</t>
    <phoneticPr fontId="11" type="noConversion"/>
  </si>
  <si>
    <t>C104</t>
    <phoneticPr fontId="11" type="noConversion"/>
  </si>
  <si>
    <t>507 BAY</t>
  </si>
  <si>
    <t>507B_SKB장비</t>
  </si>
  <si>
    <t>IPD A-1-20 / 50A</t>
    <phoneticPr fontId="11" type="noConversion"/>
  </si>
  <si>
    <t>IPD B-1-20 / 50A</t>
    <phoneticPr fontId="11" type="noConversion"/>
  </si>
  <si>
    <t>미상(A-E1 ??)</t>
    <phoneticPr fontId="11" type="noConversion"/>
  </si>
  <si>
    <t>미상(UPS분전반(B) / E-20 ??)</t>
    <phoneticPr fontId="11" type="noConversion"/>
  </si>
  <si>
    <t>랙 상부 위치 / 미사용 전원</t>
    <phoneticPr fontId="11" type="noConversion"/>
  </si>
  <si>
    <t>508 BAY</t>
  </si>
  <si>
    <t>B225</t>
    <phoneticPr fontId="11" type="noConversion"/>
  </si>
  <si>
    <t>511 BAY</t>
  </si>
  <si>
    <t>511B_LGU+장비</t>
  </si>
  <si>
    <t>IPD A-2-62 / 35A</t>
    <phoneticPr fontId="11" type="noConversion"/>
  </si>
  <si>
    <t>IPD B-2-62</t>
  </si>
  <si>
    <t>PDP 1개, 장비직결 1개</t>
  </si>
  <si>
    <t>IPD A-2-63 / 35A</t>
    <phoneticPr fontId="11" type="noConversion"/>
  </si>
  <si>
    <t>IPD B-2-63</t>
  </si>
  <si>
    <t>B224</t>
    <phoneticPr fontId="11" type="noConversion"/>
  </si>
  <si>
    <t>512 BAY</t>
  </si>
  <si>
    <t>512B_Patch</t>
  </si>
  <si>
    <t>회로 조사 실패, B1 PNL 의심 / 413Bay 상부에서 숨어버림</t>
    <phoneticPr fontId="11" type="noConversion"/>
  </si>
  <si>
    <t>B223</t>
    <phoneticPr fontId="11" type="noConversion"/>
  </si>
  <si>
    <t>513 BAY</t>
  </si>
  <si>
    <t>513B_SKB장비</t>
  </si>
  <si>
    <t>IPD A-2-07 / 50A</t>
    <phoneticPr fontId="11" type="noConversion"/>
  </si>
  <si>
    <t>IPD B-2-07</t>
  </si>
  <si>
    <t>B222</t>
    <phoneticPr fontId="11" type="noConversion"/>
  </si>
  <si>
    <t>514 BAY</t>
  </si>
  <si>
    <t>514B_LGU+장비</t>
  </si>
  <si>
    <t>IPD A-2-23 / 50A</t>
    <phoneticPr fontId="11" type="noConversion"/>
  </si>
  <si>
    <t>IPD B-2-23</t>
  </si>
  <si>
    <t>B219</t>
    <phoneticPr fontId="11" type="noConversion"/>
  </si>
  <si>
    <t>IPD A-2-58 / 35A</t>
    <phoneticPr fontId="11" type="noConversion"/>
  </si>
  <si>
    <t>IPD B-2-58</t>
  </si>
  <si>
    <t>UPS A1-07 / 2P 20A</t>
    <phoneticPr fontId="11" type="noConversion"/>
  </si>
  <si>
    <t>UPS 출력분전반 A1 #07</t>
    <phoneticPr fontId="11" type="noConversion"/>
  </si>
  <si>
    <t>B218</t>
    <phoneticPr fontId="11" type="noConversion"/>
  </si>
  <si>
    <t>IPD A-2-44 / 16A</t>
    <phoneticPr fontId="11" type="noConversion"/>
  </si>
  <si>
    <t>IPD B-2-46 / 16A</t>
    <phoneticPr fontId="11" type="noConversion"/>
  </si>
  <si>
    <t>UPS A1-07 / 2P 20A
(517Bay에서 인출)</t>
    <phoneticPr fontId="11" type="noConversion"/>
  </si>
  <si>
    <t>B217</t>
    <phoneticPr fontId="11" type="noConversion"/>
  </si>
  <si>
    <t>IPD A-2-47 / 35A</t>
    <phoneticPr fontId="11" type="noConversion"/>
  </si>
  <si>
    <t>IPD B-2-47 / 35A</t>
    <phoneticPr fontId="11" type="noConversion"/>
  </si>
  <si>
    <t>SKT/SKB장비</t>
  </si>
  <si>
    <t>PDP 2개 ??</t>
  </si>
  <si>
    <t>UPS A1-07 / 2P 20A
(518Bay에서 인출)</t>
    <phoneticPr fontId="11" type="noConversion"/>
  </si>
  <si>
    <t>IPD A-2-53 / 35A</t>
    <phoneticPr fontId="11" type="noConversion"/>
  </si>
  <si>
    <t>IPD B-2-53 / 35A</t>
    <phoneticPr fontId="11" type="noConversion"/>
  </si>
  <si>
    <t>B216</t>
    <phoneticPr fontId="11" type="noConversion"/>
  </si>
  <si>
    <t>IPD A-2-48 / 50A</t>
    <phoneticPr fontId="11" type="noConversion"/>
  </si>
  <si>
    <t>IPD B-2-48 / 50A</t>
    <phoneticPr fontId="11" type="noConversion"/>
  </si>
  <si>
    <t>B211</t>
    <phoneticPr fontId="11" type="noConversion"/>
  </si>
  <si>
    <t>523 BAY</t>
  </si>
  <si>
    <t>523B_코위버3264</t>
  </si>
  <si>
    <t>IPD A-3-05 / 50A</t>
    <phoneticPr fontId="11" type="noConversion"/>
  </si>
  <si>
    <t>IPD B-3-05 / 50A</t>
    <phoneticPr fontId="11" type="noConversion"/>
  </si>
  <si>
    <t>B210</t>
    <phoneticPr fontId="11" type="noConversion"/>
  </si>
  <si>
    <t>524 BAY</t>
  </si>
  <si>
    <t>524B_코위버1664</t>
  </si>
  <si>
    <t>IPD A-3-06 / 50A</t>
    <phoneticPr fontId="11" type="noConversion"/>
  </si>
  <si>
    <t>IPD B-3-06 / 50A</t>
    <phoneticPr fontId="11" type="noConversion"/>
  </si>
  <si>
    <t>B209</t>
    <phoneticPr fontId="11" type="noConversion"/>
  </si>
  <si>
    <t>525 BAY</t>
  </si>
  <si>
    <t>525B_코위버1664</t>
  </si>
  <si>
    <t>IPD A-3-07 / 50A</t>
    <phoneticPr fontId="11" type="noConversion"/>
  </si>
  <si>
    <t>IPD B-3-07 / 50A</t>
    <phoneticPr fontId="11" type="noConversion"/>
  </si>
  <si>
    <t>B208</t>
    <phoneticPr fontId="11" type="noConversion"/>
  </si>
  <si>
    <t>526 BAY</t>
  </si>
  <si>
    <t>526B_코위버1664</t>
  </si>
  <si>
    <t>IPD A-3-10 / 50A</t>
    <phoneticPr fontId="11" type="noConversion"/>
  </si>
  <si>
    <t>IPD B-3-10 / 50A</t>
    <phoneticPr fontId="11" type="noConversion"/>
  </si>
  <si>
    <t>B207</t>
    <phoneticPr fontId="11" type="noConversion"/>
  </si>
  <si>
    <t>527 BAY</t>
  </si>
  <si>
    <t>527B_코위버1664</t>
  </si>
  <si>
    <t>IPD A-3-41 / 50A</t>
    <phoneticPr fontId="11" type="noConversion"/>
  </si>
  <si>
    <t>IPD B-3-41 / 50A</t>
    <phoneticPr fontId="11" type="noConversion"/>
  </si>
  <si>
    <t>B204</t>
    <phoneticPr fontId="11" type="noConversion"/>
  </si>
  <si>
    <t>530 BAY</t>
  </si>
  <si>
    <t>530B_코위버1664</t>
  </si>
  <si>
    <t>IPD A-3-44 / 50A</t>
    <phoneticPr fontId="11" type="noConversion"/>
  </si>
  <si>
    <t>IPD B-3-44 / 50A</t>
    <phoneticPr fontId="11" type="noConversion"/>
  </si>
  <si>
    <t>B203</t>
    <phoneticPr fontId="11" type="noConversion"/>
  </si>
  <si>
    <t>531 BAY</t>
  </si>
  <si>
    <t>531B_코위버1664</t>
  </si>
  <si>
    <t>IPD A-3-46 / 50A</t>
    <phoneticPr fontId="11" type="noConversion"/>
  </si>
  <si>
    <t>IPD B-3-46 / 50A</t>
    <phoneticPr fontId="11" type="noConversion"/>
  </si>
  <si>
    <t>B202</t>
    <phoneticPr fontId="11" type="noConversion"/>
  </si>
  <si>
    <t>532 BAY</t>
  </si>
  <si>
    <t>532B_코위버1664</t>
  </si>
  <si>
    <t>IPD A-3-47 / 50A</t>
    <phoneticPr fontId="11" type="noConversion"/>
  </si>
  <si>
    <t>IPD B-3-47 / 50A</t>
    <phoneticPr fontId="11" type="noConversion"/>
  </si>
  <si>
    <t>A210</t>
    <phoneticPr fontId="11" type="noConversion"/>
  </si>
  <si>
    <t>535 BAY</t>
    <phoneticPr fontId="11" type="noConversion"/>
  </si>
  <si>
    <t>536B_NOKIA1830, PSS-8</t>
    <phoneticPr fontId="11" type="noConversion"/>
  </si>
  <si>
    <t>IPD A-4-25 / 50A</t>
    <phoneticPr fontId="11" type="noConversion"/>
  </si>
  <si>
    <t>IPD B-4-25 / 50A</t>
    <phoneticPr fontId="11" type="noConversion"/>
  </si>
  <si>
    <t>노키아1830_PSS 8 ('21.09.14 전기투입)</t>
  </si>
  <si>
    <t>A209</t>
    <phoneticPr fontId="11" type="noConversion"/>
  </si>
  <si>
    <t>536 BAY</t>
  </si>
  <si>
    <t>536B_NOKIA1830</t>
  </si>
  <si>
    <t>IPD A-4-59 / 50A</t>
    <phoneticPr fontId="11" type="noConversion"/>
  </si>
  <si>
    <t>IPD B-4-59 / 50A</t>
    <phoneticPr fontId="11" type="noConversion"/>
  </si>
  <si>
    <t>A208</t>
    <phoneticPr fontId="11" type="noConversion"/>
  </si>
  <si>
    <t>537 BAY</t>
  </si>
  <si>
    <t>537B_NOKIA1830</t>
  </si>
  <si>
    <t>IPD A-4-56 / 100A</t>
    <phoneticPr fontId="11" type="noConversion"/>
  </si>
  <si>
    <t>IPD B-4-56 / 35A</t>
    <phoneticPr fontId="11" type="noConversion"/>
  </si>
  <si>
    <t>A207</t>
    <phoneticPr fontId="11" type="noConversion"/>
  </si>
  <si>
    <t>538 BAY</t>
  </si>
  <si>
    <t>538B_NOKIA1830</t>
  </si>
  <si>
    <t>IPD A-4-58 / 100A</t>
    <phoneticPr fontId="11" type="noConversion"/>
  </si>
  <si>
    <t>IPD B-4-58 / 100A</t>
    <phoneticPr fontId="11" type="noConversion"/>
  </si>
  <si>
    <t>회의실</t>
    <phoneticPr fontId="11" type="noConversion"/>
  </si>
  <si>
    <t>TEST_BED</t>
  </si>
  <si>
    <t>IPD A-4-32 / 35A</t>
    <phoneticPr fontId="11" type="noConversion"/>
  </si>
  <si>
    <t>IPD B-4-32 / 35A</t>
    <phoneticPr fontId="11" type="noConversion"/>
  </si>
  <si>
    <t>UPS 출력
배전반B,
 #01
3P 150A</t>
  </si>
  <si>
    <t>TEST_BED 장비</t>
  </si>
  <si>
    <t>U3-7A-37 / 2P 30A</t>
    <phoneticPr fontId="11" type="noConversion"/>
  </si>
  <si>
    <t>U3-7B-37 / 2P 30A</t>
    <phoneticPr fontId="11" type="noConversion"/>
  </si>
  <si>
    <t>TEST_BED 계측기/노트북 전원</t>
    <phoneticPr fontId="11" type="noConversion"/>
  </si>
  <si>
    <t>G열</t>
  </si>
  <si>
    <t>C501</t>
    <phoneticPr fontId="11" type="noConversion"/>
  </si>
  <si>
    <t>G10</t>
  </si>
  <si>
    <t>7F-G10 랙</t>
    <phoneticPr fontId="11" type="noConversion"/>
  </si>
  <si>
    <t>○</t>
    <phoneticPr fontId="11" type="noConversion"/>
  </si>
  <si>
    <t>UPS A1-19 (A1-L-10) / 2P 20A</t>
    <phoneticPr fontId="11" type="noConversion"/>
  </si>
  <si>
    <t>UPS B1-10 (B1-R-5) / 2P 30A</t>
    <phoneticPr fontId="11" type="noConversion"/>
  </si>
  <si>
    <t>UPS 출력분전반 A1 #19</t>
    <phoneticPr fontId="11" type="noConversion"/>
  </si>
  <si>
    <t>UPS 출력분전반 B1 #10</t>
    <phoneticPr fontId="11" type="noConversion"/>
  </si>
  <si>
    <t>IDC 고객 (신한금융투자)</t>
    <phoneticPr fontId="11" type="noConversion"/>
  </si>
  <si>
    <t>C502</t>
    <phoneticPr fontId="11" type="noConversion"/>
  </si>
  <si>
    <t>G09</t>
  </si>
  <si>
    <t>7F-G09 랙</t>
    <phoneticPr fontId="11" type="noConversion"/>
  </si>
  <si>
    <t>U3-7A-44 / 2P 30A</t>
    <phoneticPr fontId="11" type="noConversion"/>
  </si>
  <si>
    <t>U3-7B-44 / 2P 30A</t>
    <phoneticPr fontId="11" type="noConversion"/>
  </si>
  <si>
    <t>U3-7B(U7-6B)
4P 300A</t>
    <phoneticPr fontId="11" type="noConversion"/>
  </si>
  <si>
    <t>쿼드마이너('23.04.10 예정)</t>
    <phoneticPr fontId="11" type="noConversion"/>
  </si>
  <si>
    <t>C503</t>
    <phoneticPr fontId="11" type="noConversion"/>
  </si>
  <si>
    <t>G08</t>
  </si>
  <si>
    <t>7F-G08 랙</t>
    <phoneticPr fontId="11" type="noConversion"/>
  </si>
  <si>
    <t>U3-7A-02 / 2P 30A</t>
    <phoneticPr fontId="11" type="noConversion"/>
  </si>
  <si>
    <t>U3-7B-02 / 2P 30A</t>
    <phoneticPr fontId="11" type="noConversion"/>
  </si>
  <si>
    <t>쿼드마이너(미정)</t>
    <phoneticPr fontId="11" type="noConversion"/>
  </si>
  <si>
    <t>C504</t>
    <phoneticPr fontId="11" type="noConversion"/>
  </si>
  <si>
    <t>G07</t>
  </si>
  <si>
    <t>7F-G07 랙</t>
    <phoneticPr fontId="11" type="noConversion"/>
  </si>
  <si>
    <t>IPD A-1-50 / 35A</t>
    <phoneticPr fontId="11" type="noConversion"/>
  </si>
  <si>
    <t>IPD B-1-47 / 50A</t>
    <phoneticPr fontId="11" type="noConversion"/>
  </si>
  <si>
    <t>DC FUSE 제거/미사용</t>
  </si>
  <si>
    <t>U3-7A-46 / 2P 30A</t>
    <phoneticPr fontId="11" type="noConversion"/>
  </si>
  <si>
    <t>U3-7B-46 / 2P 30A</t>
    <phoneticPr fontId="11" type="noConversion"/>
  </si>
  <si>
    <t>C505</t>
    <phoneticPr fontId="11" type="noConversion"/>
  </si>
  <si>
    <t>G06</t>
  </si>
  <si>
    <t>7F-G06 랙</t>
    <phoneticPr fontId="11" type="noConversion"/>
  </si>
  <si>
    <t>UPS B1-18 / 2P 30A</t>
    <phoneticPr fontId="11" type="noConversion"/>
  </si>
  <si>
    <t>UPS A1-24 / 2P 30A</t>
    <phoneticPr fontId="11" type="noConversion"/>
  </si>
  <si>
    <t>UPS 출력분전반 B1 #18</t>
    <phoneticPr fontId="11" type="noConversion"/>
  </si>
  <si>
    <t>UPS 출력분전반 A1 #24</t>
    <phoneticPr fontId="11" type="noConversion"/>
  </si>
  <si>
    <t>IDC 고객 (NTT #5)</t>
    <phoneticPr fontId="11" type="noConversion"/>
  </si>
  <si>
    <t>C506</t>
    <phoneticPr fontId="11" type="noConversion"/>
  </si>
  <si>
    <t>G05</t>
  </si>
  <si>
    <t>7F-G05 랙</t>
    <phoneticPr fontId="11" type="noConversion"/>
  </si>
  <si>
    <t>UPS B1-29 / 2P 20A</t>
    <phoneticPr fontId="11" type="noConversion"/>
  </si>
  <si>
    <t>UPS A1-33 / 2P 20A</t>
    <phoneticPr fontId="11" type="noConversion"/>
  </si>
  <si>
    <t>UPS 출력분전반 B1 #29</t>
    <phoneticPr fontId="11" type="noConversion"/>
  </si>
  <si>
    <t>UPS 출력분전반 A1 #33</t>
    <phoneticPr fontId="11" type="noConversion"/>
  </si>
  <si>
    <t>IDC 고객 (NTT #6)</t>
    <phoneticPr fontId="11" type="noConversion"/>
  </si>
  <si>
    <t>C507</t>
    <phoneticPr fontId="11" type="noConversion"/>
  </si>
  <si>
    <t>G04</t>
  </si>
  <si>
    <t>7F-G04 랙</t>
    <phoneticPr fontId="11" type="noConversion"/>
  </si>
  <si>
    <t>UPS B1-16 / 2P 30A</t>
    <phoneticPr fontId="11" type="noConversion"/>
  </si>
  <si>
    <t>UPS A1-22 / 2P 30A</t>
    <phoneticPr fontId="11" type="noConversion"/>
  </si>
  <si>
    <t>UPS 출력분전반 B1 #16</t>
    <phoneticPr fontId="11" type="noConversion"/>
  </si>
  <si>
    <t>UPS 출력분전반 A1 #22</t>
    <phoneticPr fontId="11" type="noConversion"/>
  </si>
  <si>
    <t>IDC 고객 (NTT #7)</t>
    <phoneticPr fontId="11" type="noConversion"/>
  </si>
  <si>
    <t>C508</t>
    <phoneticPr fontId="11" type="noConversion"/>
  </si>
  <si>
    <t>G03</t>
  </si>
  <si>
    <t>7F-G03 랙</t>
    <phoneticPr fontId="11" type="noConversion"/>
  </si>
  <si>
    <t>U3-7A-01 / 2P 30A</t>
    <phoneticPr fontId="11" type="noConversion"/>
  </si>
  <si>
    <t>U3-7B-01 / 2P 30A</t>
    <phoneticPr fontId="11" type="noConversion"/>
  </si>
  <si>
    <t>IDC 고객 (NTT #8)</t>
    <phoneticPr fontId="11" type="noConversion"/>
  </si>
  <si>
    <t>U3-7A-12 / 2P 30A</t>
    <phoneticPr fontId="11" type="noConversion"/>
  </si>
  <si>
    <t>U3-7B-12 / 2P 30A</t>
    <phoneticPr fontId="11" type="noConversion"/>
  </si>
  <si>
    <t>C509</t>
    <phoneticPr fontId="11" type="noConversion"/>
  </si>
  <si>
    <t>G02</t>
  </si>
  <si>
    <t>7F-G02 랙</t>
    <phoneticPr fontId="11" type="noConversion"/>
  </si>
  <si>
    <t>UPS A1-39 / 2P 20A</t>
    <phoneticPr fontId="11" type="noConversion"/>
  </si>
  <si>
    <t>UPS 출력분전반 A1 #39</t>
    <phoneticPr fontId="11" type="noConversion"/>
  </si>
  <si>
    <t>미사용 랙 (빈 랙)</t>
  </si>
  <si>
    <t>AC 전원 철거</t>
    <phoneticPr fontId="11" type="noConversion"/>
  </si>
  <si>
    <t>C510</t>
    <phoneticPr fontId="11" type="noConversion"/>
  </si>
  <si>
    <t>G01</t>
  </si>
  <si>
    <t>7F-G01 랙</t>
    <phoneticPr fontId="11" type="noConversion"/>
  </si>
  <si>
    <t>UPS A1-35 / 2P 20A</t>
    <phoneticPr fontId="11" type="noConversion"/>
  </si>
  <si>
    <t>UPS 출력분전반 A1 #35</t>
    <phoneticPr fontId="11" type="noConversion"/>
  </si>
  <si>
    <t>LG HELLOVISION (빈 랙)</t>
    <phoneticPr fontId="11" type="noConversion"/>
  </si>
  <si>
    <t>F열</t>
  </si>
  <si>
    <t>C601</t>
    <phoneticPr fontId="11" type="noConversion"/>
  </si>
  <si>
    <t>C602</t>
    <phoneticPr fontId="11" type="noConversion"/>
  </si>
  <si>
    <t>F09</t>
  </si>
  <si>
    <t>7F-F09 랙</t>
  </si>
  <si>
    <t>UPS B1-40 / 2P 30A</t>
    <phoneticPr fontId="11" type="noConversion"/>
  </si>
  <si>
    <t>UPS 출력분전반 B1 #40</t>
    <phoneticPr fontId="11" type="noConversion"/>
  </si>
  <si>
    <t>미사용 랙 (빈 랙)</t>
    <phoneticPr fontId="11" type="noConversion"/>
  </si>
  <si>
    <t>C603</t>
    <phoneticPr fontId="11" type="noConversion"/>
  </si>
  <si>
    <t>F08</t>
  </si>
  <si>
    <t>7F-F08 랙</t>
  </si>
  <si>
    <t>B-5</t>
  </si>
  <si>
    <t>A-5</t>
  </si>
  <si>
    <t>IPD B-5-F40 
(구 IPD A) / 35A</t>
    <phoneticPr fontId="11" type="noConversion"/>
  </si>
  <si>
    <t>IPD A-5-F41
(구 IPD B) / 35A</t>
    <phoneticPr fontId="11" type="noConversion"/>
  </si>
  <si>
    <t>IPD B-5
(구 IPD A)</t>
    <phoneticPr fontId="11" type="noConversion"/>
  </si>
  <si>
    <t>IPD A-5
(구 IPD B)</t>
    <phoneticPr fontId="11" type="noConversion"/>
  </si>
  <si>
    <t>DC FUSE 삽입상태 /DC PDP 미사용 중</t>
  </si>
  <si>
    <t>UPS B1-34 / 2P 30A</t>
    <phoneticPr fontId="11" type="noConversion"/>
  </si>
  <si>
    <t>UPS 출력분전반 B1 #34</t>
    <phoneticPr fontId="11" type="noConversion"/>
  </si>
  <si>
    <t>C604</t>
    <phoneticPr fontId="11" type="noConversion"/>
  </si>
  <si>
    <t>F07</t>
  </si>
  <si>
    <t>7F-F07 랙</t>
  </si>
  <si>
    <t>UPS A1-18 / 2P 30A</t>
    <phoneticPr fontId="11" type="noConversion"/>
  </si>
  <si>
    <t>U3-7B-29 / 2P 30A</t>
    <phoneticPr fontId="11" type="noConversion"/>
  </si>
  <si>
    <t>UPS 출력분전반 A1 #18</t>
    <phoneticPr fontId="11" type="noConversion"/>
  </si>
  <si>
    <t>C605</t>
    <phoneticPr fontId="11" type="noConversion"/>
  </si>
  <si>
    <t>F06</t>
  </si>
  <si>
    <t>7F-F06 랙</t>
  </si>
  <si>
    <t>UPS B1-36 / 2P 30A</t>
    <phoneticPr fontId="11" type="noConversion"/>
  </si>
  <si>
    <t>UPS 출력분전반 B1 #36</t>
    <phoneticPr fontId="11" type="noConversion"/>
  </si>
  <si>
    <t>IDC 고객 (델피콤)</t>
    <phoneticPr fontId="11" type="noConversion"/>
  </si>
  <si>
    <t>C606</t>
    <phoneticPr fontId="11" type="noConversion"/>
  </si>
  <si>
    <t>F05</t>
  </si>
  <si>
    <t>7F-F05 랙</t>
  </si>
  <si>
    <t>U3-7A-03 / 2P 30A</t>
    <phoneticPr fontId="11" type="noConversion"/>
  </si>
  <si>
    <t>UPS A1-16 / 2P 30A</t>
    <phoneticPr fontId="11" type="noConversion"/>
  </si>
  <si>
    <t>UPS 출력분전반 A1 #16</t>
    <phoneticPr fontId="11" type="noConversion"/>
  </si>
  <si>
    <t>C607</t>
    <phoneticPr fontId="11" type="noConversion"/>
  </si>
  <si>
    <t>F04</t>
  </si>
  <si>
    <t>7F-F04 랙</t>
  </si>
  <si>
    <t>C608</t>
    <phoneticPr fontId="11" type="noConversion"/>
  </si>
  <si>
    <t>F03</t>
  </si>
  <si>
    <t>7F-F03 랙</t>
  </si>
  <si>
    <t>UPS 출력분전반 B1 #20</t>
    <phoneticPr fontId="11" type="noConversion"/>
  </si>
  <si>
    <t>UPS 출력분전반 A1 #26</t>
    <phoneticPr fontId="11" type="noConversion"/>
  </si>
  <si>
    <t>TR-7A 1000kVA</t>
  </si>
  <si>
    <t>C609</t>
    <phoneticPr fontId="11" type="noConversion"/>
  </si>
  <si>
    <t>F02</t>
  </si>
  <si>
    <t>7F-F02 랙</t>
  </si>
  <si>
    <t>IPD A-1-52</t>
  </si>
  <si>
    <t>IPD B-1-52</t>
  </si>
  <si>
    <t>IDC 고객 (NTT)</t>
    <phoneticPr fontId="11" type="noConversion"/>
  </si>
  <si>
    <t>DC FUSE 제거/미사용(2021.01.19)</t>
  </si>
  <si>
    <t>C610</t>
    <phoneticPr fontId="11" type="noConversion"/>
  </si>
  <si>
    <t>F01</t>
  </si>
  <si>
    <t>7F-F01 랙</t>
  </si>
  <si>
    <t>IPD A-1-51 / 35A</t>
    <phoneticPr fontId="11" type="noConversion"/>
  </si>
  <si>
    <t>IPD B-1-51 / 35A</t>
    <phoneticPr fontId="11" type="noConversion"/>
  </si>
  <si>
    <t>E열</t>
  </si>
  <si>
    <t>C701</t>
    <phoneticPr fontId="11" type="noConversion"/>
  </si>
  <si>
    <t>C702</t>
    <phoneticPr fontId="11" type="noConversion"/>
  </si>
  <si>
    <t>E09</t>
  </si>
  <si>
    <t>7F-E09 랙</t>
  </si>
  <si>
    <t>UPS B1-30 / 2P 30A</t>
    <phoneticPr fontId="11" type="noConversion"/>
  </si>
  <si>
    <t>UPS A1-36 / 2P 30A</t>
    <phoneticPr fontId="11" type="noConversion"/>
  </si>
  <si>
    <t>UPS 출력분전반 B1 #30</t>
    <phoneticPr fontId="11" type="noConversion"/>
  </si>
  <si>
    <t>UPS 출력분전반 A1 #36</t>
    <phoneticPr fontId="11" type="noConversion"/>
  </si>
  <si>
    <t>IDC 고객 (르네트)</t>
    <phoneticPr fontId="11" type="noConversion"/>
  </si>
  <si>
    <t>C703</t>
    <phoneticPr fontId="11" type="noConversion"/>
  </si>
  <si>
    <t>E08</t>
  </si>
  <si>
    <t>7F-E08 랙</t>
  </si>
  <si>
    <t>UPS B1-27 / 2P 20A</t>
    <phoneticPr fontId="11" type="noConversion"/>
  </si>
  <si>
    <t>UPS A1-14 / 2P 30A</t>
    <phoneticPr fontId="11" type="noConversion"/>
  </si>
  <si>
    <t>UPS 출력분전반 B1 #27</t>
    <phoneticPr fontId="11" type="noConversion"/>
  </si>
  <si>
    <t>UPS 출력분전반 A1 #14</t>
    <phoneticPr fontId="11" type="noConversion"/>
  </si>
  <si>
    <t>IDC 고객 (엑사넷)</t>
    <phoneticPr fontId="11" type="noConversion"/>
  </si>
  <si>
    <t>C704</t>
    <phoneticPr fontId="11" type="noConversion"/>
  </si>
  <si>
    <t>E07</t>
  </si>
  <si>
    <t>7F-E07 랙</t>
  </si>
  <si>
    <t>UPS B1-25 / 2P 20A</t>
    <phoneticPr fontId="11" type="noConversion"/>
  </si>
  <si>
    <t>UPS 출력분전반 B1 #25</t>
    <phoneticPr fontId="11" type="noConversion"/>
  </si>
  <si>
    <t>C705</t>
    <phoneticPr fontId="11" type="noConversion"/>
  </si>
  <si>
    <t>E06</t>
  </si>
  <si>
    <t>7F-E06 랙</t>
  </si>
  <si>
    <t>UPS B1-23 / 2P 20A</t>
    <phoneticPr fontId="11" type="noConversion"/>
  </si>
  <si>
    <t>UPS 출력분전반 B1 #23</t>
    <phoneticPr fontId="11" type="noConversion"/>
  </si>
  <si>
    <t>C706</t>
    <phoneticPr fontId="11" type="noConversion"/>
  </si>
  <si>
    <t>E05</t>
  </si>
  <si>
    <t>7F-E05 랙</t>
  </si>
  <si>
    <t>UPS B1-21 / 2P 20A</t>
    <phoneticPr fontId="11" type="noConversion"/>
  </si>
  <si>
    <t>UPS 출력분전반 B1 #21</t>
    <phoneticPr fontId="11" type="noConversion"/>
  </si>
  <si>
    <t>IDC 고객 (니즈텔레콤)</t>
    <phoneticPr fontId="11" type="noConversion"/>
  </si>
  <si>
    <t>C707</t>
    <phoneticPr fontId="11" type="noConversion"/>
  </si>
  <si>
    <t>E04</t>
  </si>
  <si>
    <t>7F-E04 랙</t>
  </si>
  <si>
    <t>UPS A1-04 / 2P 30A</t>
    <phoneticPr fontId="11" type="noConversion"/>
  </si>
  <si>
    <t>UPS 출력분전반 A1 #04</t>
    <phoneticPr fontId="11" type="noConversion"/>
  </si>
  <si>
    <t>IDC 고객 (넷피플)</t>
    <phoneticPr fontId="11" type="noConversion"/>
  </si>
  <si>
    <t>C708</t>
    <phoneticPr fontId="11" type="noConversion"/>
  </si>
  <si>
    <t>E03</t>
  </si>
  <si>
    <t>7F-E03 랙</t>
  </si>
  <si>
    <t>UPS A1-06 / 2P 30A</t>
    <phoneticPr fontId="11" type="noConversion"/>
  </si>
  <si>
    <t>UPS 출력분전반 A1 #06</t>
    <phoneticPr fontId="11" type="noConversion"/>
  </si>
  <si>
    <t>C709</t>
    <phoneticPr fontId="11" type="noConversion"/>
  </si>
  <si>
    <t>E02</t>
  </si>
  <si>
    <t>7F-E02 랙</t>
  </si>
  <si>
    <t>UPS B1-19 / 2P 20A</t>
    <phoneticPr fontId="11" type="noConversion"/>
  </si>
  <si>
    <t>UPS 출력분전반 B1 #19</t>
    <phoneticPr fontId="11" type="noConversion"/>
  </si>
  <si>
    <t>C710</t>
    <phoneticPr fontId="11" type="noConversion"/>
  </si>
  <si>
    <t>E01</t>
  </si>
  <si>
    <t>7F-E01 랙</t>
  </si>
  <si>
    <t>IDC / 압류장비</t>
    <phoneticPr fontId="11" type="noConversion"/>
  </si>
  <si>
    <t>D열</t>
  </si>
  <si>
    <t>C801</t>
    <phoneticPr fontId="11" type="noConversion"/>
  </si>
  <si>
    <t>C802</t>
    <phoneticPr fontId="11" type="noConversion"/>
  </si>
  <si>
    <t>D07</t>
    <phoneticPr fontId="11" type="noConversion"/>
  </si>
  <si>
    <t>7F-D07 랙</t>
  </si>
  <si>
    <t>UPS A1-11 / 2P 20A</t>
    <phoneticPr fontId="11" type="noConversion"/>
  </si>
  <si>
    <t>UPS 출력분전반 A1 #11</t>
    <phoneticPr fontId="11" type="noConversion"/>
  </si>
  <si>
    <t>UPS B1-32 / 2P 30A</t>
    <phoneticPr fontId="11" type="noConversion"/>
  </si>
  <si>
    <t>UPS A1-38 / 2P 30A</t>
    <phoneticPr fontId="11" type="noConversion"/>
  </si>
  <si>
    <t>UPS 출력분전반 B1 #32</t>
    <phoneticPr fontId="11" type="noConversion"/>
  </si>
  <si>
    <t>UPS 출력분전반 A1 #38</t>
    <phoneticPr fontId="11" type="noConversion"/>
  </si>
  <si>
    <t>C803</t>
    <phoneticPr fontId="11" type="noConversion"/>
  </si>
  <si>
    <t>D06</t>
    <phoneticPr fontId="11" type="noConversion"/>
  </si>
  <si>
    <t>7F-D06 랙</t>
  </si>
  <si>
    <t>UPS B1-28 / 2P 30A</t>
    <phoneticPr fontId="11" type="noConversion"/>
  </si>
  <si>
    <t>UPS A1-34 / 2P 30A</t>
    <phoneticPr fontId="11" type="noConversion"/>
  </si>
  <si>
    <t>UPS 출력분전반 B1 #28</t>
    <phoneticPr fontId="11" type="noConversion"/>
  </si>
  <si>
    <t>IDC 고객 (??)</t>
    <phoneticPr fontId="11" type="noConversion"/>
  </si>
  <si>
    <t>C804</t>
    <phoneticPr fontId="11" type="noConversion"/>
  </si>
  <si>
    <t>D05</t>
    <phoneticPr fontId="11" type="noConversion"/>
  </si>
  <si>
    <t>7F-D05 랙</t>
  </si>
  <si>
    <t>U3-7A-06 / 2P 30A</t>
    <phoneticPr fontId="11" type="noConversion"/>
  </si>
  <si>
    <t>U3-7B-06 / 2P 30A</t>
    <phoneticPr fontId="11" type="noConversion"/>
  </si>
  <si>
    <t>U3-7A-54 / 2P 30A</t>
    <phoneticPr fontId="11" type="noConversion"/>
  </si>
  <si>
    <t>U3-7B-53 / 2P 30A</t>
    <phoneticPr fontId="11" type="noConversion"/>
  </si>
  <si>
    <t>C805</t>
    <phoneticPr fontId="11" type="noConversion"/>
  </si>
  <si>
    <t>D04</t>
    <phoneticPr fontId="11" type="noConversion"/>
  </si>
  <si>
    <t>7F-D04 랙</t>
  </si>
  <si>
    <t>UPS A2-02 / 2P 50A</t>
    <phoneticPr fontId="11" type="noConversion"/>
  </si>
  <si>
    <t>UPS B2-02 / 2P 50A</t>
    <phoneticPr fontId="11" type="noConversion"/>
  </si>
  <si>
    <t>UPS 출력분전반 A2 #02</t>
    <phoneticPr fontId="11" type="noConversion"/>
  </si>
  <si>
    <t>UPS 출력분전반 B2 #01</t>
  </si>
  <si>
    <t>UPS 출력
분전반A2,
4P 225A</t>
    <phoneticPr fontId="11" type="noConversion"/>
  </si>
  <si>
    <t>UPS 출력
분전반B2,
4P 225A</t>
    <phoneticPr fontId="11" type="noConversion"/>
  </si>
  <si>
    <t>UPS 출력
배전반A, #03
4P 225A</t>
    <phoneticPr fontId="11" type="noConversion"/>
  </si>
  <si>
    <t>UPS 출력
배전반B, #04
3P 150A</t>
    <phoneticPr fontId="11" type="noConversion"/>
  </si>
  <si>
    <t>IDC 고객 (NTT_스미세이)</t>
    <phoneticPr fontId="11" type="noConversion"/>
  </si>
  <si>
    <t>C806</t>
    <phoneticPr fontId="11" type="noConversion"/>
  </si>
  <si>
    <t>D03</t>
    <phoneticPr fontId="11" type="noConversion"/>
  </si>
  <si>
    <t>7F-D03 랙</t>
  </si>
  <si>
    <t>UPS B1-14 / 2P 30A</t>
    <phoneticPr fontId="11" type="noConversion"/>
  </si>
  <si>
    <t>UPS 출력분전반 B1 #14</t>
    <phoneticPr fontId="11" type="noConversion"/>
  </si>
  <si>
    <t>IDC 고객 (유엔시스)</t>
    <phoneticPr fontId="11" type="noConversion"/>
  </si>
  <si>
    <t>C807</t>
    <phoneticPr fontId="11" type="noConversion"/>
  </si>
  <si>
    <t>D02</t>
    <phoneticPr fontId="11" type="noConversion"/>
  </si>
  <si>
    <t>7F-D02 랙</t>
  </si>
  <si>
    <t>1회로 구성(미사용), 차단기 파악 실패. A1 또는 B1 PNL 의심</t>
    <phoneticPr fontId="11" type="noConversion"/>
  </si>
  <si>
    <t>1회로 구성(미사용)</t>
    <phoneticPr fontId="11" type="noConversion"/>
  </si>
  <si>
    <t>C808</t>
    <phoneticPr fontId="11" type="noConversion"/>
  </si>
  <si>
    <t>D01</t>
    <phoneticPr fontId="11" type="noConversion"/>
  </si>
  <si>
    <t>7F-D01 랙</t>
  </si>
  <si>
    <t>U3-7A-04 / 2P 30A</t>
    <phoneticPr fontId="11" type="noConversion"/>
  </si>
  <si>
    <t>U3-7B-04 / 2P 30A</t>
    <phoneticPr fontId="11" type="noConversion"/>
  </si>
  <si>
    <t>U3-7A
4P 300A</t>
    <phoneticPr fontId="11" type="noConversion"/>
  </si>
  <si>
    <t>QDF</t>
    <phoneticPr fontId="11" type="noConversion"/>
  </si>
  <si>
    <t>C열</t>
  </si>
  <si>
    <t>C901</t>
    <phoneticPr fontId="11" type="noConversion"/>
  </si>
  <si>
    <t>C902</t>
    <phoneticPr fontId="11" type="noConversion"/>
  </si>
  <si>
    <t>C08</t>
    <phoneticPr fontId="11" type="noConversion"/>
  </si>
  <si>
    <t>7F-C08 랙</t>
    <phoneticPr fontId="11" type="noConversion"/>
  </si>
  <si>
    <t>UPS A1-23 / 2P 20A</t>
  </si>
  <si>
    <t>UPS B1-12 / 2P 30A</t>
    <phoneticPr fontId="11" type="noConversion"/>
  </si>
  <si>
    <t>UPS 출력분전반 A1 #23</t>
    <phoneticPr fontId="11" type="noConversion"/>
  </si>
  <si>
    <t>UPS 출력분전반 B1 #12</t>
    <phoneticPr fontId="11" type="noConversion"/>
  </si>
  <si>
    <t>UPS 출력배전반A,
4P 400A</t>
    <phoneticPr fontId="11" type="noConversion"/>
  </si>
  <si>
    <t>UPS 출력분전반B
4P 400A</t>
    <phoneticPr fontId="11" type="noConversion"/>
  </si>
  <si>
    <t>IDC 고객(IT Train - 사조2차)</t>
    <phoneticPr fontId="11" type="noConversion"/>
  </si>
  <si>
    <t>C903</t>
    <phoneticPr fontId="11" type="noConversion"/>
  </si>
  <si>
    <t>C07</t>
  </si>
  <si>
    <t>7F-C07 랙</t>
    <phoneticPr fontId="11" type="noConversion"/>
  </si>
  <si>
    <t>UPS A1-37 / 2P 20A</t>
    <phoneticPr fontId="11" type="noConversion"/>
  </si>
  <si>
    <t>UPS B1-08 / 2P 30A</t>
  </si>
  <si>
    <t>UPS 출력분전반 A1 #37</t>
    <phoneticPr fontId="11" type="noConversion"/>
  </si>
  <si>
    <t>UPS 출력분전반 B1 #08</t>
  </si>
  <si>
    <t>C904</t>
    <phoneticPr fontId="11" type="noConversion"/>
  </si>
  <si>
    <t>C06</t>
    <phoneticPr fontId="11" type="noConversion"/>
  </si>
  <si>
    <t>7F-C06 랙</t>
    <phoneticPr fontId="11" type="noConversion"/>
  </si>
  <si>
    <t>U3-7A-10 / 2P 30A</t>
    <phoneticPr fontId="11" type="noConversion"/>
  </si>
  <si>
    <t>U3-7B-10 / 2P 30A</t>
    <phoneticPr fontId="11" type="noConversion"/>
  </si>
  <si>
    <t>LV-7A #05 / 3P 320A
(U3-7A)</t>
    <phoneticPr fontId="11" type="noConversion"/>
  </si>
  <si>
    <t>C905</t>
  </si>
  <si>
    <t>U3-7A-42 / 2P 30A</t>
    <phoneticPr fontId="11" type="noConversion"/>
  </si>
  <si>
    <t>U3-7B-42 / 2P 30A</t>
    <phoneticPr fontId="11" type="noConversion"/>
  </si>
  <si>
    <t>C907</t>
    <phoneticPr fontId="11" type="noConversion"/>
  </si>
  <si>
    <t>C04</t>
    <phoneticPr fontId="11" type="noConversion"/>
  </si>
  <si>
    <t>7F-C04 랙</t>
    <phoneticPr fontId="11" type="noConversion"/>
  </si>
  <si>
    <t>미설치 (랙 없음)</t>
    <phoneticPr fontId="11" type="noConversion"/>
  </si>
  <si>
    <t>C908</t>
    <phoneticPr fontId="11" type="noConversion"/>
  </si>
  <si>
    <t>C03</t>
    <phoneticPr fontId="11" type="noConversion"/>
  </si>
  <si>
    <t>7F-C03 랙</t>
    <phoneticPr fontId="11" type="noConversion"/>
  </si>
  <si>
    <t>C909</t>
    <phoneticPr fontId="11" type="noConversion"/>
  </si>
  <si>
    <t>C02</t>
  </si>
  <si>
    <t>7F-C02 랙</t>
    <phoneticPr fontId="11" type="noConversion"/>
  </si>
  <si>
    <t>U3-7A-34 / 2P 30A</t>
    <phoneticPr fontId="11" type="noConversion"/>
  </si>
  <si>
    <t>U3-7B-34 / 2P 30A</t>
    <phoneticPr fontId="11" type="noConversion"/>
  </si>
  <si>
    <t>IDC 고객(타타커뮤니케이션즈)</t>
    <phoneticPr fontId="11" type="noConversion"/>
  </si>
  <si>
    <t>C910</t>
    <phoneticPr fontId="11" type="noConversion"/>
  </si>
  <si>
    <t>C01</t>
  </si>
  <si>
    <t>7F-C01 랙</t>
    <phoneticPr fontId="11" type="noConversion"/>
  </si>
  <si>
    <t>IPD B-5-F48
(구 IPD A) / 100A</t>
    <phoneticPr fontId="11" type="noConversion"/>
  </si>
  <si>
    <t>IPD B-1-41 / 100A</t>
    <phoneticPr fontId="11" type="noConversion"/>
  </si>
  <si>
    <t>DC전원 장비직결</t>
  </si>
  <si>
    <t>U3-7A-15 / 2P 30A</t>
    <phoneticPr fontId="11" type="noConversion"/>
  </si>
  <si>
    <t>U3-7B-15 / 2P 30A</t>
    <phoneticPr fontId="11" type="noConversion"/>
  </si>
  <si>
    <t>B열</t>
  </si>
  <si>
    <t>C1001</t>
    <phoneticPr fontId="11" type="noConversion"/>
  </si>
  <si>
    <t>C1002</t>
    <phoneticPr fontId="11" type="noConversion"/>
  </si>
  <si>
    <t>B08</t>
    <phoneticPr fontId="11" type="noConversion"/>
  </si>
  <si>
    <t>7F-B08 랙</t>
    <phoneticPr fontId="11" type="noConversion"/>
  </si>
  <si>
    <t>U3-7A-35 / 2P 30A</t>
    <phoneticPr fontId="11" type="noConversion"/>
  </si>
  <si>
    <t>U3-7B-35 / 2P 30A</t>
    <phoneticPr fontId="11" type="noConversion"/>
  </si>
  <si>
    <t>세종 인터넷(클라우드이음)</t>
    <phoneticPr fontId="11" type="noConversion"/>
  </si>
  <si>
    <t>신규 구성중</t>
  </si>
  <si>
    <t>C1003</t>
    <phoneticPr fontId="11" type="noConversion"/>
  </si>
  <si>
    <t>B07</t>
    <phoneticPr fontId="11" type="noConversion"/>
  </si>
  <si>
    <t>7F-B07 랙</t>
    <phoneticPr fontId="11" type="noConversion"/>
  </si>
  <si>
    <t>U3-7A-33 / 2P 30A</t>
    <phoneticPr fontId="11" type="noConversion"/>
  </si>
  <si>
    <t>U3-7B-33 / 2P 30A</t>
    <phoneticPr fontId="11" type="noConversion"/>
  </si>
  <si>
    <t>C1004</t>
    <phoneticPr fontId="11" type="noConversion"/>
  </si>
  <si>
    <t>B06</t>
    <phoneticPr fontId="11" type="noConversion"/>
  </si>
  <si>
    <t>7F-B06 랙</t>
    <phoneticPr fontId="11" type="noConversion"/>
  </si>
  <si>
    <t>U3-7A-31 / 2P 30A</t>
    <phoneticPr fontId="11" type="noConversion"/>
  </si>
  <si>
    <t>U3-7B-31 / 2P 30A</t>
    <phoneticPr fontId="11" type="noConversion"/>
  </si>
  <si>
    <t>C1005</t>
    <phoneticPr fontId="11" type="noConversion"/>
  </si>
  <si>
    <t>B05</t>
    <phoneticPr fontId="11" type="noConversion"/>
  </si>
  <si>
    <t>7F-B05 랙</t>
    <phoneticPr fontId="11" type="noConversion"/>
  </si>
  <si>
    <t>U3-7A-39 / 2P 30A</t>
    <phoneticPr fontId="11" type="noConversion"/>
  </si>
  <si>
    <t>U3-7B-39 / 2P 30A</t>
    <phoneticPr fontId="11" type="noConversion"/>
  </si>
  <si>
    <t>C1006</t>
    <phoneticPr fontId="11" type="noConversion"/>
  </si>
  <si>
    <t>B04</t>
    <phoneticPr fontId="11" type="noConversion"/>
  </si>
  <si>
    <t>7F-B04 랙</t>
    <phoneticPr fontId="11" type="noConversion"/>
  </si>
  <si>
    <t>C1007</t>
    <phoneticPr fontId="11" type="noConversion"/>
  </si>
  <si>
    <t>B03</t>
    <phoneticPr fontId="11" type="noConversion"/>
  </si>
  <si>
    <t>7F-B03 랙</t>
    <phoneticPr fontId="11" type="noConversion"/>
  </si>
  <si>
    <t>C1008</t>
    <phoneticPr fontId="11" type="noConversion"/>
  </si>
  <si>
    <t>B02</t>
    <phoneticPr fontId="11" type="noConversion"/>
  </si>
  <si>
    <t>7F-B02 랙</t>
    <phoneticPr fontId="11" type="noConversion"/>
  </si>
  <si>
    <t>C1009</t>
    <phoneticPr fontId="11" type="noConversion"/>
  </si>
  <si>
    <t>B01</t>
    <phoneticPr fontId="11" type="noConversion"/>
  </si>
  <si>
    <t>7F-B01 랙</t>
    <phoneticPr fontId="11" type="noConversion"/>
  </si>
  <si>
    <t>A열</t>
  </si>
  <si>
    <t>C1101</t>
    <phoneticPr fontId="11" type="noConversion"/>
  </si>
  <si>
    <t>C1102</t>
    <phoneticPr fontId="11" type="noConversion"/>
  </si>
  <si>
    <t>A08</t>
    <phoneticPr fontId="11" type="noConversion"/>
  </si>
  <si>
    <t>7F-A08 랙</t>
    <phoneticPr fontId="11" type="noConversion"/>
  </si>
  <si>
    <t>UPS A2-08 / 2P 50A</t>
    <phoneticPr fontId="11" type="noConversion"/>
  </si>
  <si>
    <t>UPS B2-08 / 2P 50A</t>
    <phoneticPr fontId="11" type="noConversion"/>
  </si>
  <si>
    <t>UPS 출력분전반 A2 #08</t>
    <phoneticPr fontId="11" type="noConversion"/>
  </si>
  <si>
    <t>UPS 출력분전반 B2 #08</t>
    <phoneticPr fontId="11" type="noConversion"/>
  </si>
  <si>
    <t>IDC 고객(LG HELLOVISION)</t>
    <phoneticPr fontId="11" type="noConversion"/>
  </si>
  <si>
    <t>C1103</t>
    <phoneticPr fontId="11" type="noConversion"/>
  </si>
  <si>
    <t>A07</t>
    <phoneticPr fontId="11" type="noConversion"/>
  </si>
  <si>
    <t>7F-A07 랙</t>
    <phoneticPr fontId="11" type="noConversion"/>
  </si>
  <si>
    <t>UPS A2-06 / 2P 50A</t>
    <phoneticPr fontId="11" type="noConversion"/>
  </si>
  <si>
    <t>UPS B2-06 / 2P 50A</t>
    <phoneticPr fontId="11" type="noConversion"/>
  </si>
  <si>
    <t>UPS 출력분전반 A2 #06</t>
    <phoneticPr fontId="11" type="noConversion"/>
  </si>
  <si>
    <t>UPS 출력분전반 B2 #06</t>
    <phoneticPr fontId="11" type="noConversion"/>
  </si>
  <si>
    <t>C1104</t>
    <phoneticPr fontId="11" type="noConversion"/>
  </si>
  <si>
    <t>A06</t>
    <phoneticPr fontId="11" type="noConversion"/>
  </si>
  <si>
    <t>7F-A06 랙</t>
    <phoneticPr fontId="11" type="noConversion"/>
  </si>
  <si>
    <t>UPS A2-10 / 2P 50A</t>
    <phoneticPr fontId="11" type="noConversion"/>
  </si>
  <si>
    <t>UPS B2-10 / 2P 50A</t>
    <phoneticPr fontId="11" type="noConversion"/>
  </si>
  <si>
    <t>UPS 출력분전반 A2 #10</t>
    <phoneticPr fontId="11" type="noConversion"/>
  </si>
  <si>
    <t>UPS 출력분전반 B2 #10</t>
    <phoneticPr fontId="11" type="noConversion"/>
  </si>
  <si>
    <t>C1105</t>
    <phoneticPr fontId="11" type="noConversion"/>
  </si>
  <si>
    <t>A05</t>
    <phoneticPr fontId="11" type="noConversion"/>
  </si>
  <si>
    <t>7F-A05 랙</t>
    <phoneticPr fontId="11" type="noConversion"/>
  </si>
  <si>
    <t>UPS A2-09 / 2P 50A</t>
    <phoneticPr fontId="11" type="noConversion"/>
  </si>
  <si>
    <t>UPS B2-09 / 2P 50A</t>
    <phoneticPr fontId="11" type="noConversion"/>
  </si>
  <si>
    <t>UPS 출력분전반 A2 #09</t>
    <phoneticPr fontId="11" type="noConversion"/>
  </si>
  <si>
    <t>UPS 출력분전반 B2 #09</t>
    <phoneticPr fontId="11" type="noConversion"/>
  </si>
  <si>
    <t>C1106</t>
    <phoneticPr fontId="11" type="noConversion"/>
  </si>
  <si>
    <t>A04</t>
    <phoneticPr fontId="11" type="noConversion"/>
  </si>
  <si>
    <t>7F-A04 랙</t>
    <phoneticPr fontId="11" type="noConversion"/>
  </si>
  <si>
    <t>IPD B-5-F42(1)
(구 IPD A) / 35A</t>
    <phoneticPr fontId="11" type="noConversion"/>
  </si>
  <si>
    <t>IPD A-5-F42(1)
(구 IPD B) / 35A</t>
    <phoneticPr fontId="11" type="noConversion"/>
  </si>
  <si>
    <t>IPD B-5-F43(2)
(구 IPD A) / 35A</t>
    <phoneticPr fontId="11" type="noConversion"/>
  </si>
  <si>
    <t>IPD A-5-F43(2)
(구 IPD B) / 35A</t>
    <phoneticPr fontId="11" type="noConversion"/>
  </si>
  <si>
    <t>UPS A2-07 / 2P 50A</t>
    <phoneticPr fontId="11" type="noConversion"/>
  </si>
  <si>
    <t>UPS B2-07 / 2P 50A</t>
    <phoneticPr fontId="11" type="noConversion"/>
  </si>
  <si>
    <t>UPS 출력분전반 A2 #07</t>
    <phoneticPr fontId="11" type="noConversion"/>
  </si>
  <si>
    <t>UPS 출력분전반 B2 #07</t>
    <phoneticPr fontId="11" type="noConversion"/>
  </si>
  <si>
    <t>C1107</t>
    <phoneticPr fontId="11" type="noConversion"/>
  </si>
  <si>
    <t>A03</t>
    <phoneticPr fontId="11" type="noConversion"/>
  </si>
  <si>
    <t>7F-A03 랙</t>
    <phoneticPr fontId="11" type="noConversion"/>
  </si>
  <si>
    <t>UPS A2-05 / 2P 50A</t>
    <phoneticPr fontId="11" type="noConversion"/>
  </si>
  <si>
    <t>UPS B2-05 / 2P 50A</t>
    <phoneticPr fontId="11" type="noConversion"/>
  </si>
  <si>
    <t>UPS 출력분전반 A2 #05</t>
    <phoneticPr fontId="11" type="noConversion"/>
  </si>
  <si>
    <t>UPS 출력분전반 B2 #05</t>
    <phoneticPr fontId="11" type="noConversion"/>
  </si>
  <si>
    <t>C1108</t>
    <phoneticPr fontId="11" type="noConversion"/>
  </si>
  <si>
    <t>A02</t>
    <phoneticPr fontId="11" type="noConversion"/>
  </si>
  <si>
    <t>7F-A02 랙</t>
    <phoneticPr fontId="11" type="noConversion"/>
  </si>
  <si>
    <t>UPS A2-03 / 2P 50A</t>
    <phoneticPr fontId="11" type="noConversion"/>
  </si>
  <si>
    <t>UPS B2-03 / 2P 50A</t>
    <phoneticPr fontId="11" type="noConversion"/>
  </si>
  <si>
    <t>UPS 출력분전반 A2 #03</t>
    <phoneticPr fontId="11" type="noConversion"/>
  </si>
  <si>
    <t>UPS 출력분전반 B2 #03</t>
    <phoneticPr fontId="11" type="noConversion"/>
  </si>
  <si>
    <t>C1109</t>
    <phoneticPr fontId="11" type="noConversion"/>
  </si>
  <si>
    <t>A01</t>
    <phoneticPr fontId="11" type="noConversion"/>
  </si>
  <si>
    <t>7F-A01 랙</t>
    <phoneticPr fontId="11" type="noConversion"/>
  </si>
  <si>
    <t>UPS A2-01 / 2P 50A</t>
    <phoneticPr fontId="11" type="noConversion"/>
  </si>
  <si>
    <t>UPS B2-01 / 2P 50A</t>
    <phoneticPr fontId="11" type="noConversion"/>
  </si>
  <si>
    <t>UPS 출력분전반 A2 #01</t>
    <phoneticPr fontId="11" type="noConversion"/>
  </si>
  <si>
    <t>UPS 출력분전반 B2 #01</t>
    <phoneticPr fontId="11" type="noConversion"/>
  </si>
  <si>
    <t>신규BMS(20F TPS실) Rack</t>
  </si>
  <si>
    <t>U3-7B-49 / 2P 30A</t>
    <phoneticPr fontId="11" type="noConversion"/>
  </si>
  <si>
    <t>신규BMS(7F TPS실) Rack</t>
  </si>
  <si>
    <t>U3-7B-51 / 2P 30A</t>
    <phoneticPr fontId="11" type="noConversion"/>
  </si>
  <si>
    <t>8층 Office 분전반(창고)</t>
  </si>
  <si>
    <t>누락
회로
파악
불가</t>
    <phoneticPr fontId="11" type="noConversion"/>
  </si>
  <si>
    <t>UPS A1-01 / 2P 20A</t>
    <phoneticPr fontId="11" type="noConversion"/>
  </si>
  <si>
    <t>UPS 출력분전반 A1 #01</t>
    <phoneticPr fontId="11" type="noConversion"/>
  </si>
  <si>
    <t>W-DCS 8000</t>
  </si>
  <si>
    <t>UPS A1-02 / 2P 30A</t>
    <phoneticPr fontId="11" type="noConversion"/>
  </si>
  <si>
    <t>UPS 출력분전반 A1 #02</t>
    <phoneticPr fontId="11" type="noConversion"/>
  </si>
  <si>
    <t>TO 8F 보안실 UPS항온항습기 모니터용PC</t>
    <phoneticPr fontId="11" type="noConversion"/>
  </si>
  <si>
    <t>UPS A1-03 / 2P 20A</t>
    <phoneticPr fontId="11" type="noConversion"/>
  </si>
  <si>
    <t>UPS 출력분전반 A1 #03</t>
    <phoneticPr fontId="11" type="noConversion"/>
  </si>
  <si>
    <t>?? (전송)</t>
    <phoneticPr fontId="11" type="noConversion"/>
  </si>
  <si>
    <t>UPS A1-05 / 2P 20A</t>
    <phoneticPr fontId="11" type="noConversion"/>
  </si>
  <si>
    <t>UPS 출력분전반 A1 #05</t>
    <phoneticPr fontId="11" type="noConversion"/>
  </si>
  <si>
    <t>UPS A1-09 / 2P 20A</t>
    <phoneticPr fontId="11" type="noConversion"/>
  </si>
  <si>
    <t>UPS 출력분전반 A1 #09</t>
    <phoneticPr fontId="11" type="noConversion"/>
  </si>
  <si>
    <t>IDC (Voice사업팀 MMS용-B)</t>
    <phoneticPr fontId="11" type="noConversion"/>
  </si>
  <si>
    <t>UPS A1-13 / 2P 20A</t>
    <phoneticPr fontId="11" type="noConversion"/>
  </si>
  <si>
    <t>UPS 출력분전반 A1 #13</t>
    <phoneticPr fontId="11" type="noConversion"/>
  </si>
  <si>
    <t>ONS1064 SERVER</t>
  </si>
  <si>
    <t>UPS A1-15 / 2P 20A</t>
    <phoneticPr fontId="11" type="noConversion"/>
  </si>
  <si>
    <t>UPS 출력분전반 A1 #15</t>
    <phoneticPr fontId="11" type="noConversion"/>
  </si>
  <si>
    <t>NTT 하-1</t>
  </si>
  <si>
    <t>UPS A1-17 / 2P 20A</t>
    <phoneticPr fontId="11" type="noConversion"/>
  </si>
  <si>
    <t>UPS 출력분전반 A1 #17</t>
    <phoneticPr fontId="11" type="noConversion"/>
  </si>
  <si>
    <t>8층 보안실 CCTV 모니터</t>
  </si>
  <si>
    <t>UPS A1-27 / 2P 20A</t>
    <phoneticPr fontId="11" type="noConversion"/>
  </si>
  <si>
    <t>UPS 출력분전반 A1 #27</t>
    <phoneticPr fontId="11" type="noConversion"/>
  </si>
  <si>
    <t>전송 (NMS B-15)</t>
    <phoneticPr fontId="11" type="noConversion"/>
  </si>
  <si>
    <t>UPS A1-28 / 2P 30A</t>
    <phoneticPr fontId="11" type="noConversion"/>
  </si>
  <si>
    <t>UPS 출력분전반 A1 #28</t>
    <phoneticPr fontId="11" type="noConversion"/>
  </si>
  <si>
    <t>운용실콘센트</t>
  </si>
  <si>
    <t>UPS A1-29 / 2P 20A</t>
    <phoneticPr fontId="11" type="noConversion"/>
  </si>
  <si>
    <t>UPS 출력분전반 A1 #29</t>
    <phoneticPr fontId="11" type="noConversion"/>
  </si>
  <si>
    <t>전송 (NMS B-16)</t>
    <phoneticPr fontId="11" type="noConversion"/>
  </si>
  <si>
    <t>UPS A1-30 / 2P 30A</t>
    <phoneticPr fontId="11" type="noConversion"/>
  </si>
  <si>
    <t>UPS 출력분전반 A1 #30</t>
    <phoneticPr fontId="11" type="noConversion"/>
  </si>
  <si>
    <t>운용실콘센트 창가1열</t>
  </si>
  <si>
    <t>UPS A1-31 / 2P 20A</t>
    <phoneticPr fontId="11" type="noConversion"/>
  </si>
  <si>
    <t>UPS 출력분전반 A1 #31</t>
    <phoneticPr fontId="11" type="noConversion"/>
  </si>
  <si>
    <t>전송 (??)</t>
    <phoneticPr fontId="11" type="noConversion"/>
  </si>
  <si>
    <t>U3-7B-50 / 2P 30A</t>
    <phoneticPr fontId="11" type="noConversion"/>
  </si>
  <si>
    <t>7층 출입카드(전층 출입통제)</t>
    <phoneticPr fontId="11" type="noConversion"/>
  </si>
  <si>
    <t>U3-7B-52 / 2P 30A</t>
    <phoneticPr fontId="11" type="noConversion"/>
  </si>
  <si>
    <t>20F MAIN (FMS)</t>
  </si>
  <si>
    <t>U3-7B-54 / 2P 30A</t>
    <phoneticPr fontId="11" type="noConversion"/>
  </si>
  <si>
    <t>7F MAIN (FMS)</t>
  </si>
  <si>
    <t>U3-7A-52 / 2P 30A</t>
    <phoneticPr fontId="11" type="noConversion"/>
  </si>
  <si>
    <t>7F NTT CCTV 전원</t>
  </si>
  <si>
    <t>UPS B1-01 / 2P 20A</t>
    <phoneticPr fontId="11" type="noConversion"/>
  </si>
  <si>
    <t>UPS 출력분전반 B1 #01</t>
    <phoneticPr fontId="11" type="noConversion"/>
  </si>
  <si>
    <t>강남방향 창가열 콘센트</t>
  </si>
  <si>
    <t>UPS B1-02 / 2P 30A</t>
    <phoneticPr fontId="11" type="noConversion"/>
  </si>
  <si>
    <t>UPS 출력분전반 B1 #02</t>
    <phoneticPr fontId="11" type="noConversion"/>
  </si>
  <si>
    <t>정면창가 콘센트</t>
  </si>
  <si>
    <t>UPS B1-03 / 2P 20A</t>
    <phoneticPr fontId="11" type="noConversion"/>
  </si>
  <si>
    <t>UPS 출력분전반 B1 #03</t>
    <phoneticPr fontId="11" type="noConversion"/>
  </si>
  <si>
    <t>??</t>
  </si>
  <si>
    <t>UPS B1-06 / 2P 30A</t>
    <phoneticPr fontId="11" type="noConversion"/>
  </si>
  <si>
    <t>UPS 출력분전반 B1 #08</t>
    <phoneticPr fontId="11" type="noConversion"/>
  </si>
  <si>
    <t>전송 (GAINS)</t>
    <phoneticPr fontId="11" type="noConversion"/>
  </si>
  <si>
    <t>UPS B1-07 / 2P 20A</t>
    <phoneticPr fontId="11" type="noConversion"/>
  </si>
  <si>
    <t>UPS 출력분전반 B1 #07</t>
    <phoneticPr fontId="11" type="noConversion"/>
  </si>
  <si>
    <t>C2C DWDM 
EMS RACK</t>
  </si>
  <si>
    <t>UPS B1-11 / 2P 20A</t>
    <phoneticPr fontId="11" type="noConversion"/>
  </si>
  <si>
    <t>UPS 출력분전반 B1 #11</t>
    <phoneticPr fontId="11" type="noConversion"/>
  </si>
  <si>
    <t>전송 (ONS1064 SERVER)</t>
    <phoneticPr fontId="11" type="noConversion"/>
  </si>
  <si>
    <t>UPS B1-22 / 2P 30A</t>
    <phoneticPr fontId="11" type="noConversion"/>
  </si>
  <si>
    <t>UPS 출력분전반 B1 #22</t>
    <phoneticPr fontId="11" type="noConversion"/>
  </si>
  <si>
    <t>운용실 바닥콘센트</t>
  </si>
  <si>
    <t>UPS B1-24 / 2P 30A</t>
    <phoneticPr fontId="11" type="noConversion"/>
  </si>
  <si>
    <t>UPS 출력분전반 B1 #24</t>
    <phoneticPr fontId="11" type="noConversion"/>
  </si>
  <si>
    <t>운용실 콘센트 창가1열</t>
  </si>
  <si>
    <t>UPS B1-35 / 2P 20A</t>
    <phoneticPr fontId="11" type="noConversion"/>
  </si>
  <si>
    <t>UPS 출력분전반 B1 #35</t>
    <phoneticPr fontId="11" type="noConversion"/>
  </si>
  <si>
    <t>7F NMS A-18</t>
  </si>
  <si>
    <t>UPS B1-37 / 2P 20A</t>
    <phoneticPr fontId="11" type="noConversion"/>
  </si>
  <si>
    <t>UPS 출력분전반 B1 #37</t>
    <phoneticPr fontId="11" type="noConversion"/>
  </si>
  <si>
    <t>7F NMS A-19</t>
  </si>
  <si>
    <t>IDC MAN POP</t>
  </si>
  <si>
    <t>UPS B1-39 / 2P 20A</t>
    <phoneticPr fontId="11" type="noConversion"/>
  </si>
  <si>
    <t>UPS 출력분전반 B1 #39</t>
    <phoneticPr fontId="11" type="noConversion"/>
  </si>
  <si>
    <t>7F NMS A-20</t>
  </si>
  <si>
    <t>6층 랙별  전기공급계통</t>
    <phoneticPr fontId="11" type="noConversion"/>
  </si>
  <si>
    <t>층/분전반명/차단기용량/차단기번호</t>
    <phoneticPr fontId="11" type="noConversion"/>
  </si>
  <si>
    <t>DEKR No.</t>
    <phoneticPr fontId="11" type="noConversion"/>
  </si>
  <si>
    <t>랙 No.</t>
    <phoneticPr fontId="11" type="noConversion"/>
  </si>
  <si>
    <t>고객명</t>
    <phoneticPr fontId="11" type="noConversion"/>
  </si>
  <si>
    <t>리셉터클 Name</t>
  </si>
  <si>
    <t>차단기 정보</t>
    <phoneticPr fontId="11" type="noConversion"/>
  </si>
  <si>
    <t>분전반 정보</t>
    <phoneticPr fontId="11" type="noConversion"/>
  </si>
  <si>
    <t>비 고</t>
    <phoneticPr fontId="11" type="noConversion"/>
  </si>
  <si>
    <t>6F-A11</t>
    <phoneticPr fontId="11" type="noConversion"/>
  </si>
  <si>
    <t>6층 사무실 공간</t>
    <phoneticPr fontId="11" type="noConversion"/>
  </si>
  <si>
    <t>6F-A12</t>
    <phoneticPr fontId="11" type="noConversion"/>
  </si>
  <si>
    <t>6F-A13</t>
    <phoneticPr fontId="11" type="noConversion"/>
  </si>
  <si>
    <t>A7-33-1</t>
    <phoneticPr fontId="11" type="noConversion"/>
  </si>
  <si>
    <t>B7-33-1</t>
    <phoneticPr fontId="11" type="noConversion"/>
  </si>
  <si>
    <t>전원 미결선 상태(A7-33-1 ~ 5)</t>
    <phoneticPr fontId="11" type="noConversion"/>
  </si>
  <si>
    <t>6F-A14</t>
    <phoneticPr fontId="11" type="noConversion"/>
  </si>
  <si>
    <t>A7-33-2</t>
  </si>
  <si>
    <t>B7-33-2</t>
  </si>
  <si>
    <t>6F-A15</t>
    <phoneticPr fontId="11" type="noConversion"/>
  </si>
  <si>
    <t>A7-33-3</t>
  </si>
  <si>
    <t>B7-33-3</t>
  </si>
  <si>
    <t>6F-A16</t>
    <phoneticPr fontId="11" type="noConversion"/>
  </si>
  <si>
    <t>A7-33-4</t>
  </si>
  <si>
    <t>B7-33-4</t>
  </si>
  <si>
    <t>6F-A17</t>
    <phoneticPr fontId="11" type="noConversion"/>
  </si>
  <si>
    <t>A7-33-5</t>
  </si>
  <si>
    <t>B7-33-5</t>
  </si>
  <si>
    <t>6F-A18</t>
    <phoneticPr fontId="11" type="noConversion"/>
  </si>
  <si>
    <t>A7-33-6</t>
  </si>
  <si>
    <t>B7-33-6</t>
  </si>
  <si>
    <t>6F-A19</t>
    <phoneticPr fontId="11" type="noConversion"/>
  </si>
  <si>
    <t>A7-33-7</t>
  </si>
  <si>
    <t>B7-33-7</t>
  </si>
  <si>
    <t>6F-B11</t>
    <phoneticPr fontId="11" type="noConversion"/>
  </si>
  <si>
    <t>6F-B12</t>
    <phoneticPr fontId="11" type="noConversion"/>
  </si>
  <si>
    <t>6F-B13</t>
    <phoneticPr fontId="11" type="noConversion"/>
  </si>
  <si>
    <t>A7-32-1</t>
    <phoneticPr fontId="11" type="noConversion"/>
  </si>
  <si>
    <t>B7-32-1</t>
    <phoneticPr fontId="11" type="noConversion"/>
  </si>
  <si>
    <t>전원 미결선 상태(A7-32-1 ~ 7)</t>
    <phoneticPr fontId="11" type="noConversion"/>
  </si>
  <si>
    <t>6F-B14</t>
    <phoneticPr fontId="11" type="noConversion"/>
  </si>
  <si>
    <t>A7-32-2</t>
  </si>
  <si>
    <t>B7-32-2</t>
  </si>
  <si>
    <t>6F-B15</t>
    <phoneticPr fontId="11" type="noConversion"/>
  </si>
  <si>
    <t>A7-32-3</t>
  </si>
  <si>
    <t>B7-32-3</t>
  </si>
  <si>
    <t>6F-B16</t>
    <phoneticPr fontId="11" type="noConversion"/>
  </si>
  <si>
    <t>A7-32-4</t>
  </si>
  <si>
    <t>B7-32-4</t>
  </si>
  <si>
    <t>6F-B17</t>
    <phoneticPr fontId="11" type="noConversion"/>
  </si>
  <si>
    <t>A7-32-5</t>
  </si>
  <si>
    <t>B7-32-5</t>
  </si>
  <si>
    <t>6F-B18</t>
    <phoneticPr fontId="11" type="noConversion"/>
  </si>
  <si>
    <t>A7-32-6</t>
  </si>
  <si>
    <t>B7-32-6</t>
  </si>
  <si>
    <t>6F-B19</t>
    <phoneticPr fontId="11" type="noConversion"/>
  </si>
  <si>
    <t>A7-32-7</t>
  </si>
  <si>
    <t>B7-32-7</t>
  </si>
  <si>
    <t>6F-C11</t>
    <phoneticPr fontId="11" type="noConversion"/>
  </si>
  <si>
    <t>6F-C13</t>
    <phoneticPr fontId="11" type="noConversion"/>
  </si>
  <si>
    <t>A7-31-2</t>
  </si>
  <si>
    <t>B7-31-2</t>
  </si>
  <si>
    <t>A6-A7-06</t>
    <phoneticPr fontId="11" type="noConversion"/>
  </si>
  <si>
    <t>6F-C14</t>
    <phoneticPr fontId="11" type="noConversion"/>
  </si>
  <si>
    <t>A7-31-3</t>
  </si>
  <si>
    <t>B7-31-3</t>
  </si>
  <si>
    <t>A6-A7-08</t>
    <phoneticPr fontId="11" type="noConversion"/>
  </si>
  <si>
    <t>6F-C15</t>
    <phoneticPr fontId="11" type="noConversion"/>
  </si>
  <si>
    <t>A7-31-4</t>
  </si>
  <si>
    <t>B7-31-4</t>
  </si>
  <si>
    <t>A6-A7-10</t>
    <phoneticPr fontId="11" type="noConversion"/>
  </si>
  <si>
    <t>6F-C16</t>
    <phoneticPr fontId="11" type="noConversion"/>
  </si>
  <si>
    <t>A7-31-5</t>
  </si>
  <si>
    <t>B7-31-5</t>
  </si>
  <si>
    <t>A6-A7-12</t>
    <phoneticPr fontId="11" type="noConversion"/>
  </si>
  <si>
    <t>6F-C17</t>
    <phoneticPr fontId="11" type="noConversion"/>
  </si>
  <si>
    <t>A7-31-6</t>
  </si>
  <si>
    <t>B7-31-6</t>
  </si>
  <si>
    <t>A6-A7-14</t>
    <phoneticPr fontId="11" type="noConversion"/>
  </si>
  <si>
    <t>6F-C18</t>
    <phoneticPr fontId="11" type="noConversion"/>
  </si>
  <si>
    <t>A7-31-7</t>
  </si>
  <si>
    <t>B7-31-7</t>
  </si>
  <si>
    <t>A6-A7-16</t>
    <phoneticPr fontId="11" type="noConversion"/>
  </si>
  <si>
    <t>6F-C19</t>
    <phoneticPr fontId="11" type="noConversion"/>
  </si>
  <si>
    <t>A7-31-8</t>
  </si>
  <si>
    <t>B7-31-8</t>
  </si>
  <si>
    <t>A6-A7-18</t>
    <phoneticPr fontId="11" type="noConversion"/>
  </si>
  <si>
    <t>6F-D11</t>
    <phoneticPr fontId="11" type="noConversion"/>
  </si>
  <si>
    <t>6층 Smart Office 공간</t>
    <phoneticPr fontId="11" type="noConversion"/>
  </si>
  <si>
    <t>6F-D12</t>
    <phoneticPr fontId="11" type="noConversion"/>
  </si>
  <si>
    <t>A7-30-1</t>
    <phoneticPr fontId="11" type="noConversion"/>
  </si>
  <si>
    <t>B7-30-1</t>
    <phoneticPr fontId="11" type="noConversion"/>
  </si>
  <si>
    <t>A6-A7-41</t>
    <phoneticPr fontId="11" type="noConversion"/>
  </si>
  <si>
    <t>6F-D13</t>
    <phoneticPr fontId="11" type="noConversion"/>
  </si>
  <si>
    <t>A7-30-2</t>
  </si>
  <si>
    <t>B7-30-2</t>
  </si>
  <si>
    <t>A6-A7-43</t>
    <phoneticPr fontId="11" type="noConversion"/>
  </si>
  <si>
    <t>6F-D14</t>
    <phoneticPr fontId="11" type="noConversion"/>
  </si>
  <si>
    <t>A7-30-3</t>
  </si>
  <si>
    <t>B7-30-3</t>
  </si>
  <si>
    <t>A6-A7-45</t>
    <phoneticPr fontId="11" type="noConversion"/>
  </si>
  <si>
    <t>6F-D15</t>
    <phoneticPr fontId="11" type="noConversion"/>
  </si>
  <si>
    <t>A7-30-4</t>
  </si>
  <si>
    <t>B7-30-4</t>
  </si>
  <si>
    <t>A6-A7-47</t>
    <phoneticPr fontId="11" type="noConversion"/>
  </si>
  <si>
    <t>6F-D16</t>
    <phoneticPr fontId="11" type="noConversion"/>
  </si>
  <si>
    <t>A7-30-5</t>
  </si>
  <si>
    <t>B7-30-5</t>
  </si>
  <si>
    <t>A6-A7-49</t>
    <phoneticPr fontId="11" type="noConversion"/>
  </si>
  <si>
    <t>6F-D17</t>
    <phoneticPr fontId="11" type="noConversion"/>
  </si>
  <si>
    <t>A7-30-6</t>
  </si>
  <si>
    <t>B7-30-6</t>
  </si>
  <si>
    <t>A6-A7-51</t>
    <phoneticPr fontId="11" type="noConversion"/>
  </si>
  <si>
    <t>6F-D18</t>
    <phoneticPr fontId="11" type="noConversion"/>
  </si>
  <si>
    <t>A7-30-7</t>
  </si>
  <si>
    <t>B7-30-7</t>
  </si>
  <si>
    <t>A6-A7-53</t>
    <phoneticPr fontId="11" type="noConversion"/>
  </si>
  <si>
    <t>6F-E11</t>
    <phoneticPr fontId="11" type="noConversion"/>
  </si>
  <si>
    <t>6F-E12</t>
    <phoneticPr fontId="11" type="noConversion"/>
  </si>
  <si>
    <t>A7-29-1</t>
    <phoneticPr fontId="11" type="noConversion"/>
  </si>
  <si>
    <t>B7-29-1</t>
    <phoneticPr fontId="11" type="noConversion"/>
  </si>
  <si>
    <t>A6-A7-25</t>
    <phoneticPr fontId="11" type="noConversion"/>
  </si>
  <si>
    <t>6F-E13</t>
    <phoneticPr fontId="11" type="noConversion"/>
  </si>
  <si>
    <t>A7-29-2</t>
  </si>
  <si>
    <t>B7-29-2</t>
  </si>
  <si>
    <t>A6-A7-27</t>
    <phoneticPr fontId="11" type="noConversion"/>
  </si>
  <si>
    <t>6F-E14</t>
    <phoneticPr fontId="11" type="noConversion"/>
  </si>
  <si>
    <t>A7-29-3</t>
  </si>
  <si>
    <t>B7-29-3</t>
  </si>
  <si>
    <t>A6-A7-29</t>
    <phoneticPr fontId="11" type="noConversion"/>
  </si>
  <si>
    <t>6F-E15</t>
    <phoneticPr fontId="11" type="noConversion"/>
  </si>
  <si>
    <t>A7-29-4</t>
  </si>
  <si>
    <t>B7-29-4</t>
  </si>
  <si>
    <t>A6-A7-31</t>
    <phoneticPr fontId="11" type="noConversion"/>
  </si>
  <si>
    <t>6F-E16</t>
    <phoneticPr fontId="11" type="noConversion"/>
  </si>
  <si>
    <t>A7-29-5</t>
  </si>
  <si>
    <t>B7-29-5</t>
  </si>
  <si>
    <t>A6-A7-33</t>
    <phoneticPr fontId="11" type="noConversion"/>
  </si>
  <si>
    <t>6F-E17</t>
    <phoneticPr fontId="11" type="noConversion"/>
  </si>
  <si>
    <t>A7-29-6</t>
  </si>
  <si>
    <t>B7-29-6</t>
  </si>
  <si>
    <t>A6-A7-35</t>
    <phoneticPr fontId="11" type="noConversion"/>
  </si>
  <si>
    <t>6F-E18</t>
    <phoneticPr fontId="11" type="noConversion"/>
  </si>
  <si>
    <t>A7-29-7</t>
  </si>
  <si>
    <t>B7-29-7</t>
  </si>
  <si>
    <t>A6-A7-37</t>
    <phoneticPr fontId="11" type="noConversion"/>
  </si>
  <si>
    <t>6F-E19</t>
    <phoneticPr fontId="11" type="noConversion"/>
  </si>
  <si>
    <t>B7-29-8</t>
  </si>
  <si>
    <t>A6-A7-39</t>
    <phoneticPr fontId="11" type="noConversion"/>
  </si>
  <si>
    <t>6F-F11</t>
    <phoneticPr fontId="11" type="noConversion"/>
  </si>
  <si>
    <t>6F-F12</t>
    <phoneticPr fontId="11" type="noConversion"/>
  </si>
  <si>
    <t>A7-28-1</t>
    <phoneticPr fontId="11" type="noConversion"/>
  </si>
  <si>
    <t>B7-28-1</t>
    <phoneticPr fontId="11" type="noConversion"/>
  </si>
  <si>
    <t>A6-A7-09</t>
    <phoneticPr fontId="11" type="noConversion"/>
  </si>
  <si>
    <t>6F-F13</t>
    <phoneticPr fontId="11" type="noConversion"/>
  </si>
  <si>
    <t>A7-28-2</t>
  </si>
  <si>
    <t>B7-28-2</t>
  </si>
  <si>
    <t>A6-A7-11</t>
    <phoneticPr fontId="11" type="noConversion"/>
  </si>
  <si>
    <t>6F-F14</t>
    <phoneticPr fontId="11" type="noConversion"/>
  </si>
  <si>
    <t>A7-28-3</t>
  </si>
  <si>
    <t>B7-28-3</t>
  </si>
  <si>
    <t>A6-A7-13</t>
    <phoneticPr fontId="11" type="noConversion"/>
  </si>
  <si>
    <t>6F-F15</t>
    <phoneticPr fontId="11" type="noConversion"/>
  </si>
  <si>
    <t>A7-28-4</t>
  </si>
  <si>
    <t>B7-28-4</t>
  </si>
  <si>
    <t>A6-A7-15</t>
    <phoneticPr fontId="11" type="noConversion"/>
  </si>
  <si>
    <t>6F-F16</t>
    <phoneticPr fontId="11" type="noConversion"/>
  </si>
  <si>
    <t>A7-28-5</t>
  </si>
  <si>
    <t>B7-28-5</t>
  </si>
  <si>
    <t>A6-A7-17</t>
    <phoneticPr fontId="11" type="noConversion"/>
  </si>
  <si>
    <t>6F-F17</t>
    <phoneticPr fontId="11" type="noConversion"/>
  </si>
  <si>
    <t>A7-28-6</t>
  </si>
  <si>
    <t>B7-28-6</t>
  </si>
  <si>
    <t>A6-A7-19</t>
    <phoneticPr fontId="11" type="noConversion"/>
  </si>
  <si>
    <t>6F-F18</t>
    <phoneticPr fontId="11" type="noConversion"/>
  </si>
  <si>
    <t>A7-28-7</t>
  </si>
  <si>
    <t>B7-28-7</t>
  </si>
  <si>
    <t>A6-A7-21</t>
    <phoneticPr fontId="11" type="noConversion"/>
  </si>
  <si>
    <t>6F-F19</t>
    <phoneticPr fontId="11" type="noConversion"/>
  </si>
  <si>
    <t>A7-28-8</t>
  </si>
  <si>
    <t>B7-28-8</t>
  </si>
  <si>
    <t>A6-A7-23</t>
    <phoneticPr fontId="11" type="noConversion"/>
  </si>
  <si>
    <t>6F-G11</t>
    <phoneticPr fontId="11" type="noConversion"/>
  </si>
  <si>
    <t>A3-27-1</t>
    <phoneticPr fontId="11" type="noConversion"/>
  </si>
  <si>
    <t>B3-27-1</t>
    <phoneticPr fontId="11" type="noConversion"/>
  </si>
  <si>
    <t>6F-G12</t>
    <phoneticPr fontId="11" type="noConversion"/>
  </si>
  <si>
    <t>A3-27-2</t>
  </si>
  <si>
    <t>B3-27-2</t>
  </si>
  <si>
    <t>6F-G13</t>
    <phoneticPr fontId="11" type="noConversion"/>
  </si>
  <si>
    <t>A3-27-3</t>
  </si>
  <si>
    <t>B3-27-3</t>
  </si>
  <si>
    <t>6F-G14</t>
    <phoneticPr fontId="11" type="noConversion"/>
  </si>
  <si>
    <t>A4-27-4</t>
    <phoneticPr fontId="11" type="noConversion"/>
  </si>
  <si>
    <t>B4-27-4</t>
    <phoneticPr fontId="11" type="noConversion"/>
  </si>
  <si>
    <t>6F-G15</t>
    <phoneticPr fontId="11" type="noConversion"/>
  </si>
  <si>
    <t>A4-27-5</t>
  </si>
  <si>
    <t>B4-27-5</t>
  </si>
  <si>
    <t>6F-G16</t>
    <phoneticPr fontId="11" type="noConversion"/>
  </si>
  <si>
    <t>A7-27-6</t>
    <phoneticPr fontId="11" type="noConversion"/>
  </si>
  <si>
    <t>B7-27-6</t>
    <phoneticPr fontId="11" type="noConversion"/>
  </si>
  <si>
    <t>A6-A7-48</t>
    <phoneticPr fontId="11" type="noConversion"/>
  </si>
  <si>
    <t>6F-G17</t>
    <phoneticPr fontId="11" type="noConversion"/>
  </si>
  <si>
    <t>A4-27-7</t>
  </si>
  <si>
    <t>B4-27-7</t>
  </si>
  <si>
    <t>6F-G18</t>
    <phoneticPr fontId="11" type="noConversion"/>
  </si>
  <si>
    <t>A4-27-8</t>
  </si>
  <si>
    <t>B4-27-8</t>
  </si>
  <si>
    <t>6F-G19</t>
    <phoneticPr fontId="11" type="noConversion"/>
  </si>
  <si>
    <t>A4-27-9</t>
  </si>
  <si>
    <t>B4-27-9</t>
  </si>
  <si>
    <t>6F-H11</t>
    <phoneticPr fontId="11" type="noConversion"/>
  </si>
  <si>
    <t>A4-26-1</t>
    <phoneticPr fontId="11" type="noConversion"/>
  </si>
  <si>
    <t>B4-26-1</t>
    <phoneticPr fontId="11" type="noConversion"/>
  </si>
  <si>
    <t>6F-H12</t>
    <phoneticPr fontId="11" type="noConversion"/>
  </si>
  <si>
    <t>A4-26-2</t>
  </si>
  <si>
    <t>B4-26-2</t>
  </si>
  <si>
    <t>6F-H13</t>
    <phoneticPr fontId="11" type="noConversion"/>
  </si>
  <si>
    <t>A4-26-3</t>
  </si>
  <si>
    <t>B4-26-3</t>
  </si>
  <si>
    <t>6F-H14</t>
    <phoneticPr fontId="11" type="noConversion"/>
  </si>
  <si>
    <t>A4-26-4</t>
  </si>
  <si>
    <t>B4-26-4</t>
  </si>
  <si>
    <t>6F-H15</t>
    <phoneticPr fontId="11" type="noConversion"/>
  </si>
  <si>
    <t>A4-26-5</t>
  </si>
  <si>
    <t>B4-26-5</t>
  </si>
  <si>
    <t>6F-H16</t>
    <phoneticPr fontId="11" type="noConversion"/>
  </si>
  <si>
    <t>A7-26-6</t>
    <phoneticPr fontId="11" type="noConversion"/>
  </si>
  <si>
    <t>B7-26-6</t>
    <phoneticPr fontId="11" type="noConversion"/>
  </si>
  <si>
    <t>A6-A7-50</t>
    <phoneticPr fontId="11" type="noConversion"/>
  </si>
  <si>
    <t>6F-H17</t>
    <phoneticPr fontId="11" type="noConversion"/>
  </si>
  <si>
    <t>A4-26-7</t>
  </si>
  <si>
    <t>B4-26-7</t>
  </si>
  <si>
    <t>6F-H18</t>
    <phoneticPr fontId="11" type="noConversion"/>
  </si>
  <si>
    <t>A4-26-8</t>
  </si>
  <si>
    <t>B4-26-8</t>
  </si>
  <si>
    <t>A7-26-8(2)</t>
    <phoneticPr fontId="11" type="noConversion"/>
  </si>
  <si>
    <t>B7-26-8(2)</t>
    <phoneticPr fontId="11" type="noConversion"/>
  </si>
  <si>
    <t>A6-A7-36</t>
    <phoneticPr fontId="11" type="noConversion"/>
  </si>
  <si>
    <t>6F-H19</t>
    <phoneticPr fontId="11" type="noConversion"/>
  </si>
  <si>
    <t>A4-26-9</t>
  </si>
  <si>
    <t>B4-26-9</t>
  </si>
  <si>
    <t>A7-26-9(2)</t>
    <phoneticPr fontId="11" type="noConversion"/>
  </si>
  <si>
    <t>7B-26-9(2)</t>
    <phoneticPr fontId="11" type="noConversion"/>
  </si>
  <si>
    <t>A6-A7-38</t>
    <phoneticPr fontId="11" type="noConversion"/>
  </si>
  <si>
    <t>6F-I11</t>
    <phoneticPr fontId="11" type="noConversion"/>
  </si>
  <si>
    <t>A4-25-1</t>
    <phoneticPr fontId="11" type="noConversion"/>
  </si>
  <si>
    <t>B4-25-1</t>
    <phoneticPr fontId="11" type="noConversion"/>
  </si>
  <si>
    <t>6F-I12</t>
    <phoneticPr fontId="11" type="noConversion"/>
  </si>
  <si>
    <t>A4-25-2</t>
  </si>
  <si>
    <t>B4-25-2</t>
  </si>
  <si>
    <t>6F-I13</t>
    <phoneticPr fontId="11" type="noConversion"/>
  </si>
  <si>
    <t>A4-25-3</t>
  </si>
  <si>
    <t>B4-25-3</t>
  </si>
  <si>
    <t>6F-I14</t>
    <phoneticPr fontId="11" type="noConversion"/>
  </si>
  <si>
    <t>A4-25-4</t>
  </si>
  <si>
    <t>B4-25-4</t>
  </si>
  <si>
    <t>6F-I15</t>
    <phoneticPr fontId="11" type="noConversion"/>
  </si>
  <si>
    <t>A4-25-5</t>
  </si>
  <si>
    <t>B4-25-5</t>
  </si>
  <si>
    <t>6F-I16</t>
    <phoneticPr fontId="11" type="noConversion"/>
  </si>
  <si>
    <t>A4-25-6</t>
  </si>
  <si>
    <t>B4-25-6</t>
  </si>
  <si>
    <t>6F-I17</t>
    <phoneticPr fontId="11" type="noConversion"/>
  </si>
  <si>
    <t>A4-25-7</t>
  </si>
  <si>
    <t>B4-25-7</t>
  </si>
  <si>
    <t>6F-I18</t>
    <phoneticPr fontId="11" type="noConversion"/>
  </si>
  <si>
    <t>A4-25-8</t>
  </si>
  <si>
    <t>B4-25-8</t>
  </si>
  <si>
    <t>6F-I19</t>
    <phoneticPr fontId="11" type="noConversion"/>
  </si>
  <si>
    <t>A4-25-9</t>
  </si>
  <si>
    <t>B4-25-9</t>
  </si>
  <si>
    <t>6F-J11</t>
    <phoneticPr fontId="11" type="noConversion"/>
  </si>
  <si>
    <t>A3-24-1</t>
    <phoneticPr fontId="11" type="noConversion"/>
  </si>
  <si>
    <t>B3-24-1</t>
    <phoneticPr fontId="11" type="noConversion"/>
  </si>
  <si>
    <t>6F-J12</t>
    <phoneticPr fontId="11" type="noConversion"/>
  </si>
  <si>
    <t>A3-24-2</t>
  </si>
  <si>
    <t>B3-24-2</t>
  </si>
  <si>
    <t>6F-J13</t>
    <phoneticPr fontId="11" type="noConversion"/>
  </si>
  <si>
    <t>A3-24-3</t>
  </si>
  <si>
    <t>B3-24-3</t>
  </si>
  <si>
    <t>6F-J14</t>
    <phoneticPr fontId="11" type="noConversion"/>
  </si>
  <si>
    <t>A3-24-4</t>
  </si>
  <si>
    <t>B3-24-4</t>
  </si>
  <si>
    <t>6F-J15</t>
    <phoneticPr fontId="11" type="noConversion"/>
  </si>
  <si>
    <t>A3-24-5</t>
  </si>
  <si>
    <t>B3-24-5</t>
  </si>
  <si>
    <t>6F-J16</t>
    <phoneticPr fontId="11" type="noConversion"/>
  </si>
  <si>
    <t>A3-24-6</t>
  </si>
  <si>
    <t>B3-24-6</t>
  </si>
  <si>
    <t>6F-J17</t>
    <phoneticPr fontId="11" type="noConversion"/>
  </si>
  <si>
    <t>A3-24-7</t>
  </si>
  <si>
    <t>B3-24-7</t>
  </si>
  <si>
    <t>6F-J18</t>
    <phoneticPr fontId="11" type="noConversion"/>
  </si>
  <si>
    <t>A3-24-8</t>
  </si>
  <si>
    <t>B3-24-8</t>
  </si>
  <si>
    <t>6F-J19</t>
    <phoneticPr fontId="11" type="noConversion"/>
  </si>
  <si>
    <t>A3-24-9</t>
  </si>
  <si>
    <t>B3-24-9</t>
  </si>
  <si>
    <t>랙 미설치</t>
  </si>
  <si>
    <t>C502</t>
  </si>
  <si>
    <t>6F-K11</t>
    <phoneticPr fontId="11" type="noConversion"/>
  </si>
  <si>
    <t>A3-23-1</t>
    <phoneticPr fontId="11" type="noConversion"/>
  </si>
  <si>
    <t>B3-23-1</t>
    <phoneticPr fontId="11" type="noConversion"/>
  </si>
  <si>
    <t>U-A3-20 / 2P 30A</t>
    <phoneticPr fontId="11" type="noConversion"/>
  </si>
  <si>
    <t>U-B3-20 / 2P 30A</t>
    <phoneticPr fontId="11" type="noConversion"/>
  </si>
  <si>
    <t>U-A3
4P 200A</t>
    <phoneticPr fontId="11" type="noConversion"/>
  </si>
  <si>
    <t>U-B3
4P 200A</t>
    <phoneticPr fontId="11" type="noConversion"/>
  </si>
  <si>
    <t>UPS 출력배전반(A)
#03, 4P 200A</t>
    <phoneticPr fontId="11" type="noConversion"/>
  </si>
  <si>
    <t>UPS 출력배전반(B)
#03, 4P 200A</t>
    <phoneticPr fontId="11" type="noConversion"/>
  </si>
  <si>
    <t>TR-6A
1000kVA</t>
    <phoneticPr fontId="11" type="noConversion"/>
  </si>
  <si>
    <t>TR-6B
1000kVA</t>
    <phoneticPr fontId="11" type="noConversion"/>
  </si>
  <si>
    <t>C503</t>
  </si>
  <si>
    <t>6F-K12</t>
    <phoneticPr fontId="11" type="noConversion"/>
  </si>
  <si>
    <t>A3-23-2</t>
  </si>
  <si>
    <t>B3-23-2</t>
  </si>
  <si>
    <t>U-A3-22 / 2P 30A</t>
    <phoneticPr fontId="11" type="noConversion"/>
  </si>
  <si>
    <t>U-B3-22 / 2P 30A</t>
    <phoneticPr fontId="11" type="noConversion"/>
  </si>
  <si>
    <t>C504</t>
  </si>
  <si>
    <t>6F-K13</t>
    <phoneticPr fontId="11" type="noConversion"/>
  </si>
  <si>
    <t>A3-23-3</t>
  </si>
  <si>
    <t>B3-23-3</t>
  </si>
  <si>
    <t>U-A3-24 / 2P 30A</t>
    <phoneticPr fontId="11" type="noConversion"/>
  </si>
  <si>
    <t>U-B3-48 / 2P 30A</t>
    <phoneticPr fontId="11" type="noConversion"/>
  </si>
  <si>
    <t>C505</t>
  </si>
  <si>
    <t>6F-K14</t>
    <phoneticPr fontId="11" type="noConversion"/>
  </si>
  <si>
    <t>A3-23-4</t>
  </si>
  <si>
    <t>B3-23-4</t>
  </si>
  <si>
    <t>U-A3-26 / 2P 30A</t>
    <phoneticPr fontId="11" type="noConversion"/>
  </si>
  <si>
    <t>U-B3-26 / 2P 30A</t>
    <phoneticPr fontId="11" type="noConversion"/>
  </si>
  <si>
    <t>C506</t>
  </si>
  <si>
    <t>6F-K15</t>
    <phoneticPr fontId="11" type="noConversion"/>
  </si>
  <si>
    <t>A3-23-5</t>
  </si>
  <si>
    <t>B3-23-5</t>
  </si>
  <si>
    <t>U-A3-28 / 2P 30A</t>
    <phoneticPr fontId="11" type="noConversion"/>
  </si>
  <si>
    <t>U-B3-28 / 2P 30A</t>
    <phoneticPr fontId="11" type="noConversion"/>
  </si>
  <si>
    <t>C507</t>
  </si>
  <si>
    <t>6F-K16</t>
    <phoneticPr fontId="11" type="noConversion"/>
  </si>
  <si>
    <t>A3-23-6</t>
  </si>
  <si>
    <t>B3-23-6</t>
  </si>
  <si>
    <t>U-A3-30 / 2P 30A</t>
    <phoneticPr fontId="11" type="noConversion"/>
  </si>
  <si>
    <t>U-B3-30 / 2P 30A</t>
    <phoneticPr fontId="11" type="noConversion"/>
  </si>
  <si>
    <t>C508</t>
  </si>
  <si>
    <t>6F-K17</t>
    <phoneticPr fontId="11" type="noConversion"/>
  </si>
  <si>
    <t>A3-23-7</t>
  </si>
  <si>
    <t>B3-23-7</t>
  </si>
  <si>
    <t>U-A3-32 / 2P 30A</t>
    <phoneticPr fontId="11" type="noConversion"/>
  </si>
  <si>
    <t>U-B3-32 / 2P 30A</t>
    <phoneticPr fontId="11" type="noConversion"/>
  </si>
  <si>
    <t>C509</t>
  </si>
  <si>
    <t>6F-K18</t>
    <phoneticPr fontId="11" type="noConversion"/>
  </si>
  <si>
    <t>A3-23-8</t>
  </si>
  <si>
    <t>B3-23-8</t>
  </si>
  <si>
    <t>U-A3-34 / 2P 30A</t>
    <phoneticPr fontId="11" type="noConversion"/>
  </si>
  <si>
    <t>U-B3-34 / 2P 30A</t>
    <phoneticPr fontId="11" type="noConversion"/>
  </si>
  <si>
    <t>C510</t>
  </si>
  <si>
    <t>6F-K19</t>
    <phoneticPr fontId="11" type="noConversion"/>
  </si>
  <si>
    <t>A3-23-9</t>
  </si>
  <si>
    <t>B3-23-9</t>
  </si>
  <si>
    <t>U-A3-36 / 2P 30A</t>
    <phoneticPr fontId="11" type="noConversion"/>
  </si>
  <si>
    <t>U-B3-36 / 2P 30A</t>
    <phoneticPr fontId="11" type="noConversion"/>
  </si>
  <si>
    <t>C402</t>
  </si>
  <si>
    <t>6F-L11</t>
    <phoneticPr fontId="11" type="noConversion"/>
  </si>
  <si>
    <t>A3-22-1</t>
    <phoneticPr fontId="11" type="noConversion"/>
  </si>
  <si>
    <t>B3-22-1</t>
    <phoneticPr fontId="11" type="noConversion"/>
  </si>
  <si>
    <t>U-A3-02 / 2P 30A</t>
    <phoneticPr fontId="11" type="noConversion"/>
  </si>
  <si>
    <t>U-B3-02 / 2P 30A</t>
    <phoneticPr fontId="11" type="noConversion"/>
  </si>
  <si>
    <t>C403</t>
  </si>
  <si>
    <t>6F-L12</t>
    <phoneticPr fontId="11" type="noConversion"/>
  </si>
  <si>
    <t>A3-22-2</t>
  </si>
  <si>
    <t>B3-22-2</t>
  </si>
  <si>
    <t>U-A3-04 / 2P 30A</t>
    <phoneticPr fontId="11" type="noConversion"/>
  </si>
  <si>
    <t>U-B3-04 / 2P 30A</t>
    <phoneticPr fontId="11" type="noConversion"/>
  </si>
  <si>
    <t>C404</t>
  </si>
  <si>
    <t>6F-L13</t>
    <phoneticPr fontId="11" type="noConversion"/>
  </si>
  <si>
    <t>A3-22-3</t>
  </si>
  <si>
    <t>B3-22-3</t>
  </si>
  <si>
    <t>U-A3-06 / 2P 30A</t>
    <phoneticPr fontId="11" type="noConversion"/>
  </si>
  <si>
    <t>U-B3-06 / 2P 30A</t>
    <phoneticPr fontId="11" type="noConversion"/>
  </si>
  <si>
    <t>C405</t>
  </si>
  <si>
    <t>6F-L14</t>
    <phoneticPr fontId="11" type="noConversion"/>
  </si>
  <si>
    <t>메타넷</t>
    <phoneticPr fontId="11" type="noConversion"/>
  </si>
  <si>
    <t>A3-22-4</t>
  </si>
  <si>
    <t>B3-22-4</t>
  </si>
  <si>
    <t>U-A3-08 / 2P 30A</t>
    <phoneticPr fontId="11" type="noConversion"/>
  </si>
  <si>
    <t>U-B3-08 / 2P 30A</t>
    <phoneticPr fontId="11" type="noConversion"/>
  </si>
  <si>
    <t>제로투세븐(메타넷) 이동 및 현위치 철거 예정(4/15)</t>
    <phoneticPr fontId="11" type="noConversion"/>
  </si>
  <si>
    <t>C406</t>
  </si>
  <si>
    <t>6F-L15</t>
    <phoneticPr fontId="11" type="noConversion"/>
  </si>
  <si>
    <t>A3-22-5</t>
  </si>
  <si>
    <t>B3-22-5</t>
  </si>
  <si>
    <t>U-A3-10 / 2P 30A</t>
    <phoneticPr fontId="11" type="noConversion"/>
  </si>
  <si>
    <t>U-B3-10 / 2P 30A</t>
    <phoneticPr fontId="11" type="noConversion"/>
  </si>
  <si>
    <t>C407</t>
  </si>
  <si>
    <t>6F-L16</t>
    <phoneticPr fontId="11" type="noConversion"/>
  </si>
  <si>
    <t>A3-22-6</t>
  </si>
  <si>
    <t>B3-22-6</t>
  </si>
  <si>
    <t>U-A3-12 / 2P 30A</t>
    <phoneticPr fontId="11" type="noConversion"/>
  </si>
  <si>
    <t>U-B3-12 / 2P 30A</t>
    <phoneticPr fontId="11" type="noConversion"/>
  </si>
  <si>
    <t>C408</t>
  </si>
  <si>
    <t>6F-L17</t>
    <phoneticPr fontId="11" type="noConversion"/>
  </si>
  <si>
    <t>A3-22-7</t>
  </si>
  <si>
    <t>B3-22-7</t>
  </si>
  <si>
    <t>U-A3-14 / 2P 30A</t>
    <phoneticPr fontId="11" type="noConversion"/>
  </si>
  <si>
    <t>U-B3-14 / 2P 30A</t>
    <phoneticPr fontId="11" type="noConversion"/>
  </si>
  <si>
    <t>C409</t>
  </si>
  <si>
    <t>6F-L18</t>
    <phoneticPr fontId="11" type="noConversion"/>
  </si>
  <si>
    <t>A3-22-8</t>
  </si>
  <si>
    <t>B3-22-8</t>
  </si>
  <si>
    <t>U-A3-16 / 2P 30A</t>
    <phoneticPr fontId="11" type="noConversion"/>
  </si>
  <si>
    <t>U-B3-16 / 2P 30A</t>
    <phoneticPr fontId="11" type="noConversion"/>
  </si>
  <si>
    <t>철거완료(9/1)</t>
  </si>
  <si>
    <t>C410</t>
  </si>
  <si>
    <t>6F-L19</t>
    <phoneticPr fontId="11" type="noConversion"/>
  </si>
  <si>
    <t>A3-22-9</t>
  </si>
  <si>
    <t>B3-22-9</t>
  </si>
  <si>
    <t>U-A3-18 / 2P 30A</t>
    <phoneticPr fontId="11" type="noConversion"/>
  </si>
  <si>
    <t>U-B3-18 / 2P 30A</t>
    <phoneticPr fontId="11" type="noConversion"/>
  </si>
  <si>
    <t>C301</t>
    <phoneticPr fontId="11" type="noConversion"/>
  </si>
  <si>
    <t>C302</t>
  </si>
  <si>
    <t>6F-M11</t>
    <phoneticPr fontId="11" type="noConversion"/>
  </si>
  <si>
    <t>A3-21-1</t>
    <phoneticPr fontId="11" type="noConversion"/>
  </si>
  <si>
    <t>B3-21-1</t>
    <phoneticPr fontId="11" type="noConversion"/>
  </si>
  <si>
    <t>U-A3-01 / 2P 30A</t>
    <phoneticPr fontId="11" type="noConversion"/>
  </si>
  <si>
    <t>U-B3-01 / 2P 30A</t>
    <phoneticPr fontId="11" type="noConversion"/>
  </si>
  <si>
    <t>C303</t>
  </si>
  <si>
    <t>6F-M12</t>
    <phoneticPr fontId="11" type="noConversion"/>
  </si>
  <si>
    <t>A3-21-2</t>
  </si>
  <si>
    <t>B3-21-2</t>
  </si>
  <si>
    <t>U-A3-03 / 2P 30A</t>
    <phoneticPr fontId="11" type="noConversion"/>
  </si>
  <si>
    <t>U-B3-03 / 2P 30A</t>
    <phoneticPr fontId="11" type="noConversion"/>
  </si>
  <si>
    <t>C304</t>
  </si>
  <si>
    <t>6F-M13</t>
    <phoneticPr fontId="11" type="noConversion"/>
  </si>
  <si>
    <t>A3-21-3</t>
  </si>
  <si>
    <t>B3-21-3</t>
  </si>
  <si>
    <t>U-A3-05 / 2P 30A</t>
    <phoneticPr fontId="11" type="noConversion"/>
  </si>
  <si>
    <t>U-B3-05 / 2P 30A</t>
    <phoneticPr fontId="11" type="noConversion"/>
  </si>
  <si>
    <t>A7-21-3(2)</t>
    <phoneticPr fontId="11" type="noConversion"/>
  </si>
  <si>
    <t>B7-21-3(2)</t>
    <phoneticPr fontId="11" type="noConversion"/>
  </si>
  <si>
    <t>U6-A7-32 / 2P 30A</t>
    <phoneticPr fontId="11" type="noConversion"/>
  </si>
  <si>
    <t>U6-B7-34 / 2P 30A</t>
    <phoneticPr fontId="11" type="noConversion"/>
  </si>
  <si>
    <t>U6-A7
4P 300A</t>
    <phoneticPr fontId="11" type="noConversion"/>
  </si>
  <si>
    <t>U6-B7
4P 300A</t>
    <phoneticPr fontId="11" type="noConversion"/>
  </si>
  <si>
    <t>LV-6A
#07, 3P 320A</t>
    <phoneticPr fontId="11" type="noConversion"/>
  </si>
  <si>
    <t>LV-6B
#03, 3P 320A</t>
    <phoneticPr fontId="11" type="noConversion"/>
  </si>
  <si>
    <t>A7-21-3(3)</t>
    <phoneticPr fontId="11" type="noConversion"/>
  </si>
  <si>
    <t>B7-21-3(3)</t>
    <phoneticPr fontId="11" type="noConversion"/>
  </si>
  <si>
    <t>U6-A7-30 / 2P 30A</t>
    <phoneticPr fontId="11" type="noConversion"/>
  </si>
  <si>
    <t>U6-B7-30 / 2P 30A</t>
    <phoneticPr fontId="11" type="noConversion"/>
  </si>
  <si>
    <t>6F-M14</t>
    <phoneticPr fontId="11" type="noConversion"/>
  </si>
  <si>
    <t>A3-21-4</t>
  </si>
  <si>
    <t>B3-21-4</t>
  </si>
  <si>
    <t>U-A3-07 / 2P 30A</t>
    <phoneticPr fontId="11" type="noConversion"/>
  </si>
  <si>
    <t>U-B3-07 / 2P 30A</t>
    <phoneticPr fontId="11" type="noConversion"/>
  </si>
  <si>
    <t>A7-21-4(2)</t>
    <phoneticPr fontId="11" type="noConversion"/>
  </si>
  <si>
    <t>B7-21-4(2)</t>
    <phoneticPr fontId="11" type="noConversion"/>
  </si>
  <si>
    <t>U6-A7-34 / 2P 30A</t>
    <phoneticPr fontId="11" type="noConversion"/>
  </si>
  <si>
    <t>U6-B7-32 / 2P 30A</t>
    <phoneticPr fontId="11" type="noConversion"/>
  </si>
  <si>
    <t>A7-21-4(3)</t>
    <phoneticPr fontId="11" type="noConversion"/>
  </si>
  <si>
    <t>B7-21-4(3)</t>
    <phoneticPr fontId="11" type="noConversion"/>
  </si>
  <si>
    <t>U6-A7-28 / 2P 30A</t>
    <phoneticPr fontId="11" type="noConversion"/>
  </si>
  <si>
    <t>U6-B7-28 / 2P 30A</t>
    <phoneticPr fontId="11" type="noConversion"/>
  </si>
  <si>
    <t>6F-M15</t>
    <phoneticPr fontId="11" type="noConversion"/>
  </si>
  <si>
    <t>A3-21-5</t>
  </si>
  <si>
    <t>B3-21-5</t>
  </si>
  <si>
    <t>U-A3-09 / 2P 30A</t>
    <phoneticPr fontId="11" type="noConversion"/>
  </si>
  <si>
    <t>U-B3-09 / 2P 30A</t>
    <phoneticPr fontId="11" type="noConversion"/>
  </si>
  <si>
    <t>2022/07/01, 알렉스엔 증설예정</t>
  </si>
  <si>
    <t>C307</t>
  </si>
  <si>
    <t>6F-M16</t>
    <phoneticPr fontId="11" type="noConversion"/>
  </si>
  <si>
    <t>A3-21-6</t>
  </si>
  <si>
    <t>B3-21-6</t>
  </si>
  <si>
    <t>U-A3-11 / 2P 30A</t>
    <phoneticPr fontId="11" type="noConversion"/>
  </si>
  <si>
    <t>U-B3-11 / 2P 30A</t>
    <phoneticPr fontId="11" type="noConversion"/>
  </si>
  <si>
    <t>C308</t>
  </si>
  <si>
    <t>6F-M17</t>
    <phoneticPr fontId="11" type="noConversion"/>
  </si>
  <si>
    <t>A3-21-7</t>
  </si>
  <si>
    <t>B3-21-7</t>
  </si>
  <si>
    <t>U-A3-13 / 2P 30A</t>
    <phoneticPr fontId="11" type="noConversion"/>
  </si>
  <si>
    <t>U-B3-13 / 2P 30A</t>
    <phoneticPr fontId="11" type="noConversion"/>
  </si>
  <si>
    <t>C309</t>
  </si>
  <si>
    <t>6F-M18</t>
    <phoneticPr fontId="11" type="noConversion"/>
  </si>
  <si>
    <t>A3-21-8</t>
  </si>
  <si>
    <t>B3-21-8</t>
  </si>
  <si>
    <t>U-A3-15 / 2P 30A</t>
    <phoneticPr fontId="11" type="noConversion"/>
  </si>
  <si>
    <t>U-B3-15 / 2P 30A</t>
    <phoneticPr fontId="11" type="noConversion"/>
  </si>
  <si>
    <t>C310</t>
  </si>
  <si>
    <t>6F-M19</t>
    <phoneticPr fontId="11" type="noConversion"/>
  </si>
  <si>
    <t>A3-21-9</t>
  </si>
  <si>
    <t>B3-21-9</t>
  </si>
  <si>
    <t>U-A3-17 / 2P 30A</t>
    <phoneticPr fontId="11" type="noConversion"/>
  </si>
  <si>
    <t>U-B3-17 / 2P 30A</t>
    <phoneticPr fontId="11" type="noConversion"/>
  </si>
  <si>
    <t>C202</t>
  </si>
  <si>
    <t>6F-N11</t>
    <phoneticPr fontId="11" type="noConversion"/>
  </si>
  <si>
    <t>A4-20-1</t>
    <phoneticPr fontId="11" type="noConversion"/>
  </si>
  <si>
    <t>B4-20-1</t>
    <phoneticPr fontId="11" type="noConversion"/>
  </si>
  <si>
    <t>U-A4-02 / 2P 30A</t>
    <phoneticPr fontId="11" type="noConversion"/>
  </si>
  <si>
    <t>U-B4-02 / 2P 30A</t>
    <phoneticPr fontId="11" type="noConversion"/>
  </si>
  <si>
    <t>U-A4
4P 200A</t>
    <phoneticPr fontId="11" type="noConversion"/>
  </si>
  <si>
    <t>U-B4
4P 200A</t>
    <phoneticPr fontId="11" type="noConversion"/>
  </si>
  <si>
    <t>UPS 출력배전반(A)
#01, 4P 200A</t>
    <phoneticPr fontId="11" type="noConversion"/>
  </si>
  <si>
    <t>UPS 출력배전반(B)
#01, 4P 200A</t>
    <phoneticPr fontId="11" type="noConversion"/>
  </si>
  <si>
    <t>CB Off (22년 5월)</t>
    <phoneticPr fontId="11" type="noConversion"/>
  </si>
  <si>
    <t>C203</t>
  </si>
  <si>
    <t>6F-N12</t>
    <phoneticPr fontId="11" type="noConversion"/>
  </si>
  <si>
    <t>A4-20-2</t>
  </si>
  <si>
    <t>B4-20-2</t>
  </si>
  <si>
    <t>U-A4-04 / 2P 30A</t>
    <phoneticPr fontId="11" type="noConversion"/>
  </si>
  <si>
    <t>U-B4-04 / 2P 30A</t>
    <phoneticPr fontId="11" type="noConversion"/>
  </si>
  <si>
    <t>CB Off (22년 5월)</t>
  </si>
  <si>
    <t>C204</t>
  </si>
  <si>
    <t>6F-N13</t>
    <phoneticPr fontId="11" type="noConversion"/>
  </si>
  <si>
    <t>A4-20-3</t>
  </si>
  <si>
    <t>B4-20-3</t>
  </si>
  <si>
    <t>U-A4-06 / 2P 30A</t>
    <phoneticPr fontId="11" type="noConversion"/>
  </si>
  <si>
    <t>U-B4-06 / 2P 30A</t>
    <phoneticPr fontId="11" type="noConversion"/>
  </si>
  <si>
    <t>C205</t>
  </si>
  <si>
    <t>6F-N14</t>
    <phoneticPr fontId="11" type="noConversion"/>
  </si>
  <si>
    <t>A4-20-4</t>
  </si>
  <si>
    <t>B4-20-4</t>
  </si>
  <si>
    <t>U-A4-08 / 2P 30A</t>
    <phoneticPr fontId="11" type="noConversion"/>
  </si>
  <si>
    <t>U-B4-08 / 2P 30A</t>
    <phoneticPr fontId="11" type="noConversion"/>
  </si>
  <si>
    <t>C206</t>
  </si>
  <si>
    <t>6F-N15</t>
    <phoneticPr fontId="11" type="noConversion"/>
  </si>
  <si>
    <t>A4-20-5</t>
  </si>
  <si>
    <t>B4-20-5</t>
  </si>
  <si>
    <t>U-A4-10 / 2P 30A</t>
    <phoneticPr fontId="11" type="noConversion"/>
  </si>
  <si>
    <t>U-B4-10 / 2P 30A</t>
    <phoneticPr fontId="11" type="noConversion"/>
  </si>
  <si>
    <t>'22/02/22 전기투입</t>
    <phoneticPr fontId="11" type="noConversion"/>
  </si>
  <si>
    <t>C207</t>
  </si>
  <si>
    <t>6F-N16</t>
    <phoneticPr fontId="11" type="noConversion"/>
  </si>
  <si>
    <t>A4-20-6</t>
  </si>
  <si>
    <t>B4-20-6</t>
  </si>
  <si>
    <t>U-A4-12 / 2P 30A</t>
    <phoneticPr fontId="11" type="noConversion"/>
  </si>
  <si>
    <t>U-B4-12 / 2P 30A</t>
    <phoneticPr fontId="11" type="noConversion"/>
  </si>
  <si>
    <t>C208</t>
  </si>
  <si>
    <t>6F-N17</t>
    <phoneticPr fontId="11" type="noConversion"/>
  </si>
  <si>
    <t>A4-20-7</t>
  </si>
  <si>
    <t>#B3-20-7</t>
    <phoneticPr fontId="11" type="noConversion"/>
  </si>
  <si>
    <t>U-A4-14 / 2P 30A</t>
    <phoneticPr fontId="11" type="noConversion"/>
  </si>
  <si>
    <t>U-B3-21 / 2P 30A</t>
    <phoneticPr fontId="11" type="noConversion"/>
  </si>
  <si>
    <t>C209</t>
  </si>
  <si>
    <t>6F-N18</t>
    <phoneticPr fontId="11" type="noConversion"/>
  </si>
  <si>
    <t>A4-20-8</t>
  </si>
  <si>
    <t>B4-20-8</t>
  </si>
  <si>
    <t>U-A4-16 / 2P 30A</t>
    <phoneticPr fontId="11" type="noConversion"/>
  </si>
  <si>
    <t>U-B4-16 / 2P 30A</t>
    <phoneticPr fontId="11" type="noConversion"/>
  </si>
  <si>
    <t>U-B4
4P 200A</t>
  </si>
  <si>
    <t>UPS 출력배전반(B)
#01, 4P 200A</t>
  </si>
  <si>
    <t>C210</t>
  </si>
  <si>
    <t>6F-N19</t>
    <phoneticPr fontId="11" type="noConversion"/>
  </si>
  <si>
    <t>A4-20-9</t>
  </si>
  <si>
    <t>B4-20-9</t>
  </si>
  <si>
    <t>U-A4-18 / 2P 30A</t>
    <phoneticPr fontId="11" type="noConversion"/>
  </si>
  <si>
    <t>U-B4-18 / 2P 30A</t>
    <phoneticPr fontId="11" type="noConversion"/>
  </si>
  <si>
    <t>C101</t>
    <phoneticPr fontId="11" type="noConversion"/>
  </si>
  <si>
    <t>C102</t>
  </si>
  <si>
    <t>6F-O11</t>
    <phoneticPr fontId="11" type="noConversion"/>
  </si>
  <si>
    <t>A4-19-1</t>
    <phoneticPr fontId="11" type="noConversion"/>
  </si>
  <si>
    <t>B4-19-1</t>
    <phoneticPr fontId="11" type="noConversion"/>
  </si>
  <si>
    <t>U6-A7-52 / 2P 30A</t>
    <phoneticPr fontId="11" type="noConversion"/>
  </si>
  <si>
    <t>U6-B7-52 / 2P 30A</t>
    <phoneticPr fontId="11" type="noConversion"/>
  </si>
  <si>
    <t>C103</t>
  </si>
  <si>
    <t>6F-O12</t>
    <phoneticPr fontId="11" type="noConversion"/>
  </si>
  <si>
    <t>A4-19-2</t>
  </si>
  <si>
    <t>B4-19-2</t>
  </si>
  <si>
    <t>U-A4-03 / 2P 30A</t>
    <phoneticPr fontId="11" type="noConversion"/>
  </si>
  <si>
    <t>U-B4-03 / 2P 30A</t>
    <phoneticPr fontId="11" type="noConversion"/>
  </si>
  <si>
    <t>철거완료(9/1)</t>
    <phoneticPr fontId="11" type="noConversion"/>
  </si>
  <si>
    <t>C104</t>
  </si>
  <si>
    <t>6F-O13</t>
    <phoneticPr fontId="11" type="noConversion"/>
  </si>
  <si>
    <t>A4-19-3</t>
  </si>
  <si>
    <t>B4-19-3</t>
  </si>
  <si>
    <t>U-A4-05 / 2P 30A</t>
    <phoneticPr fontId="11" type="noConversion"/>
  </si>
  <si>
    <t>U-B4-05 / 2P 30A</t>
    <phoneticPr fontId="11" type="noConversion"/>
  </si>
  <si>
    <t>C105</t>
  </si>
  <si>
    <t>6F-O14</t>
    <phoneticPr fontId="11" type="noConversion"/>
  </si>
  <si>
    <t>A4-19-4</t>
  </si>
  <si>
    <t>B4-19-4</t>
  </si>
  <si>
    <t>U-A4-07 / 2P 30A</t>
    <phoneticPr fontId="11" type="noConversion"/>
  </si>
  <si>
    <t>U-B4-07 / 2P 30A</t>
    <phoneticPr fontId="11" type="noConversion"/>
  </si>
  <si>
    <t>C106</t>
  </si>
  <si>
    <t>6F-O15</t>
    <phoneticPr fontId="11" type="noConversion"/>
  </si>
  <si>
    <t>A4-19-5</t>
  </si>
  <si>
    <t>B4-19-5</t>
  </si>
  <si>
    <t>U-A4-09 / 2P 30A</t>
    <phoneticPr fontId="11" type="noConversion"/>
  </si>
  <si>
    <t>U-B4-09 / 2P 30A</t>
    <phoneticPr fontId="11" type="noConversion"/>
  </si>
  <si>
    <t>C107</t>
  </si>
  <si>
    <t>6F-O16</t>
    <phoneticPr fontId="11" type="noConversion"/>
  </si>
  <si>
    <t>A4-19-6</t>
  </si>
  <si>
    <t>B4-19-6</t>
  </si>
  <si>
    <t>U-A4-11 / 2P 30A</t>
    <phoneticPr fontId="11" type="noConversion"/>
  </si>
  <si>
    <t>U-B4-11 / 2P 30A</t>
    <phoneticPr fontId="11" type="noConversion"/>
  </si>
  <si>
    <t>C108</t>
  </si>
  <si>
    <t>6F-O17</t>
    <phoneticPr fontId="11" type="noConversion"/>
  </si>
  <si>
    <t>A4-19-7</t>
  </si>
  <si>
    <t>B4-19-7</t>
  </si>
  <si>
    <t>U-A4-13 / 2P 30A</t>
    <phoneticPr fontId="11" type="noConversion"/>
  </si>
  <si>
    <t>U-A3-31 / 2P 30A</t>
    <phoneticPr fontId="11" type="noConversion"/>
  </si>
  <si>
    <t>C109</t>
  </si>
  <si>
    <t>6F-O18</t>
    <phoneticPr fontId="11" type="noConversion"/>
  </si>
  <si>
    <t>A4-19-8</t>
  </si>
  <si>
    <t>B4-19-8</t>
  </si>
  <si>
    <t>U-A4-15 / 2P 30A</t>
    <phoneticPr fontId="11" type="noConversion"/>
  </si>
  <si>
    <t>U-B4-15 / 2P 30A</t>
    <phoneticPr fontId="11" type="noConversion"/>
  </si>
  <si>
    <t>C110</t>
  </si>
  <si>
    <t>6F-O19</t>
    <phoneticPr fontId="11" type="noConversion"/>
  </si>
  <si>
    <t>A4-19-9</t>
  </si>
  <si>
    <t>B4-19-9</t>
  </si>
  <si>
    <t>U-A4-17 / 2P 30A</t>
    <phoneticPr fontId="11" type="noConversion"/>
  </si>
  <si>
    <t>U-B4-17 / 2P 30A</t>
    <phoneticPr fontId="11" type="noConversion"/>
  </si>
  <si>
    <t>B416</t>
  </si>
  <si>
    <t>6F-P11</t>
    <phoneticPr fontId="11" type="noConversion"/>
  </si>
  <si>
    <t>A5-18-1</t>
    <phoneticPr fontId="11" type="noConversion"/>
  </si>
  <si>
    <t>B5-18-1</t>
    <phoneticPr fontId="11" type="noConversion"/>
  </si>
  <si>
    <t>U6-A5-38 / 2P 30A</t>
    <phoneticPr fontId="11" type="noConversion"/>
  </si>
  <si>
    <t>U6-B5-38 / 2P 30A</t>
    <phoneticPr fontId="11" type="noConversion"/>
  </si>
  <si>
    <t>U6-A5
4P 300A</t>
    <phoneticPr fontId="11" type="noConversion"/>
  </si>
  <si>
    <t>U6-B5
4P 300A</t>
    <phoneticPr fontId="11" type="noConversion"/>
  </si>
  <si>
    <t>LV-6A
#05, 3P 320A</t>
    <phoneticPr fontId="11" type="noConversion"/>
  </si>
  <si>
    <t>LV-6B
#01, 3P 320A</t>
    <phoneticPr fontId="11" type="noConversion"/>
  </si>
  <si>
    <t>랙 미설치</t>
    <phoneticPr fontId="11" type="noConversion"/>
  </si>
  <si>
    <t>B417</t>
  </si>
  <si>
    <t>6F-P12</t>
    <phoneticPr fontId="11" type="noConversion"/>
  </si>
  <si>
    <t>A5-18-2</t>
  </si>
  <si>
    <t>B5-18-2</t>
  </si>
  <si>
    <t>U6-A5-40 / 2P 30A</t>
    <phoneticPr fontId="11" type="noConversion"/>
  </si>
  <si>
    <t>U6-B5-40 / 2P 30A</t>
    <phoneticPr fontId="11" type="noConversion"/>
  </si>
  <si>
    <t>B418</t>
  </si>
  <si>
    <t>6F-P13</t>
    <phoneticPr fontId="11" type="noConversion"/>
  </si>
  <si>
    <t>A5-18-3</t>
  </si>
  <si>
    <t>B5-18-3</t>
  </si>
  <si>
    <t>U6-A5-42 / 2P 30A</t>
    <phoneticPr fontId="11" type="noConversion"/>
  </si>
  <si>
    <t>U6-B5-42 / 2P 30A</t>
    <phoneticPr fontId="11" type="noConversion"/>
  </si>
  <si>
    <t>B419</t>
  </si>
  <si>
    <t>6F-P14</t>
    <phoneticPr fontId="11" type="noConversion"/>
  </si>
  <si>
    <t>A5-18-4</t>
  </si>
  <si>
    <t>B5-18-4</t>
  </si>
  <si>
    <t>U6-A5-44 / 2P 30A</t>
    <phoneticPr fontId="11" type="noConversion"/>
  </si>
  <si>
    <t>U6-B5-44 / 2P 30A</t>
    <phoneticPr fontId="11" type="noConversion"/>
  </si>
  <si>
    <t>B420</t>
  </si>
  <si>
    <t>6F-P15</t>
    <phoneticPr fontId="11" type="noConversion"/>
  </si>
  <si>
    <t>A5-18-5</t>
  </si>
  <si>
    <t>B5-18-5</t>
  </si>
  <si>
    <t>U6-A5-46 / 2P 30A</t>
    <phoneticPr fontId="11" type="noConversion"/>
  </si>
  <si>
    <t>U6-B5-46 / 2P 30A</t>
    <phoneticPr fontId="11" type="noConversion"/>
  </si>
  <si>
    <t>B421</t>
  </si>
  <si>
    <t>6F-P16</t>
    <phoneticPr fontId="11" type="noConversion"/>
  </si>
  <si>
    <t>A7-18-6</t>
    <phoneticPr fontId="11" type="noConversion"/>
  </si>
  <si>
    <t>B7-18-6</t>
    <phoneticPr fontId="11" type="noConversion"/>
  </si>
  <si>
    <t>U6-A7-01 / 2P 30A</t>
    <phoneticPr fontId="11" type="noConversion"/>
  </si>
  <si>
    <t>U6-B7-01 / 2P 30A</t>
    <phoneticPr fontId="11" type="noConversion"/>
  </si>
  <si>
    <t>6F-P17</t>
    <phoneticPr fontId="11" type="noConversion"/>
  </si>
  <si>
    <t>A7-18-7</t>
  </si>
  <si>
    <t>B7-18-7</t>
  </si>
  <si>
    <t>U6-A7-03 / 2P 30A</t>
    <phoneticPr fontId="11" type="noConversion"/>
  </si>
  <si>
    <t>U6-B7-03 / 2P 30A</t>
    <phoneticPr fontId="11" type="noConversion"/>
  </si>
  <si>
    <t>6F-P18</t>
    <phoneticPr fontId="11" type="noConversion"/>
  </si>
  <si>
    <t>A7-18-8</t>
  </si>
  <si>
    <t>B7-18-8</t>
  </si>
  <si>
    <t>U6-A7-05 / 2P 30A</t>
    <phoneticPr fontId="11" type="noConversion"/>
  </si>
  <si>
    <t>U6-B7-05 / 2P 30A</t>
    <phoneticPr fontId="11" type="noConversion"/>
  </si>
  <si>
    <t>6F-P19</t>
    <phoneticPr fontId="11" type="noConversion"/>
  </si>
  <si>
    <t>A7-18-9</t>
  </si>
  <si>
    <t>B7-18-9</t>
  </si>
  <si>
    <t>U6-A7-07 / 2P 30A</t>
    <phoneticPr fontId="11" type="noConversion"/>
  </si>
  <si>
    <t>U6-B7-07 / 2P 30A</t>
    <phoneticPr fontId="11" type="noConversion"/>
  </si>
  <si>
    <t>B425</t>
  </si>
  <si>
    <t>B316</t>
  </si>
  <si>
    <t>6F-Q11</t>
    <phoneticPr fontId="11" type="noConversion"/>
  </si>
  <si>
    <t>A5-17-1</t>
    <phoneticPr fontId="11" type="noConversion"/>
  </si>
  <si>
    <t>B5-17-1</t>
    <phoneticPr fontId="11" type="noConversion"/>
  </si>
  <si>
    <t>U6-A5-20 / 2P 30A</t>
    <phoneticPr fontId="11" type="noConversion"/>
  </si>
  <si>
    <t>U6-B5-20 / 2P 30A</t>
    <phoneticPr fontId="11" type="noConversion"/>
  </si>
  <si>
    <t>B317</t>
  </si>
  <si>
    <t>6F-Q12</t>
    <phoneticPr fontId="11" type="noConversion"/>
  </si>
  <si>
    <t>A5-17-2</t>
  </si>
  <si>
    <t>B5-17-2</t>
  </si>
  <si>
    <t>U6-A5-22 / 2P 30A</t>
    <phoneticPr fontId="11" type="noConversion"/>
  </si>
  <si>
    <t>U6-B5-22 / 2P 30A</t>
    <phoneticPr fontId="11" type="noConversion"/>
  </si>
  <si>
    <t>B318</t>
  </si>
  <si>
    <t>6F-Q13</t>
    <phoneticPr fontId="11" type="noConversion"/>
  </si>
  <si>
    <t>A5-17-3</t>
  </si>
  <si>
    <t>B5-17-3</t>
  </si>
  <si>
    <t>U6-A5-24 / 2P 30A</t>
    <phoneticPr fontId="11" type="noConversion"/>
  </si>
  <si>
    <t>U6-B5-24 / 2P 30A</t>
    <phoneticPr fontId="11" type="noConversion"/>
  </si>
  <si>
    <t>B319</t>
  </si>
  <si>
    <t>6F-Q14</t>
    <phoneticPr fontId="11" type="noConversion"/>
  </si>
  <si>
    <t>A5-17-4</t>
  </si>
  <si>
    <t>B5-17-4</t>
  </si>
  <si>
    <t>U6-A5-26 / 2P 30A</t>
    <phoneticPr fontId="11" type="noConversion"/>
  </si>
  <si>
    <t>U6-B5-26 / 2P 30A</t>
    <phoneticPr fontId="11" type="noConversion"/>
  </si>
  <si>
    <t>B320</t>
  </si>
  <si>
    <t>6F-Q15</t>
    <phoneticPr fontId="11" type="noConversion"/>
  </si>
  <si>
    <t>A5-17-5</t>
  </si>
  <si>
    <t>B5-17-5</t>
  </si>
  <si>
    <t>U6-A5-28 / 2P 30A</t>
    <phoneticPr fontId="11" type="noConversion"/>
  </si>
  <si>
    <t>U6-B5-28 / 2P 30A</t>
    <phoneticPr fontId="11" type="noConversion"/>
  </si>
  <si>
    <t>B321</t>
  </si>
  <si>
    <t>6F-Q16</t>
    <phoneticPr fontId="11" type="noConversion"/>
  </si>
  <si>
    <t>A5-17-6</t>
  </si>
  <si>
    <t>B5-17-6</t>
  </si>
  <si>
    <t>U6-A5-30 / 2P 30A</t>
    <phoneticPr fontId="11" type="noConversion"/>
  </si>
  <si>
    <t>U6-B5-30 / 2P 30A</t>
    <phoneticPr fontId="11" type="noConversion"/>
  </si>
  <si>
    <t>B322</t>
  </si>
  <si>
    <t>6F-Q17</t>
    <phoneticPr fontId="11" type="noConversion"/>
  </si>
  <si>
    <t>A5-17-7</t>
  </si>
  <si>
    <t>B5-17-7</t>
  </si>
  <si>
    <t>U6-A5-32 / 2P 30A</t>
    <phoneticPr fontId="11" type="noConversion"/>
  </si>
  <si>
    <t>U6-B5-32 / 2P 30A</t>
    <phoneticPr fontId="11" type="noConversion"/>
  </si>
  <si>
    <t>B323</t>
  </si>
  <si>
    <t>6F-Q18</t>
    <phoneticPr fontId="11" type="noConversion"/>
  </si>
  <si>
    <t>A5-17-8</t>
  </si>
  <si>
    <t>B5-17-8</t>
  </si>
  <si>
    <t>U6-A5-34 / 2P 30A</t>
    <phoneticPr fontId="11" type="noConversion"/>
  </si>
  <si>
    <t>U6-B5-34 / 2P 30A</t>
    <phoneticPr fontId="11" type="noConversion"/>
  </si>
  <si>
    <t>B324</t>
  </si>
  <si>
    <t>6F-Q19</t>
    <phoneticPr fontId="11" type="noConversion"/>
  </si>
  <si>
    <t>A5-17-9</t>
  </si>
  <si>
    <t>B5-17-9</t>
  </si>
  <si>
    <t>U6-A5-36 / 2P 30A</t>
    <phoneticPr fontId="11" type="noConversion"/>
  </si>
  <si>
    <t>U6-B5-36 / 2P 30A</t>
    <phoneticPr fontId="11" type="noConversion"/>
  </si>
  <si>
    <t>B325</t>
  </si>
  <si>
    <t>B215</t>
    <phoneticPr fontId="11" type="noConversion"/>
  </si>
  <si>
    <t>B216</t>
  </si>
  <si>
    <t>6F-R11</t>
    <phoneticPr fontId="11" type="noConversion"/>
  </si>
  <si>
    <t>A1-16-1</t>
    <phoneticPr fontId="11" type="noConversion"/>
  </si>
  <si>
    <t>B1-16-1</t>
    <phoneticPr fontId="11" type="noConversion"/>
  </si>
  <si>
    <t>U-A1-45 / 2P 30A</t>
    <phoneticPr fontId="11" type="noConversion"/>
  </si>
  <si>
    <t>U-B1-45 / 2P 30A</t>
    <phoneticPr fontId="11" type="noConversion"/>
  </si>
  <si>
    <t>U-A1
4P 200A</t>
    <phoneticPr fontId="11" type="noConversion"/>
  </si>
  <si>
    <t>U-B1
4P 200A</t>
    <phoneticPr fontId="11" type="noConversion"/>
  </si>
  <si>
    <t>UPS 출력배전반(A)
#04, 4P 200A</t>
    <phoneticPr fontId="11" type="noConversion"/>
  </si>
  <si>
    <t>UPS 출력배전반(B)
#02, 4P 200A</t>
    <phoneticPr fontId="11" type="noConversion"/>
  </si>
  <si>
    <t>B217</t>
  </si>
  <si>
    <t>6F-R12</t>
    <phoneticPr fontId="11" type="noConversion"/>
  </si>
  <si>
    <t>A1-16-2</t>
  </si>
  <si>
    <t>B1-16-2</t>
  </si>
  <si>
    <t>U-A1-47 / 2P 30A</t>
    <phoneticPr fontId="11" type="noConversion"/>
  </si>
  <si>
    <t>U-B1-47 / 2P 30A</t>
    <phoneticPr fontId="11" type="noConversion"/>
  </si>
  <si>
    <t>B218</t>
  </si>
  <si>
    <t>6F-R13</t>
    <phoneticPr fontId="11" type="noConversion"/>
  </si>
  <si>
    <t>A5-16-3</t>
    <phoneticPr fontId="11" type="noConversion"/>
  </si>
  <si>
    <t>B5-16-3</t>
    <phoneticPr fontId="11" type="noConversion"/>
  </si>
  <si>
    <t>U6-A5-48 / 2P 30A</t>
    <phoneticPr fontId="11" type="noConversion"/>
  </si>
  <si>
    <t>U6-B5-48 / 2P 30A</t>
    <phoneticPr fontId="11" type="noConversion"/>
  </si>
  <si>
    <t>B219</t>
  </si>
  <si>
    <t>6F-R14</t>
    <phoneticPr fontId="11" type="noConversion"/>
  </si>
  <si>
    <t>A1-16-4</t>
  </si>
  <si>
    <t>B1-16-4</t>
  </si>
  <si>
    <t>U-A1-18 / 2P 30A</t>
    <phoneticPr fontId="11" type="noConversion"/>
  </si>
  <si>
    <t>U-B1-34 / 2P 30A</t>
    <phoneticPr fontId="11" type="noConversion"/>
  </si>
  <si>
    <t>B220</t>
  </si>
  <si>
    <t>6F-R15</t>
    <phoneticPr fontId="11" type="noConversion"/>
  </si>
  <si>
    <t>에네이</t>
    <phoneticPr fontId="11" type="noConversion"/>
  </si>
  <si>
    <t>A1-16-5</t>
  </si>
  <si>
    <t>B1-16-5</t>
  </si>
  <si>
    <t>U-A1-20 / 2P 30A</t>
    <phoneticPr fontId="11" type="noConversion"/>
  </si>
  <si>
    <t>U-B1-20 / 2P 30A</t>
    <phoneticPr fontId="11" type="noConversion"/>
  </si>
  <si>
    <t>2023/04/13 장비 이동 확인 후 Off 할 것</t>
    <phoneticPr fontId="11" type="noConversion"/>
  </si>
  <si>
    <t>B221</t>
  </si>
  <si>
    <t>6F-R16</t>
    <phoneticPr fontId="11" type="noConversion"/>
  </si>
  <si>
    <t>A1-16-6</t>
  </si>
  <si>
    <t>B1-16-6</t>
  </si>
  <si>
    <t>U-A1-22 / 2P 30A</t>
    <phoneticPr fontId="11" type="noConversion"/>
  </si>
  <si>
    <t>U-B1-22 / 2P 30A</t>
    <phoneticPr fontId="11" type="noConversion"/>
  </si>
  <si>
    <t>B222</t>
  </si>
  <si>
    <t>6F-R17</t>
    <phoneticPr fontId="11" type="noConversion"/>
  </si>
  <si>
    <t>A1-16-7</t>
  </si>
  <si>
    <t>B1-16-7</t>
  </si>
  <si>
    <t>U-A1-24 / 2P 30A</t>
    <phoneticPr fontId="11" type="noConversion"/>
  </si>
  <si>
    <t>U-B1-24 / 2P 30A</t>
    <phoneticPr fontId="11" type="noConversion"/>
  </si>
  <si>
    <t>B223</t>
  </si>
  <si>
    <t>6F-R18</t>
    <phoneticPr fontId="11" type="noConversion"/>
  </si>
  <si>
    <t>A1-16-8</t>
  </si>
  <si>
    <t>B1-16-8</t>
  </si>
  <si>
    <t>U-A1-26 / 2P 30A</t>
    <phoneticPr fontId="11" type="noConversion"/>
  </si>
  <si>
    <t>U-B1-26 / 2P 30A</t>
    <phoneticPr fontId="11" type="noConversion"/>
  </si>
  <si>
    <t>B224</t>
  </si>
  <si>
    <t>6F-R19</t>
    <phoneticPr fontId="11" type="noConversion"/>
  </si>
  <si>
    <t>A1-16-9</t>
  </si>
  <si>
    <t>B1-16-9</t>
  </si>
  <si>
    <t>U-A1-28 / 2P 30A</t>
    <phoneticPr fontId="11" type="noConversion"/>
  </si>
  <si>
    <t>U-B1-28 / 2P 30A</t>
    <phoneticPr fontId="11" type="noConversion"/>
  </si>
  <si>
    <t>B225</t>
  </si>
  <si>
    <t>B115</t>
    <phoneticPr fontId="11" type="noConversion"/>
  </si>
  <si>
    <t>B116</t>
    <phoneticPr fontId="11" type="noConversion"/>
  </si>
  <si>
    <t>6F-S11</t>
    <phoneticPr fontId="11" type="noConversion"/>
  </si>
  <si>
    <t>A4-36-3</t>
    <phoneticPr fontId="11" type="noConversion"/>
  </si>
  <si>
    <t>B4-36-3</t>
    <phoneticPr fontId="11" type="noConversion"/>
  </si>
  <si>
    <t>U-A4-23 / 2P 30A</t>
    <phoneticPr fontId="11" type="noConversion"/>
  </si>
  <si>
    <t>U-B4-23 / 2P 30A</t>
    <phoneticPr fontId="11" type="noConversion"/>
  </si>
  <si>
    <t>B117</t>
  </si>
  <si>
    <t>6F-S12</t>
    <phoneticPr fontId="11" type="noConversion"/>
  </si>
  <si>
    <t>A4-36-4</t>
  </si>
  <si>
    <t>B4-36-4</t>
  </si>
  <si>
    <t>U-A4-25 / 2P 30A</t>
    <phoneticPr fontId="11" type="noConversion"/>
  </si>
  <si>
    <t>U-B4-25 / 2P 30A</t>
    <phoneticPr fontId="11" type="noConversion"/>
  </si>
  <si>
    <t>B118</t>
  </si>
  <si>
    <t>6F-S13</t>
    <phoneticPr fontId="11" type="noConversion"/>
  </si>
  <si>
    <t>A4-36-5</t>
  </si>
  <si>
    <t>B4-36-5</t>
  </si>
  <si>
    <t>U-A4-27 / 2P 30A</t>
    <phoneticPr fontId="11" type="noConversion"/>
  </si>
  <si>
    <t>U-B4-27 / 2P 30A</t>
    <phoneticPr fontId="11" type="noConversion"/>
  </si>
  <si>
    <t>U-A4-49</t>
    <phoneticPr fontId="11" type="noConversion"/>
  </si>
  <si>
    <t>U-B4-49</t>
    <phoneticPr fontId="11" type="noConversion"/>
  </si>
  <si>
    <t>U-A4-49 / 2P 30A</t>
    <phoneticPr fontId="11" type="noConversion"/>
  </si>
  <si>
    <t>U-B4-49 / 2P 30A</t>
    <phoneticPr fontId="11" type="noConversion"/>
  </si>
  <si>
    <t>B119</t>
    <phoneticPr fontId="11" type="noConversion"/>
  </si>
  <si>
    <t>6F-S14</t>
    <phoneticPr fontId="11" type="noConversion"/>
  </si>
  <si>
    <t>A4-36-6</t>
  </si>
  <si>
    <t>B4-36-6</t>
  </si>
  <si>
    <t>U-A4-29 / 2P 30A</t>
    <phoneticPr fontId="11" type="noConversion"/>
  </si>
  <si>
    <t>U-B4-29 / 2P 30A</t>
    <phoneticPr fontId="11" type="noConversion"/>
  </si>
  <si>
    <t>B120</t>
    <phoneticPr fontId="11" type="noConversion"/>
  </si>
  <si>
    <t>6F-S15</t>
    <phoneticPr fontId="11" type="noConversion"/>
  </si>
  <si>
    <t>A4-36-7</t>
  </si>
  <si>
    <t>B4-36-7</t>
  </si>
  <si>
    <t>U-A4-31 / 2P 30A</t>
    <phoneticPr fontId="11" type="noConversion"/>
  </si>
  <si>
    <t>U-B4-31 / 2P 30A</t>
    <phoneticPr fontId="11" type="noConversion"/>
  </si>
  <si>
    <t>U-A4-47</t>
    <phoneticPr fontId="11" type="noConversion"/>
  </si>
  <si>
    <t>U-B4-47</t>
    <phoneticPr fontId="11" type="noConversion"/>
  </si>
  <si>
    <t>U-A4-47 / 2P 30A</t>
    <phoneticPr fontId="11" type="noConversion"/>
  </si>
  <si>
    <t>U-B4-47 / 2P 30A</t>
    <phoneticPr fontId="11" type="noConversion"/>
  </si>
  <si>
    <t>B121</t>
    <phoneticPr fontId="11" type="noConversion"/>
  </si>
  <si>
    <t>6F-S16</t>
    <phoneticPr fontId="11" type="noConversion"/>
  </si>
  <si>
    <t>A4-36-8</t>
  </si>
  <si>
    <t>B4-36-8</t>
  </si>
  <si>
    <t>U-A4-33 / 2P 30A</t>
    <phoneticPr fontId="11" type="noConversion"/>
  </si>
  <si>
    <t>U-B4-33 / 2P 30A</t>
    <phoneticPr fontId="11" type="noConversion"/>
  </si>
  <si>
    <t>B122</t>
  </si>
  <si>
    <t>6F-S17</t>
    <phoneticPr fontId="11" type="noConversion"/>
  </si>
  <si>
    <t>B123</t>
  </si>
  <si>
    <t>6F-S18</t>
    <phoneticPr fontId="11" type="noConversion"/>
  </si>
  <si>
    <t>B124</t>
  </si>
  <si>
    <t>6F-S19</t>
    <phoneticPr fontId="11" type="noConversion"/>
  </si>
  <si>
    <t>B125</t>
  </si>
  <si>
    <t>B401</t>
    <phoneticPr fontId="11" type="noConversion"/>
  </si>
  <si>
    <t>A5-15-5(2)</t>
    <phoneticPr fontId="11" type="noConversion"/>
  </si>
  <si>
    <t>B5-15-5(2)</t>
    <phoneticPr fontId="11" type="noConversion"/>
  </si>
  <si>
    <t>U6-A5-54 / 2P 30A</t>
    <phoneticPr fontId="11" type="noConversion"/>
  </si>
  <si>
    <t>U6-B5-54 / 2P 30A</t>
    <phoneticPr fontId="11" type="noConversion"/>
  </si>
  <si>
    <t>제로투세븐(메타넷) 이동설치 예정(4/15)</t>
    <phoneticPr fontId="11" type="noConversion"/>
  </si>
  <si>
    <t>B402</t>
  </si>
  <si>
    <t>6F-T11</t>
    <phoneticPr fontId="11" type="noConversion"/>
  </si>
  <si>
    <t>A5-15-1</t>
    <phoneticPr fontId="11" type="noConversion"/>
  </si>
  <si>
    <t>B5-15-1</t>
    <phoneticPr fontId="11" type="noConversion"/>
  </si>
  <si>
    <t>U6-A5-02 / 2P 30A</t>
    <phoneticPr fontId="11" type="noConversion"/>
  </si>
  <si>
    <t>U6-B5-02 / 2P 30A</t>
    <phoneticPr fontId="11" type="noConversion"/>
  </si>
  <si>
    <t>B403</t>
  </si>
  <si>
    <t>6F-T12</t>
    <phoneticPr fontId="11" type="noConversion"/>
  </si>
  <si>
    <t>㈜유아이윈스(이브자리)</t>
    <phoneticPr fontId="11" type="noConversion"/>
  </si>
  <si>
    <t>A5-15-2</t>
  </si>
  <si>
    <t>B5-15-2</t>
  </si>
  <si>
    <t>U6-A5-04 / 2P 30A</t>
    <phoneticPr fontId="11" type="noConversion"/>
  </si>
  <si>
    <t>U6-B5-04 / 2P 30A</t>
    <phoneticPr fontId="11" type="noConversion"/>
  </si>
  <si>
    <t>B404</t>
  </si>
  <si>
    <t>6F-T13</t>
    <phoneticPr fontId="11" type="noConversion"/>
  </si>
  <si>
    <t>이츠인</t>
    <phoneticPr fontId="11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</si>
  <si>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</si>
  <si>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</si>
  <si>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1" type="noConversion"/>
  </si>
  <si>
    <t>U6-B5-06 / 2P 30A</t>
    <phoneticPr fontId="11" type="noConversion"/>
  </si>
  <si>
    <t>B405</t>
  </si>
  <si>
    <t>6F-T14</t>
    <phoneticPr fontId="11" type="noConversion"/>
  </si>
  <si>
    <t>동양엔아이엔씨</t>
    <phoneticPr fontId="11" type="noConversion"/>
  </si>
  <si>
    <t>A5-15-4</t>
  </si>
  <si>
    <t>B5-15-4</t>
  </si>
  <si>
    <t>U6-A5-08 / 2P 30A</t>
    <phoneticPr fontId="11" type="noConversion"/>
  </si>
  <si>
    <t>U6-B5-08 / 2P 30A</t>
    <phoneticPr fontId="11" type="noConversion"/>
  </si>
  <si>
    <t>B406</t>
  </si>
  <si>
    <t>6F-T15</t>
    <phoneticPr fontId="11" type="noConversion"/>
  </si>
  <si>
    <t>A5-15-5</t>
  </si>
  <si>
    <t>B5-15-5</t>
  </si>
  <si>
    <t>U6-A5-10 / 2P 30A</t>
    <phoneticPr fontId="11" type="noConversion"/>
  </si>
  <si>
    <t>U6-B5-10 / 2P 30A</t>
    <phoneticPr fontId="11" type="noConversion"/>
  </si>
  <si>
    <t>6F-T16</t>
    <phoneticPr fontId="11" type="noConversion"/>
  </si>
  <si>
    <t>엘림넷</t>
    <phoneticPr fontId="11" type="noConversion"/>
  </si>
  <si>
    <t>A5-15-6</t>
  </si>
  <si>
    <t>B5-15-6</t>
  </si>
  <si>
    <t>U6-A5-12 / 2P 30A</t>
    <phoneticPr fontId="11" type="noConversion"/>
  </si>
  <si>
    <t>U6-B5-12 / 2P 30A</t>
    <phoneticPr fontId="11" type="noConversion"/>
  </si>
  <si>
    <t>B408</t>
  </si>
  <si>
    <t>6F-T17</t>
    <phoneticPr fontId="11" type="noConversion"/>
  </si>
  <si>
    <t>마크프로</t>
    <phoneticPr fontId="11" type="noConversion"/>
  </si>
  <si>
    <t>A5-15-7</t>
  </si>
  <si>
    <t>B5-15-7</t>
  </si>
  <si>
    <t>U6-A5-14 / 2P 30A</t>
    <phoneticPr fontId="11" type="noConversion"/>
  </si>
  <si>
    <t>U6-B5-14 / 2P 30A</t>
    <phoneticPr fontId="11" type="noConversion"/>
  </si>
  <si>
    <t>B409</t>
  </si>
  <si>
    <t>6F-T18</t>
    <phoneticPr fontId="11" type="noConversion"/>
  </si>
  <si>
    <t>A5-15-8</t>
  </si>
  <si>
    <t>B5-15-8</t>
  </si>
  <si>
    <t>U6-A5-16 / 2P 30A</t>
    <phoneticPr fontId="11" type="noConversion"/>
  </si>
  <si>
    <t>U6-B5-16 / 2P 30A</t>
    <phoneticPr fontId="11" type="noConversion"/>
  </si>
  <si>
    <t>B410</t>
  </si>
  <si>
    <t>6F-T19</t>
    <phoneticPr fontId="11" type="noConversion"/>
  </si>
  <si>
    <t>Enei</t>
  </si>
  <si>
    <t>A1-13-9</t>
    <phoneticPr fontId="11" type="noConversion"/>
  </si>
  <si>
    <t>B1-13-9</t>
    <phoneticPr fontId="11" type="noConversion"/>
  </si>
  <si>
    <t>U-A1-43 / 2P 30A</t>
    <phoneticPr fontId="11" type="noConversion"/>
  </si>
  <si>
    <t>U-B1-43 / 2P 30A</t>
    <phoneticPr fontId="11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</si>
  <si>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</si>
  <si>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</si>
  <si>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</si>
  <si>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</si>
  <si>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1" type="noConversion"/>
  </si>
  <si>
    <t>B411</t>
  </si>
  <si>
    <t>U-A1-42 / 2P 30A</t>
    <phoneticPr fontId="11" type="noConversion"/>
  </si>
  <si>
    <t>U-B1-42 / 2P 30A</t>
    <phoneticPr fontId="11" type="noConversion"/>
  </si>
  <si>
    <t>2023/04/13 이설 후 전기사용예정</t>
  </si>
  <si>
    <t>B301</t>
    <phoneticPr fontId="11" type="noConversion"/>
  </si>
  <si>
    <t>6F-U10</t>
    <phoneticPr fontId="11" type="noConversion"/>
  </si>
  <si>
    <t>RXN</t>
    <phoneticPr fontId="11" type="noConversion"/>
  </si>
  <si>
    <t>A5-14-1</t>
    <phoneticPr fontId="11" type="noConversion"/>
  </si>
  <si>
    <t>B5-14-1</t>
    <phoneticPr fontId="11" type="noConversion"/>
  </si>
  <si>
    <t>U6-A5-37 / 2P 30A</t>
    <phoneticPr fontId="11" type="noConversion"/>
  </si>
  <si>
    <t>U6-B5-37 / 2P 30A</t>
    <phoneticPr fontId="11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</si>
  <si>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</si>
  <si>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</si>
  <si>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</si>
  <si>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</si>
  <si>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</si>
  <si>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</si>
  <si>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1" type="noConversion"/>
  </si>
  <si>
    <t>6F-U11</t>
    <phoneticPr fontId="11" type="noConversion"/>
  </si>
  <si>
    <t>DVS</t>
    <phoneticPr fontId="11" type="noConversion"/>
  </si>
  <si>
    <t>A5-14-2</t>
  </si>
  <si>
    <t>B5-14-2</t>
  </si>
  <si>
    <t>U6-A5-39 / 2P 30A</t>
    <phoneticPr fontId="11" type="noConversion"/>
  </si>
  <si>
    <t>U6-B5-39 / 2P 30A</t>
    <phoneticPr fontId="11" type="noConversion"/>
  </si>
  <si>
    <t>B303</t>
  </si>
  <si>
    <t>6F-U12</t>
    <phoneticPr fontId="11" type="noConversion"/>
  </si>
  <si>
    <t>듀시스템</t>
    <phoneticPr fontId="11" type="noConversion"/>
  </si>
  <si>
    <t>A5-14-3</t>
  </si>
  <si>
    <t>B5-14-3</t>
  </si>
  <si>
    <t>U6-A5-41 / 2P 30A</t>
    <phoneticPr fontId="11" type="noConversion"/>
  </si>
  <si>
    <t>U6-B5-41 / 2P 30A</t>
    <phoneticPr fontId="11" type="noConversion"/>
  </si>
  <si>
    <t>B304</t>
  </si>
  <si>
    <t>6F-U13</t>
    <phoneticPr fontId="11" type="noConversion"/>
  </si>
  <si>
    <t>A5-14-4</t>
  </si>
  <si>
    <t>B5-14-4</t>
  </si>
  <si>
    <t>U6-A5-43 / 2P 30A</t>
    <phoneticPr fontId="11" type="noConversion"/>
  </si>
  <si>
    <t>U6-B5-43 / 2P 30A</t>
    <phoneticPr fontId="11" type="noConversion"/>
  </si>
  <si>
    <t>B305</t>
  </si>
  <si>
    <t>6F-U14</t>
    <phoneticPr fontId="11" type="noConversion"/>
  </si>
  <si>
    <t>A5-14-5</t>
  </si>
  <si>
    <t>B5-14-5</t>
  </si>
  <si>
    <t>U6-A5-45 / 2P 30A</t>
    <phoneticPr fontId="11" type="noConversion"/>
  </si>
  <si>
    <t>U6-B5-45 / 2P 30A</t>
    <phoneticPr fontId="11" type="noConversion"/>
  </si>
  <si>
    <t>B306</t>
  </si>
  <si>
    <t>6F-U15</t>
    <phoneticPr fontId="11" type="noConversion"/>
  </si>
  <si>
    <t>A5-14-6</t>
  </si>
  <si>
    <t>B5-14-6</t>
  </si>
  <si>
    <t>U6-A5-47 / 2P 30A</t>
    <phoneticPr fontId="11" type="noConversion"/>
  </si>
  <si>
    <t>U6-B5-47 / 2P 30A</t>
    <phoneticPr fontId="11" type="noConversion"/>
  </si>
  <si>
    <t>B307</t>
  </si>
  <si>
    <t>6F-U16</t>
    <phoneticPr fontId="11" type="noConversion"/>
  </si>
  <si>
    <t>㈜파이오링크</t>
    <phoneticPr fontId="11" type="noConversion"/>
  </si>
  <si>
    <t>A5-14-7</t>
  </si>
  <si>
    <t>B5-14-7</t>
  </si>
  <si>
    <t>U6-A5-49 / 2P 30A</t>
    <phoneticPr fontId="11" type="noConversion"/>
  </si>
  <si>
    <t>U6-B5-49 / 2P 30A</t>
    <phoneticPr fontId="11" type="noConversion"/>
  </si>
  <si>
    <t>B308</t>
  </si>
  <si>
    <t>6F-U17</t>
    <phoneticPr fontId="11" type="noConversion"/>
  </si>
  <si>
    <t>A5-14-8</t>
  </si>
  <si>
    <t>B5-14-8</t>
  </si>
  <si>
    <t>U6-A5-51 / 2P 30A</t>
    <phoneticPr fontId="11" type="noConversion"/>
  </si>
  <si>
    <t>U6-B5-51 / 2P 30A</t>
    <phoneticPr fontId="11" type="noConversion"/>
  </si>
  <si>
    <t>U-A2
4P 200A</t>
    <phoneticPr fontId="11" type="noConversion"/>
  </si>
  <si>
    <t>U-B2
4P 200A</t>
    <phoneticPr fontId="11" type="noConversion"/>
  </si>
  <si>
    <t>UPS 출력배전반(A)
#02, 4P 200A</t>
    <phoneticPr fontId="11" type="noConversion"/>
  </si>
  <si>
    <t>UPS 출력배전반(B)
#04, 4P 200A</t>
    <phoneticPr fontId="11" type="noConversion"/>
  </si>
  <si>
    <t>B309</t>
  </si>
  <si>
    <t>6F-U18</t>
    <phoneticPr fontId="11" type="noConversion"/>
  </si>
  <si>
    <t>A5-14-9</t>
  </si>
  <si>
    <t>B5-14-9</t>
  </si>
  <si>
    <t>U6-A5-53 / 2P 30A</t>
    <phoneticPr fontId="11" type="noConversion"/>
  </si>
  <si>
    <t>U6-B5-53 / 2P 30A</t>
    <phoneticPr fontId="11" type="noConversion"/>
  </si>
  <si>
    <t>B310</t>
  </si>
  <si>
    <t>B311</t>
  </si>
  <si>
    <t>B201</t>
    <phoneticPr fontId="11" type="noConversion"/>
  </si>
  <si>
    <t>넷타겟</t>
    <phoneticPr fontId="11" type="noConversion"/>
  </si>
  <si>
    <t>A1-13-5</t>
  </si>
  <si>
    <t>B1-13-5</t>
  </si>
  <si>
    <t>6F-AA11</t>
    <phoneticPr fontId="11" type="noConversion"/>
  </si>
  <si>
    <t>세종인터넷(IES.YSM.S61 , S62…)</t>
    <phoneticPr fontId="11" type="noConversion"/>
  </si>
  <si>
    <t>A1-13-1</t>
    <phoneticPr fontId="11" type="noConversion"/>
  </si>
  <si>
    <t>B1-13-1</t>
    <phoneticPr fontId="11" type="noConversion"/>
  </si>
  <si>
    <t>U-A1-27 / 2P 30A</t>
    <phoneticPr fontId="11" type="noConversion"/>
  </si>
  <si>
    <t>U-B1-27 / 2P 30A</t>
    <phoneticPr fontId="11" type="noConversion"/>
  </si>
  <si>
    <t>6F-AA12</t>
  </si>
  <si>
    <t>A1-13-2</t>
  </si>
  <si>
    <t>B1-13-2</t>
  </si>
  <si>
    <t>U-A1-29 / 2P 30A</t>
    <phoneticPr fontId="11" type="noConversion"/>
  </si>
  <si>
    <t>U-B1-29 / 2P 30A</t>
    <phoneticPr fontId="11" type="noConversion"/>
  </si>
  <si>
    <t>B204</t>
  </si>
  <si>
    <t>6F-AA13</t>
  </si>
  <si>
    <t>A1-13-3</t>
  </si>
  <si>
    <t>B1-13-3</t>
  </si>
  <si>
    <t>U-A1-31 / 2P 30A</t>
    <phoneticPr fontId="11" type="noConversion"/>
  </si>
  <si>
    <t>U-B1-31 / 2P 30A</t>
    <phoneticPr fontId="11" type="noConversion"/>
  </si>
  <si>
    <t>B205</t>
  </si>
  <si>
    <t>6F-AA14</t>
  </si>
  <si>
    <t>A1-13-4</t>
  </si>
  <si>
    <t>B1-13-4</t>
  </si>
  <si>
    <t>U-A1-33 / 2P 30A</t>
    <phoneticPr fontId="11" type="noConversion"/>
  </si>
  <si>
    <t>U-B1-33 / 2P 30A</t>
    <phoneticPr fontId="11" type="noConversion"/>
  </si>
  <si>
    <t>B206</t>
  </si>
  <si>
    <t>6F-AA15</t>
  </si>
  <si>
    <t>U-A1-35 / 2P 30A</t>
    <phoneticPr fontId="11" type="noConversion"/>
  </si>
  <si>
    <t>U-B1-35 / 2P 30A</t>
    <phoneticPr fontId="11" type="noConversion"/>
  </si>
  <si>
    <t>B207</t>
  </si>
  <si>
    <t>6F-AA16</t>
  </si>
  <si>
    <t>A1-13-6</t>
  </si>
  <si>
    <t>B1-13-6</t>
  </si>
  <si>
    <t>U-A1-37 / 2P 30A</t>
    <phoneticPr fontId="11" type="noConversion"/>
  </si>
  <si>
    <t>U-B1-37 / 2P 30A</t>
    <phoneticPr fontId="11" type="noConversion"/>
  </si>
  <si>
    <t>B208</t>
  </si>
  <si>
    <t>6F-AA17</t>
  </si>
  <si>
    <t>A1-13-7</t>
  </si>
  <si>
    <t>B1-13-7</t>
  </si>
  <si>
    <t>U-A1-39 / 2P 30A</t>
    <phoneticPr fontId="11" type="noConversion"/>
  </si>
  <si>
    <t>U-B1-39 / 2P 30A</t>
    <phoneticPr fontId="11" type="noConversion"/>
  </si>
  <si>
    <t>B209</t>
  </si>
  <si>
    <t>6F-AA18</t>
  </si>
  <si>
    <t>파이오링크</t>
  </si>
  <si>
    <t>A1-13-8</t>
  </si>
  <si>
    <t>B1-13-8</t>
  </si>
  <si>
    <t>U-A1-41 / 2P 30A</t>
    <phoneticPr fontId="11" type="noConversion"/>
  </si>
  <si>
    <t>U-B1-41 / 2P 30A</t>
    <phoneticPr fontId="11" type="noConversion"/>
  </si>
  <si>
    <t>6F-AA19</t>
  </si>
  <si>
    <t>A1-13-8(2)</t>
  </si>
  <si>
    <t>B1-13-8(2)</t>
  </si>
  <si>
    <t>U-A1-49 / 2P 30A</t>
    <phoneticPr fontId="11" type="noConversion"/>
  </si>
  <si>
    <t>U-B1-30 / 2P 30A</t>
    <phoneticPr fontId="11" type="noConversion"/>
  </si>
  <si>
    <t>B211</t>
  </si>
  <si>
    <t>6F-V18</t>
    <phoneticPr fontId="11" type="noConversion"/>
  </si>
  <si>
    <t>6F-V17</t>
    <phoneticPr fontId="11" type="noConversion"/>
  </si>
  <si>
    <t>흥아해운</t>
    <phoneticPr fontId="11" type="noConversion"/>
  </si>
  <si>
    <t>A2-7-2</t>
    <phoneticPr fontId="11" type="noConversion"/>
  </si>
  <si>
    <t>B2-7-2</t>
    <phoneticPr fontId="11" type="noConversion"/>
  </si>
  <si>
    <t>U-A2-24 / 2P 30A</t>
    <phoneticPr fontId="11" type="noConversion"/>
  </si>
  <si>
    <t>U-B2-24 / 2P 30A</t>
    <phoneticPr fontId="11" type="noConversion"/>
  </si>
  <si>
    <t>A2-7-1</t>
    <phoneticPr fontId="11" type="noConversion"/>
  </si>
  <si>
    <t>B2-7-1</t>
    <phoneticPr fontId="11" type="noConversion"/>
  </si>
  <si>
    <t>U-A2-22 / 2P 30A</t>
    <phoneticPr fontId="11" type="noConversion"/>
  </si>
  <si>
    <t>U-B2-22 / 2P 30A</t>
    <phoneticPr fontId="11" type="noConversion"/>
  </si>
  <si>
    <t>6F-V16</t>
    <phoneticPr fontId="11" type="noConversion"/>
  </si>
  <si>
    <t>A2-7-3</t>
  </si>
  <si>
    <t>B2-7-3</t>
  </si>
  <si>
    <t>U-A2-26 / 2P 30A</t>
    <phoneticPr fontId="11" type="noConversion"/>
  </si>
  <si>
    <t>U-B2-26 / 2P 30A</t>
    <phoneticPr fontId="11" type="noConversion"/>
  </si>
  <si>
    <t>A2-8-1</t>
    <phoneticPr fontId="11" type="noConversion"/>
  </si>
  <si>
    <t>B2-8-1</t>
    <phoneticPr fontId="11" type="noConversion"/>
  </si>
  <si>
    <t>U-A2-38 / 2P 30A</t>
    <phoneticPr fontId="11" type="noConversion"/>
  </si>
  <si>
    <t>U-B2-38 / 2P 30A</t>
    <phoneticPr fontId="11" type="noConversion"/>
  </si>
  <si>
    <t>6F-V15</t>
    <phoneticPr fontId="11" type="noConversion"/>
  </si>
  <si>
    <t>A2-7-4</t>
  </si>
  <si>
    <t>B2-7-4</t>
  </si>
  <si>
    <t>U-A2-28 / 2P 30A</t>
    <phoneticPr fontId="11" type="noConversion"/>
  </si>
  <si>
    <t>U-B2-28 / 2P 30A</t>
    <phoneticPr fontId="11" type="noConversion"/>
  </si>
  <si>
    <t>6F-V14</t>
    <phoneticPr fontId="11" type="noConversion"/>
  </si>
  <si>
    <t>A2-7-5</t>
  </si>
  <si>
    <t>B2-7-5</t>
  </si>
  <si>
    <t>U-A2-30 / 2P 30A</t>
    <phoneticPr fontId="11" type="noConversion"/>
  </si>
  <si>
    <t>U-B2-30 / 2P 30A</t>
    <phoneticPr fontId="11" type="noConversion"/>
  </si>
  <si>
    <t>6F-V13</t>
    <phoneticPr fontId="11" type="noConversion"/>
  </si>
  <si>
    <t>A2-7-6</t>
  </si>
  <si>
    <t>B2-7-6</t>
  </si>
  <si>
    <t>U-A2-32 / 2P 30A</t>
    <phoneticPr fontId="11" type="noConversion"/>
  </si>
  <si>
    <t>U-B2-32 / 2P 30A</t>
    <phoneticPr fontId="11" type="noConversion"/>
  </si>
  <si>
    <t>6F-V12</t>
    <phoneticPr fontId="11" type="noConversion"/>
  </si>
  <si>
    <t>A2-7-7</t>
  </si>
  <si>
    <t>B2-7-7</t>
  </si>
  <si>
    <t>U-A2-34 / 2P 30A</t>
    <phoneticPr fontId="11" type="noConversion"/>
  </si>
  <si>
    <t>U-B2-34 / 2P 30A</t>
    <phoneticPr fontId="11" type="noConversion"/>
  </si>
  <si>
    <t>6F-V11</t>
    <phoneticPr fontId="11" type="noConversion"/>
  </si>
  <si>
    <t>테라핀테크</t>
    <phoneticPr fontId="11" type="noConversion"/>
  </si>
  <si>
    <t>A2-7-8</t>
  </si>
  <si>
    <t>B2-7-8</t>
  </si>
  <si>
    <t>U-A2-36 / 2P 30A</t>
    <phoneticPr fontId="11" type="noConversion"/>
  </si>
  <si>
    <t>U-B2-36 / 2P 30A</t>
    <phoneticPr fontId="11" type="noConversion"/>
  </si>
  <si>
    <t>6F-W19</t>
    <phoneticPr fontId="11" type="noConversion"/>
  </si>
  <si>
    <t>A603</t>
    <phoneticPr fontId="11" type="noConversion"/>
  </si>
  <si>
    <t>6F-W18</t>
    <phoneticPr fontId="11" type="noConversion"/>
  </si>
  <si>
    <t>A604</t>
    <phoneticPr fontId="11" type="noConversion"/>
  </si>
  <si>
    <t>6F-W17</t>
    <phoneticPr fontId="11" type="noConversion"/>
  </si>
  <si>
    <t>흥아해운</t>
  </si>
  <si>
    <t>A2-8-2</t>
    <phoneticPr fontId="11" type="noConversion"/>
  </si>
  <si>
    <t>B2-8-2</t>
    <phoneticPr fontId="11" type="noConversion"/>
  </si>
  <si>
    <t>U-A2-40 / 2P 30A</t>
    <phoneticPr fontId="11" type="noConversion"/>
  </si>
  <si>
    <t>U-B2-40 / 2P 30A</t>
    <phoneticPr fontId="11" type="noConversion"/>
  </si>
  <si>
    <t>U-B2
4P 200A</t>
  </si>
  <si>
    <t>UPS 출력배전반(A)
#02, 4P 200A</t>
  </si>
  <si>
    <t>UPS 출력배전반(B)
#04, 4P 200A</t>
  </si>
  <si>
    <t>A605</t>
    <phoneticPr fontId="11" type="noConversion"/>
  </si>
  <si>
    <t>6F-W16</t>
    <phoneticPr fontId="11" type="noConversion"/>
  </si>
  <si>
    <t>A2-8-3</t>
  </si>
  <si>
    <t>B2-8-3</t>
  </si>
  <si>
    <t>U-A2-42 / 2P 30A</t>
    <phoneticPr fontId="11" type="noConversion"/>
  </si>
  <si>
    <t>U-B2-42 / 2P 30A</t>
    <phoneticPr fontId="11" type="noConversion"/>
  </si>
  <si>
    <t>A606</t>
    <phoneticPr fontId="11" type="noConversion"/>
  </si>
  <si>
    <t>6F-W15</t>
    <phoneticPr fontId="11" type="noConversion"/>
  </si>
  <si>
    <t>A2-8-4</t>
  </si>
  <si>
    <t>B2-8-4</t>
  </si>
  <si>
    <t>U-A2-44 / 2P 30A</t>
    <phoneticPr fontId="11" type="noConversion"/>
  </si>
  <si>
    <t>U-B2-44 / 2P 30A</t>
    <phoneticPr fontId="11" type="noConversion"/>
  </si>
  <si>
    <t>A607</t>
    <phoneticPr fontId="11" type="noConversion"/>
  </si>
  <si>
    <t>6F-W14</t>
    <phoneticPr fontId="11" type="noConversion"/>
  </si>
  <si>
    <t>A2-8-5</t>
  </si>
  <si>
    <t>B2-8-5</t>
  </si>
  <si>
    <t>U-A2-46 / 2P 30A</t>
    <phoneticPr fontId="11" type="noConversion"/>
  </si>
  <si>
    <t>U-B2-46 / 2P 30A</t>
    <phoneticPr fontId="11" type="noConversion"/>
  </si>
  <si>
    <t>A608</t>
    <phoneticPr fontId="11" type="noConversion"/>
  </si>
  <si>
    <t>6F-W13</t>
    <phoneticPr fontId="11" type="noConversion"/>
  </si>
  <si>
    <t>A2-8-6</t>
  </si>
  <si>
    <t>B2-8-6</t>
  </si>
  <si>
    <t>U-A2-48 / 2P 30A</t>
    <phoneticPr fontId="11" type="noConversion"/>
  </si>
  <si>
    <t>U-B2-48 / 2P 30A</t>
    <phoneticPr fontId="11" type="noConversion"/>
  </si>
  <si>
    <t>A6-8-6(1)</t>
    <phoneticPr fontId="11" type="noConversion"/>
  </si>
  <si>
    <t>B6-8-6(1)</t>
    <phoneticPr fontId="11" type="noConversion"/>
  </si>
  <si>
    <t>U6-A6-45 / 2P 30A</t>
    <phoneticPr fontId="11" type="noConversion"/>
  </si>
  <si>
    <t>U6-B6-47 / 2P 30A</t>
    <phoneticPr fontId="11" type="noConversion"/>
  </si>
  <si>
    <t>U6-A6
4P 300A</t>
  </si>
  <si>
    <t>U6-B6
4P 300A</t>
  </si>
  <si>
    <t>LV-6A
#06, 3P 320A</t>
  </si>
  <si>
    <t>LV-6B
#02, 3P 320A</t>
  </si>
  <si>
    <t>A609</t>
    <phoneticPr fontId="11" type="noConversion"/>
  </si>
  <si>
    <t>6F-W12</t>
    <phoneticPr fontId="11" type="noConversion"/>
  </si>
  <si>
    <t>A5-8-7</t>
    <phoneticPr fontId="11" type="noConversion"/>
  </si>
  <si>
    <t>B5-8-7</t>
    <phoneticPr fontId="11" type="noConversion"/>
  </si>
  <si>
    <t>U6-A5-01 / 2P 30A</t>
    <phoneticPr fontId="11" type="noConversion"/>
  </si>
  <si>
    <t>U6-B5-01 / 2P 30A</t>
    <phoneticPr fontId="11" type="noConversion"/>
  </si>
  <si>
    <t>A6-8-7(1)</t>
    <phoneticPr fontId="11" type="noConversion"/>
  </si>
  <si>
    <t>B6-8-7(1)</t>
    <phoneticPr fontId="11" type="noConversion"/>
  </si>
  <si>
    <t>U6-A6-43 / 2P 30A</t>
    <phoneticPr fontId="11" type="noConversion"/>
  </si>
  <si>
    <t>U6-B6-45 / 2P 30A</t>
    <phoneticPr fontId="11" type="noConversion"/>
  </si>
  <si>
    <t>A610</t>
    <phoneticPr fontId="11" type="noConversion"/>
  </si>
  <si>
    <t>6F-W11</t>
    <phoneticPr fontId="11" type="noConversion"/>
  </si>
  <si>
    <t>A5-8-8</t>
    <phoneticPr fontId="11" type="noConversion"/>
  </si>
  <si>
    <t>B5-8-8</t>
    <phoneticPr fontId="11" type="noConversion"/>
  </si>
  <si>
    <t>U6-A5-03 / 2P 30A</t>
    <phoneticPr fontId="11" type="noConversion"/>
  </si>
  <si>
    <t>U6-B5-03 / 2P 30A</t>
    <phoneticPr fontId="11" type="noConversion"/>
  </si>
  <si>
    <t>A6-8-8(1)</t>
    <phoneticPr fontId="11" type="noConversion"/>
  </si>
  <si>
    <t>B6-8-8(1)</t>
    <phoneticPr fontId="11" type="noConversion"/>
  </si>
  <si>
    <t>U6-A6-41 / 2P 30A</t>
    <phoneticPr fontId="11" type="noConversion"/>
  </si>
  <si>
    <t>U6-B6-43 / 2P 30A</t>
    <phoneticPr fontId="11" type="noConversion"/>
  </si>
  <si>
    <t>6F-X19</t>
  </si>
  <si>
    <t>6F-X18</t>
  </si>
  <si>
    <t>6F-X17</t>
  </si>
  <si>
    <t>A5-9-2</t>
    <phoneticPr fontId="11" type="noConversion"/>
  </si>
  <si>
    <t>B5-9-2</t>
    <phoneticPr fontId="11" type="noConversion"/>
  </si>
  <si>
    <t>U6-A5-07 / 2P 30A</t>
    <phoneticPr fontId="11" type="noConversion"/>
  </si>
  <si>
    <t>U6-B5-07 / 2P 30A</t>
    <phoneticPr fontId="11" type="noConversion"/>
  </si>
  <si>
    <t>6F-X16</t>
  </si>
  <si>
    <t>A5-9-3</t>
  </si>
  <si>
    <t>B5-9-3</t>
  </si>
  <si>
    <t>U6-A5-09 / 2P 30A</t>
    <phoneticPr fontId="11" type="noConversion"/>
  </si>
  <si>
    <t>U6-B5-09 / 2P 30A</t>
    <phoneticPr fontId="11" type="noConversion"/>
  </si>
  <si>
    <t>A706</t>
    <phoneticPr fontId="11" type="noConversion"/>
  </si>
  <si>
    <t>6F-X15</t>
  </si>
  <si>
    <t>주식회사 씨엘엠앤에스</t>
    <phoneticPr fontId="11" type="noConversion"/>
  </si>
  <si>
    <t>A5-9-4</t>
  </si>
  <si>
    <t>B5-9-4</t>
  </si>
  <si>
    <t>U6-A5-11 / 2P 30A</t>
    <phoneticPr fontId="11" type="noConversion"/>
  </si>
  <si>
    <t>U6-B5-11 / 2P 30A</t>
    <phoneticPr fontId="11" type="noConversion"/>
  </si>
  <si>
    <t>A707</t>
    <phoneticPr fontId="11" type="noConversion"/>
  </si>
  <si>
    <t>6F-X14</t>
  </si>
  <si>
    <t>A5-9-5</t>
  </si>
  <si>
    <t>B5-9-5</t>
  </si>
  <si>
    <t>U6-A5-13 / 2P 30A</t>
    <phoneticPr fontId="11" type="noConversion"/>
  </si>
  <si>
    <t>U6-B5-13 / 2P 30A</t>
    <phoneticPr fontId="11" type="noConversion"/>
  </si>
  <si>
    <t>A708</t>
    <phoneticPr fontId="11" type="noConversion"/>
  </si>
  <si>
    <t>6F-X13</t>
  </si>
  <si>
    <t>A5-9-6</t>
  </si>
  <si>
    <t>B5-9-6</t>
  </si>
  <si>
    <t>U6-A5-15 / 2P 30A</t>
    <phoneticPr fontId="11" type="noConversion"/>
  </si>
  <si>
    <t>U6-B5-15 / 2P 30A</t>
    <phoneticPr fontId="11" type="noConversion"/>
  </si>
  <si>
    <t>A709</t>
    <phoneticPr fontId="11" type="noConversion"/>
  </si>
  <si>
    <t>6F-X12</t>
  </si>
  <si>
    <t>A5-9-7</t>
  </si>
  <si>
    <t>B5-9-7</t>
  </si>
  <si>
    <t>U6-A5-17 / 2P 30A</t>
    <phoneticPr fontId="11" type="noConversion"/>
  </si>
  <si>
    <t>U6-B5-17 / 2P 30A</t>
    <phoneticPr fontId="11" type="noConversion"/>
  </si>
  <si>
    <t>A710</t>
    <phoneticPr fontId="11" type="noConversion"/>
  </si>
  <si>
    <t>A5-9-8</t>
  </si>
  <si>
    <t>B5-9-8</t>
  </si>
  <si>
    <t>U6-A5-19 / 2P 30A</t>
    <phoneticPr fontId="11" type="noConversion"/>
  </si>
  <si>
    <t>U6-B5-19 / 2P 30A</t>
    <phoneticPr fontId="11" type="noConversion"/>
  </si>
  <si>
    <t>6F-Y19</t>
  </si>
  <si>
    <t>6F-Y18</t>
  </si>
  <si>
    <t>6F-Y17</t>
  </si>
  <si>
    <t>A5-10-2</t>
    <phoneticPr fontId="11" type="noConversion"/>
  </si>
  <si>
    <t>B5-10-2</t>
    <phoneticPr fontId="11" type="noConversion"/>
  </si>
  <si>
    <t>U6-A5-23 / 2P 30A</t>
    <phoneticPr fontId="11" type="noConversion"/>
  </si>
  <si>
    <t>U6-B5-23 / 2P 30A</t>
    <phoneticPr fontId="11" type="noConversion"/>
  </si>
  <si>
    <t>A806</t>
    <phoneticPr fontId="11" type="noConversion"/>
  </si>
  <si>
    <t>6F-Y16</t>
  </si>
  <si>
    <t>Pyler</t>
    <phoneticPr fontId="11" type="noConversion"/>
  </si>
  <si>
    <t>A5-10-3</t>
  </si>
  <si>
    <t>B5-10-3</t>
  </si>
  <si>
    <t>U6-A5-25 / 2P 30A</t>
    <phoneticPr fontId="11" type="noConversion"/>
  </si>
  <si>
    <t>U6-B5-25 / 2P 30A</t>
    <phoneticPr fontId="11" type="noConversion"/>
  </si>
  <si>
    <t>6F-Y15</t>
  </si>
  <si>
    <t>A5-10-4</t>
  </si>
  <si>
    <t>B5-10-4</t>
  </si>
  <si>
    <t>U6-A5-27 / 2P 30A</t>
    <phoneticPr fontId="11" type="noConversion"/>
  </si>
  <si>
    <t>U6-B5-27 / 2P 30A</t>
    <phoneticPr fontId="11" type="noConversion"/>
  </si>
  <si>
    <t>A807</t>
    <phoneticPr fontId="11" type="noConversion"/>
  </si>
  <si>
    <t>6F-Y14</t>
  </si>
  <si>
    <t>A5-10-5</t>
  </si>
  <si>
    <t>B5-10-5</t>
  </si>
  <si>
    <t>U6-A5-29 / 2P 30A</t>
    <phoneticPr fontId="11" type="noConversion"/>
  </si>
  <si>
    <t>U6-B5-29 / 2P 30A</t>
    <phoneticPr fontId="11" type="noConversion"/>
  </si>
  <si>
    <t>A808</t>
    <phoneticPr fontId="11" type="noConversion"/>
  </si>
  <si>
    <t>6F-Y13</t>
  </si>
  <si>
    <t>Cloud (세종 IDC) &amp; 서브이즈</t>
    <phoneticPr fontId="11" type="noConversion"/>
  </si>
  <si>
    <t>A5-10-6</t>
  </si>
  <si>
    <t>B5-10-6</t>
  </si>
  <si>
    <t>U6-A5-31 / 2P 30A</t>
    <phoneticPr fontId="11" type="noConversion"/>
  </si>
  <si>
    <t>U6-B5-31 / 2P 30A</t>
    <phoneticPr fontId="11" type="noConversion"/>
  </si>
  <si>
    <t>A809</t>
    <phoneticPr fontId="11" type="noConversion"/>
  </si>
  <si>
    <t>6F-Y12</t>
  </si>
  <si>
    <t>Cloud (세종 IDC) &amp; 테라핀테크</t>
    <phoneticPr fontId="11" type="noConversion"/>
  </si>
  <si>
    <t>A5-10-7</t>
  </si>
  <si>
    <t>B5-10-7</t>
  </si>
  <si>
    <t>U6-A5-33 / 2P 30A</t>
    <phoneticPr fontId="11" type="noConversion"/>
  </si>
  <si>
    <t>U6-B5-33 / 2P 30A</t>
    <phoneticPr fontId="11" type="noConversion"/>
  </si>
  <si>
    <t>A810</t>
    <phoneticPr fontId="11" type="noConversion"/>
  </si>
  <si>
    <t>6F-Y11</t>
    <phoneticPr fontId="11" type="noConversion"/>
  </si>
  <si>
    <t>Cloud (세종 IDC)</t>
    <phoneticPr fontId="11" type="noConversion"/>
  </si>
  <si>
    <t>A5-10-8</t>
  </si>
  <si>
    <t>B5-10-8</t>
  </si>
  <si>
    <t>U6-A5-35 / 2P 30A</t>
    <phoneticPr fontId="11" type="noConversion"/>
  </si>
  <si>
    <t>U6-B5-35 / 2P 30A</t>
    <phoneticPr fontId="11" type="noConversion"/>
  </si>
  <si>
    <t>6F-AB18</t>
  </si>
  <si>
    <t>6F-AB17</t>
  </si>
  <si>
    <t>6F-AB16</t>
  </si>
  <si>
    <t>A6-5-4</t>
  </si>
  <si>
    <t>B6-5-4</t>
  </si>
  <si>
    <t>U6-A6-22 / 2P 30A</t>
    <phoneticPr fontId="11" type="noConversion"/>
  </si>
  <si>
    <t>U6-B6-22 / 2P 30A</t>
    <phoneticPr fontId="11" type="noConversion"/>
  </si>
  <si>
    <t>U6-A6
4P 300A</t>
    <phoneticPr fontId="11" type="noConversion"/>
  </si>
  <si>
    <t>U6-B6
4P 300A</t>
    <phoneticPr fontId="11" type="noConversion"/>
  </si>
  <si>
    <t>LV-6A
#06, 3P 320A</t>
    <phoneticPr fontId="11" type="noConversion"/>
  </si>
  <si>
    <t>LV-6B
#02, 3P 320A</t>
    <phoneticPr fontId="11" type="noConversion"/>
  </si>
  <si>
    <t>6F-AB15</t>
  </si>
  <si>
    <t>A6-5-5</t>
  </si>
  <si>
    <t>B6-5-5</t>
  </si>
  <si>
    <t>U6-A6-24 / 2P 30A</t>
    <phoneticPr fontId="11" type="noConversion"/>
  </si>
  <si>
    <t>U6-B6-24 / 2P 30A</t>
    <phoneticPr fontId="11" type="noConversion"/>
  </si>
  <si>
    <t>6F-AB14</t>
  </si>
  <si>
    <t>A6-5-6</t>
  </si>
  <si>
    <t>B6-5-6</t>
  </si>
  <si>
    <t>U6-A6-26 / 2P 30A</t>
    <phoneticPr fontId="11" type="noConversion"/>
  </si>
  <si>
    <t>U6-B6-26 / 2P 30A</t>
    <phoneticPr fontId="11" type="noConversion"/>
  </si>
  <si>
    <t>6F-AB13</t>
  </si>
  <si>
    <t>A6-5-7</t>
  </si>
  <si>
    <t>B6-5-7</t>
  </si>
  <si>
    <t>U6-A6-28 / 2P 30A</t>
    <phoneticPr fontId="11" type="noConversion"/>
  </si>
  <si>
    <t>U6-B6-28 / 2P 30A</t>
    <phoneticPr fontId="11" type="noConversion"/>
  </si>
  <si>
    <t>6F-AB12</t>
  </si>
  <si>
    <t>A2-5-8</t>
  </si>
  <si>
    <t>B2-5-8</t>
  </si>
  <si>
    <t>U-A2-33 / 2P 30A</t>
    <phoneticPr fontId="11" type="noConversion"/>
  </si>
  <si>
    <t>U-B2-33 / 2P 30A</t>
    <phoneticPr fontId="11" type="noConversion"/>
  </si>
  <si>
    <t>U-A2
4P 200A</t>
  </si>
  <si>
    <t>6F-AB11</t>
    <phoneticPr fontId="11" type="noConversion"/>
  </si>
  <si>
    <t>A2-5-9</t>
  </si>
  <si>
    <t>B2-5-9</t>
  </si>
  <si>
    <t>U-A2-35 / 2P 30A</t>
    <phoneticPr fontId="11" type="noConversion"/>
  </si>
  <si>
    <t>U-B2-35 / 2P 30A</t>
    <phoneticPr fontId="11" type="noConversion"/>
  </si>
  <si>
    <t>A101</t>
    <phoneticPr fontId="11" type="noConversion"/>
  </si>
  <si>
    <t>A102</t>
    <phoneticPr fontId="11" type="noConversion"/>
  </si>
  <si>
    <t>6F-AE19</t>
  </si>
  <si>
    <t>A103</t>
    <phoneticPr fontId="11" type="noConversion"/>
  </si>
  <si>
    <t>6F-AE18</t>
  </si>
  <si>
    <t>A104</t>
    <phoneticPr fontId="11" type="noConversion"/>
  </si>
  <si>
    <t>6F-AE17</t>
  </si>
  <si>
    <t>A105</t>
    <phoneticPr fontId="11" type="noConversion"/>
  </si>
  <si>
    <t>6F-AE16</t>
  </si>
  <si>
    <t>A6-2-4</t>
    <phoneticPr fontId="11" type="noConversion"/>
  </si>
  <si>
    <t>B6-2-4</t>
    <phoneticPr fontId="11" type="noConversion"/>
  </si>
  <si>
    <t>U6-A6-36 / 2P 30A</t>
    <phoneticPr fontId="11" type="noConversion"/>
  </si>
  <si>
    <t>U6-B6-36 / 2P 30A</t>
    <phoneticPr fontId="11" type="noConversion"/>
  </si>
  <si>
    <t>A106</t>
    <phoneticPr fontId="11" type="noConversion"/>
  </si>
  <si>
    <t>6F-AE15</t>
  </si>
  <si>
    <t>A6-2-5</t>
    <phoneticPr fontId="11" type="noConversion"/>
  </si>
  <si>
    <t>B6-2-5</t>
    <phoneticPr fontId="11" type="noConversion"/>
  </si>
  <si>
    <t>U6-A6-38 / 2P 30A</t>
    <phoneticPr fontId="11" type="noConversion"/>
  </si>
  <si>
    <t>U6-B6-38 / 2P 30A</t>
    <phoneticPr fontId="11" type="noConversion"/>
  </si>
  <si>
    <t>A107</t>
    <phoneticPr fontId="11" type="noConversion"/>
  </si>
  <si>
    <t>6F-AE14</t>
  </si>
  <si>
    <t>A6-2-6</t>
    <phoneticPr fontId="11" type="noConversion"/>
  </si>
  <si>
    <t>B6-2-6</t>
    <phoneticPr fontId="11" type="noConversion"/>
  </si>
  <si>
    <t>U6-A6-40 / 2P 30A</t>
    <phoneticPr fontId="11" type="noConversion"/>
  </si>
  <si>
    <t>U6-B6-40 / 2P 30A</t>
    <phoneticPr fontId="11" type="noConversion"/>
  </si>
  <si>
    <t>A108</t>
    <phoneticPr fontId="11" type="noConversion"/>
  </si>
  <si>
    <t>6F-AE13</t>
  </si>
  <si>
    <t>A6-2-7</t>
    <phoneticPr fontId="11" type="noConversion"/>
  </si>
  <si>
    <t>B6-2-7</t>
    <phoneticPr fontId="11" type="noConversion"/>
  </si>
  <si>
    <t>U6-A6-42 / 2P 30A</t>
    <phoneticPr fontId="11" type="noConversion"/>
  </si>
  <si>
    <t>U6-B6-42 / 2P 30A</t>
    <phoneticPr fontId="11" type="noConversion"/>
  </si>
  <si>
    <t>A109</t>
    <phoneticPr fontId="11" type="noConversion"/>
  </si>
  <si>
    <t>6F-AE12</t>
  </si>
  <si>
    <t>A6-2-8</t>
    <phoneticPr fontId="11" type="noConversion"/>
  </si>
  <si>
    <t>B6-2-8</t>
    <phoneticPr fontId="11" type="noConversion"/>
  </si>
  <si>
    <t>U6-A6-44 / 2P 30A</t>
    <phoneticPr fontId="11" type="noConversion"/>
  </si>
  <si>
    <t>U6-B6-44 / 2P 30A</t>
    <phoneticPr fontId="11" type="noConversion"/>
  </si>
  <si>
    <t>A110</t>
    <phoneticPr fontId="11" type="noConversion"/>
  </si>
  <si>
    <t>6F-AE11</t>
    <phoneticPr fontId="11" type="noConversion"/>
  </si>
  <si>
    <t>A6-2-9</t>
    <phoneticPr fontId="11" type="noConversion"/>
  </si>
  <si>
    <t>B6-2-9</t>
    <phoneticPr fontId="11" type="noConversion"/>
  </si>
  <si>
    <t>U6-A6-46 / 2P 30A</t>
    <phoneticPr fontId="11" type="noConversion"/>
  </si>
  <si>
    <t>U6-B6-46 / 2P 30A</t>
    <phoneticPr fontId="11" type="noConversion"/>
  </si>
  <si>
    <t>A201</t>
    <phoneticPr fontId="11" type="noConversion"/>
  </si>
  <si>
    <t>A202</t>
    <phoneticPr fontId="11" type="noConversion"/>
  </si>
  <si>
    <t>6F-AD19</t>
  </si>
  <si>
    <t>A203</t>
    <phoneticPr fontId="11" type="noConversion"/>
  </si>
  <si>
    <t>6F-AD18</t>
  </si>
  <si>
    <t>A204</t>
    <phoneticPr fontId="11" type="noConversion"/>
  </si>
  <si>
    <t>6F-AD17</t>
  </si>
  <si>
    <t>A205</t>
    <phoneticPr fontId="11" type="noConversion"/>
  </si>
  <si>
    <t>6F-AD16</t>
  </si>
  <si>
    <t>A6-3-4</t>
    <phoneticPr fontId="11" type="noConversion"/>
  </si>
  <si>
    <t>B6-3-4</t>
    <phoneticPr fontId="11" type="noConversion"/>
  </si>
  <si>
    <t>U6-A6-54 / 2P 30A</t>
    <phoneticPr fontId="11" type="noConversion"/>
  </si>
  <si>
    <t>U6-B6-54 / 2P 30A</t>
    <phoneticPr fontId="11" type="noConversion"/>
  </si>
  <si>
    <t>A206</t>
    <phoneticPr fontId="11" type="noConversion"/>
  </si>
  <si>
    <t>6F-AD15</t>
  </si>
  <si>
    <t>A6-3-5</t>
    <phoneticPr fontId="11" type="noConversion"/>
  </si>
  <si>
    <t>B6-3-5</t>
    <phoneticPr fontId="11" type="noConversion"/>
  </si>
  <si>
    <t>U6-A6-53 / 2P 30A</t>
    <phoneticPr fontId="11" type="noConversion"/>
  </si>
  <si>
    <t>U6-B6-53 / 2P 30A</t>
    <phoneticPr fontId="11" type="noConversion"/>
  </si>
  <si>
    <t>6F-AD14</t>
  </si>
  <si>
    <t>A6-3-6</t>
    <phoneticPr fontId="11" type="noConversion"/>
  </si>
  <si>
    <t>B6-3-6</t>
    <phoneticPr fontId="11" type="noConversion"/>
  </si>
  <si>
    <t>U6-A6-51 / 2P 30A</t>
    <phoneticPr fontId="11" type="noConversion"/>
  </si>
  <si>
    <t>U6-B6-51 / 2P 30A</t>
    <phoneticPr fontId="11" type="noConversion"/>
  </si>
  <si>
    <t>6F-AD13</t>
  </si>
  <si>
    <t>A6-3-7</t>
    <phoneticPr fontId="11" type="noConversion"/>
  </si>
  <si>
    <t>B6-3-7</t>
    <phoneticPr fontId="11" type="noConversion"/>
  </si>
  <si>
    <t>U6-A6-49 / 2P 30A</t>
    <phoneticPr fontId="11" type="noConversion"/>
  </si>
  <si>
    <t>U6-B6-49 / 2P 30A</t>
    <phoneticPr fontId="11" type="noConversion"/>
  </si>
  <si>
    <t>6F-AD12</t>
  </si>
  <si>
    <t>A2-3-8</t>
    <phoneticPr fontId="11" type="noConversion"/>
  </si>
  <si>
    <t>B2-3-8</t>
    <phoneticPr fontId="11" type="noConversion"/>
  </si>
  <si>
    <t>U6-A2-16 / 2P 30A</t>
    <phoneticPr fontId="11" type="noConversion"/>
  </si>
  <si>
    <t>U6-B2-16 / 2P 30A</t>
    <phoneticPr fontId="11" type="noConversion"/>
  </si>
  <si>
    <t>6F-AD11</t>
    <phoneticPr fontId="11" type="noConversion"/>
  </si>
  <si>
    <t>A2-3-9</t>
    <phoneticPr fontId="11" type="noConversion"/>
  </si>
  <si>
    <t>B2-3-9</t>
    <phoneticPr fontId="11" type="noConversion"/>
  </si>
  <si>
    <t>U6-A2-18 / 2P 30A</t>
    <phoneticPr fontId="11" type="noConversion"/>
  </si>
  <si>
    <t>U6-B2-18 / 2P 30A</t>
    <phoneticPr fontId="11" type="noConversion"/>
  </si>
  <si>
    <t>A303</t>
    <phoneticPr fontId="11" type="noConversion"/>
  </si>
  <si>
    <t>6F-AC18</t>
  </si>
  <si>
    <t>A304</t>
    <phoneticPr fontId="11" type="noConversion"/>
  </si>
  <si>
    <t>6F-AC17</t>
  </si>
  <si>
    <t>A305</t>
    <phoneticPr fontId="11" type="noConversion"/>
  </si>
  <si>
    <t>6F-AC16</t>
  </si>
  <si>
    <t>A6-4-4</t>
  </si>
  <si>
    <t>B6-4-4</t>
  </si>
  <si>
    <t>U6-A6-08 / 2P 30A</t>
    <phoneticPr fontId="11" type="noConversion"/>
  </si>
  <si>
    <t>U6-B6-08 / 2P 30A</t>
    <phoneticPr fontId="11" type="noConversion"/>
  </si>
  <si>
    <t>A306</t>
    <phoneticPr fontId="11" type="noConversion"/>
  </si>
  <si>
    <t>6F-AC15</t>
  </si>
  <si>
    <t>A6-4-5</t>
  </si>
  <si>
    <t>B6-4-5</t>
  </si>
  <si>
    <t>U6-A6-10 / 2P 30A</t>
    <phoneticPr fontId="11" type="noConversion"/>
  </si>
  <si>
    <t>U6-B6-10 / 2P 30A</t>
    <phoneticPr fontId="11" type="noConversion"/>
  </si>
  <si>
    <t>6F-AC14</t>
  </si>
  <si>
    <t>A6-4-6</t>
  </si>
  <si>
    <t>B6-4-6</t>
  </si>
  <si>
    <t>U6-A6-12 / 2P 30A</t>
    <phoneticPr fontId="11" type="noConversion"/>
  </si>
  <si>
    <t>U6-B6-12 / 2P 30A</t>
    <phoneticPr fontId="11" type="noConversion"/>
  </si>
  <si>
    <t>6F-AC13</t>
  </si>
  <si>
    <t>A6-4-7</t>
  </si>
  <si>
    <t>B6-4-7</t>
  </si>
  <si>
    <t>U6-A6-14 / 2P 30A</t>
    <phoneticPr fontId="11" type="noConversion"/>
  </si>
  <si>
    <t>U6-B6-14 / 2P 30A</t>
    <phoneticPr fontId="11" type="noConversion"/>
  </si>
  <si>
    <t>6F-AC12</t>
  </si>
  <si>
    <t>A1-4-8</t>
  </si>
  <si>
    <t>B1-4-8</t>
  </si>
  <si>
    <t>U-A1-48 / 2P 30A</t>
    <phoneticPr fontId="11" type="noConversion"/>
  </si>
  <si>
    <t>U-B1-48 / 2P 30A</t>
    <phoneticPr fontId="11" type="noConversion"/>
  </si>
  <si>
    <t>6F-AC11</t>
    <phoneticPr fontId="11" type="noConversion"/>
  </si>
  <si>
    <t>A5-4-9</t>
  </si>
  <si>
    <t>B5-4-9</t>
  </si>
  <si>
    <t>U6-A5-50 / 2P 30A</t>
    <phoneticPr fontId="11" type="noConversion"/>
  </si>
  <si>
    <t>U6-B5-50 / 2P 30A</t>
    <phoneticPr fontId="11" type="noConversion"/>
  </si>
  <si>
    <t>6F-AF11</t>
    <phoneticPr fontId="11" type="noConversion"/>
  </si>
  <si>
    <t>A1-1-9</t>
    <phoneticPr fontId="11" type="noConversion"/>
  </si>
  <si>
    <t>B1-1-9</t>
    <phoneticPr fontId="11" type="noConversion"/>
  </si>
  <si>
    <t>U-A1-17 / 2P 30A</t>
    <phoneticPr fontId="11" type="noConversion"/>
  </si>
  <si>
    <t>U-B1-17 / 2P 30A</t>
    <phoneticPr fontId="11" type="noConversion"/>
  </si>
  <si>
    <t>랙 배제결정('22.01.11)
차단기는 off 후 미사용 표기로 변경할 것</t>
    <phoneticPr fontId="11" type="noConversion"/>
  </si>
  <si>
    <t>6F-AF12</t>
  </si>
  <si>
    <t>A1-1-8</t>
    <phoneticPr fontId="11" type="noConversion"/>
  </si>
  <si>
    <t>B1-1-8</t>
    <phoneticPr fontId="11" type="noConversion"/>
  </si>
  <si>
    <t>U-A1-15 / 2P 30A</t>
    <phoneticPr fontId="11" type="noConversion"/>
  </si>
  <si>
    <t>U-B1-15 / 2P 30A</t>
    <phoneticPr fontId="11" type="noConversion"/>
  </si>
  <si>
    <t>6F-AF13</t>
  </si>
  <si>
    <t>A1-1-7</t>
    <phoneticPr fontId="11" type="noConversion"/>
  </si>
  <si>
    <t>B1-1-7</t>
    <phoneticPr fontId="11" type="noConversion"/>
  </si>
  <si>
    <t>U-A1-13 / 2P 30A</t>
    <phoneticPr fontId="11" type="noConversion"/>
  </si>
  <si>
    <t>U-B1-13 / 2P 30A</t>
    <phoneticPr fontId="11" type="noConversion"/>
  </si>
  <si>
    <t>6F-AF14</t>
  </si>
  <si>
    <t>A1-1-6</t>
    <phoneticPr fontId="11" type="noConversion"/>
  </si>
  <si>
    <t>B1-1-6</t>
    <phoneticPr fontId="11" type="noConversion"/>
  </si>
  <si>
    <t>U-A1-11 / 2P 30A</t>
    <phoneticPr fontId="11" type="noConversion"/>
  </si>
  <si>
    <t>U-B1-11 / 2P 30A</t>
    <phoneticPr fontId="11" type="noConversion"/>
  </si>
  <si>
    <t>6F-AF15</t>
  </si>
  <si>
    <t>A1-1-5</t>
    <phoneticPr fontId="11" type="noConversion"/>
  </si>
  <si>
    <t>B1-1-5</t>
    <phoneticPr fontId="11" type="noConversion"/>
  </si>
  <si>
    <t>U-A1-09 / 2P 30A</t>
    <phoneticPr fontId="11" type="noConversion"/>
  </si>
  <si>
    <t>U-B1-09 / 2P 30A</t>
    <phoneticPr fontId="11" type="noConversion"/>
  </si>
  <si>
    <t>6F-AF16</t>
  </si>
  <si>
    <t>A1-1-4</t>
    <phoneticPr fontId="11" type="noConversion"/>
  </si>
  <si>
    <t>B1-1-4</t>
    <phoneticPr fontId="11" type="noConversion"/>
  </si>
  <si>
    <t>U-A1-07 / 2P 30A</t>
    <phoneticPr fontId="11" type="noConversion"/>
  </si>
  <si>
    <t>U-B1-07 / 2P 30A</t>
    <phoneticPr fontId="11" type="noConversion"/>
  </si>
  <si>
    <t>6F-AF17</t>
  </si>
  <si>
    <t>6F-AF18</t>
  </si>
  <si>
    <t>6F-AF19</t>
  </si>
  <si>
    <t>G1101</t>
    <phoneticPr fontId="11" type="noConversion"/>
  </si>
  <si>
    <t>6F-AG10</t>
    <phoneticPr fontId="11" type="noConversion"/>
  </si>
  <si>
    <t>피플펀드</t>
    <phoneticPr fontId="11" type="noConversion"/>
  </si>
  <si>
    <t>A1-35-1</t>
    <phoneticPr fontId="11" type="noConversion"/>
  </si>
  <si>
    <t>B1-35-1</t>
    <phoneticPr fontId="11" type="noConversion"/>
  </si>
  <si>
    <t>U-A1-02 / 2P 30A</t>
    <phoneticPr fontId="11" type="noConversion"/>
  </si>
  <si>
    <t>U-B1-02 / 2P 30A</t>
    <phoneticPr fontId="11" type="noConversion"/>
  </si>
  <si>
    <t>22/09/19 투입(임대장비 설정으로 선투입요청)</t>
    <phoneticPr fontId="11" type="noConversion"/>
  </si>
  <si>
    <t>G1102</t>
    <phoneticPr fontId="11" type="noConversion"/>
  </si>
  <si>
    <t>6F-AG11</t>
  </si>
  <si>
    <t>피플펀드</t>
  </si>
  <si>
    <t>A1-35-1(2)</t>
    <phoneticPr fontId="11" type="noConversion"/>
  </si>
  <si>
    <t>B1-35-1(2)</t>
    <phoneticPr fontId="11" type="noConversion"/>
  </si>
  <si>
    <t>U-A1-36 / 2P 30A</t>
    <phoneticPr fontId="11" type="noConversion"/>
  </si>
  <si>
    <t>U-B1-36 / 2P 30A</t>
    <phoneticPr fontId="11" type="noConversion"/>
  </si>
  <si>
    <t>22/09/23 투입</t>
    <phoneticPr fontId="11" type="noConversion"/>
  </si>
  <si>
    <t>A1-35-2(2)</t>
  </si>
  <si>
    <t>B1-35-2(2)</t>
  </si>
  <si>
    <t>U-A1-38 / 2P 30A</t>
    <phoneticPr fontId="11" type="noConversion"/>
  </si>
  <si>
    <t>U-B1-38 / 2P 30A</t>
    <phoneticPr fontId="11" type="noConversion"/>
  </si>
  <si>
    <t>B전원 : 도어락&amp;CCTV 전원 포함</t>
    <phoneticPr fontId="11" type="noConversion"/>
  </si>
  <si>
    <t>G1103</t>
    <phoneticPr fontId="11" type="noConversion"/>
  </si>
  <si>
    <t>6F-AG12</t>
    <phoneticPr fontId="11" type="noConversion"/>
  </si>
  <si>
    <t>A1-35-2</t>
  </si>
  <si>
    <t>B1-35-2</t>
  </si>
  <si>
    <t>U-A1-04 / 2P 30A</t>
    <phoneticPr fontId="11" type="noConversion"/>
  </si>
  <si>
    <t>U-B1-04 / 2P 30A</t>
    <phoneticPr fontId="11" type="noConversion"/>
  </si>
  <si>
    <t>22/09/23 투입</t>
  </si>
  <si>
    <t>G2101</t>
    <phoneticPr fontId="11" type="noConversion"/>
  </si>
  <si>
    <t>6F-AG13</t>
    <phoneticPr fontId="11" type="noConversion"/>
  </si>
  <si>
    <t>삼성물산</t>
    <phoneticPr fontId="11" type="noConversion"/>
  </si>
  <si>
    <t>A1-35-3</t>
  </si>
  <si>
    <t>B1-35-3</t>
  </si>
  <si>
    <t>U-A1-06 / 2P 30A</t>
    <phoneticPr fontId="11" type="noConversion"/>
  </si>
  <si>
    <t>U-B1-06 / 2P 30A</t>
    <phoneticPr fontId="11" type="noConversion"/>
  </si>
  <si>
    <t>G2102</t>
  </si>
  <si>
    <t>6F-AG14</t>
    <phoneticPr fontId="11" type="noConversion"/>
  </si>
  <si>
    <t>삼성물산</t>
  </si>
  <si>
    <t>A1-35-4</t>
  </si>
  <si>
    <t>B1-35-4</t>
  </si>
  <si>
    <t>U-A1-08 / 2P 30A</t>
    <phoneticPr fontId="11" type="noConversion"/>
  </si>
  <si>
    <t>U-B1-08 / 2P 30A</t>
    <phoneticPr fontId="11" type="noConversion"/>
  </si>
  <si>
    <t>G2103</t>
  </si>
  <si>
    <t>6F-AG15</t>
    <phoneticPr fontId="11" type="noConversion"/>
  </si>
  <si>
    <t>A1-35-5</t>
  </si>
  <si>
    <t>B1-35-5</t>
  </si>
  <si>
    <t>U-A1-10 / 2P 30A</t>
    <phoneticPr fontId="11" type="noConversion"/>
  </si>
  <si>
    <t>U-B1-10 / 2P 30A</t>
    <phoneticPr fontId="11" type="noConversion"/>
  </si>
  <si>
    <t>G2104</t>
  </si>
  <si>
    <t>6F-AG16</t>
    <phoneticPr fontId="11" type="noConversion"/>
  </si>
  <si>
    <t>A1-35-6</t>
    <phoneticPr fontId="11" type="noConversion"/>
  </si>
  <si>
    <t>B1-35-6</t>
    <phoneticPr fontId="11" type="noConversion"/>
  </si>
  <si>
    <t>U-A1-12 / 2P 30A</t>
    <phoneticPr fontId="11" type="noConversion"/>
  </si>
  <si>
    <t>U-B1-12 / 2P 30A</t>
    <phoneticPr fontId="11" type="noConversion"/>
  </si>
  <si>
    <t>G2105</t>
  </si>
  <si>
    <t>6F-AG17</t>
    <phoneticPr fontId="11" type="noConversion"/>
  </si>
  <si>
    <t>A1-35-7</t>
    <phoneticPr fontId="11" type="noConversion"/>
  </si>
  <si>
    <t>B1-35-7</t>
    <phoneticPr fontId="11" type="noConversion"/>
  </si>
  <si>
    <t>U-A1-14 / 2P 30A</t>
    <phoneticPr fontId="11" type="noConversion"/>
  </si>
  <si>
    <t>U-B1-14 / 2P 30A</t>
    <phoneticPr fontId="11" type="noConversion"/>
  </si>
  <si>
    <t>G2106</t>
  </si>
  <si>
    <t>6F-AG18</t>
    <phoneticPr fontId="11" type="noConversion"/>
  </si>
  <si>
    <t>A1-35-8</t>
  </si>
  <si>
    <t>B1-35-8</t>
  </si>
  <si>
    <t>U-A1-16 / 2P 30A</t>
    <phoneticPr fontId="11" type="noConversion"/>
  </si>
  <si>
    <t>U-B1-16 / 2P 30A</t>
    <phoneticPr fontId="11" type="noConversion"/>
  </si>
  <si>
    <t>G2107</t>
  </si>
  <si>
    <t>6F-AG19</t>
    <phoneticPr fontId="11" type="noConversion"/>
  </si>
  <si>
    <t>A4-36-1</t>
    <phoneticPr fontId="11" type="noConversion"/>
  </si>
  <si>
    <t>B4-36-1</t>
    <phoneticPr fontId="11" type="noConversion"/>
  </si>
  <si>
    <t>U-A4-19 / 2P 30A</t>
    <phoneticPr fontId="11" type="noConversion"/>
  </si>
  <si>
    <t>U-B4-19 / 2P 30A</t>
    <phoneticPr fontId="11" type="noConversion"/>
  </si>
  <si>
    <t>U-A4
4P 200A</t>
  </si>
  <si>
    <t>UPS 출력배전반(A)
#01, 4P 200A</t>
  </si>
  <si>
    <t>G2108</t>
  </si>
  <si>
    <t>6F-AG20</t>
  </si>
  <si>
    <t>A4-36-9</t>
    <phoneticPr fontId="11" type="noConversion"/>
  </si>
  <si>
    <t>B4-36-9</t>
    <phoneticPr fontId="11" type="noConversion"/>
  </si>
  <si>
    <t>U-A4-44 / 2P 30A</t>
    <phoneticPr fontId="11" type="noConversion"/>
  </si>
  <si>
    <t>U-B4-44 / 2P 30A</t>
    <phoneticPr fontId="11" type="noConversion"/>
  </si>
  <si>
    <t>2022/06/09 전기투입 (임시사용 랙)</t>
    <phoneticPr fontId="11" type="noConversion"/>
  </si>
  <si>
    <t>DE운용실 사무#1</t>
    <phoneticPr fontId="11" type="noConversion"/>
  </si>
  <si>
    <t>DEK 사무실</t>
    <phoneticPr fontId="11" type="noConversion"/>
  </si>
  <si>
    <t>A7-30-8</t>
    <phoneticPr fontId="11" type="noConversion"/>
  </si>
  <si>
    <t>U6-A7-02 / 2P 30</t>
    <phoneticPr fontId="11" type="noConversion"/>
  </si>
  <si>
    <t>2022.05.26 차단기 ON</t>
    <phoneticPr fontId="11" type="noConversion"/>
  </si>
  <si>
    <t>DE 출입통제Desk</t>
    <phoneticPr fontId="11" type="noConversion"/>
  </si>
  <si>
    <t>A7-31-1</t>
    <phoneticPr fontId="11" type="noConversion"/>
  </si>
  <si>
    <t>U6-A7-04 / 2P 30A</t>
    <phoneticPr fontId="11" type="noConversion"/>
  </si>
  <si>
    <t>2022.05.26 차단기 ON</t>
  </si>
  <si>
    <t>DE운용실 감시모니터</t>
    <phoneticPr fontId="11" type="noConversion"/>
  </si>
  <si>
    <t>B7-30-8</t>
    <phoneticPr fontId="11" type="noConversion"/>
  </si>
  <si>
    <t>U6-B7-02 / 2P 30</t>
    <phoneticPr fontId="11" type="noConversion"/>
  </si>
  <si>
    <t>DE운용실 사무#2</t>
    <phoneticPr fontId="11" type="noConversion"/>
  </si>
  <si>
    <t>B7-31-1</t>
    <phoneticPr fontId="11" type="noConversion"/>
  </si>
  <si>
    <t>U6-B7-04 / 2P 30</t>
    <phoneticPr fontId="11" type="noConversion"/>
  </si>
  <si>
    <t>6층 사무실</t>
    <phoneticPr fontId="11" type="noConversion"/>
  </si>
  <si>
    <t>U6-B7-20 / 2P 30A</t>
    <phoneticPr fontId="11" type="noConversion"/>
  </si>
  <si>
    <t>6층 인터넷장비</t>
    <phoneticPr fontId="11" type="noConversion"/>
  </si>
  <si>
    <t>A7-28-9</t>
    <phoneticPr fontId="11" type="noConversion"/>
  </si>
  <si>
    <t>U6-A7-40 / 2P 30A</t>
    <phoneticPr fontId="11" type="noConversion"/>
  </si>
  <si>
    <t>FMS 6층 전원</t>
    <phoneticPr fontId="11" type="noConversion"/>
  </si>
  <si>
    <t>U-A1-50 / 2P 30A</t>
    <phoneticPr fontId="11" type="noConversion"/>
  </si>
  <si>
    <t>신규 BMS(6F TPS실) Rack</t>
  </si>
  <si>
    <t>오차</t>
    <phoneticPr fontId="11" type="noConversion"/>
  </si>
  <si>
    <t>리셉터클 Name</t>
    <phoneticPr fontId="11" type="noConversion"/>
  </si>
  <si>
    <t>A501</t>
    <phoneticPr fontId="11" type="noConversion"/>
  </si>
  <si>
    <t>5F-A10</t>
    <phoneticPr fontId="11" type="noConversion"/>
  </si>
  <si>
    <t>1A-1-1</t>
  </si>
  <si>
    <t>1B-1-1</t>
    <phoneticPr fontId="11" type="noConversion"/>
  </si>
  <si>
    <t>PDU(A)-1-03 / 3P 30A</t>
    <phoneticPr fontId="11" type="noConversion"/>
  </si>
  <si>
    <t>PDU(B)-1-03 / 3P 30A</t>
    <phoneticPr fontId="11" type="noConversion"/>
  </si>
  <si>
    <t>PDU(A)-1
4P 150A</t>
    <phoneticPr fontId="11" type="noConversion"/>
  </si>
  <si>
    <t>PDU(B)-1
4P 150A</t>
    <phoneticPr fontId="11" type="noConversion"/>
  </si>
  <si>
    <t>UPS출력
배전반(A), #03
3P 150A</t>
    <phoneticPr fontId="11" type="noConversion"/>
  </si>
  <si>
    <t>UPS출력
배전반(B), #03
3P 150A</t>
    <phoneticPr fontId="11" type="noConversion"/>
  </si>
  <si>
    <t>TR-5A
1000KVA</t>
    <phoneticPr fontId="11" type="noConversion"/>
  </si>
  <si>
    <t>TR-5B
1000KVA</t>
    <phoneticPr fontId="11" type="noConversion"/>
  </si>
  <si>
    <t>A502</t>
  </si>
  <si>
    <t>5F-A11</t>
  </si>
  <si>
    <t>PCCW</t>
    <phoneticPr fontId="11" type="noConversion"/>
  </si>
  <si>
    <t>1A-1-2</t>
  </si>
  <si>
    <t>1B-1-2</t>
  </si>
  <si>
    <t>PDU(A)-1-05 / 3P 30A</t>
    <phoneticPr fontId="11" type="noConversion"/>
  </si>
  <si>
    <t>PDU(B)-1-05 / 3P 30A</t>
    <phoneticPr fontId="11" type="noConversion"/>
  </si>
  <si>
    <t>A503</t>
  </si>
  <si>
    <t>5F-A12</t>
  </si>
  <si>
    <t>1A-1-3</t>
  </si>
  <si>
    <t>1B-1-3</t>
  </si>
  <si>
    <t>PDU(A)-1-09 / 3P 30A</t>
    <phoneticPr fontId="11" type="noConversion"/>
  </si>
  <si>
    <t>PDU(B)-1-26 / 3P 20A</t>
    <phoneticPr fontId="11" type="noConversion"/>
  </si>
  <si>
    <t>A1-1-3(2)</t>
    <phoneticPr fontId="11" type="noConversion"/>
  </si>
  <si>
    <t>B1-1-3(2)</t>
    <phoneticPr fontId="11" type="noConversion"/>
  </si>
  <si>
    <t>PDU(A)-1-26 / 3P 20A</t>
    <phoneticPr fontId="11" type="noConversion"/>
  </si>
  <si>
    <t>PDU(B)-1-30 / 3P 20A</t>
    <phoneticPr fontId="11" type="noConversion"/>
  </si>
  <si>
    <t>5F-A13</t>
  </si>
  <si>
    <t>1A-1-4</t>
  </si>
  <si>
    <t>1B-1-4</t>
  </si>
  <si>
    <t>PDU(A)-1-11 / 3P 30A</t>
    <phoneticPr fontId="11" type="noConversion"/>
  </si>
  <si>
    <t>PDU(B)-1-09 / 3P 30A</t>
    <phoneticPr fontId="11" type="noConversion"/>
  </si>
  <si>
    <t>1A-1-4(2)</t>
    <phoneticPr fontId="11" type="noConversion"/>
  </si>
  <si>
    <t>1B-1-4(2)</t>
    <phoneticPr fontId="11" type="noConversion"/>
  </si>
  <si>
    <t>PDU(A)-1-13 / 3P 30A</t>
    <phoneticPr fontId="11" type="noConversion"/>
  </si>
  <si>
    <t>PDU(B)-1-11 / 3P 30A</t>
    <phoneticPr fontId="11" type="noConversion"/>
  </si>
  <si>
    <t>5F-A14</t>
  </si>
  <si>
    <t>9A-1-5</t>
    <phoneticPr fontId="11" type="noConversion"/>
  </si>
  <si>
    <t>9B-1-5</t>
    <phoneticPr fontId="11" type="noConversion"/>
  </si>
  <si>
    <t>PDU(A)-9-01 / 3P 30A</t>
    <phoneticPr fontId="11" type="noConversion"/>
  </si>
  <si>
    <t>PDU(B)-9-07 / 3P 30A</t>
    <phoneticPr fontId="11" type="noConversion"/>
  </si>
  <si>
    <t>PDU(A)-9
4P 200A</t>
    <phoneticPr fontId="11" type="noConversion"/>
  </si>
  <si>
    <t>PDU(B)-9
4P 200A</t>
    <phoneticPr fontId="11" type="noConversion"/>
  </si>
  <si>
    <t>UPS출력
배전반(A), #09
3P 200A</t>
    <phoneticPr fontId="11" type="noConversion"/>
  </si>
  <si>
    <t>UPS출력
배전반(B), #09
3P 200A</t>
    <phoneticPr fontId="11" type="noConversion"/>
  </si>
  <si>
    <t>A506</t>
  </si>
  <si>
    <t>5F-A15</t>
  </si>
  <si>
    <t>9A-1-6</t>
  </si>
  <si>
    <t>9B-1-6</t>
  </si>
  <si>
    <t>PDU(A)-9-03 / 3P 30A</t>
    <phoneticPr fontId="11" type="noConversion"/>
  </si>
  <si>
    <t>PDU(B)-9-03 / 3P 30A</t>
    <phoneticPr fontId="11" type="noConversion"/>
  </si>
  <si>
    <t>A507</t>
  </si>
  <si>
    <t>5F-A16</t>
  </si>
  <si>
    <t>9A-1-7</t>
  </si>
  <si>
    <t>9B-1-7</t>
  </si>
  <si>
    <t>PDU(A)-9-05 / 3P 30A</t>
    <phoneticPr fontId="11" type="noConversion"/>
  </si>
  <si>
    <t>PDU(B)-9-05 / 3P 30A</t>
    <phoneticPr fontId="11" type="noConversion"/>
  </si>
  <si>
    <t>A508</t>
  </si>
  <si>
    <t>5F-A17</t>
  </si>
  <si>
    <t>센츄리링크코리아</t>
    <phoneticPr fontId="11" type="noConversion"/>
  </si>
  <si>
    <t>9A-1-8</t>
  </si>
  <si>
    <t>9B-1-8</t>
  </si>
  <si>
    <t>PDU(A)-9-02 / 3P 30A</t>
    <phoneticPr fontId="11" type="noConversion"/>
  </si>
  <si>
    <t>PDU(B)-9-02 / 3P 30A</t>
    <phoneticPr fontId="11" type="noConversion"/>
  </si>
  <si>
    <t>A1-1-8(2)</t>
    <phoneticPr fontId="11" type="noConversion"/>
  </si>
  <si>
    <t>B1-1-8(2)</t>
    <phoneticPr fontId="11" type="noConversion"/>
  </si>
  <si>
    <t>PDU(A)-1-28 / 3P 20A</t>
    <phoneticPr fontId="11" type="noConversion"/>
  </si>
  <si>
    <t>PDU(B)-1-28 / 3P 20A</t>
    <phoneticPr fontId="11" type="noConversion"/>
  </si>
  <si>
    <t>5F-A18</t>
  </si>
  <si>
    <t>9A-1-9</t>
    <phoneticPr fontId="11" type="noConversion"/>
  </si>
  <si>
    <t>9B-1-9</t>
    <phoneticPr fontId="11" type="noConversion"/>
  </si>
  <si>
    <t>PDU(A)-9-04 / 3P 30A</t>
    <phoneticPr fontId="11" type="noConversion"/>
  </si>
  <si>
    <t>PDU(B)-9-04 / 3P 30A</t>
    <phoneticPr fontId="11" type="noConversion"/>
  </si>
  <si>
    <t>A510</t>
  </si>
  <si>
    <t>5F-A19</t>
  </si>
  <si>
    <t>세종 인터넷(IES.YSM.S51)</t>
    <phoneticPr fontId="11" type="noConversion"/>
  </si>
  <si>
    <t>9A-1-10</t>
  </si>
  <si>
    <t>9B-1-10</t>
  </si>
  <si>
    <t>PDU(A)-9-06 / 3P 30A</t>
    <phoneticPr fontId="11" type="noConversion"/>
  </si>
  <si>
    <t>PDU(B)-9-06 / 3P 30A</t>
    <phoneticPr fontId="11" type="noConversion"/>
  </si>
  <si>
    <t>A601</t>
    <phoneticPr fontId="11" type="noConversion"/>
  </si>
  <si>
    <t>5F-B10</t>
    <phoneticPr fontId="11" type="noConversion"/>
  </si>
  <si>
    <t>엘엑스Test</t>
    <phoneticPr fontId="11" type="noConversion"/>
  </si>
  <si>
    <t>A1-2-1</t>
    <phoneticPr fontId="11" type="noConversion"/>
  </si>
  <si>
    <t>B1-2-1</t>
    <phoneticPr fontId="11" type="noConversion"/>
  </si>
  <si>
    <t>PDU(A)-1-15 / 3P 20A</t>
    <phoneticPr fontId="11" type="noConversion"/>
  </si>
  <si>
    <t>PDU(B)-1-13 / 3P 20A</t>
    <phoneticPr fontId="11" type="noConversion"/>
  </si>
  <si>
    <t>국제연동망 테스트</t>
    <phoneticPr fontId="11" type="noConversion"/>
  </si>
  <si>
    <t>A602</t>
  </si>
  <si>
    <t>5F-B11</t>
  </si>
  <si>
    <t>A1-2-2</t>
  </si>
  <si>
    <t>B1-2-2</t>
  </si>
  <si>
    <t>PDU(A)-1-17 / 3P 20A</t>
    <phoneticPr fontId="11" type="noConversion"/>
  </si>
  <si>
    <t>PDU(B)-1-15 / 3P 20A</t>
    <phoneticPr fontId="11" type="noConversion"/>
  </si>
  <si>
    <t>A603</t>
  </si>
  <si>
    <t>Colt, rPDU</t>
  </si>
  <si>
    <t>PDU(A)-3
4P 300A</t>
    <phoneticPr fontId="11" type="noConversion"/>
  </si>
  <si>
    <t>PDU(B)-3
4P 300A</t>
    <phoneticPr fontId="11" type="noConversion"/>
  </si>
  <si>
    <t>UPS출력
배전반(A), #01
3P 300A</t>
    <phoneticPr fontId="11" type="noConversion"/>
  </si>
  <si>
    <t>UPS출력
배전반(B), #01
3P 300A</t>
    <phoneticPr fontId="11" type="noConversion"/>
  </si>
  <si>
    <t>23/08/23 차단기 투입</t>
  </si>
  <si>
    <t>Colt, 정류기</t>
  </si>
  <si>
    <t>5F-B12</t>
  </si>
  <si>
    <t>미사용(Off조치)</t>
    <phoneticPr fontId="11" type="noConversion"/>
  </si>
  <si>
    <t>A1-2-3</t>
  </si>
  <si>
    <t>B1-2-3</t>
  </si>
  <si>
    <t>PDU(A)-1-19 / 3P 20A</t>
    <phoneticPr fontId="11" type="noConversion"/>
  </si>
  <si>
    <t>PDU(B)-1-17 / 3P 20A</t>
    <phoneticPr fontId="11" type="noConversion"/>
  </si>
  <si>
    <t>A604</t>
  </si>
  <si>
    <t>5F-B13</t>
  </si>
  <si>
    <t>다코스</t>
    <phoneticPr fontId="11" type="noConversion"/>
  </si>
  <si>
    <t>A1-2-4</t>
  </si>
  <si>
    <t>B1-2-4</t>
  </si>
  <si>
    <t>PDU(A)-1-21 / 3P 20A</t>
    <phoneticPr fontId="11" type="noConversion"/>
  </si>
  <si>
    <t>PDU(B)-1-19 / 3P 20A</t>
    <phoneticPr fontId="11" type="noConversion"/>
  </si>
  <si>
    <t>A605</t>
  </si>
  <si>
    <t>5F-B14</t>
  </si>
  <si>
    <t>이비즈네트웍스(22/09/23)</t>
    <phoneticPr fontId="11" type="noConversion"/>
  </si>
  <si>
    <t>A1-2-5</t>
  </si>
  <si>
    <t>B1-2-5</t>
  </si>
  <si>
    <t>PDU(A)-1-23 / 3P 20A</t>
    <phoneticPr fontId="11" type="noConversion"/>
  </si>
  <si>
    <t>PDU(B)-1-21 / 3P 20A</t>
    <phoneticPr fontId="11" type="noConversion"/>
  </si>
  <si>
    <t>22/09/23, 06시 전기투입</t>
    <phoneticPr fontId="11" type="noConversion"/>
  </si>
  <si>
    <t>A606</t>
  </si>
  <si>
    <t>5F-B15</t>
  </si>
  <si>
    <t>다코스 &amp; NTT</t>
    <phoneticPr fontId="11" type="noConversion"/>
  </si>
  <si>
    <t>A1-2-6</t>
  </si>
  <si>
    <t>B1-2-6</t>
  </si>
  <si>
    <t>PDU(A)-1-25 / 3P 20A</t>
    <phoneticPr fontId="11" type="noConversion"/>
  </si>
  <si>
    <t>PDU(B)-1-23 / 3P 20A</t>
    <phoneticPr fontId="11" type="noConversion"/>
  </si>
  <si>
    <t>A3-2-6(2)</t>
    <phoneticPr fontId="11" type="noConversion"/>
  </si>
  <si>
    <t>B3-2-6(2)</t>
    <phoneticPr fontId="11" type="noConversion"/>
  </si>
  <si>
    <t>PDU(A)-3-28 / 3P 20A</t>
    <phoneticPr fontId="11" type="noConversion"/>
  </si>
  <si>
    <t>PDU(B)-3-28 / 3P 20A</t>
    <phoneticPr fontId="11" type="noConversion"/>
  </si>
  <si>
    <t>5F-B16</t>
  </si>
  <si>
    <t>제우스네트웍스</t>
    <phoneticPr fontId="11" type="noConversion"/>
  </si>
  <si>
    <t>A1-2-7</t>
  </si>
  <si>
    <t>B1-2-7</t>
  </si>
  <si>
    <t>PDU(A)-1-27 / 3P 20A</t>
    <phoneticPr fontId="11" type="noConversion"/>
  </si>
  <si>
    <t>PDU(B)-1-25 / 3P 20A</t>
    <phoneticPr fontId="11" type="noConversion"/>
  </si>
  <si>
    <t>PDU(B)-1
4P 150A</t>
  </si>
  <si>
    <t>A608</t>
  </si>
  <si>
    <t>5F-B17</t>
  </si>
  <si>
    <t>COLT</t>
    <phoneticPr fontId="11" type="noConversion"/>
  </si>
  <si>
    <t>A1-2-8</t>
  </si>
  <si>
    <t>B1-2-8</t>
  </si>
  <si>
    <t>PDU(A)-1-29 / 3P 20A</t>
    <phoneticPr fontId="11" type="noConversion"/>
  </si>
  <si>
    <t>PDU(B)-1-27 / 3P 20A</t>
    <phoneticPr fontId="11" type="noConversion"/>
  </si>
  <si>
    <t>미사용</t>
    <phoneticPr fontId="11" type="noConversion"/>
  </si>
  <si>
    <t>PDU(A)-3-07</t>
    <phoneticPr fontId="11" type="noConversion"/>
  </si>
  <si>
    <t>PDU(B)-3-07</t>
    <phoneticPr fontId="11" type="noConversion"/>
  </si>
  <si>
    <t>PDU(A)-3-07 / 3P 30A</t>
    <phoneticPr fontId="11" type="noConversion"/>
  </si>
  <si>
    <t>PDU(B)-3-07 / 3P 30A</t>
    <phoneticPr fontId="11" type="noConversion"/>
  </si>
  <si>
    <t>DU(A)-3
4P 300A</t>
    <phoneticPr fontId="11" type="noConversion"/>
  </si>
  <si>
    <t>'21/10/29 신규구성</t>
    <phoneticPr fontId="11" type="noConversion"/>
  </si>
  <si>
    <t>PDU(A)-3-09</t>
    <phoneticPr fontId="11" type="noConversion"/>
  </si>
  <si>
    <t>PDU(B)-3-09</t>
    <phoneticPr fontId="11" type="noConversion"/>
  </si>
  <si>
    <t>PDU(A)-3-09 / 3P 30A</t>
    <phoneticPr fontId="11" type="noConversion"/>
  </si>
  <si>
    <t>PDU(B)-3-09 / 3P 30A</t>
    <phoneticPr fontId="11" type="noConversion"/>
  </si>
  <si>
    <t>5F-B18</t>
  </si>
  <si>
    <t>A2-2-9</t>
    <phoneticPr fontId="11" type="noConversion"/>
  </si>
  <si>
    <t>B1-2-9</t>
  </si>
  <si>
    <t>PDU(A)-2-03 / 3P 30A</t>
    <phoneticPr fontId="11" type="noConversion"/>
  </si>
  <si>
    <t>PDU(B)-1-32 / 3P 20A</t>
    <phoneticPr fontId="11" type="noConversion"/>
  </si>
  <si>
    <t>PDU(A)-2
4P 150A</t>
    <phoneticPr fontId="11" type="noConversion"/>
  </si>
  <si>
    <t>UPS출력
배전반(A), #04
3P 150A</t>
    <phoneticPr fontId="11" type="noConversion"/>
  </si>
  <si>
    <t>A610</t>
  </si>
  <si>
    <t>5F-B19</t>
  </si>
  <si>
    <t>A2-2-10</t>
  </si>
  <si>
    <t>B2-2-10</t>
    <phoneticPr fontId="11" type="noConversion"/>
  </si>
  <si>
    <t>PDU(A)-2-05 / 3P 30A</t>
    <phoneticPr fontId="11" type="noConversion"/>
  </si>
  <si>
    <t>PDU(B)-2-03 / 3P 30A</t>
    <phoneticPr fontId="11" type="noConversion"/>
  </si>
  <si>
    <t>PDU(B)-2
4P 150A</t>
    <phoneticPr fontId="11" type="noConversion"/>
  </si>
  <si>
    <t>UPS출력
배전반(B), #04
3P 150A</t>
    <phoneticPr fontId="11" type="noConversion"/>
  </si>
  <si>
    <t>A702</t>
    <phoneticPr fontId="11" type="noConversion"/>
  </si>
  <si>
    <t>A703</t>
    <phoneticPr fontId="11" type="noConversion"/>
  </si>
  <si>
    <t>5F-C12</t>
    <phoneticPr fontId="11" type="noConversion"/>
  </si>
  <si>
    <t>China Telecom Global</t>
    <phoneticPr fontId="11" type="noConversion"/>
  </si>
  <si>
    <t>A1-3-3</t>
    <phoneticPr fontId="11" type="noConversion"/>
  </si>
  <si>
    <t>B1-3-3</t>
    <phoneticPr fontId="11" type="noConversion"/>
  </si>
  <si>
    <t>PDU(A)-1-06 / 3P 30A</t>
    <phoneticPr fontId="11" type="noConversion"/>
  </si>
  <si>
    <t>PDU(B)-1-04 / 3P 30A</t>
    <phoneticPr fontId="11" type="noConversion"/>
  </si>
  <si>
    <t>21/11/30 전기투입</t>
    <phoneticPr fontId="11" type="noConversion"/>
  </si>
  <si>
    <t>A704</t>
    <phoneticPr fontId="11" type="noConversion"/>
  </si>
  <si>
    <t>5F-C13</t>
  </si>
  <si>
    <t>China Telecom Global</t>
  </si>
  <si>
    <t>A1-3-4</t>
  </si>
  <si>
    <t>B1-3-4</t>
  </si>
  <si>
    <t>PDU(A)-1-08 / 3P 20A</t>
    <phoneticPr fontId="11" type="noConversion"/>
  </si>
  <si>
    <t>PDU(B)-1-06 / 3P 30A</t>
    <phoneticPr fontId="11" type="noConversion"/>
  </si>
  <si>
    <t>QDF
전기 미사용</t>
    <phoneticPr fontId="11" type="noConversion"/>
  </si>
  <si>
    <t>A705</t>
    <phoneticPr fontId="11" type="noConversion"/>
  </si>
  <si>
    <t>5F-C14</t>
  </si>
  <si>
    <t>A1-3-5</t>
  </si>
  <si>
    <t>B1-3-5</t>
  </si>
  <si>
    <t>PDU(A)-1-10 / 3P 20A</t>
    <phoneticPr fontId="11" type="noConversion"/>
  </si>
  <si>
    <t>PDU(B)-1-08 / 3P 30A</t>
    <phoneticPr fontId="11" type="noConversion"/>
  </si>
  <si>
    <t>5F-C15</t>
  </si>
  <si>
    <t>A1-3-6</t>
  </si>
  <si>
    <t>B1-3-6</t>
  </si>
  <si>
    <t>PDU(A)-1-12 / 3P 20A</t>
    <phoneticPr fontId="11" type="noConversion"/>
  </si>
  <si>
    <t>PDU(B)-1-10 / 3P 20A</t>
    <phoneticPr fontId="11" type="noConversion"/>
  </si>
  <si>
    <t>5F-C16</t>
  </si>
  <si>
    <t>A1-3-7</t>
  </si>
  <si>
    <t>B1-3-7</t>
  </si>
  <si>
    <t>PDU(A)-1-14 / 3P 20A</t>
    <phoneticPr fontId="11" type="noConversion"/>
  </si>
  <si>
    <t>PDU(B)-1-12 / 3P 20A</t>
    <phoneticPr fontId="11" type="noConversion"/>
  </si>
  <si>
    <t>5F-C17</t>
  </si>
  <si>
    <t>A1-3-8</t>
  </si>
  <si>
    <t>B1-3-8</t>
  </si>
  <si>
    <t>PDU(A)-1-16 / 3P 20A</t>
    <phoneticPr fontId="11" type="noConversion"/>
  </si>
  <si>
    <t>PDU(B)-1-14 / 3P 20A</t>
    <phoneticPr fontId="11" type="noConversion"/>
  </si>
  <si>
    <t>5F-C18</t>
  </si>
  <si>
    <t>보다폰-샤넬</t>
    <phoneticPr fontId="11" type="noConversion"/>
  </si>
  <si>
    <t>A1-3-9</t>
  </si>
  <si>
    <t>B1-3-9</t>
  </si>
  <si>
    <t>PDU(A)-1-18 / 3P 20A</t>
    <phoneticPr fontId="11" type="noConversion"/>
  </si>
  <si>
    <t>PDU(B)-1-16 / 3P 20A</t>
    <phoneticPr fontId="11" type="noConversion"/>
  </si>
  <si>
    <t>5F-C19</t>
  </si>
  <si>
    <t>A1-3-10</t>
  </si>
  <si>
    <t>B1-3-10</t>
  </si>
  <si>
    <t>PDU(A)-1-20 / 3P 20A</t>
    <phoneticPr fontId="11" type="noConversion"/>
  </si>
  <si>
    <t>PDU(B)-1-18 / 3P 20A</t>
    <phoneticPr fontId="11" type="noConversion"/>
  </si>
  <si>
    <t>5F-D12</t>
    <phoneticPr fontId="11" type="noConversion"/>
  </si>
  <si>
    <t>A2-4-3</t>
    <phoneticPr fontId="11" type="noConversion"/>
  </si>
  <si>
    <t>B2-4-3</t>
    <phoneticPr fontId="11" type="noConversion"/>
  </si>
  <si>
    <t>PDU(A)-2-11 / 3P 20A</t>
    <phoneticPr fontId="11" type="noConversion"/>
  </si>
  <si>
    <t>PDU(B)-2-09 / 3P 30A</t>
    <phoneticPr fontId="11" type="noConversion"/>
  </si>
  <si>
    <t>A804</t>
    <phoneticPr fontId="11" type="noConversion"/>
  </si>
  <si>
    <t>5F-D13</t>
  </si>
  <si>
    <t>전송장비(세종 IDC)</t>
    <phoneticPr fontId="11" type="noConversion"/>
  </si>
  <si>
    <t>A2-4-4</t>
  </si>
  <si>
    <t>B2-4-4</t>
  </si>
  <si>
    <t>PDU(A)-2-13 / 3P 20A</t>
    <phoneticPr fontId="11" type="noConversion"/>
  </si>
  <si>
    <t>PDU(B)-2-11 / 3P 20A</t>
    <phoneticPr fontId="11" type="noConversion"/>
  </si>
  <si>
    <t>A805</t>
    <phoneticPr fontId="11" type="noConversion"/>
  </si>
  <si>
    <t>5F-D14</t>
  </si>
  <si>
    <t>A2-4-5</t>
  </si>
  <si>
    <t>B2-4-5</t>
  </si>
  <si>
    <t>PDU(A)-2-15 / 3P 20A</t>
    <phoneticPr fontId="11" type="noConversion"/>
  </si>
  <si>
    <t>PDU(B)-2-13 / 3P 20A</t>
    <phoneticPr fontId="11" type="noConversion"/>
  </si>
  <si>
    <t>5F-D15</t>
  </si>
  <si>
    <t>A2-4-6</t>
  </si>
  <si>
    <t>B2-4-6</t>
  </si>
  <si>
    <t>PDU(A)-2-17 / 3P 20A</t>
    <phoneticPr fontId="11" type="noConversion"/>
  </si>
  <si>
    <t>PDU(B)-2-15 / 3P 20A</t>
    <phoneticPr fontId="11" type="noConversion"/>
  </si>
  <si>
    <t>XMI</t>
    <phoneticPr fontId="11" type="noConversion"/>
  </si>
  <si>
    <t>PDU(A)-3-A-12</t>
    <phoneticPr fontId="11" type="noConversion"/>
  </si>
  <si>
    <t>PDU(B)-3-B-12</t>
    <phoneticPr fontId="11" type="noConversion"/>
  </si>
  <si>
    <t>PDU(A)-3-A-12 / 3P 30A</t>
    <phoneticPr fontId="11" type="noConversion"/>
  </si>
  <si>
    <t>PDU(B)-3-B-12 / 3P 30A</t>
    <phoneticPr fontId="11" type="noConversion"/>
  </si>
  <si>
    <t>'21.09.29 전기투입</t>
    <phoneticPr fontId="11" type="noConversion"/>
  </si>
  <si>
    <t>5F-D16</t>
  </si>
  <si>
    <t>A2-4-7</t>
  </si>
  <si>
    <t>B2-4-7</t>
  </si>
  <si>
    <t>PDU(A)-2-19 / 3P 20A</t>
    <phoneticPr fontId="11" type="noConversion"/>
  </si>
  <si>
    <t>PDU(B)-2-17 / 3P 20A</t>
    <phoneticPr fontId="11" type="noConversion"/>
  </si>
  <si>
    <t>A1-4-7(2)</t>
    <phoneticPr fontId="11" type="noConversion"/>
  </si>
  <si>
    <t>B1-4-7(2)</t>
    <phoneticPr fontId="11" type="noConversion"/>
  </si>
  <si>
    <t>PDU(A)-1-22 / 3P 20A</t>
    <phoneticPr fontId="11" type="noConversion"/>
  </si>
  <si>
    <t>PDU(B)-1-22 / 3P 20A</t>
    <phoneticPr fontId="11" type="noConversion"/>
  </si>
  <si>
    <t>5F-D17</t>
  </si>
  <si>
    <t>A2-4-8</t>
  </si>
  <si>
    <t>B2-4-8</t>
  </si>
  <si>
    <t>PDU(A)-2-21 / 3P 20A</t>
    <phoneticPr fontId="11" type="noConversion"/>
  </si>
  <si>
    <t>PDU(B)-2-19 / 3P 20A</t>
    <phoneticPr fontId="11" type="noConversion"/>
  </si>
  <si>
    <t>5F-D18</t>
  </si>
  <si>
    <t>A2-4-9</t>
  </si>
  <si>
    <t>B2-4-9</t>
  </si>
  <si>
    <t>PDU(A)-2-23 / 3P 20A</t>
    <phoneticPr fontId="11" type="noConversion"/>
  </si>
  <si>
    <t>PDU(B)-2-21 / 3P 20A</t>
    <phoneticPr fontId="11" type="noConversion"/>
  </si>
  <si>
    <t>-</t>
    <phoneticPr fontId="11" type="noConversion"/>
  </si>
  <si>
    <t>PDU(A)-1-30 / 3P 20A</t>
    <phoneticPr fontId="11" type="noConversion"/>
  </si>
  <si>
    <t>임시</t>
    <phoneticPr fontId="11" type="noConversion"/>
  </si>
  <si>
    <t>5F-D19</t>
  </si>
  <si>
    <t>A2-4-10</t>
  </si>
  <si>
    <t>B2-4-10</t>
  </si>
  <si>
    <t>PDU(A)-2-25 / 3P 20A</t>
    <phoneticPr fontId="11" type="noConversion"/>
  </si>
  <si>
    <t>PDU(B)-2-23 / 3P 20A</t>
    <phoneticPr fontId="11" type="noConversion"/>
  </si>
  <si>
    <t>5F-E12</t>
    <phoneticPr fontId="11" type="noConversion"/>
  </si>
  <si>
    <t>A2-5-3</t>
    <phoneticPr fontId="11" type="noConversion"/>
  </si>
  <si>
    <t>B2-5-3</t>
    <phoneticPr fontId="11" type="noConversion"/>
  </si>
  <si>
    <t>PDU(A)-2-31 / 3P 20A</t>
    <phoneticPr fontId="11" type="noConversion"/>
  </si>
  <si>
    <t>PDU(B)-2-29 / 3P 20A</t>
    <phoneticPr fontId="11" type="noConversion"/>
  </si>
  <si>
    <t>5F-E13</t>
  </si>
  <si>
    <t>A2-5-4</t>
  </si>
  <si>
    <t>B2-5-4</t>
  </si>
  <si>
    <t>PDU(A)-2-04 / 3P 30A</t>
    <phoneticPr fontId="11" type="noConversion"/>
  </si>
  <si>
    <t>PDU(B)-2-31 / 3P 20A</t>
    <phoneticPr fontId="11" type="noConversion"/>
  </si>
  <si>
    <t>A905</t>
    <phoneticPr fontId="11" type="noConversion"/>
  </si>
  <si>
    <t>5F-E14</t>
  </si>
  <si>
    <t>온세텔링크</t>
    <phoneticPr fontId="11" type="noConversion"/>
  </si>
  <si>
    <t>A2-5-5</t>
  </si>
  <si>
    <t>B2-5-5</t>
  </si>
  <si>
    <t>PDU(A)-2-06 / 3P 30A</t>
    <phoneticPr fontId="11" type="noConversion"/>
  </si>
  <si>
    <t>PDU(B)-2-04 / 3P 30A</t>
    <phoneticPr fontId="11" type="noConversion"/>
  </si>
  <si>
    <t>A906</t>
    <phoneticPr fontId="11" type="noConversion"/>
  </si>
  <si>
    <t>5F-E15</t>
  </si>
  <si>
    <t>A2-5-6</t>
  </si>
  <si>
    <t>B2-5-6</t>
  </si>
  <si>
    <t>PDU(A)-2-08 / 3P 30A</t>
    <phoneticPr fontId="11" type="noConversion"/>
  </si>
  <si>
    <t>PDU(B)-2-06 / 3P 30A</t>
    <phoneticPr fontId="11" type="noConversion"/>
  </si>
  <si>
    <t>A907</t>
    <phoneticPr fontId="11" type="noConversion"/>
  </si>
  <si>
    <t>5F-E16</t>
  </si>
  <si>
    <t>크리마팩토리</t>
    <phoneticPr fontId="11" type="noConversion"/>
  </si>
  <si>
    <t>A2-5-7</t>
  </si>
  <si>
    <t>B2-5-7</t>
  </si>
  <si>
    <t>PDU(A)-2-10 / 3P 30A</t>
    <phoneticPr fontId="11" type="noConversion"/>
  </si>
  <si>
    <t>PDU(B)-2-08 / 3P 30A</t>
    <phoneticPr fontId="11" type="noConversion"/>
  </si>
  <si>
    <t>A908</t>
    <phoneticPr fontId="11" type="noConversion"/>
  </si>
  <si>
    <t>5F-E17</t>
  </si>
  <si>
    <t>PDU(A)-2-12 / 3P 20A</t>
    <phoneticPr fontId="11" type="noConversion"/>
  </si>
  <si>
    <t>PDU(B)-2-10 / 3P 30A</t>
    <phoneticPr fontId="11" type="noConversion"/>
  </si>
  <si>
    <t>A909</t>
    <phoneticPr fontId="11" type="noConversion"/>
  </si>
  <si>
    <t>5F-E18</t>
  </si>
  <si>
    <t>PDU(A)-2-14 / 3P 20A</t>
    <phoneticPr fontId="11" type="noConversion"/>
  </si>
  <si>
    <t>PDU(B)-2-12 / 3P 20A</t>
    <phoneticPr fontId="11" type="noConversion"/>
  </si>
  <si>
    <t>A910</t>
    <phoneticPr fontId="11" type="noConversion"/>
  </si>
  <si>
    <t>5F-E19</t>
  </si>
  <si>
    <t>A2-5-10</t>
  </si>
  <si>
    <t>B2-5-10</t>
  </si>
  <si>
    <t>PDU(A)-2-16 / 3P 20A</t>
    <phoneticPr fontId="11" type="noConversion"/>
  </si>
  <si>
    <t>PDU(B)-2-14 / 3P 20A</t>
    <phoneticPr fontId="11" type="noConversion"/>
  </si>
  <si>
    <t>A1-5-10(2)</t>
    <phoneticPr fontId="11" type="noConversion"/>
  </si>
  <si>
    <t>B1-5-10(2)</t>
    <phoneticPr fontId="11" type="noConversion"/>
  </si>
  <si>
    <t>PDU(A)-1-24 / 3P 20A</t>
    <phoneticPr fontId="11" type="noConversion"/>
  </si>
  <si>
    <t>PDU(B)-1-24 / 3P 20A</t>
    <phoneticPr fontId="11" type="noConversion"/>
  </si>
  <si>
    <t>5F-F12</t>
    <phoneticPr fontId="11" type="noConversion"/>
  </si>
  <si>
    <t>A2-6-3</t>
    <phoneticPr fontId="11" type="noConversion"/>
  </si>
  <si>
    <t>B2-6-3</t>
    <phoneticPr fontId="11" type="noConversion"/>
  </si>
  <si>
    <t>PDU(A)-2-22 / 3P 20A</t>
    <phoneticPr fontId="11" type="noConversion"/>
  </si>
  <si>
    <t>PDU(B)-2-20 / 3P 20A</t>
    <phoneticPr fontId="11" type="noConversion"/>
  </si>
  <si>
    <t>5F-F13</t>
  </si>
  <si>
    <t>A2-6-4</t>
  </si>
  <si>
    <t>B2-6-4</t>
  </si>
  <si>
    <t>PDU(A)-2-24 / 3P 20A</t>
    <phoneticPr fontId="11" type="noConversion"/>
  </si>
  <si>
    <t>PDU(B)-2-22 / 3P 20A</t>
    <phoneticPr fontId="11" type="noConversion"/>
  </si>
  <si>
    <t>A1005</t>
    <phoneticPr fontId="11" type="noConversion"/>
  </si>
  <si>
    <t>5F-F14</t>
  </si>
  <si>
    <t>A2-6-5</t>
  </si>
  <si>
    <t>B2-6-5</t>
  </si>
  <si>
    <t>PDU(A)-2-26 / 3P 20A</t>
    <phoneticPr fontId="11" type="noConversion"/>
  </si>
  <si>
    <t>PDU(B)-2-24 / 3P 20A</t>
    <phoneticPr fontId="11" type="noConversion"/>
  </si>
  <si>
    <t>A1006</t>
  </si>
  <si>
    <t>5F-F15</t>
  </si>
  <si>
    <t>A2-6-6</t>
  </si>
  <si>
    <t>B2-6-6</t>
  </si>
  <si>
    <t>PDU(A)-2-28 / 3P 20A</t>
    <phoneticPr fontId="11" type="noConversion"/>
  </si>
  <si>
    <t>PDU(B)-2-26 / 3P 20A</t>
    <phoneticPr fontId="11" type="noConversion"/>
  </si>
  <si>
    <t>21/11/30해지</t>
    <phoneticPr fontId="11" type="noConversion"/>
  </si>
  <si>
    <t>A1007</t>
  </si>
  <si>
    <t>5F-F16</t>
  </si>
  <si>
    <t>A2-6-7</t>
  </si>
  <si>
    <t>B2-6-7</t>
  </si>
  <si>
    <t>PDU(A)-2-30 / 3P 20A</t>
    <phoneticPr fontId="11" type="noConversion"/>
  </si>
  <si>
    <t>PDU(B)-2-28 / 3P 20A</t>
    <phoneticPr fontId="11" type="noConversion"/>
  </si>
  <si>
    <t>A1008</t>
  </si>
  <si>
    <t>5F-F17</t>
  </si>
  <si>
    <t>A2-6-8</t>
  </si>
  <si>
    <t>B2-6-8</t>
  </si>
  <si>
    <t>PDU(A)-2-32 / 3P 20A</t>
    <phoneticPr fontId="11" type="noConversion"/>
  </si>
  <si>
    <t>PDU(B)-2-30 / 3P 20A</t>
    <phoneticPr fontId="11" type="noConversion"/>
  </si>
  <si>
    <t>B425</t>
    <phoneticPr fontId="11" type="noConversion"/>
  </si>
  <si>
    <t>5F-M-08</t>
    <phoneticPr fontId="11" type="noConversion"/>
  </si>
  <si>
    <t>세종 인터넷(IES.YSM.S52, S53)</t>
    <phoneticPr fontId="11" type="noConversion"/>
  </si>
  <si>
    <t>1A-4-3</t>
  </si>
  <si>
    <t>1B-4-3</t>
  </si>
  <si>
    <t>U5-1A-46 / 2P 30A</t>
    <phoneticPr fontId="11" type="noConversion"/>
  </si>
  <si>
    <t>U5-1B-46 / 2P 30A</t>
    <phoneticPr fontId="11" type="noConversion"/>
  </si>
  <si>
    <t>U5-1A
4P 300A</t>
    <phoneticPr fontId="11" type="noConversion"/>
  </si>
  <si>
    <t>U5-1B
4P 300A</t>
    <phoneticPr fontId="11" type="noConversion"/>
  </si>
  <si>
    <t>LV-5A #01
3P 320A</t>
    <phoneticPr fontId="11" type="noConversion"/>
  </si>
  <si>
    <t>LV-5B #01
3P 320A</t>
    <phoneticPr fontId="11" type="noConversion"/>
  </si>
  <si>
    <t>변익준M 랙</t>
    <phoneticPr fontId="11" type="noConversion"/>
  </si>
  <si>
    <t>R12</t>
    <phoneticPr fontId="11" type="noConversion"/>
  </si>
  <si>
    <t>KG이니시스</t>
    <phoneticPr fontId="11" type="noConversion"/>
  </si>
  <si>
    <t>B117</t>
    <phoneticPr fontId="11" type="noConversion"/>
  </si>
  <si>
    <t>R11</t>
    <phoneticPr fontId="11" type="noConversion"/>
  </si>
  <si>
    <t>KG이니시스</t>
  </si>
  <si>
    <t>R10</t>
    <phoneticPr fontId="11" type="noConversion"/>
  </si>
  <si>
    <t>B119</t>
  </si>
  <si>
    <t>R9</t>
    <phoneticPr fontId="11" type="noConversion"/>
  </si>
  <si>
    <t>B120</t>
  </si>
  <si>
    <t>R8</t>
    <phoneticPr fontId="11" type="noConversion"/>
  </si>
  <si>
    <t>B121</t>
  </si>
  <si>
    <t>R7</t>
    <phoneticPr fontId="11" type="noConversion"/>
  </si>
  <si>
    <t>R6</t>
    <phoneticPr fontId="11" type="noConversion"/>
  </si>
  <si>
    <t>R5</t>
    <phoneticPr fontId="11" type="noConversion"/>
  </si>
  <si>
    <t>R4</t>
    <phoneticPr fontId="11" type="noConversion"/>
  </si>
  <si>
    <t>R3</t>
    <phoneticPr fontId="11" type="noConversion"/>
  </si>
  <si>
    <t>R2</t>
    <phoneticPr fontId="11" type="noConversion"/>
  </si>
  <si>
    <t>R1</t>
    <phoneticPr fontId="11" type="noConversion"/>
  </si>
  <si>
    <t>R13</t>
    <phoneticPr fontId="11" type="noConversion"/>
  </si>
  <si>
    <t>R14</t>
    <phoneticPr fontId="11" type="noConversion"/>
  </si>
  <si>
    <t>R15</t>
    <phoneticPr fontId="11" type="noConversion"/>
  </si>
  <si>
    <t>R16</t>
    <phoneticPr fontId="11" type="noConversion"/>
  </si>
  <si>
    <t>R17</t>
  </si>
  <si>
    <t>R18</t>
  </si>
  <si>
    <t>R19</t>
  </si>
  <si>
    <t>R20</t>
  </si>
  <si>
    <t>R21</t>
    <phoneticPr fontId="11" type="noConversion"/>
  </si>
  <si>
    <t>R22</t>
    <phoneticPr fontId="11" type="noConversion"/>
  </si>
  <si>
    <t>R23</t>
    <phoneticPr fontId="11" type="noConversion"/>
  </si>
  <si>
    <t>R24</t>
    <phoneticPr fontId="11" type="noConversion"/>
  </si>
  <si>
    <t>5F-O18</t>
  </si>
  <si>
    <t>2A-4-8</t>
  </si>
  <si>
    <t>2B-4-8</t>
  </si>
  <si>
    <t>U5-2A-05 / 2P 30A</t>
    <phoneticPr fontId="11" type="noConversion"/>
  </si>
  <si>
    <t>U5-2B-05 / 2P 30A</t>
    <phoneticPr fontId="11" type="noConversion"/>
  </si>
  <si>
    <t>U5-2A
4P 300A</t>
    <phoneticPr fontId="11" type="noConversion"/>
  </si>
  <si>
    <t>U5-2B
4P 300A</t>
    <phoneticPr fontId="11" type="noConversion"/>
  </si>
  <si>
    <t>LV-5A #02
3P 320A</t>
    <phoneticPr fontId="11" type="noConversion"/>
  </si>
  <si>
    <t>LV-5B #02
3P 320A</t>
    <phoneticPr fontId="11" type="noConversion"/>
  </si>
  <si>
    <t>5F-O19</t>
  </si>
  <si>
    <t>2A-4-9</t>
  </si>
  <si>
    <t>2B-4-9</t>
  </si>
  <si>
    <t>U5-2A-07 / 2P 30A</t>
    <phoneticPr fontId="11" type="noConversion"/>
  </si>
  <si>
    <t>U5-2B-07 / 2P 30A</t>
    <phoneticPr fontId="11" type="noConversion"/>
  </si>
  <si>
    <t>5F-O20</t>
  </si>
  <si>
    <t>2A-4-10</t>
  </si>
  <si>
    <t>2B-4-10</t>
  </si>
  <si>
    <t>U5-2A-09 / 2P 30A</t>
    <phoneticPr fontId="11" type="noConversion"/>
  </si>
  <si>
    <t>U5-2B-09 / 2P 30A</t>
    <phoneticPr fontId="11" type="noConversion"/>
  </si>
  <si>
    <t>5F-O21</t>
  </si>
  <si>
    <t>2A-4-11</t>
  </si>
  <si>
    <t>2B-4-11</t>
  </si>
  <si>
    <t>U5-2A-11 / 2P 30A</t>
    <phoneticPr fontId="11" type="noConversion"/>
  </si>
  <si>
    <t>U5-2B-11 / 2P 30A</t>
    <phoneticPr fontId="11" type="noConversion"/>
  </si>
  <si>
    <t>C305</t>
  </si>
  <si>
    <t>5F-O22</t>
  </si>
  <si>
    <t>2A-4-12</t>
  </si>
  <si>
    <t>2B-4-12</t>
  </si>
  <si>
    <t>U5-2A-13 / 2P 30A</t>
    <phoneticPr fontId="11" type="noConversion"/>
  </si>
  <si>
    <t>U5-2B-13 / 2P 30A</t>
    <phoneticPr fontId="11" type="noConversion"/>
  </si>
  <si>
    <t>C306</t>
  </si>
  <si>
    <t>5F-O23</t>
  </si>
  <si>
    <t>2A-4-13</t>
  </si>
  <si>
    <t>2B-4-13</t>
  </si>
  <si>
    <t>U5-2A-15 / 2P 30A</t>
    <phoneticPr fontId="11" type="noConversion"/>
  </si>
  <si>
    <t>U5-2B-15 / 2P 30A</t>
    <phoneticPr fontId="11" type="noConversion"/>
  </si>
  <si>
    <t>5F-O24</t>
  </si>
  <si>
    <t>2A-4-14</t>
  </si>
  <si>
    <t>2B-4-14</t>
  </si>
  <si>
    <t>U5-2A-17 / 2P 30A</t>
    <phoneticPr fontId="11" type="noConversion"/>
  </si>
  <si>
    <t>U5-2B-17 / 2P 30A</t>
    <phoneticPr fontId="11" type="noConversion"/>
  </si>
  <si>
    <t>5F-N18</t>
  </si>
  <si>
    <t>2A-5-8</t>
    <phoneticPr fontId="11" type="noConversion"/>
  </si>
  <si>
    <t>2B-5-8</t>
  </si>
  <si>
    <t>U5-2A-35 / 2P 30A</t>
    <phoneticPr fontId="11" type="noConversion"/>
  </si>
  <si>
    <t>U5-2B-35 / 2P 30A</t>
    <phoneticPr fontId="11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</si>
  <si>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</si>
  <si>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</si>
  <si>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</si>
  <si>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</si>
  <si>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</si>
  <si>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</si>
  <si>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1" type="noConversion"/>
  </si>
  <si>
    <t>5F-M12</t>
  </si>
  <si>
    <t>5F-M13</t>
  </si>
  <si>
    <t>5F-M14</t>
  </si>
  <si>
    <t>5F-M15</t>
  </si>
  <si>
    <t>5F-M16</t>
  </si>
  <si>
    <t>5F-K11</t>
    <phoneticPr fontId="11" type="noConversion"/>
  </si>
  <si>
    <t>3A-8-1</t>
    <phoneticPr fontId="11" type="noConversion"/>
  </si>
  <si>
    <t>3B-8-1</t>
    <phoneticPr fontId="11" type="noConversion"/>
  </si>
  <si>
    <t>U5-3A-01 / 2P 30A</t>
    <phoneticPr fontId="11" type="noConversion"/>
  </si>
  <si>
    <t>U5-3B-01 / 2P 30A</t>
    <phoneticPr fontId="11" type="noConversion"/>
  </si>
  <si>
    <t>U5-3A
4P 300A</t>
    <phoneticPr fontId="11" type="noConversion"/>
  </si>
  <si>
    <t>U5-3B
4P 300A</t>
    <phoneticPr fontId="11" type="noConversion"/>
  </si>
  <si>
    <t>LV-5A #03
3P 320A</t>
    <phoneticPr fontId="11" type="noConversion"/>
  </si>
  <si>
    <t>LV-5B #03
3P 320A</t>
    <phoneticPr fontId="11" type="noConversion"/>
  </si>
  <si>
    <t>C602</t>
  </si>
  <si>
    <t>5F-K12</t>
  </si>
  <si>
    <t>3A-8-2</t>
  </si>
  <si>
    <t>3B-8-2</t>
  </si>
  <si>
    <t>U5-3A-03 / 2P 30A</t>
    <phoneticPr fontId="11" type="noConversion"/>
  </si>
  <si>
    <t>U5-3B-03 / 2P 30A</t>
    <phoneticPr fontId="11" type="noConversion"/>
  </si>
  <si>
    <t>C603</t>
  </si>
  <si>
    <t>5F-K13</t>
  </si>
  <si>
    <t>3A-8-3</t>
  </si>
  <si>
    <t>3B-8-3</t>
  </si>
  <si>
    <t>U5-3A-05 / 2P 30A</t>
    <phoneticPr fontId="11" type="noConversion"/>
  </si>
  <si>
    <t>U5-3B-05 / 2P 30A</t>
    <phoneticPr fontId="11" type="noConversion"/>
  </si>
  <si>
    <t>C604</t>
  </si>
  <si>
    <t>5F-K14</t>
  </si>
  <si>
    <t>3A-8-4</t>
  </si>
  <si>
    <t>3B-8-4</t>
  </si>
  <si>
    <t>U5-3A-09 / 2P 30A</t>
    <phoneticPr fontId="11" type="noConversion"/>
  </si>
  <si>
    <t>U5-3B-07 / 2P 30A</t>
    <phoneticPr fontId="11" type="noConversion"/>
  </si>
  <si>
    <t>C605</t>
  </si>
  <si>
    <t>5F-K15</t>
  </si>
  <si>
    <t>3A-8-5</t>
  </si>
  <si>
    <t>3B-8-5</t>
  </si>
  <si>
    <t>U5-3A-11 / 2P 30A</t>
    <phoneticPr fontId="11" type="noConversion"/>
  </si>
  <si>
    <t>U5-3B-09 / 2P 30A</t>
    <phoneticPr fontId="11" type="noConversion"/>
  </si>
  <si>
    <t>C606</t>
  </si>
  <si>
    <t>5F-K16</t>
  </si>
  <si>
    <t>3A-8-6</t>
  </si>
  <si>
    <t>3B-8-6</t>
  </si>
  <si>
    <t>U5-3A-13 / 2P 30A</t>
    <phoneticPr fontId="11" type="noConversion"/>
  </si>
  <si>
    <t>U5-3B-11 / 2P 30A</t>
    <phoneticPr fontId="11" type="noConversion"/>
  </si>
  <si>
    <t>C607</t>
  </si>
  <si>
    <t>5F-K17</t>
  </si>
  <si>
    <t>3A-8-7</t>
  </si>
  <si>
    <t>3B-8-7</t>
  </si>
  <si>
    <t>U5-3A-15 / 2P 30A</t>
    <phoneticPr fontId="11" type="noConversion"/>
  </si>
  <si>
    <t>U5-3B-15 / 2P 30A</t>
    <phoneticPr fontId="11" type="noConversion"/>
  </si>
  <si>
    <t>C608</t>
  </si>
  <si>
    <t>5F-K18</t>
  </si>
  <si>
    <t>3A-8-8</t>
  </si>
  <si>
    <t>3B-8-8</t>
  </si>
  <si>
    <t>U5-3A-17 / 2P 30A</t>
    <phoneticPr fontId="11" type="noConversion"/>
  </si>
  <si>
    <t>U5-3B-17 / 2P 30A</t>
    <phoneticPr fontId="11" type="noConversion"/>
  </si>
  <si>
    <t>C609</t>
  </si>
  <si>
    <t>C610</t>
  </si>
  <si>
    <t>5F-J11</t>
    <phoneticPr fontId="11" type="noConversion"/>
  </si>
  <si>
    <t>3A-9-1</t>
    <phoneticPr fontId="11" type="noConversion"/>
  </si>
  <si>
    <t>3B-9-1</t>
    <phoneticPr fontId="11" type="noConversion"/>
  </si>
  <si>
    <t>U5-3A-19 / 2P 30A</t>
    <phoneticPr fontId="11" type="noConversion"/>
  </si>
  <si>
    <t>U5-3B-19 / 2P 30A</t>
    <phoneticPr fontId="11" type="noConversion"/>
  </si>
  <si>
    <t>C702</t>
  </si>
  <si>
    <t>5F-J12</t>
  </si>
  <si>
    <t>3A-9-2</t>
  </si>
  <si>
    <t>3B-9-2</t>
  </si>
  <si>
    <t>U5-3A-21 / 2P 30A</t>
    <phoneticPr fontId="11" type="noConversion"/>
  </si>
  <si>
    <t>U5-3B-21 / 2P 30A</t>
    <phoneticPr fontId="11" type="noConversion"/>
  </si>
  <si>
    <t>C703</t>
  </si>
  <si>
    <t>5F-J13</t>
  </si>
  <si>
    <t>3A-9-3</t>
  </si>
  <si>
    <t>3B-9-3</t>
  </si>
  <si>
    <t>U5-3A-23 / 2P 30A</t>
    <phoneticPr fontId="11" type="noConversion"/>
  </si>
  <si>
    <t>U5-3B-23 / 2P 30A</t>
    <phoneticPr fontId="11" type="noConversion"/>
  </si>
  <si>
    <t>C704</t>
  </si>
  <si>
    <t>5F-J14</t>
  </si>
  <si>
    <t>3A-9-4</t>
  </si>
  <si>
    <t>3B-9-4</t>
  </si>
  <si>
    <t>U5-3A-27 / 2P 30A</t>
    <phoneticPr fontId="11" type="noConversion"/>
  </si>
  <si>
    <t>U5-3B-25 / 2P 30A</t>
    <phoneticPr fontId="11" type="noConversion"/>
  </si>
  <si>
    <t>C705</t>
  </si>
  <si>
    <t>5F-J15</t>
  </si>
  <si>
    <t>3A-9-5</t>
  </si>
  <si>
    <t>3B-9-5</t>
  </si>
  <si>
    <t>U5-3A-29 / 2P 30A</t>
    <phoneticPr fontId="11" type="noConversion"/>
  </si>
  <si>
    <t>U5-3B-27 / 2P 30A</t>
    <phoneticPr fontId="11" type="noConversion"/>
  </si>
  <si>
    <t>C706</t>
  </si>
  <si>
    <t>5F-J16</t>
  </si>
  <si>
    <t>3A-9-6</t>
  </si>
  <si>
    <t>3B-9-6</t>
  </si>
  <si>
    <t>U5-3A-31 / 2P 30A</t>
    <phoneticPr fontId="11" type="noConversion"/>
  </si>
  <si>
    <t>U5-3B-29 / 2P 30A</t>
    <phoneticPr fontId="11" type="noConversion"/>
  </si>
  <si>
    <t>C707</t>
  </si>
  <si>
    <t>5F-J17</t>
  </si>
  <si>
    <t>3A-9-7</t>
  </si>
  <si>
    <t>3B-9-7</t>
  </si>
  <si>
    <t>U5-3A-33 / 2P 30A</t>
    <phoneticPr fontId="11" type="noConversion"/>
  </si>
  <si>
    <t>U5-3B-33 / 2P 30A</t>
    <phoneticPr fontId="11" type="noConversion"/>
  </si>
  <si>
    <t>C708</t>
  </si>
  <si>
    <t>5F-J18</t>
  </si>
  <si>
    <t>3A-9-8</t>
  </si>
  <si>
    <t>3B-9-8</t>
  </si>
  <si>
    <t>U5-3A-35 / 2P 30A</t>
    <phoneticPr fontId="11" type="noConversion"/>
  </si>
  <si>
    <t>U5-3B-35 / 2P 30A</t>
    <phoneticPr fontId="11" type="noConversion"/>
  </si>
  <si>
    <t>C709</t>
  </si>
  <si>
    <t>C710</t>
  </si>
  <si>
    <t>5F-I11</t>
    <phoneticPr fontId="11" type="noConversion"/>
  </si>
  <si>
    <t>3A-10-1</t>
    <phoneticPr fontId="11" type="noConversion"/>
  </si>
  <si>
    <t>3B-10-1</t>
    <phoneticPr fontId="11" type="noConversion"/>
  </si>
  <si>
    <t>U5-3A-37 / 2P 30A</t>
    <phoneticPr fontId="11" type="noConversion"/>
  </si>
  <si>
    <t>U5-3B-37 / 2P 30A</t>
    <phoneticPr fontId="11" type="noConversion"/>
  </si>
  <si>
    <t>OFF</t>
    <phoneticPr fontId="11" type="noConversion"/>
  </si>
  <si>
    <t>5F-I12</t>
  </si>
  <si>
    <t>3A-10-2</t>
  </si>
  <si>
    <t>3B-10-2</t>
  </si>
  <si>
    <t>U5-3A-39 / 2P 30A</t>
    <phoneticPr fontId="11" type="noConversion"/>
  </si>
  <si>
    <t>U5-3B-39 / 2P 30A</t>
    <phoneticPr fontId="11" type="noConversion"/>
  </si>
  <si>
    <t>C803</t>
  </si>
  <si>
    <t>5F-I13</t>
  </si>
  <si>
    <t>3A-10-3</t>
  </si>
  <si>
    <t>3B-10-3</t>
  </si>
  <si>
    <t>U5-3A-41 / 2P 30A</t>
    <phoneticPr fontId="11" type="noConversion"/>
  </si>
  <si>
    <t>U5-3B-41 / 2P 30A</t>
    <phoneticPr fontId="11" type="noConversion"/>
  </si>
  <si>
    <t>C804</t>
  </si>
  <si>
    <t>5F-I14</t>
  </si>
  <si>
    <t>3A-10-4</t>
  </si>
  <si>
    <t>3B-10-4</t>
  </si>
  <si>
    <t>U5-3A-45 / 2P 30A</t>
    <phoneticPr fontId="11" type="noConversion"/>
  </si>
  <si>
    <t>U5-3B-43 / 2P 30A</t>
    <phoneticPr fontId="11" type="noConversion"/>
  </si>
  <si>
    <t>C805</t>
  </si>
  <si>
    <t>5F-I15</t>
  </si>
  <si>
    <t>3A-10-5</t>
  </si>
  <si>
    <t>3B-10-5</t>
  </si>
  <si>
    <t>U5-3A-47 / 2P 30A</t>
    <phoneticPr fontId="11" type="noConversion"/>
  </si>
  <si>
    <t>U5-3B-45 / 2P 30A</t>
    <phoneticPr fontId="11" type="noConversion"/>
  </si>
  <si>
    <t>C806</t>
  </si>
  <si>
    <t>5F-I16</t>
  </si>
  <si>
    <t>3A-10-6</t>
  </si>
  <si>
    <t>3B-10-6</t>
  </si>
  <si>
    <t>U5-3A-49 / 2P 30A</t>
    <phoneticPr fontId="11" type="noConversion"/>
  </si>
  <si>
    <t>U5-3B-47 / 2P 30A</t>
    <phoneticPr fontId="11" type="noConversion"/>
  </si>
  <si>
    <t>C807</t>
  </si>
  <si>
    <t>5F-I17</t>
  </si>
  <si>
    <t>3A-10-7</t>
  </si>
  <si>
    <t>3B-10-7</t>
  </si>
  <si>
    <t>U5-3A-51 / 2P 30A</t>
    <phoneticPr fontId="11" type="noConversion"/>
  </si>
  <si>
    <t>U5-3B-51 / 2P 30A</t>
    <phoneticPr fontId="11" type="noConversion"/>
  </si>
  <si>
    <t>C808</t>
  </si>
  <si>
    <t>5F-I18</t>
  </si>
  <si>
    <t>3A-10-8</t>
  </si>
  <si>
    <t>3B-10-8</t>
  </si>
  <si>
    <t>U5-3A-53 / 2P 30A</t>
    <phoneticPr fontId="11" type="noConversion"/>
  </si>
  <si>
    <t>U5-3B-53 / 2P 30A</t>
    <phoneticPr fontId="11" type="noConversion"/>
  </si>
  <si>
    <t>C809</t>
  </si>
  <si>
    <t>C810</t>
  </si>
  <si>
    <t>5F-H11</t>
    <phoneticPr fontId="11" type="noConversion"/>
  </si>
  <si>
    <t>3A-11-1</t>
    <phoneticPr fontId="11" type="noConversion"/>
  </si>
  <si>
    <t>3B-11-1</t>
    <phoneticPr fontId="11" type="noConversion"/>
  </si>
  <si>
    <t>U5-3A-02 / 2P 30A</t>
    <phoneticPr fontId="11" type="noConversion"/>
  </si>
  <si>
    <t>U5-3B-02 / 2P 30A</t>
    <phoneticPr fontId="11" type="noConversion"/>
  </si>
  <si>
    <t>C902</t>
  </si>
  <si>
    <t>5F-H12</t>
  </si>
  <si>
    <t>3A-11-2</t>
  </si>
  <si>
    <t>3B-11-2</t>
  </si>
  <si>
    <t>U5-3A-04 / 2P 30A</t>
    <phoneticPr fontId="11" type="noConversion"/>
  </si>
  <si>
    <t>U5-3B-04 / 2P 30A</t>
    <phoneticPr fontId="11" type="noConversion"/>
  </si>
  <si>
    <t>C903</t>
  </si>
  <si>
    <t>5F-H13</t>
  </si>
  <si>
    <t>3A-11-3</t>
  </si>
  <si>
    <t>3B-11-3</t>
  </si>
  <si>
    <t>U5-3A-06 / 2P 30A</t>
    <phoneticPr fontId="11" type="noConversion"/>
  </si>
  <si>
    <t>U5-3B-06 / 2P 30A</t>
    <phoneticPr fontId="11" type="noConversion"/>
  </si>
  <si>
    <t>C904</t>
  </si>
  <si>
    <t>5F-H14</t>
  </si>
  <si>
    <t>3A-11-4</t>
  </si>
  <si>
    <t>3B-11-4</t>
  </si>
  <si>
    <t>U5-3A-08 / 2P 30A</t>
    <phoneticPr fontId="11" type="noConversion"/>
  </si>
  <si>
    <t>U5-3B-08 / 2P 30A</t>
    <phoneticPr fontId="11" type="noConversion"/>
  </si>
  <si>
    <t>5F-H15</t>
  </si>
  <si>
    <t>3A-11-5</t>
  </si>
  <si>
    <t>3B-11-5</t>
  </si>
  <si>
    <t>U5-3A-10 / 2P 30A</t>
    <phoneticPr fontId="11" type="noConversion"/>
  </si>
  <si>
    <t>U5-3B-10 / 2P 30A</t>
    <phoneticPr fontId="11" type="noConversion"/>
  </si>
  <si>
    <t>C906</t>
  </si>
  <si>
    <t>5F-H16</t>
  </si>
  <si>
    <t>3A-11-6</t>
  </si>
  <si>
    <t>3B-11-6</t>
  </si>
  <si>
    <t>U5-3A-12 / 2P 30A</t>
    <phoneticPr fontId="11" type="noConversion"/>
  </si>
  <si>
    <t>U5-3B-12 / 2P 30A</t>
    <phoneticPr fontId="11" type="noConversion"/>
  </si>
  <si>
    <t>C907</t>
  </si>
  <si>
    <t>5F-H17</t>
  </si>
  <si>
    <t>3A-11-7</t>
  </si>
  <si>
    <t>3B-11-7</t>
  </si>
  <si>
    <t>U5-3A-14 / 2P 30A</t>
    <phoneticPr fontId="11" type="noConversion"/>
  </si>
  <si>
    <t>U5-3B-16 / 2P 30A</t>
    <phoneticPr fontId="11" type="noConversion"/>
  </si>
  <si>
    <t>C908</t>
  </si>
  <si>
    <t>5F-H18</t>
  </si>
  <si>
    <t>3A-11-8</t>
  </si>
  <si>
    <t>3B-11-8</t>
  </si>
  <si>
    <t>U5-3A-16 / 2P 30A</t>
    <phoneticPr fontId="11" type="noConversion"/>
  </si>
  <si>
    <t>U5-3B-18 / 2P 30A</t>
    <phoneticPr fontId="11" type="noConversion"/>
  </si>
  <si>
    <t>C909</t>
  </si>
  <si>
    <t>C910</t>
  </si>
  <si>
    <t>5F-G11</t>
    <phoneticPr fontId="11" type="noConversion"/>
  </si>
  <si>
    <t>3A-12-1</t>
    <phoneticPr fontId="11" type="noConversion"/>
  </si>
  <si>
    <t>3B-12-1</t>
    <phoneticPr fontId="11" type="noConversion"/>
  </si>
  <si>
    <t>U5-3A-18 / 2P 30A</t>
    <phoneticPr fontId="11" type="noConversion"/>
  </si>
  <si>
    <t>U5-3B-20 / 2P 30A</t>
    <phoneticPr fontId="11" type="noConversion"/>
  </si>
  <si>
    <t>5F-G12</t>
  </si>
  <si>
    <t>3A-12-2</t>
  </si>
  <si>
    <t>3B-12-2</t>
  </si>
  <si>
    <t>U5-3A-20 / 2P 30A</t>
    <phoneticPr fontId="11" type="noConversion"/>
  </si>
  <si>
    <t>U5-3B-22 / 2P 30A</t>
    <phoneticPr fontId="11" type="noConversion"/>
  </si>
  <si>
    <t>C1003</t>
  </si>
  <si>
    <t>5F-G13</t>
  </si>
  <si>
    <t>3A-12-3</t>
  </si>
  <si>
    <t>3B-12-3</t>
  </si>
  <si>
    <t>U5-3A-22 / 2P 30A</t>
    <phoneticPr fontId="11" type="noConversion"/>
  </si>
  <si>
    <t>U5-3B-24 / 2P 30A</t>
    <phoneticPr fontId="11" type="noConversion"/>
  </si>
  <si>
    <t>C1004</t>
  </si>
  <si>
    <t>5F-G14</t>
  </si>
  <si>
    <t>3A-12-4</t>
  </si>
  <si>
    <t>3B-12-4</t>
  </si>
  <si>
    <t>U5-3A-24 / 2P 30A</t>
    <phoneticPr fontId="11" type="noConversion"/>
  </si>
  <si>
    <t>U5-3B-26 / 2P 30A</t>
    <phoneticPr fontId="11" type="noConversion"/>
  </si>
  <si>
    <t>C1005</t>
  </si>
  <si>
    <t>5F-G15</t>
  </si>
  <si>
    <t>3A-12-5</t>
  </si>
  <si>
    <t>3B-12-5</t>
  </si>
  <si>
    <t>U5-3A-26 / 2P 30A</t>
    <phoneticPr fontId="11" type="noConversion"/>
  </si>
  <si>
    <t>U5-3B-28 / 2P 30A</t>
    <phoneticPr fontId="11" type="noConversion"/>
  </si>
  <si>
    <t>C1006</t>
  </si>
  <si>
    <t>5F-G16</t>
  </si>
  <si>
    <t>3A-12-6</t>
  </si>
  <si>
    <t>3B-12-6</t>
  </si>
  <si>
    <t>U5-3A-28 / 2P 30A</t>
    <phoneticPr fontId="11" type="noConversion"/>
  </si>
  <si>
    <t>U5-3B-30 / 2P 30A</t>
    <phoneticPr fontId="11" type="noConversion"/>
  </si>
  <si>
    <t>C1007</t>
  </si>
  <si>
    <t>5F-G17</t>
  </si>
  <si>
    <t>3A-12-7</t>
  </si>
  <si>
    <t>3B-12-7</t>
  </si>
  <si>
    <t>U5-3A-30 / 2P 30A</t>
    <phoneticPr fontId="11" type="noConversion"/>
  </si>
  <si>
    <t>U5-3B-34 / 2P 30A</t>
    <phoneticPr fontId="11" type="noConversion"/>
  </si>
  <si>
    <t>C1008</t>
  </si>
  <si>
    <t>5F-G18</t>
  </si>
  <si>
    <t>3A-12-8</t>
  </si>
  <si>
    <t>3B-12-8</t>
  </si>
  <si>
    <t>U5-3A-32 / 2P 30A</t>
    <phoneticPr fontId="11" type="noConversion"/>
  </si>
  <si>
    <t>U5-3B-36 / 2P 30A</t>
    <phoneticPr fontId="11" type="noConversion"/>
  </si>
  <si>
    <t>C1009</t>
  </si>
  <si>
    <t>C1010</t>
  </si>
  <si>
    <t>미사용회로</t>
    <phoneticPr fontId="11" type="noConversion"/>
  </si>
  <si>
    <t>1B-1-1</t>
  </si>
  <si>
    <t>U5-1A-01 / 2P 30A</t>
    <phoneticPr fontId="11" type="noConversion"/>
  </si>
  <si>
    <t>U5-1B-01 / 2P 30A</t>
    <phoneticPr fontId="11" type="noConversion"/>
  </si>
  <si>
    <t>5F-R12</t>
    <phoneticPr fontId="11" type="noConversion"/>
  </si>
  <si>
    <t>미사용회로</t>
  </si>
  <si>
    <t>U5-1A-03 / 2P 30A</t>
    <phoneticPr fontId="11" type="noConversion"/>
  </si>
  <si>
    <t>U5-1B-03 / 2P 30A</t>
    <phoneticPr fontId="11" type="noConversion"/>
  </si>
  <si>
    <t>5F-R13</t>
  </si>
  <si>
    <t>U5-1A-05 / 2P 30A</t>
    <phoneticPr fontId="11" type="noConversion"/>
  </si>
  <si>
    <t>U5-1B-05 / 2P 30A</t>
    <phoneticPr fontId="11" type="noConversion"/>
  </si>
  <si>
    <t>5F-R14</t>
  </si>
  <si>
    <t>U5-1A-07 / 2P 30A</t>
    <phoneticPr fontId="11" type="noConversion"/>
  </si>
  <si>
    <t>U5-1B-07 / 2P 30A</t>
    <phoneticPr fontId="11" type="noConversion"/>
  </si>
  <si>
    <t>5F-R15</t>
  </si>
  <si>
    <t>Cloudflare</t>
    <phoneticPr fontId="11" type="noConversion"/>
  </si>
  <si>
    <t>1A-1-5</t>
  </si>
  <si>
    <t>1B-1-5</t>
  </si>
  <si>
    <t>U5-1A-09 / 2P 30A</t>
    <phoneticPr fontId="11" type="noConversion"/>
  </si>
  <si>
    <t>U5-1B-09 / 2P 30A</t>
    <phoneticPr fontId="11" type="noConversion"/>
  </si>
  <si>
    <t>5F-R16</t>
  </si>
  <si>
    <t>Cloudflare</t>
  </si>
  <si>
    <t>1A-1-6</t>
  </si>
  <si>
    <t>1B-1-6</t>
  </si>
  <si>
    <t>U5-1A-11 / 2P 30A</t>
    <phoneticPr fontId="11" type="noConversion"/>
  </si>
  <si>
    <t>U5-1B-11 / 2P 30A</t>
    <phoneticPr fontId="11" type="noConversion"/>
  </si>
  <si>
    <t>5F-R17</t>
  </si>
  <si>
    <t>1A-1-7</t>
  </si>
  <si>
    <t>1B-1-7</t>
  </si>
  <si>
    <t>U5-1A-13 / 2P 30A</t>
    <phoneticPr fontId="11" type="noConversion"/>
  </si>
  <si>
    <t>U5-1B-13 / 2P 30A</t>
    <phoneticPr fontId="11" type="noConversion"/>
  </si>
  <si>
    <t>G1104</t>
    <phoneticPr fontId="11" type="noConversion"/>
  </si>
  <si>
    <t>5F-R18</t>
  </si>
  <si>
    <t>1A-1-8</t>
  </si>
  <si>
    <t>1B-1-8</t>
  </si>
  <si>
    <t>U5-1A-15 / 2P 30A</t>
    <phoneticPr fontId="11" type="noConversion"/>
  </si>
  <si>
    <t>U5-1B-15 / 2P 30A</t>
    <phoneticPr fontId="11" type="noConversion"/>
  </si>
  <si>
    <t>G1105</t>
    <phoneticPr fontId="11" type="noConversion"/>
  </si>
  <si>
    <t>5F-R19</t>
  </si>
  <si>
    <t>1A-1-9</t>
  </si>
  <si>
    <t>1B-1-9</t>
  </si>
  <si>
    <t>U5-1A-17 / 2P 30A</t>
    <phoneticPr fontId="11" type="noConversion"/>
  </si>
  <si>
    <t>U5-1B-17 / 2P 30A</t>
    <phoneticPr fontId="11" type="noConversion"/>
  </si>
  <si>
    <t>G1201</t>
    <phoneticPr fontId="11" type="noConversion"/>
  </si>
  <si>
    <t>번호없음</t>
    <phoneticPr fontId="11" type="noConversion"/>
  </si>
  <si>
    <t>1A-2-1</t>
    <phoneticPr fontId="11" type="noConversion"/>
  </si>
  <si>
    <t>1B-2-1</t>
    <phoneticPr fontId="11" type="noConversion"/>
  </si>
  <si>
    <t>U5-1A-31 / 2P 30A</t>
    <phoneticPr fontId="11" type="noConversion"/>
  </si>
  <si>
    <t>U5-1B-31 / 2P 30A</t>
  </si>
  <si>
    <t>G1202</t>
  </si>
  <si>
    <t>5F-Q12</t>
    <phoneticPr fontId="11" type="noConversion"/>
  </si>
  <si>
    <t>1A-2-2</t>
  </si>
  <si>
    <t>1B-2-2</t>
  </si>
  <si>
    <t>U5-1A-33 / 2P 30A</t>
    <phoneticPr fontId="11" type="noConversion"/>
  </si>
  <si>
    <t>U5-1B-33 / 2P 30A</t>
    <phoneticPr fontId="11" type="noConversion"/>
  </si>
  <si>
    <t>G1203</t>
  </si>
  <si>
    <t>5F-Q13</t>
  </si>
  <si>
    <t>1A-2-3</t>
  </si>
  <si>
    <t>1B-2-3</t>
  </si>
  <si>
    <t>U5-1A-35 / 2P 30A</t>
    <phoneticPr fontId="11" type="noConversion"/>
  </si>
  <si>
    <t>U5-1B-35 / 2P 30A</t>
    <phoneticPr fontId="11" type="noConversion"/>
  </si>
  <si>
    <t>G1204</t>
  </si>
  <si>
    <t>5F-Q14</t>
  </si>
  <si>
    <t>1A-2-4</t>
  </si>
  <si>
    <t>1B-2-4</t>
  </si>
  <si>
    <t>U5-1A-37 / 2P 30A</t>
    <phoneticPr fontId="11" type="noConversion"/>
  </si>
  <si>
    <t>U5-1B-37 / 2P 30A</t>
    <phoneticPr fontId="11" type="noConversion"/>
  </si>
  <si>
    <t>G1205</t>
  </si>
  <si>
    <t>5F-Q15</t>
  </si>
  <si>
    <t>1A-2-5</t>
  </si>
  <si>
    <t>1B-2-5</t>
  </si>
  <si>
    <t>U5-1A-39 / 2P 30A</t>
    <phoneticPr fontId="11" type="noConversion"/>
  </si>
  <si>
    <t>U5-1B-39 / 2P 30A</t>
    <phoneticPr fontId="11" type="noConversion"/>
  </si>
  <si>
    <t>5F-Q16</t>
  </si>
  <si>
    <t>1A-2-6</t>
  </si>
  <si>
    <t>1B-2-6</t>
  </si>
  <si>
    <t>U5-1A-41 / 2P 30A</t>
    <phoneticPr fontId="11" type="noConversion"/>
  </si>
  <si>
    <t>U5-1B-41 / 2P 30A</t>
    <phoneticPr fontId="11" type="noConversion"/>
  </si>
  <si>
    <t>5F-Q17</t>
  </si>
  <si>
    <t>1A-2-7</t>
  </si>
  <si>
    <t>1B-2-7</t>
  </si>
  <si>
    <t>U5-1A-43 / 2P 30A</t>
    <phoneticPr fontId="11" type="noConversion"/>
  </si>
  <si>
    <t>U5-1B-43 / 2P 30A</t>
    <phoneticPr fontId="11" type="noConversion"/>
  </si>
  <si>
    <t>5F-Q18</t>
  </si>
  <si>
    <t>1A-2-8</t>
  </si>
  <si>
    <t>1B-2-8</t>
  </si>
  <si>
    <t>U5-1A-45 / 2P 30A</t>
    <phoneticPr fontId="11" type="noConversion"/>
  </si>
  <si>
    <t>U5-1B-45 / 2P 30A</t>
    <phoneticPr fontId="11" type="noConversion"/>
  </si>
  <si>
    <t>5F-Q19</t>
  </si>
  <si>
    <t>1A-2-9</t>
  </si>
  <si>
    <t>1B-2-9</t>
  </si>
  <si>
    <t>U5-1A-47 / 2P 30A</t>
    <phoneticPr fontId="11" type="noConversion"/>
  </si>
  <si>
    <t>U5-1B-47 / 2P 30A</t>
    <phoneticPr fontId="11" type="noConversion"/>
  </si>
  <si>
    <t>5F-P-12</t>
    <phoneticPr fontId="11" type="noConversion"/>
  </si>
  <si>
    <t>구글</t>
    <phoneticPr fontId="11" type="noConversion"/>
  </si>
  <si>
    <t>1A-1-10</t>
  </si>
  <si>
    <t>1B-1-10</t>
  </si>
  <si>
    <t>U5-1A-19 / 2P 30A</t>
    <phoneticPr fontId="11" type="noConversion"/>
  </si>
  <si>
    <t>U5-1B-19 / 2P 30A</t>
    <phoneticPr fontId="11" type="noConversion"/>
  </si>
  <si>
    <t>구글104</t>
    <phoneticPr fontId="11" type="noConversion"/>
  </si>
  <si>
    <t>5F-P-13</t>
    <phoneticPr fontId="11" type="noConversion"/>
  </si>
  <si>
    <t>1A-1-11</t>
  </si>
  <si>
    <t>1B-1-11</t>
  </si>
  <si>
    <t>U5-1A-21 / 2P 30A</t>
    <phoneticPr fontId="11" type="noConversion"/>
  </si>
  <si>
    <t>U5-1B-21 / 2P 30A</t>
    <phoneticPr fontId="11" type="noConversion"/>
  </si>
  <si>
    <t>구글103</t>
    <phoneticPr fontId="11" type="noConversion"/>
  </si>
  <si>
    <t>5F-P-14</t>
    <phoneticPr fontId="11" type="noConversion"/>
  </si>
  <si>
    <t>1A-1-12</t>
  </si>
  <si>
    <t>1B-1-12</t>
  </si>
  <si>
    <t>U5-1A-23 / 2P 30A</t>
    <phoneticPr fontId="11" type="noConversion"/>
  </si>
  <si>
    <t>U5-1B-23 / 2P 30A</t>
    <phoneticPr fontId="11" type="noConversion"/>
  </si>
  <si>
    <t>구글102</t>
    <phoneticPr fontId="11" type="noConversion"/>
  </si>
  <si>
    <t>5F-P-15</t>
    <phoneticPr fontId="11" type="noConversion"/>
  </si>
  <si>
    <t>1A-1-13</t>
  </si>
  <si>
    <t>1B-1-13</t>
  </si>
  <si>
    <t>U5-1A-25 / 2P 30A</t>
    <phoneticPr fontId="11" type="noConversion"/>
  </si>
  <si>
    <t>U5-1B-25 / 2P 30A</t>
    <phoneticPr fontId="11" type="noConversion"/>
  </si>
  <si>
    <t>구글101</t>
    <phoneticPr fontId="11" type="noConversion"/>
  </si>
  <si>
    <t>1A-4-1</t>
    <phoneticPr fontId="11" type="noConversion"/>
  </si>
  <si>
    <t>U5-1A-42 / 2P 30A</t>
    <phoneticPr fontId="11" type="noConversion"/>
  </si>
  <si>
    <t>5F-O12</t>
    <phoneticPr fontId="11" type="noConversion"/>
  </si>
  <si>
    <t>1A-4-2</t>
  </si>
  <si>
    <t>1B-4-2</t>
  </si>
  <si>
    <t>U5-1A-44 / 2P 30A</t>
    <phoneticPr fontId="11" type="noConversion"/>
  </si>
  <si>
    <t>U5-1B-44 / 2P 30A</t>
    <phoneticPr fontId="11" type="noConversion"/>
  </si>
  <si>
    <t>G2203</t>
    <phoneticPr fontId="11" type="noConversion"/>
  </si>
  <si>
    <t>5F-O-14</t>
    <phoneticPr fontId="11" type="noConversion"/>
  </si>
  <si>
    <t>1A-2-12</t>
  </si>
  <si>
    <t>1B-2-12</t>
  </si>
  <si>
    <t>U5-1A-04 / 2P 30A</t>
    <phoneticPr fontId="11" type="noConversion"/>
  </si>
  <si>
    <t>U5-1B-04 / 2P 30A</t>
    <phoneticPr fontId="11" type="noConversion"/>
  </si>
  <si>
    <t>구글202</t>
    <phoneticPr fontId="11" type="noConversion"/>
  </si>
  <si>
    <t>G2204</t>
  </si>
  <si>
    <t>5F-O-15</t>
    <phoneticPr fontId="11" type="noConversion"/>
  </si>
  <si>
    <t>1A-2-13</t>
  </si>
  <si>
    <t>1B-2-13</t>
  </si>
  <si>
    <t>U5-1A-06 / 2P 30A</t>
    <phoneticPr fontId="11" type="noConversion"/>
  </si>
  <si>
    <t>U5-1B-06 / 2P 30A</t>
    <phoneticPr fontId="11" type="noConversion"/>
  </si>
  <si>
    <t>구글201</t>
    <phoneticPr fontId="11" type="noConversion"/>
  </si>
  <si>
    <t>시스템박스</t>
    <phoneticPr fontId="11" type="noConversion"/>
  </si>
  <si>
    <t>1A-2-15</t>
  </si>
  <si>
    <t>U5-1A-10 / 2P 30A</t>
    <phoneticPr fontId="11" type="noConversion"/>
  </si>
  <si>
    <t>지문인식기</t>
    <phoneticPr fontId="11" type="noConversion"/>
  </si>
  <si>
    <t>1B-2-15</t>
  </si>
  <si>
    <t>U5-1B-10 / 2P 30A</t>
    <phoneticPr fontId="11" type="noConversion"/>
  </si>
  <si>
    <t>G3101</t>
    <phoneticPr fontId="11" type="noConversion"/>
  </si>
  <si>
    <t>5F-M-04</t>
    <phoneticPr fontId="11" type="noConversion"/>
  </si>
  <si>
    <t>보다폰#3</t>
  </si>
  <si>
    <t>G3102</t>
  </si>
  <si>
    <t>5F-M-05</t>
    <phoneticPr fontId="11" type="noConversion"/>
  </si>
  <si>
    <t>보다폰</t>
    <phoneticPr fontId="11" type="noConversion"/>
  </si>
  <si>
    <t>U5-1A-50 / 2P 30A</t>
    <phoneticPr fontId="11" type="noConversion"/>
  </si>
  <si>
    <t>U5-1B-50 / 2P 30A</t>
    <phoneticPr fontId="11" type="noConversion"/>
  </si>
  <si>
    <t>보다폰#2</t>
  </si>
  <si>
    <t>1A-4-5</t>
  </si>
  <si>
    <t>1B-4-5</t>
  </si>
  <si>
    <t>G3103</t>
  </si>
  <si>
    <t>5F-M-06</t>
    <phoneticPr fontId="11" type="noConversion"/>
  </si>
  <si>
    <t>U5-1A-3P-02  / 3P 60A</t>
    <phoneticPr fontId="11" type="noConversion"/>
  </si>
  <si>
    <t>U5-1B-3P-02  / 3P 60A</t>
    <phoneticPr fontId="11" type="noConversion"/>
  </si>
  <si>
    <t>보다폰 정류기</t>
    <phoneticPr fontId="11" type="noConversion"/>
  </si>
  <si>
    <t>U5-1A-48 / 2P 30A</t>
    <phoneticPr fontId="11" type="noConversion"/>
  </si>
  <si>
    <t>U5-1B-48 / 2P 30A</t>
    <phoneticPr fontId="11" type="noConversion"/>
  </si>
  <si>
    <t>보다폰#1</t>
    <phoneticPr fontId="11" type="noConversion"/>
  </si>
  <si>
    <t>1A-4-4</t>
  </si>
  <si>
    <t>1B-4-4</t>
  </si>
  <si>
    <t>2A-5-1</t>
    <phoneticPr fontId="11" type="noConversion"/>
  </si>
  <si>
    <t>2B-5-1</t>
    <phoneticPr fontId="11" type="noConversion"/>
  </si>
  <si>
    <t>U5-2A-21 / 2P 30A</t>
    <phoneticPr fontId="11" type="noConversion"/>
  </si>
  <si>
    <t>U5-2B-21 / 2P 30A</t>
    <phoneticPr fontId="11" type="noConversion"/>
  </si>
  <si>
    <t>5F-N12</t>
    <phoneticPr fontId="11" type="noConversion"/>
  </si>
  <si>
    <t>2A-5-2</t>
  </si>
  <si>
    <t>2B-5-2</t>
  </si>
  <si>
    <t>U5-2A-23 / 2P 30A</t>
    <phoneticPr fontId="11" type="noConversion"/>
  </si>
  <si>
    <t>U5-2B-23 / 2P 30A</t>
    <phoneticPr fontId="11" type="noConversion"/>
  </si>
  <si>
    <t>5F-N13</t>
  </si>
  <si>
    <t>2A-5-3</t>
  </si>
  <si>
    <t>2B-5-3</t>
  </si>
  <si>
    <t>U5-2A-25 / 2P 30A</t>
    <phoneticPr fontId="11" type="noConversion"/>
  </si>
  <si>
    <t>U5-2B-25 / 2P 30A</t>
    <phoneticPr fontId="11" type="noConversion"/>
  </si>
  <si>
    <t>5F-N14</t>
  </si>
  <si>
    <t>2A-5-4</t>
  </si>
  <si>
    <t>2B-5-4</t>
  </si>
  <si>
    <t>U5-2A-27 / 2P 30A</t>
    <phoneticPr fontId="11" type="noConversion"/>
  </si>
  <si>
    <t>U5-2B-27 / 2P 30A</t>
    <phoneticPr fontId="11" type="noConversion"/>
  </si>
  <si>
    <t>5F-N15</t>
  </si>
  <si>
    <t>2A-5-5</t>
  </si>
  <si>
    <t>2B-5-5</t>
  </si>
  <si>
    <t>U5-2A-29 / 2P 30A</t>
    <phoneticPr fontId="11" type="noConversion"/>
  </si>
  <si>
    <t>U5-2B-29 / 2P 30A</t>
    <phoneticPr fontId="11" type="noConversion"/>
  </si>
  <si>
    <t>5F-N16</t>
  </si>
  <si>
    <t>2A-5-6</t>
  </si>
  <si>
    <t>2B-5-6</t>
  </si>
  <si>
    <t>U5-2A-31 / 2P 30A</t>
    <phoneticPr fontId="11" type="noConversion"/>
  </si>
  <si>
    <t>U5-2B-31 / 2P 30A</t>
    <phoneticPr fontId="11" type="noConversion"/>
  </si>
  <si>
    <t>5F-N17</t>
  </si>
  <si>
    <t>2A-5-7</t>
    <phoneticPr fontId="11" type="noConversion"/>
  </si>
  <si>
    <t>2B-5-7</t>
    <phoneticPr fontId="11" type="noConversion"/>
  </si>
  <si>
    <t>U5-2A-33 / 2P 30A</t>
    <phoneticPr fontId="11" type="noConversion"/>
  </si>
  <si>
    <t>U5-2B-33 / 2P 30A</t>
    <phoneticPr fontId="11" type="noConversion"/>
  </si>
  <si>
    <t>5F-O16</t>
  </si>
  <si>
    <t>2A-4-6</t>
    <phoneticPr fontId="11" type="noConversion"/>
  </si>
  <si>
    <t>2B-4-6</t>
    <phoneticPr fontId="11" type="noConversion"/>
  </si>
  <si>
    <t>U5-2A-01 / 2P 30A</t>
    <phoneticPr fontId="11" type="noConversion"/>
  </si>
  <si>
    <t>U5-2B-01 / 2P 30A</t>
    <phoneticPr fontId="11" type="noConversion"/>
  </si>
  <si>
    <t>5F-O17</t>
  </si>
  <si>
    <t>2A-4-7</t>
    <phoneticPr fontId="11" type="noConversion"/>
  </si>
  <si>
    <t>2B-4-7</t>
    <phoneticPr fontId="11" type="noConversion"/>
  </si>
  <si>
    <t>U5-2A-03 / 2P 30A</t>
    <phoneticPr fontId="11" type="noConversion"/>
  </si>
  <si>
    <t>U5-2B-03 / 2P 30A</t>
    <phoneticPr fontId="11" type="noConversion"/>
  </si>
  <si>
    <t>1A-3-1</t>
    <phoneticPr fontId="11" type="noConversion"/>
  </si>
  <si>
    <t>1B-3-1</t>
    <phoneticPr fontId="11" type="noConversion"/>
  </si>
  <si>
    <t>U5-1A-12 / 2P 30A</t>
    <phoneticPr fontId="11" type="noConversion"/>
  </si>
  <si>
    <t>U5-1B-12 / 2P 30A</t>
    <phoneticPr fontId="11" type="noConversion"/>
  </si>
  <si>
    <t>5F-P12</t>
    <phoneticPr fontId="11" type="noConversion"/>
  </si>
  <si>
    <t>1A-3-2</t>
  </si>
  <si>
    <t>1B-3-2</t>
  </si>
  <si>
    <t>U5-1A-14 / 2P 30A</t>
    <phoneticPr fontId="11" type="noConversion"/>
  </si>
  <si>
    <t>U5-1B-14 / 2P 30A</t>
    <phoneticPr fontId="11" type="noConversion"/>
  </si>
  <si>
    <t>5F-P13</t>
  </si>
  <si>
    <t>1A-3-3</t>
  </si>
  <si>
    <t>1B-3-3</t>
  </si>
  <si>
    <t>U5-1A-16 / 2P 30A</t>
    <phoneticPr fontId="11" type="noConversion"/>
  </si>
  <si>
    <t>U5-1B-16 / 2P 30A</t>
    <phoneticPr fontId="11" type="noConversion"/>
  </si>
  <si>
    <t>5F-P14</t>
  </si>
  <si>
    <t>1A-3-4</t>
  </si>
  <si>
    <t>1B-3-4</t>
  </si>
  <si>
    <t>U5-1A-18 / 2P 30A</t>
    <phoneticPr fontId="11" type="noConversion"/>
  </si>
  <si>
    <t>U5-1B-18 / 2P 30A</t>
    <phoneticPr fontId="11" type="noConversion"/>
  </si>
  <si>
    <t>5F-P15</t>
  </si>
  <si>
    <t>1A-3-5</t>
  </si>
  <si>
    <t>1B-3-5</t>
  </si>
  <si>
    <t>U5-1A-20 / 2P 30A</t>
    <phoneticPr fontId="11" type="noConversion"/>
  </si>
  <si>
    <t>U5-1B-20 / 2P 30A</t>
    <phoneticPr fontId="11" type="noConversion"/>
  </si>
  <si>
    <t>5F-P16</t>
  </si>
  <si>
    <t>1A-3-6</t>
  </si>
  <si>
    <t>1B-3-6</t>
  </si>
  <si>
    <t>U5-1A-22 / 2P 30A</t>
    <phoneticPr fontId="11" type="noConversion"/>
  </si>
  <si>
    <t>U5-1B-22 / 2P 30A</t>
    <phoneticPr fontId="11" type="noConversion"/>
  </si>
  <si>
    <t>5F-P17</t>
  </si>
  <si>
    <t>1A-3-7</t>
    <phoneticPr fontId="11" type="noConversion"/>
  </si>
  <si>
    <t>1B-3-7</t>
    <phoneticPr fontId="11" type="noConversion"/>
  </si>
  <si>
    <t>U5-1A-24 / 2P 30A</t>
    <phoneticPr fontId="11" type="noConversion"/>
  </si>
  <si>
    <t>U5-1B-24 / 2P 30A</t>
    <phoneticPr fontId="11" type="noConversion"/>
  </si>
  <si>
    <t>5F-P18</t>
  </si>
  <si>
    <t>1A-3-8</t>
  </si>
  <si>
    <t>1B-3-8</t>
  </si>
  <si>
    <t>U5-1A-26 / 2P 30A</t>
    <phoneticPr fontId="11" type="noConversion"/>
  </si>
  <si>
    <t>U5-1B-26 / 2P 30A</t>
    <phoneticPr fontId="11" type="noConversion"/>
  </si>
  <si>
    <t>5F-P19</t>
  </si>
  <si>
    <t>1A-3-9</t>
  </si>
  <si>
    <t>1B-3-9</t>
  </si>
  <si>
    <t>U5-1A-28 / 2P 30A</t>
    <phoneticPr fontId="11" type="noConversion"/>
  </si>
  <si>
    <t>U5-1B-28 / 2P 30A</t>
    <phoneticPr fontId="11" type="noConversion"/>
  </si>
  <si>
    <t>5F-P20</t>
  </si>
  <si>
    <t>1A-3-10</t>
  </si>
  <si>
    <t>1B-3-10</t>
  </si>
  <si>
    <t>U5-1A-30 / 2P 30A</t>
    <phoneticPr fontId="11" type="noConversion"/>
  </si>
  <si>
    <t>U5-1B-30 / 2P 30A</t>
    <phoneticPr fontId="11" type="noConversion"/>
  </si>
  <si>
    <t>5F-P21</t>
  </si>
  <si>
    <t>1A-3-11</t>
  </si>
  <si>
    <t>1B-3-11</t>
  </si>
  <si>
    <t>U5-1A-32 / 2P 30A</t>
    <phoneticPr fontId="11" type="noConversion"/>
  </si>
  <si>
    <t>U5-1B-32 / 2P 30A</t>
    <phoneticPr fontId="11" type="noConversion"/>
  </si>
  <si>
    <t>5F-P22</t>
  </si>
  <si>
    <t>1A-3-12</t>
  </si>
  <si>
    <t>1B-3-12</t>
  </si>
  <si>
    <t>U5-1A-34 / 2P 30A</t>
    <phoneticPr fontId="11" type="noConversion"/>
  </si>
  <si>
    <t>U5-1B-34 / 2P 30A</t>
    <phoneticPr fontId="11" type="noConversion"/>
  </si>
  <si>
    <t>5F-P23</t>
  </si>
  <si>
    <t>1A-3-13</t>
  </si>
  <si>
    <t>1B-3-13</t>
  </si>
  <si>
    <t>U5-1A-36 / 2P 30A</t>
    <phoneticPr fontId="11" type="noConversion"/>
  </si>
  <si>
    <t>U5-1B-36 / 2P 30A</t>
    <phoneticPr fontId="11" type="noConversion"/>
  </si>
  <si>
    <t>5F-P24</t>
  </si>
  <si>
    <t>1A-3-14</t>
  </si>
  <si>
    <t>1B-3-14</t>
  </si>
  <si>
    <t>U5-1A-38 / 2P 30A</t>
    <phoneticPr fontId="11" type="noConversion"/>
  </si>
  <si>
    <t>U5-1B-38 / 2P 30A</t>
    <phoneticPr fontId="11" type="noConversion"/>
  </si>
  <si>
    <t>1B-3-15</t>
  </si>
  <si>
    <t>U5-1B-40 / 2P 30A</t>
    <phoneticPr fontId="11" type="noConversion"/>
  </si>
  <si>
    <t>미구축</t>
    <phoneticPr fontId="11" type="noConversion"/>
  </si>
  <si>
    <t>5F-Q20</t>
  </si>
  <si>
    <t>1A-2-10</t>
  </si>
  <si>
    <t>1B-2-10</t>
  </si>
  <si>
    <t>U5-1A-49 / 2P 30A</t>
    <phoneticPr fontId="11" type="noConversion"/>
  </si>
  <si>
    <t>U5-1B-49 / 2P 30A</t>
    <phoneticPr fontId="11" type="noConversion"/>
  </si>
  <si>
    <t>5F-Q21</t>
  </si>
  <si>
    <t>1A-2-11</t>
  </si>
  <si>
    <t>1B-2-11</t>
  </si>
  <si>
    <t>U5-1A-02 / 2P 30A</t>
    <phoneticPr fontId="11" type="noConversion"/>
  </si>
  <si>
    <t>U5-1B-02 / 2P 30A</t>
    <phoneticPr fontId="11" type="noConversion"/>
  </si>
  <si>
    <t>5F-Q24</t>
  </si>
  <si>
    <t>1A-2-14</t>
  </si>
  <si>
    <t>1B-2-14</t>
  </si>
  <si>
    <t>U5-1A-08 / 2P 30A</t>
    <phoneticPr fontId="11" type="noConversion"/>
  </si>
  <si>
    <t>U5-1B-08 / 2P 30A</t>
    <phoneticPr fontId="11" type="noConversion"/>
  </si>
  <si>
    <t>5F-R24</t>
  </si>
  <si>
    <t>1A-1-14</t>
  </si>
  <si>
    <t>1B-1-14</t>
  </si>
  <si>
    <t>U5-1A-27 / 2P 30A</t>
    <phoneticPr fontId="11" type="noConversion"/>
  </si>
  <si>
    <t>U5-1B-27 / 2P 30A</t>
    <phoneticPr fontId="11" type="noConversion"/>
  </si>
  <si>
    <t>1A-1-15</t>
  </si>
  <si>
    <t>1B-1-15</t>
  </si>
  <si>
    <t>U5-1A-29 / 2P 30A</t>
    <phoneticPr fontId="11" type="noConversion"/>
  </si>
  <si>
    <t>U5-1B-29 / 2P 30A</t>
    <phoneticPr fontId="11" type="noConversion"/>
  </si>
  <si>
    <t>5층 FMS</t>
    <phoneticPr fontId="11" type="noConversion"/>
  </si>
  <si>
    <t>PDU(B)-2-32 / 3P 20A</t>
    <phoneticPr fontId="11" type="noConversion"/>
  </si>
  <si>
    <t>pacnet
내
분전반2식</t>
    <phoneticPr fontId="17" type="noConversion"/>
  </si>
  <si>
    <t>싱텔
분전반(A)</t>
    <phoneticPr fontId="11" type="noConversion"/>
  </si>
  <si>
    <t>PDU-08-A
4P 200A</t>
    <phoneticPr fontId="11" type="noConversion"/>
  </si>
  <si>
    <t>UPS출력
배전반(A), #08
3P 200A</t>
    <phoneticPr fontId="11" type="noConversion"/>
  </si>
  <si>
    <t>싱텔 분전반 메인전류 계측값</t>
    <phoneticPr fontId="11" type="noConversion"/>
  </si>
  <si>
    <t>싱텔
분전반(B)</t>
    <phoneticPr fontId="11" type="noConversion"/>
  </si>
  <si>
    <t>PDU-08-B
4P 200A</t>
  </si>
  <si>
    <t>UPS출력
배전반(B), #08
3P 200A</t>
  </si>
  <si>
    <t>TR-5B
1000KVA</t>
  </si>
  <si>
    <t>싱텔</t>
    <phoneticPr fontId="11" type="noConversion"/>
  </si>
  <si>
    <t>싱텔 SKB CWDM</t>
    <phoneticPr fontId="11" type="noConversion"/>
  </si>
  <si>
    <t>싱텔 SKB CWDM A전원</t>
    <phoneticPr fontId="11" type="noConversion"/>
  </si>
  <si>
    <t>싱텔 SKB CWDM B전원</t>
    <phoneticPr fontId="11" type="noConversion"/>
  </si>
  <si>
    <t>PDU(A)-3-13 / 2P 30A</t>
    <phoneticPr fontId="11" type="noConversion"/>
  </si>
  <si>
    <t>PDU(B)-3-13 / 2P 30A</t>
    <phoneticPr fontId="11" type="noConversion"/>
  </si>
  <si>
    <t>UPS출력
배전반(B),
#01, 3P 300A</t>
    <phoneticPr fontId="11" type="noConversion"/>
  </si>
  <si>
    <t>TR-5A
1000KVA</t>
  </si>
  <si>
    <t>single-2</t>
  </si>
  <si>
    <t>PUD(A)-2-21</t>
    <phoneticPr fontId="11" type="noConversion"/>
  </si>
  <si>
    <t>PDU(A)-3-23 / 2P 20A</t>
  </si>
  <si>
    <t>single-2</t>
    <phoneticPr fontId="11" type="noConversion"/>
  </si>
  <si>
    <t>PUD(A)-2-27</t>
    <phoneticPr fontId="11" type="noConversion"/>
  </si>
  <si>
    <t>PDU(A)-3-29 / 2P 20A</t>
  </si>
  <si>
    <t>KT Rack #2 (소형 임시정류기)</t>
    <phoneticPr fontId="11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</si>
  <si>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</si>
  <si>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</si>
  <si>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</si>
  <si>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</si>
  <si>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</si>
  <si>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</si>
  <si>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1" type="noConversion"/>
  </si>
  <si>
    <t>DACOM EOS</t>
    <phoneticPr fontId="11" type="noConversion"/>
  </si>
  <si>
    <t>PDU(B)-3-23 / 2P 20A</t>
    <phoneticPr fontId="11" type="noConversion"/>
  </si>
  <si>
    <t>PDU(B)-3-25 / 2P 20A</t>
    <phoneticPr fontId="11" type="noConversion"/>
  </si>
  <si>
    <t>SKB2.5G전용
PDU B3 27</t>
  </si>
  <si>
    <t>PDU(B)-3-27 / 2P 20A</t>
    <phoneticPr fontId="11" type="noConversion"/>
  </si>
  <si>
    <t>데이콤 AC전원</t>
  </si>
  <si>
    <t>PDU(B)-3-29 / 2P 20A</t>
    <phoneticPr fontId="11" type="noConversion"/>
  </si>
  <si>
    <t>kt mspp 전원</t>
  </si>
  <si>
    <t>PDU(B)-3-24 / 2P 20A</t>
    <phoneticPr fontId="11" type="noConversion"/>
  </si>
  <si>
    <t>TNSI A</t>
  </si>
  <si>
    <t>PDU(B)-3-30 / 2P 20A</t>
    <phoneticPr fontId="11" type="noConversion"/>
  </si>
  <si>
    <t>텔스트라</t>
    <phoneticPr fontId="17" type="noConversion"/>
  </si>
  <si>
    <r>
      <t>T</t>
    </r>
    <r>
      <rPr>
        <sz val="11"/>
        <color theme="1"/>
        <rFont val="맑은 고딕"/>
        <family val="2"/>
        <charset val="129"/>
        <scheme val="minor"/>
      </rPr>
      <t>elstra</t>
    </r>
    <phoneticPr fontId="11" type="noConversion"/>
  </si>
  <si>
    <t>C2C 정류기 B1</t>
  </si>
  <si>
    <t>C2C 정류기 A1</t>
  </si>
  <si>
    <t>UPS출력
배전반(A), #12
3P 100A</t>
    <phoneticPr fontId="11" type="noConversion"/>
  </si>
  <si>
    <t>UPS출력
배전반(B), #12
3P 100A</t>
    <phoneticPr fontId="11" type="noConversion"/>
  </si>
  <si>
    <t>텔스트라</t>
    <phoneticPr fontId="11" type="noConversion"/>
  </si>
  <si>
    <t>Telstra</t>
  </si>
  <si>
    <t>C2C 정류기 B2</t>
  </si>
  <si>
    <t>C2C 정류기 A2</t>
  </si>
  <si>
    <t>UPS출력
배전반(A), #11
3P 100A</t>
    <phoneticPr fontId="11" type="noConversion"/>
  </si>
  <si>
    <t>UPS출력
배전반(B), #11
3P 100A</t>
    <phoneticPr fontId="1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</si>
  <si>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1" type="noConversion"/>
  </si>
  <si>
    <t>PDU(A)-3-01(3상)
/ 3P 50A</t>
    <phoneticPr fontId="11" type="noConversion"/>
  </si>
  <si>
    <t>AC PDU(A)-3A</t>
  </si>
  <si>
    <t>PDU(A)-3-02(3상)
/ 3P 50A</t>
    <phoneticPr fontId="1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</si>
  <si>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1" type="noConversion"/>
  </si>
  <si>
    <t>PDU(B)-3-01(3상)
/ 3P 50A</t>
    <phoneticPr fontId="11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</si>
  <si>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1" type="noConversion"/>
  </si>
  <si>
    <t>PDU(B)-3-02(3상)
/ 3P 50A</t>
    <phoneticPr fontId="11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</si>
  <si>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1" type="noConversion"/>
  </si>
  <si>
    <r>
      <t>L</t>
    </r>
    <r>
      <rPr>
        <sz val="11"/>
        <color theme="1"/>
        <rFont val="맑은 고딕"/>
        <family val="2"/>
        <charset val="129"/>
        <scheme val="minor"/>
      </rPr>
      <t>G CNS</t>
    </r>
    <phoneticPr fontId="11" type="noConversion"/>
  </si>
  <si>
    <t>RTX Rack#1 / R1-1-1</t>
    <phoneticPr fontId="11" type="noConversion"/>
  </si>
  <si>
    <t>RTX Rack#1 / R1-1-2</t>
    <phoneticPr fontId="11" type="noConversion"/>
  </si>
  <si>
    <t>LG PDU(A1), #01 / 2P 50A</t>
    <phoneticPr fontId="11" type="noConversion"/>
  </si>
  <si>
    <t>LG PDU (B1), #01 /2P 50A</t>
    <phoneticPr fontId="11" type="noConversion"/>
  </si>
  <si>
    <t>LG PDU (A1)</t>
    <phoneticPr fontId="11" type="noConversion"/>
  </si>
  <si>
    <t>LG PDU (B1)</t>
    <phoneticPr fontId="11" type="noConversion"/>
  </si>
  <si>
    <t>LV-5A, #05
3P 320A</t>
    <phoneticPr fontId="11" type="noConversion"/>
  </si>
  <si>
    <t>LV-5B, #04
3P 320A</t>
    <phoneticPr fontId="11" type="noConversion"/>
  </si>
  <si>
    <t>RTX Rack#1 / R1-1-3</t>
    <phoneticPr fontId="11" type="noConversion"/>
  </si>
  <si>
    <t>RTX Rack#1 / R1-1-4</t>
    <phoneticPr fontId="11" type="noConversion"/>
  </si>
  <si>
    <t>LG PDU(A2), #01 / 2P 50A</t>
    <phoneticPr fontId="11" type="noConversion"/>
  </si>
  <si>
    <t>LG PDU (B2), #01 / 2P 50A</t>
    <phoneticPr fontId="11" type="noConversion"/>
  </si>
  <si>
    <t>LG PDU (A2)</t>
    <phoneticPr fontId="11" type="noConversion"/>
  </si>
  <si>
    <t>LG PDU (B2)</t>
    <phoneticPr fontId="11" type="noConversion"/>
  </si>
  <si>
    <t>LV-5A, #06
3P 320A</t>
    <phoneticPr fontId="11" type="noConversion"/>
  </si>
  <si>
    <t>LV-5B, #05
3P 320A</t>
    <phoneticPr fontId="11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</si>
  <si>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1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</si>
  <si>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</si>
  <si>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</si>
  <si>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Rack#2 / R1-2-2</t>
    <phoneticPr fontId="11" type="noConversion"/>
  </si>
  <si>
    <t>LG PDU(A1), #03 / 2P 50A</t>
    <phoneticPr fontId="11" type="noConversion"/>
  </si>
  <si>
    <t>LG PDU (B1), #03 /2P 50A</t>
    <phoneticPr fontId="11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</si>
  <si>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</si>
  <si>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</si>
  <si>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#03 / 2P 50A</t>
    <phoneticPr fontId="11" type="noConversion"/>
  </si>
  <si>
    <t>LG PDU (B2), #03 / 2P 50A</t>
    <phoneticPr fontId="11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</si>
  <si>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</si>
  <si>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</si>
  <si>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Rack#3 / R1-3-2</t>
    <phoneticPr fontId="11" type="noConversion"/>
  </si>
  <si>
    <t>LG PDU(A1), #05 / 2P 50A</t>
    <phoneticPr fontId="11" type="noConversion"/>
  </si>
  <si>
    <t>LG PDU (B1), #05 /2P 50A</t>
    <phoneticPr fontId="11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</si>
  <si>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</si>
  <si>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</si>
  <si>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#05 / 2P 50A</t>
    <phoneticPr fontId="11" type="noConversion"/>
  </si>
  <si>
    <t>LG PDU (B2), #05 / 2P 50A</t>
    <phoneticPr fontId="11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</si>
  <si>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1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</si>
  <si>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</si>
  <si>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Rack#4 / R2-1-2</t>
    <phoneticPr fontId="11" type="noConversion"/>
  </si>
  <si>
    <t>LG PDU(A1), #07 / 2P 50A</t>
    <phoneticPr fontId="11" type="noConversion"/>
  </si>
  <si>
    <t>LG PDU (B1), #07 /2P 50A</t>
    <phoneticPr fontId="11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</si>
  <si>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</si>
  <si>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</si>
  <si>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#07 / 2P 50A</t>
    <phoneticPr fontId="11" type="noConversion"/>
  </si>
  <si>
    <t>LG PDU (B2), #07 / 2P 50A</t>
    <phoneticPr fontId="11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</si>
  <si>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1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</si>
  <si>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</si>
  <si>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Rack#5 / R2-2-2</t>
    <phoneticPr fontId="11" type="noConversion"/>
  </si>
  <si>
    <t>LG PDU(A1), #09 / 2P 50A</t>
    <phoneticPr fontId="11" type="noConversion"/>
  </si>
  <si>
    <t>LG PDU (B1), #09 /2P 50A</t>
    <phoneticPr fontId="11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</si>
  <si>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</si>
  <si>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</si>
  <si>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#09 / 2P 50A</t>
    <phoneticPr fontId="11" type="noConversion"/>
  </si>
  <si>
    <t>LG PDU (B2), #09 / 2P 50A</t>
    <phoneticPr fontId="11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</si>
  <si>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</si>
  <si>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</si>
  <si>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Rack#6 / R2-3-2</t>
    <phoneticPr fontId="11" type="noConversion"/>
  </si>
  <si>
    <t>LG PDU(A1), #11 / 2P 50A</t>
    <phoneticPr fontId="11" type="noConversion"/>
  </si>
  <si>
    <t>LG PDU (B1), #11 /2P 50A</t>
    <phoneticPr fontId="11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</si>
  <si>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</si>
  <si>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</si>
  <si>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#11 / 2P 50A</t>
    <phoneticPr fontId="11" type="noConversion"/>
  </si>
  <si>
    <t>LG PDU (B2), #11 / 2P 50A</t>
    <phoneticPr fontId="11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</si>
  <si>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</si>
  <si>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</si>
  <si>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Rack#7 / R2-4-2</t>
    <phoneticPr fontId="11" type="noConversion"/>
  </si>
  <si>
    <t>LG PDU(A1), #13 / 2P 50A</t>
    <phoneticPr fontId="11" type="noConversion"/>
  </si>
  <si>
    <t>LG PDU (B1), #13 /2P 50A</t>
    <phoneticPr fontId="11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</si>
  <si>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</si>
  <si>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</si>
  <si>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#13 / 2P 50A</t>
    <phoneticPr fontId="11" type="noConversion"/>
  </si>
  <si>
    <t>LG PDU (B2), #13 / 2P 50A</t>
    <phoneticPr fontId="11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</si>
  <si>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1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</si>
  <si>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</si>
  <si>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Rack#8 / R3-1-2</t>
    <phoneticPr fontId="11" type="noConversion"/>
  </si>
  <si>
    <t>LG PDU(A1), #02 / 2P 50A</t>
    <phoneticPr fontId="11" type="noConversion"/>
  </si>
  <si>
    <t>LG PDU (B1), #02 /2P 50A</t>
    <phoneticPr fontId="11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</si>
  <si>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</si>
  <si>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</si>
  <si>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#02 / 2P 50A</t>
    <phoneticPr fontId="11" type="noConversion"/>
  </si>
  <si>
    <t>LG PDU (B2), #02 / 2P 50A</t>
    <phoneticPr fontId="11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</si>
  <si>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1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</si>
  <si>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</si>
  <si>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RTX Rack#9 / R3-2-2</t>
    <phoneticPr fontId="11" type="noConversion"/>
  </si>
  <si>
    <t>LG PDU(A1), #04 / 2P 50A</t>
    <phoneticPr fontId="11" type="noConversion"/>
  </si>
  <si>
    <t>LG PDU (B1), #04 /2P 50A</t>
    <phoneticPr fontId="11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</si>
  <si>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</si>
  <si>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</si>
  <si>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#04 / 2P 50A</t>
    <phoneticPr fontId="11" type="noConversion"/>
  </si>
  <si>
    <t>LG PDU (B2), #04 / 2P 50A</t>
    <phoneticPr fontId="11" type="noConversion"/>
  </si>
  <si>
    <t>NW/Mgmt Rack /
 R3-3</t>
    <phoneticPr fontId="11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</si>
  <si>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</si>
  <si>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NW/Mgmt Rack /
 R3-3-2</t>
    <phoneticPr fontId="11" type="noConversion"/>
  </si>
  <si>
    <t>LG PDU(A1), #06 / 2P 30A</t>
    <phoneticPr fontId="11" type="noConversion"/>
  </si>
  <si>
    <t>LG PDU (B1), #06 /2P 30A</t>
    <phoneticPr fontId="11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</si>
  <si>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</si>
  <si>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</si>
  <si>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</si>
  <si>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</si>
  <si>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t>LG PDU(A2), #06 / 2P 30A</t>
    <phoneticPr fontId="11" type="noConversion"/>
  </si>
  <si>
    <t>LG PDU (B2), #06 / 2P 30A</t>
    <phoneticPr fontId="11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</si>
  <si>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</si>
  <si>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</si>
  <si>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1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</si>
  <si>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</si>
  <si>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A40 Rack#1 / R4-1-2</t>
    <phoneticPr fontId="11" type="noConversion"/>
  </si>
  <si>
    <t>LG PDU(A1), #08 / 2P 50A</t>
    <phoneticPr fontId="11" type="noConversion"/>
  </si>
  <si>
    <t>LG PDU (B1), #08 /2P 50A</t>
    <phoneticPr fontId="11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</si>
  <si>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</si>
  <si>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</si>
  <si>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t>LG PDU(A2), #08 / 2P 50A</t>
    <phoneticPr fontId="11" type="noConversion"/>
  </si>
  <si>
    <t>LG PDU (B2), #08 / 2P 50A</t>
    <phoneticPr fontId="11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</si>
  <si>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1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</si>
  <si>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</si>
  <si>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A40 Rack#2 / R4-2-2</t>
    <phoneticPr fontId="11" type="noConversion"/>
  </si>
  <si>
    <t>LG PDU(A1), #10 / 2P 50A</t>
    <phoneticPr fontId="11" type="noConversion"/>
  </si>
  <si>
    <t>LG PDU (B1), #10 /2P 50A</t>
    <phoneticPr fontId="11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</si>
  <si>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</si>
  <si>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</si>
  <si>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#10 / 2P 50A</t>
    <phoneticPr fontId="11" type="noConversion"/>
  </si>
  <si>
    <t>LG PDU (B2), #10 / 2P 50A</t>
    <phoneticPr fontId="11" type="noConversion"/>
  </si>
  <si>
    <t>NetApp FAS#1 / R4-3</t>
    <phoneticPr fontId="11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</si>
  <si>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</si>
  <si>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NetApp FAS#1 / R4-3-2</t>
    <phoneticPr fontId="11" type="noConversion"/>
  </si>
  <si>
    <t>LG PDU(A1), #12 / 2P 30A</t>
    <phoneticPr fontId="11" type="noConversion"/>
  </si>
  <si>
    <t>LG PDU (B1), #12 /2P 30A</t>
    <phoneticPr fontId="11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</si>
  <si>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1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</si>
  <si>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</si>
  <si>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t>LG PDU(A2), #12 / 2P 30A</t>
    <phoneticPr fontId="11" type="noConversion"/>
  </si>
  <si>
    <t>LG PDU (B2), #12 / 2P 30A</t>
    <phoneticPr fontId="11" type="noConversion"/>
  </si>
  <si>
    <t>NetApp AFF#2 / R4-4</t>
    <phoneticPr fontId="11" type="noConversion"/>
  </si>
  <si>
    <t>NetApp AFF#2 /
 R4-4-1</t>
    <phoneticPr fontId="11" type="noConversion"/>
  </si>
  <si>
    <t>NetApp AFF#2 /
 R4-4-2</t>
    <phoneticPr fontId="11" type="noConversion"/>
  </si>
  <si>
    <t>LG PDU(A1), #14 / 2P 30A</t>
    <phoneticPr fontId="11" type="noConversion"/>
  </si>
  <si>
    <t>LG PDU (B1), #14 /2P 30A</t>
    <phoneticPr fontId="11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</si>
  <si>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</si>
  <si>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</si>
  <si>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t>LG PDU(A2), #14 / 2P 30A</t>
    <phoneticPr fontId="11" type="noConversion"/>
  </si>
  <si>
    <t>LG PDU (B2), #14 / 2P 30A</t>
    <phoneticPr fontId="11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</si>
  <si>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1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</si>
  <si>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</si>
  <si>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DGX Rack#1 / R5-1-2</t>
    <phoneticPr fontId="11" type="noConversion"/>
  </si>
  <si>
    <t>LG PDU(A1), #15 / 2P 30A</t>
    <phoneticPr fontId="11" type="noConversion"/>
  </si>
  <si>
    <t>LG PDU (B1), #15 /2P 30A</t>
    <phoneticPr fontId="11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</si>
  <si>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</si>
  <si>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</si>
  <si>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t>LG PDU(A2), #15 / 2P 30A</t>
    <phoneticPr fontId="11" type="noConversion"/>
  </si>
  <si>
    <t>LG PDU (B2), #15 / 2P 30A</t>
    <phoneticPr fontId="11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</si>
  <si>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1" type="noConversion"/>
  </si>
  <si>
    <t>DGX Rack#2 / R5-2-1</t>
    <phoneticPr fontId="11" type="noConversion"/>
  </si>
  <si>
    <t>DGX Rack#2 / R5-2-2</t>
    <phoneticPr fontId="11" type="noConversion"/>
  </si>
  <si>
    <t>LG PDU(A1), #17 / 2P 30A</t>
    <phoneticPr fontId="11" type="noConversion"/>
  </si>
  <si>
    <t>LG PDU (B1), #17 /2P 30A</t>
    <phoneticPr fontId="11" type="noConversion"/>
  </si>
  <si>
    <t>DGX Rack#2 / R5-2-3</t>
    <phoneticPr fontId="11" type="noConversion"/>
  </si>
  <si>
    <t>DGX Rack#2 / R5-2-4</t>
    <phoneticPr fontId="11" type="noConversion"/>
  </si>
  <si>
    <t>LG PDU(A2), #17 / 2P 30A</t>
    <phoneticPr fontId="11" type="noConversion"/>
  </si>
  <si>
    <t>LG PDU (B2), #17 / 2P 30A</t>
    <phoneticPr fontId="11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</si>
  <si>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1" type="noConversion"/>
  </si>
  <si>
    <t>DGX Rack#3 / R5-3-1</t>
    <phoneticPr fontId="11" type="noConversion"/>
  </si>
  <si>
    <t>DGX Rack#3 / R5-3-2</t>
    <phoneticPr fontId="11" type="noConversion"/>
  </si>
  <si>
    <t>LG PDU(A1), #19 / 2P 30A</t>
    <phoneticPr fontId="11" type="noConversion"/>
  </si>
  <si>
    <t>LG PDU (B1), #19 /2P 30A</t>
    <phoneticPr fontId="11" type="noConversion"/>
  </si>
  <si>
    <t>DGX Rack#3 / R5-3-3</t>
    <phoneticPr fontId="11" type="noConversion"/>
  </si>
  <si>
    <t>DGX Rack#3 / R5-3-4</t>
    <phoneticPr fontId="11" type="noConversion"/>
  </si>
  <si>
    <t>LG PDU(A2), #19 / 2P 30A</t>
    <phoneticPr fontId="11" type="noConversion"/>
  </si>
  <si>
    <t>LG PDU (B2), #19 / 2P 30A</t>
    <phoneticPr fontId="11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</si>
  <si>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</si>
  <si>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1" type="noConversion"/>
  </si>
  <si>
    <t>예비Rack#1 / R6-1-2</t>
    <phoneticPr fontId="11" type="noConversion"/>
  </si>
  <si>
    <t>LG PDU(A1), #16 / 2P 50A</t>
    <phoneticPr fontId="11" type="noConversion"/>
  </si>
  <si>
    <t>LG PDU (B1), #16 /2P 50A</t>
    <phoneticPr fontId="11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</si>
  <si>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</si>
  <si>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1" type="noConversion"/>
  </si>
  <si>
    <t>LG PDU(A2), #16 / 2P 50A</t>
    <phoneticPr fontId="11" type="noConversion"/>
  </si>
  <si>
    <t>LG PDU (B2), #16 / 2P 50A</t>
    <phoneticPr fontId="11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</si>
  <si>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</si>
  <si>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1" type="noConversion"/>
  </si>
  <si>
    <t>예비Rack#2 / R6-2-2</t>
    <phoneticPr fontId="11" type="noConversion"/>
  </si>
  <si>
    <t>LG PDU(A1), #18 / 2P 50A</t>
    <phoneticPr fontId="11" type="noConversion"/>
  </si>
  <si>
    <t>LG PDU (B1), #18 /2P 50A</t>
    <phoneticPr fontId="11" type="noConversion"/>
  </si>
  <si>
    <t>예비Rack#2 / R6-2-3</t>
    <phoneticPr fontId="11" type="noConversion"/>
  </si>
  <si>
    <t>예비Rack#2 / R6-2-4</t>
    <phoneticPr fontId="11" type="noConversion"/>
  </si>
  <si>
    <t>LG PDU(A2), #18 / 2P 50A</t>
    <phoneticPr fontId="11" type="noConversion"/>
  </si>
  <si>
    <t>LG PDU (B2), #18 / 2P 50A</t>
    <phoneticPr fontId="11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</si>
  <si>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</si>
  <si>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1" type="noConversion"/>
  </si>
  <si>
    <t>예비Rack#3 / R6-3-2</t>
    <phoneticPr fontId="11" type="noConversion"/>
  </si>
  <si>
    <t>LG PDU(A1), #20 / 2P 50A</t>
    <phoneticPr fontId="11" type="noConversion"/>
  </si>
  <si>
    <t>LG PDU (B1), #20 /2P 50A</t>
    <phoneticPr fontId="11" type="noConversion"/>
  </si>
  <si>
    <t>예비Rack#3 / R6-3-3</t>
    <phoneticPr fontId="11" type="noConversion"/>
  </si>
  <si>
    <t>예비Rack#3 / R6-3-4</t>
    <phoneticPr fontId="11" type="noConversion"/>
  </si>
  <si>
    <t>LG PDU(A2), #20 / 2P 50A</t>
    <phoneticPr fontId="11" type="noConversion"/>
  </si>
  <si>
    <t>LG PDU (B2), #20 / 2P 50A</t>
    <phoneticPr fontId="11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</si>
  <si>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</si>
  <si>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1" type="noConversion"/>
  </si>
  <si>
    <t>예비Rack#4 / R6-4-2</t>
    <phoneticPr fontId="11" type="noConversion"/>
  </si>
  <si>
    <t>LG PDU(A1), #22 / 2P 50A</t>
    <phoneticPr fontId="11" type="noConversion"/>
  </si>
  <si>
    <t>LG PDU (B1), #22 /2P 50A</t>
    <phoneticPr fontId="11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</si>
  <si>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1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</si>
  <si>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1" type="noConversion"/>
  </si>
  <si>
    <t>LG PDU(A2), #22 / 2P 50A</t>
    <phoneticPr fontId="11" type="noConversion"/>
  </si>
  <si>
    <t>LG PDU (B2), #22 / 2P 50A</t>
    <phoneticPr fontId="11" type="noConversion"/>
  </si>
  <si>
    <t>신규 BMS(4F TPS실) Rack</t>
  </si>
  <si>
    <t>신규 BMS(5F TPS실) Rack</t>
  </si>
  <si>
    <t>합 계</t>
    <phoneticPr fontId="11" type="noConversion"/>
  </si>
  <si>
    <t>4층 랙별 전기공급계통</t>
    <phoneticPr fontId="11" type="noConversion"/>
  </si>
  <si>
    <t>열 구분
(부스바명)</t>
    <phoneticPr fontId="11" type="noConversion"/>
  </si>
  <si>
    <t>세종 관리 Name
(IDC 관리명).</t>
    <phoneticPr fontId="11" type="noConversion"/>
  </si>
  <si>
    <t>DEK차단기 정보수정</t>
    <phoneticPr fontId="11" type="noConversion"/>
  </si>
  <si>
    <t>상</t>
    <phoneticPr fontId="11" type="noConversion"/>
  </si>
  <si>
    <t>하</t>
    <phoneticPr fontId="11" type="noConversion"/>
  </si>
  <si>
    <t>정류기</t>
    <phoneticPr fontId="11" type="noConversion"/>
  </si>
  <si>
    <t>011Bay</t>
    <phoneticPr fontId="11" type="noConversion"/>
  </si>
  <si>
    <t>세종텔레콤</t>
    <phoneticPr fontId="11" type="noConversion"/>
  </si>
  <si>
    <t>정류기1호기</t>
    <phoneticPr fontId="11" type="noConversion"/>
  </si>
  <si>
    <t>KEN 1 #01 / 4P 100A</t>
    <phoneticPr fontId="11" type="noConversion"/>
  </si>
  <si>
    <t>KEN 1
4P 300A</t>
    <phoneticPr fontId="11" type="noConversion"/>
  </si>
  <si>
    <t>LV-4B #01
(3P 320A)</t>
    <phoneticPr fontId="11" type="noConversion"/>
  </si>
  <si>
    <t>TR-4B
(1000kVA)</t>
    <phoneticPr fontId="11" type="noConversion"/>
  </si>
  <si>
    <t>010Bay</t>
    <phoneticPr fontId="11" type="noConversion"/>
  </si>
  <si>
    <t>세종텔레콤</t>
  </si>
  <si>
    <t>정류기2호기</t>
  </si>
  <si>
    <t>KEN 8 #01 / 4P 100A</t>
    <phoneticPr fontId="11" type="noConversion"/>
  </si>
  <si>
    <t>KEN 8
4P 300A</t>
    <phoneticPr fontId="11" type="noConversion"/>
  </si>
  <si>
    <t>LV-4A #01
(3P 320A)</t>
    <phoneticPr fontId="11" type="noConversion"/>
  </si>
  <si>
    <t>TR-4A
(1000kVA)</t>
    <phoneticPr fontId="11" type="noConversion"/>
  </si>
  <si>
    <t>항온항습기</t>
    <phoneticPr fontId="11" type="noConversion"/>
  </si>
  <si>
    <t>CRAC 4E-1호기(20RT)</t>
  </si>
  <si>
    <t>KEN 7 #02 / 4P 200A</t>
    <phoneticPr fontId="11" type="noConversion"/>
  </si>
  <si>
    <t>KEN 7
4P 300A</t>
    <phoneticPr fontId="11" type="noConversion"/>
  </si>
  <si>
    <t>LV-4B #05
(3P 320A)</t>
    <phoneticPr fontId="11" type="noConversion"/>
  </si>
  <si>
    <t>CRAC 4E-2호기(20RT)</t>
  </si>
  <si>
    <t>KEN 7 #03 / 4P 200A</t>
    <phoneticPr fontId="11" type="noConversion"/>
  </si>
  <si>
    <t>101~111Bay
/POP B열</t>
    <phoneticPr fontId="11" type="noConversion"/>
  </si>
  <si>
    <t>세종인터넷</t>
    <phoneticPr fontId="11" type="noConversion"/>
  </si>
  <si>
    <t>KEN 1 #03 / 2P 100A</t>
    <phoneticPr fontId="11" type="noConversion"/>
  </si>
  <si>
    <t>KEN 8 #03 / 2P 100A</t>
    <phoneticPr fontId="11" type="noConversion"/>
  </si>
  <si>
    <t>세종 Core Room</t>
    <phoneticPr fontId="11" type="noConversion"/>
  </si>
  <si>
    <t>201~211Bay
/POP C열</t>
    <phoneticPr fontId="11" type="noConversion"/>
  </si>
  <si>
    <t>KEN 1 #04 / 2P 100A</t>
    <phoneticPr fontId="11" type="noConversion"/>
  </si>
  <si>
    <t>KEN 8 #04 / 2P 100A</t>
    <phoneticPr fontId="11" type="noConversion"/>
  </si>
  <si>
    <t>301~311Bay
/POP D열</t>
    <phoneticPr fontId="11" type="noConversion"/>
  </si>
  <si>
    <t>KEN 1 #05 / 2P 100A</t>
    <phoneticPr fontId="11" type="noConversion"/>
  </si>
  <si>
    <t>KEN 8 #05 / 2P 100A</t>
    <phoneticPr fontId="11" type="noConversion"/>
  </si>
  <si>
    <t>401~411Bay
/POP E열</t>
    <phoneticPr fontId="11" type="noConversion"/>
  </si>
  <si>
    <t>KEN 1 #02 / 2P 100A</t>
    <phoneticPr fontId="11" type="noConversion"/>
  </si>
  <si>
    <t>KEN 8 #02 / 2P 100A</t>
    <phoneticPr fontId="11" type="noConversion"/>
  </si>
  <si>
    <t>501~511Bay
/POP F열</t>
    <phoneticPr fontId="11" type="noConversion"/>
  </si>
  <si>
    <t>KEN 2 #02 / 2P 100A</t>
    <phoneticPr fontId="11" type="noConversion"/>
  </si>
  <si>
    <t>KEN 9 #02 / 2P 100A</t>
    <phoneticPr fontId="11" type="noConversion"/>
  </si>
  <si>
    <t>KEN 2
4P 300A</t>
    <phoneticPr fontId="11" type="noConversion"/>
  </si>
  <si>
    <t>KEN 9
4P 300A</t>
    <phoneticPr fontId="11" type="noConversion"/>
  </si>
  <si>
    <t>LV-4B #06
(3P 320A)</t>
    <phoneticPr fontId="11" type="noConversion"/>
  </si>
  <si>
    <t>LV-4A #06
(3P 320A)</t>
    <phoneticPr fontId="11" type="noConversion"/>
  </si>
  <si>
    <t>601~611Bay
/1구역 B열</t>
    <phoneticPr fontId="11" type="noConversion"/>
  </si>
  <si>
    <t>KEN 2 #03 / 2P 100A</t>
    <phoneticPr fontId="11" type="noConversion"/>
  </si>
  <si>
    <t>KEN 9 #03 / 2P 100A</t>
    <phoneticPr fontId="11" type="noConversion"/>
  </si>
  <si>
    <t>철거
('21.10월)</t>
    <phoneticPr fontId="11" type="noConversion"/>
  </si>
  <si>
    <t>1구역 D열</t>
    <phoneticPr fontId="11" type="noConversion"/>
  </si>
  <si>
    <t>스파크앤어소시에이츠</t>
    <phoneticPr fontId="11" type="noConversion"/>
  </si>
  <si>
    <t>4F-D11</t>
  </si>
  <si>
    <t>KEN 2 #05  / 2P 100A</t>
    <phoneticPr fontId="11" type="noConversion"/>
  </si>
  <si>
    <t>KEN 9 #05  / 2P 100A</t>
    <phoneticPr fontId="11" type="noConversion"/>
  </si>
  <si>
    <t>C1002</t>
  </si>
  <si>
    <t>4F-D12</t>
  </si>
  <si>
    <t>4F-D13</t>
  </si>
  <si>
    <t>4F-D14</t>
  </si>
  <si>
    <t>4F-D15</t>
  </si>
  <si>
    <t>4F-D16</t>
  </si>
  <si>
    <t>4F-D17</t>
  </si>
  <si>
    <t>에이엠네트웍스</t>
    <phoneticPr fontId="11" type="noConversion"/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</si>
  <si>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</si>
  <si>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</si>
  <si>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</si>
  <si>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</si>
  <si>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</si>
  <si>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</si>
  <si>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</si>
  <si>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1" type="noConversion"/>
  </si>
  <si>
    <t>4F-E11</t>
  </si>
  <si>
    <t>KEN 2 #06 / 2P 100A</t>
    <phoneticPr fontId="11" type="noConversion"/>
  </si>
  <si>
    <t>KEN 9 #06 / 2P 100A</t>
    <phoneticPr fontId="11" type="noConversion"/>
  </si>
  <si>
    <t>(주)엠에스정보통신</t>
    <phoneticPr fontId="11" type="noConversion"/>
  </si>
  <si>
    <t>4F-E12</t>
  </si>
  <si>
    <t>4F-E13</t>
  </si>
  <si>
    <t>경동사</t>
    <phoneticPr fontId="11" type="noConversion"/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</si>
  <si>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</si>
  <si>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</si>
  <si>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</si>
  <si>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</si>
  <si>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</si>
  <si>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</si>
  <si>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</si>
  <si>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</si>
  <si>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</si>
  <si>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</si>
  <si>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위즈커뮤니케이션</t>
    <phoneticPr fontId="11" type="noConversion"/>
  </si>
  <si>
    <t>4F-E22</t>
  </si>
  <si>
    <t>1구역 F열</t>
    <phoneticPr fontId="11" type="noConversion"/>
  </si>
  <si>
    <t xml:space="preserve">IES.YSM.S41, S42 </t>
    <phoneticPr fontId="11" type="noConversion"/>
  </si>
  <si>
    <t>4F-F11</t>
  </si>
  <si>
    <t>KEN 2 #07 / 2P 100A</t>
    <phoneticPr fontId="11" type="noConversion"/>
  </si>
  <si>
    <t>KEN 9 #07 / 2P 100A</t>
    <phoneticPr fontId="11" type="noConversion"/>
  </si>
  <si>
    <t>C802</t>
  </si>
  <si>
    <t>ANEXIA (에넥시아)</t>
    <phoneticPr fontId="11" type="noConversion"/>
  </si>
  <si>
    <t>4F-F12</t>
  </si>
  <si>
    <t>4F-F13</t>
  </si>
  <si>
    <t>윤커뮤니케이션</t>
    <phoneticPr fontId="11" type="noConversion"/>
  </si>
  <si>
    <t>4F-F14</t>
  </si>
  <si>
    <t>4F-F15</t>
  </si>
  <si>
    <t>세틀뱅크</t>
    <phoneticPr fontId="11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</si>
  <si>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</si>
  <si>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</si>
  <si>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</si>
  <si>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</si>
  <si>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</si>
  <si>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</si>
  <si>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</si>
  <si>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</si>
  <si>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㈜쏜다넷</t>
    <phoneticPr fontId="11" type="noConversion"/>
  </si>
  <si>
    <t>4F-F22</t>
  </si>
  <si>
    <t>1구역 G열</t>
    <phoneticPr fontId="11" type="noConversion"/>
  </si>
  <si>
    <t>위넷시스템</t>
    <phoneticPr fontId="11" type="noConversion"/>
  </si>
  <si>
    <t>4F-G11</t>
  </si>
  <si>
    <t>KEN 2 #08 / 2P 100A</t>
    <phoneticPr fontId="11" type="noConversion"/>
  </si>
  <si>
    <t>KEN 9 #08 / 2P 100A</t>
    <phoneticPr fontId="11" type="noConversion"/>
  </si>
  <si>
    <t>4F-G12</t>
  </si>
  <si>
    <t>4F-G13</t>
  </si>
  <si>
    <t>시스원</t>
    <phoneticPr fontId="11" type="noConversion"/>
  </si>
  <si>
    <t>4F-G14</t>
  </si>
  <si>
    <t>한국제이에스데이터시스템즈</t>
    <phoneticPr fontId="11" type="noConversion"/>
  </si>
  <si>
    <t>4F-G15</t>
  </si>
  <si>
    <t>KT 전송장비</t>
    <phoneticPr fontId="11" type="noConversion"/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</si>
  <si>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</si>
  <si>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</si>
  <si>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</si>
  <si>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</si>
  <si>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</si>
  <si>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</si>
  <si>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</si>
  <si>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</si>
  <si>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넷코어시스템</t>
    <phoneticPr fontId="11" type="noConversion"/>
  </si>
  <si>
    <t>4F-G22</t>
  </si>
  <si>
    <t>1구역 H열</t>
    <phoneticPr fontId="11" type="noConversion"/>
  </si>
  <si>
    <t>종로학평</t>
    <phoneticPr fontId="11" type="noConversion"/>
  </si>
  <si>
    <t>4F-H11</t>
  </si>
  <si>
    <t>KEN 1 #07 / 2P 100A</t>
    <phoneticPr fontId="11" type="noConversion"/>
  </si>
  <si>
    <t>KEN 8 #07 / 2P 100A</t>
    <phoneticPr fontId="11" type="noConversion"/>
  </si>
  <si>
    <t>4F-H12</t>
  </si>
  <si>
    <t>22/05/01 해지</t>
    <phoneticPr fontId="11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</si>
  <si>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</si>
  <si>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</si>
  <si>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</si>
  <si>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</si>
  <si>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</si>
  <si>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</si>
  <si>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</si>
  <si>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</si>
  <si>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</si>
  <si>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코인넷(콤지) &amp; 한국지에스티</t>
    <phoneticPr fontId="11" type="noConversion"/>
  </si>
  <si>
    <t>4F-H21</t>
  </si>
  <si>
    <t>2구역 J열</t>
    <phoneticPr fontId="11" type="noConversion"/>
  </si>
  <si>
    <t xml:space="preserve">IES.YSM.S43, S44 </t>
    <phoneticPr fontId="11" type="noConversion"/>
  </si>
  <si>
    <t>4F-J11</t>
    <phoneticPr fontId="11" type="noConversion"/>
  </si>
  <si>
    <t>KEN 1 #06 / 2P 100A</t>
    <phoneticPr fontId="11" type="noConversion"/>
  </si>
  <si>
    <t>KEN 8 #06</t>
    <phoneticPr fontId="11" type="noConversion"/>
  </si>
  <si>
    <t>4F-J12</t>
  </si>
  <si>
    <t>플러스아이</t>
    <phoneticPr fontId="11" type="noConversion"/>
  </si>
  <si>
    <t>4F-J13</t>
  </si>
  <si>
    <t>4F-J14</t>
  </si>
  <si>
    <t>4F-J15</t>
  </si>
  <si>
    <t>4F-J16</t>
  </si>
  <si>
    <t>4F-J17</t>
  </si>
  <si>
    <t>4F-J18</t>
  </si>
  <si>
    <t>비에스(BS)프린텍</t>
    <phoneticPr fontId="11" type="noConversion"/>
  </si>
  <si>
    <t>4F-J19</t>
  </si>
  <si>
    <t>4F-J20</t>
  </si>
  <si>
    <t>2구역 K열</t>
    <phoneticPr fontId="11" type="noConversion"/>
  </si>
  <si>
    <t>비브릭</t>
    <phoneticPr fontId="11" type="noConversion"/>
  </si>
  <si>
    <t>4F-K11</t>
    <phoneticPr fontId="11" type="noConversion"/>
  </si>
  <si>
    <t>KEN 3 #01 / 2P 100A</t>
    <phoneticPr fontId="11" type="noConversion"/>
  </si>
  <si>
    <t>KEN 10 #01 / 2P 100A</t>
    <phoneticPr fontId="11" type="noConversion"/>
  </si>
  <si>
    <t>KEN 3
4P 300A</t>
    <phoneticPr fontId="11" type="noConversion"/>
  </si>
  <si>
    <t>KEN 10
4P 300A</t>
    <phoneticPr fontId="11" type="noConversion"/>
  </si>
  <si>
    <t>LV-4B #03
(3P 320A)</t>
    <phoneticPr fontId="11" type="noConversion"/>
  </si>
  <si>
    <t>LV-4A #03
(3P 320A)</t>
    <phoneticPr fontId="11" type="noConversion"/>
  </si>
  <si>
    <t>리턴</t>
    <phoneticPr fontId="11" type="noConversion"/>
  </si>
  <si>
    <t>4F-K12</t>
  </si>
  <si>
    <t>주식회사 클라우드업</t>
    <phoneticPr fontId="11" type="noConversion"/>
  </si>
  <si>
    <t>4F-K13</t>
  </si>
  <si>
    <t>캐스트이즈</t>
    <phoneticPr fontId="11" type="noConversion"/>
  </si>
  <si>
    <t>4F-K14</t>
  </si>
  <si>
    <t>4F-K15</t>
  </si>
  <si>
    <t>4F-K16</t>
  </si>
  <si>
    <t>티엔씨테크날로지</t>
    <phoneticPr fontId="11" type="noConversion"/>
  </si>
  <si>
    <t>4F-K17</t>
  </si>
  <si>
    <t>4F-K18</t>
  </si>
  <si>
    <t>4F-K19</t>
  </si>
  <si>
    <t>4F-K20</t>
  </si>
  <si>
    <t>2구역 L열</t>
    <phoneticPr fontId="11" type="noConversion"/>
  </si>
  <si>
    <t>4F-L11</t>
    <phoneticPr fontId="11" type="noConversion"/>
  </si>
  <si>
    <t>KEN 3 #02 / 2P 100A</t>
    <phoneticPr fontId="11" type="noConversion"/>
  </si>
  <si>
    <t>KEN 10 #02 / 2P 100A</t>
    <phoneticPr fontId="11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</si>
  <si>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</si>
  <si>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</si>
  <si>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</si>
  <si>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</si>
  <si>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</si>
  <si>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</si>
  <si>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</si>
  <si>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</si>
  <si>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</si>
  <si>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1" type="noConversion"/>
  </si>
  <si>
    <t>4F-M11</t>
    <phoneticPr fontId="11" type="noConversion"/>
  </si>
  <si>
    <t>KEN 3 #03 / 2P 100A</t>
    <phoneticPr fontId="11" type="noConversion"/>
  </si>
  <si>
    <t>KEN 10 #03 / 2P 100A</t>
    <phoneticPr fontId="11" type="noConversion"/>
  </si>
  <si>
    <t>4F-M12</t>
  </si>
  <si>
    <t>Singtel</t>
    <phoneticPr fontId="11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</si>
  <si>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</si>
  <si>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</si>
  <si>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</si>
  <si>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</si>
  <si>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</si>
  <si>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</si>
  <si>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</si>
  <si>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</si>
  <si>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</si>
  <si>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</si>
  <si>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2구역 N열</t>
    <phoneticPr fontId="11" type="noConversion"/>
  </si>
  <si>
    <t>4F-N11</t>
    <phoneticPr fontId="11" type="noConversion"/>
  </si>
  <si>
    <t>KEN 3 #04 / 2P 100A</t>
    <phoneticPr fontId="11" type="noConversion"/>
  </si>
  <si>
    <t>KEN 10 #04 / 2P 100A</t>
    <phoneticPr fontId="11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</si>
  <si>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</si>
  <si>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</si>
  <si>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</si>
  <si>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</si>
  <si>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</si>
  <si>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</si>
  <si>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</si>
  <si>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</si>
  <si>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</si>
  <si>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</si>
  <si>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</si>
  <si>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</si>
  <si>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1" type="noConversion"/>
  </si>
  <si>
    <t>4F-Z11</t>
    <phoneticPr fontId="11" type="noConversion"/>
  </si>
  <si>
    <t>KEN 3 #5 / 2P 100A</t>
    <phoneticPr fontId="11" type="noConversion"/>
  </si>
  <si>
    <t>KEN 10 #5 / 2P 100A</t>
    <phoneticPr fontId="11" type="noConversion"/>
  </si>
  <si>
    <t>spare</t>
    <phoneticPr fontId="11" type="noConversion"/>
  </si>
  <si>
    <t>4F-Z12</t>
  </si>
  <si>
    <t>4F-Z13</t>
  </si>
  <si>
    <t>4F-Z14</t>
  </si>
  <si>
    <t>G3202</t>
    <phoneticPr fontId="11" type="noConversion"/>
  </si>
  <si>
    <t>BMW</t>
    <phoneticPr fontId="11" type="noConversion"/>
  </si>
  <si>
    <t>4F Cage4-R02 (BMW)</t>
    <phoneticPr fontId="11" type="noConversion"/>
  </si>
  <si>
    <t>N #02</t>
    <phoneticPr fontId="11" type="noConversion"/>
  </si>
  <si>
    <t>G3203</t>
  </si>
  <si>
    <t>BMW</t>
  </si>
  <si>
    <t>4F Cage4-R03 (BMW)</t>
    <phoneticPr fontId="11" type="noConversion"/>
  </si>
  <si>
    <t>N #04 &amp; N #05</t>
    <phoneticPr fontId="11" type="noConversion"/>
  </si>
  <si>
    <t>4F Cage4-R04 (BMW)</t>
  </si>
  <si>
    <t>N #01 &amp; N #03</t>
    <phoneticPr fontId="11" type="noConversion"/>
  </si>
  <si>
    <t>4F Cage4-R05 (BMW)</t>
    <phoneticPr fontId="11" type="noConversion"/>
  </si>
  <si>
    <t>N #06</t>
    <phoneticPr fontId="11" type="noConversion"/>
  </si>
  <si>
    <t>3구역 O열</t>
    <phoneticPr fontId="11" type="noConversion"/>
  </si>
  <si>
    <t>G3103</t>
    <phoneticPr fontId="11" type="noConversion"/>
  </si>
  <si>
    <r>
      <t xml:space="preserve">4F Cage4-R06 (BMW) </t>
    </r>
    <r>
      <rPr>
        <b/>
        <sz val="8"/>
        <rFont val="돋움"/>
        <family val="3"/>
        <charset val="129"/>
      </rPr>
      <t>(미사용)</t>
    </r>
    <phoneticPr fontId="11" type="noConversion"/>
  </si>
  <si>
    <t>KEN 3 #6 / 2P 100A</t>
    <phoneticPr fontId="11" type="noConversion"/>
  </si>
  <si>
    <t>KEN 10 #6 / 2P 100A</t>
    <phoneticPr fontId="11" type="noConversion"/>
  </si>
  <si>
    <t>O #01</t>
    <phoneticPr fontId="11" type="noConversion"/>
  </si>
  <si>
    <t>G3102</t>
    <phoneticPr fontId="11" type="noConversion"/>
  </si>
  <si>
    <t>O #03</t>
    <phoneticPr fontId="11" type="noConversion"/>
  </si>
  <si>
    <t>㈜전자조달연구원</t>
    <phoneticPr fontId="11" type="noConversion"/>
  </si>
  <si>
    <t>4F-O20</t>
  </si>
  <si>
    <t>B516</t>
  </si>
  <si>
    <t>한국인터넷진흥원 &amp; ㈜엘리스정보기술</t>
    <phoneticPr fontId="11" type="noConversion"/>
  </si>
  <si>
    <t>4F-O19</t>
  </si>
  <si>
    <t>B517</t>
  </si>
  <si>
    <t>에스씨지랩㈜</t>
    <phoneticPr fontId="11" type="noConversion"/>
  </si>
  <si>
    <t>4F-O18</t>
  </si>
  <si>
    <t>B518</t>
  </si>
  <si>
    <t>주식회사 네토즈</t>
    <phoneticPr fontId="11" type="noConversion"/>
  </si>
  <si>
    <t>4F-O17</t>
  </si>
  <si>
    <t>B519</t>
  </si>
  <si>
    <t>주식회사 하이오토클럽</t>
    <phoneticPr fontId="11" type="noConversion"/>
  </si>
  <si>
    <t>4F-O16</t>
  </si>
  <si>
    <t>B520</t>
  </si>
  <si>
    <t>소셜라이브</t>
    <phoneticPr fontId="11" type="noConversion"/>
  </si>
  <si>
    <t>4F-O15</t>
  </si>
  <si>
    <t>B521</t>
  </si>
  <si>
    <t>4F-O14</t>
  </si>
  <si>
    <t>B522</t>
  </si>
  <si>
    <t>4F-O13</t>
  </si>
  <si>
    <t>B523</t>
  </si>
  <si>
    <t>주식회사 대림아이앤티</t>
    <phoneticPr fontId="11" type="noConversion"/>
  </si>
  <si>
    <t>4F-O12</t>
  </si>
  <si>
    <t>B524</t>
  </si>
  <si>
    <t>오리엔탈문</t>
    <phoneticPr fontId="11" type="noConversion"/>
  </si>
  <si>
    <t>4F-O11</t>
  </si>
  <si>
    <t>3구역 P열</t>
    <phoneticPr fontId="11" type="noConversion"/>
  </si>
  <si>
    <t>4F-P20</t>
  </si>
  <si>
    <t>KEN 3 #7 / 2P 100A</t>
    <phoneticPr fontId="11" type="noConversion"/>
  </si>
  <si>
    <t>KEN 10 #7 / 2P 100A</t>
    <phoneticPr fontId="11" type="noConversion"/>
  </si>
  <si>
    <t>4F-P19</t>
    <phoneticPr fontId="11" type="noConversion"/>
  </si>
  <si>
    <t>4F-P18</t>
  </si>
  <si>
    <t>인피니소프트</t>
    <phoneticPr fontId="11" type="noConversion"/>
  </si>
  <si>
    <t>4F-P17</t>
  </si>
  <si>
    <t>4F-P16</t>
  </si>
  <si>
    <t>세종 부가서비스용</t>
    <phoneticPr fontId="11" type="noConversion"/>
  </si>
  <si>
    <t>4F-P15</t>
  </si>
  <si>
    <t>동광인터내셔날</t>
    <phoneticPr fontId="11" type="noConversion"/>
  </si>
  <si>
    <t>4F-P14</t>
  </si>
  <si>
    <t>세종 호스팅 고객 수용</t>
    <phoneticPr fontId="11" type="noConversion"/>
  </si>
  <si>
    <t>4F-P13</t>
  </si>
  <si>
    <t>4F-P12</t>
  </si>
  <si>
    <t>4F-P11</t>
  </si>
  <si>
    <t>3구역 Q열</t>
    <phoneticPr fontId="11" type="noConversion"/>
  </si>
  <si>
    <t>4F-Q20</t>
    <phoneticPr fontId="11" type="noConversion"/>
  </si>
  <si>
    <t>KEN 3 #8 / 2P 100A</t>
    <phoneticPr fontId="11" type="noConversion"/>
  </si>
  <si>
    <t>KEN 10 #8 / 2P 100A</t>
    <phoneticPr fontId="11" type="noConversion"/>
  </si>
  <si>
    <t>순테크솔루션</t>
  </si>
  <si>
    <t>4F-Q19</t>
  </si>
  <si>
    <t>4F-Q18</t>
    <phoneticPr fontId="11" type="noConversion"/>
  </si>
  <si>
    <t>4F-Q17</t>
  </si>
  <si>
    <t>4F-Q16</t>
  </si>
  <si>
    <t>4F-Q15</t>
  </si>
  <si>
    <t>4F-Q14</t>
  </si>
  <si>
    <t>4F-Q13</t>
  </si>
  <si>
    <t>4F-Q12</t>
  </si>
  <si>
    <t>OFD(IDC서비스용)</t>
    <phoneticPr fontId="11" type="noConversion"/>
  </si>
  <si>
    <t>4F-Q11</t>
  </si>
  <si>
    <t>3구역 R열</t>
    <phoneticPr fontId="11" type="noConversion"/>
  </si>
  <si>
    <t>4F-R20</t>
  </si>
  <si>
    <t>KEN 3 #9 / 2P 100A</t>
    <phoneticPr fontId="11" type="noConversion"/>
  </si>
  <si>
    <t>KEN 10 #9 / 2P 100A</t>
    <phoneticPr fontId="11" type="noConversion"/>
  </si>
  <si>
    <t>4F-R19</t>
    <phoneticPr fontId="11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</si>
  <si>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</si>
  <si>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</si>
  <si>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</si>
  <si>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</si>
  <si>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</si>
  <si>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</si>
  <si>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</si>
  <si>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</si>
  <si>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1" type="noConversion"/>
  </si>
  <si>
    <t>㈜미디어꾼</t>
    <phoneticPr fontId="11" type="noConversion"/>
  </si>
  <si>
    <t>4F-S20</t>
  </si>
  <si>
    <t>KEN 3 #10 / 2P 100A</t>
    <phoneticPr fontId="11" type="noConversion"/>
  </si>
  <si>
    <t>KEN 10 #10 / 2P 100A</t>
    <phoneticPr fontId="11" type="noConversion"/>
  </si>
  <si>
    <t>B116</t>
  </si>
  <si>
    <t>순테크솔루션</t>
    <phoneticPr fontId="11" type="noConversion"/>
  </si>
  <si>
    <t>4F-S19</t>
    <phoneticPr fontId="11" type="noConversion"/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</si>
  <si>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</si>
  <si>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</si>
  <si>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</si>
  <si>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</si>
  <si>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</si>
  <si>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</si>
  <si>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</si>
  <si>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</si>
  <si>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1" type="noConversion"/>
  </si>
  <si>
    <t>G3201</t>
    <phoneticPr fontId="11" type="noConversion"/>
  </si>
  <si>
    <t>4F Cage4-R01 (BMW)</t>
    <phoneticPr fontId="11" type="noConversion"/>
  </si>
  <si>
    <t>KEN 6 #09 / 2P 100A</t>
    <phoneticPr fontId="11" type="noConversion"/>
  </si>
  <si>
    <t>KEN 13 #09 / 2P 100A</t>
    <phoneticPr fontId="11" type="noConversion"/>
  </si>
  <si>
    <t>KEN 6
4P 300A</t>
    <phoneticPr fontId="11" type="noConversion"/>
  </si>
  <si>
    <t>KEN 13
4P 300A</t>
    <phoneticPr fontId="11" type="noConversion"/>
  </si>
  <si>
    <t>LV-4B #04
(3P 320A)</t>
    <phoneticPr fontId="11" type="noConversion"/>
  </si>
  <si>
    <t>LV-4A #04
(3P 320A)</t>
    <phoneticPr fontId="11" type="noConversion"/>
  </si>
  <si>
    <t>Cage 1-1-02 &amp; 03 (총 4회로)</t>
    <phoneticPr fontId="11" type="noConversion"/>
  </si>
  <si>
    <t>Café 1-1-01 (2회로)</t>
    <phoneticPr fontId="11" type="noConversion"/>
  </si>
  <si>
    <t>K 1-2</t>
    <phoneticPr fontId="11" type="noConversion"/>
  </si>
  <si>
    <t>KEN 6 #10 / 2P 100A</t>
  </si>
  <si>
    <t>KEN 13 #10 / 2P 100A</t>
  </si>
  <si>
    <t>K 2-1</t>
    <phoneticPr fontId="11" type="noConversion"/>
  </si>
  <si>
    <t>G2306</t>
    <phoneticPr fontId="11" type="noConversion"/>
  </si>
  <si>
    <t>4F Cage3-R01</t>
    <phoneticPr fontId="11" type="noConversion"/>
  </si>
  <si>
    <t>KEN 6 #01 / 2P 100A</t>
    <phoneticPr fontId="11" type="noConversion"/>
  </si>
  <si>
    <t>KEN 13 #01 / 2P 100A</t>
    <phoneticPr fontId="11" type="noConversion"/>
  </si>
  <si>
    <t>G2305</t>
    <phoneticPr fontId="11" type="noConversion"/>
  </si>
  <si>
    <t>4F Cage3-R02</t>
  </si>
  <si>
    <t>G2304</t>
    <phoneticPr fontId="11" type="noConversion"/>
  </si>
  <si>
    <t>4F Cage3-R03</t>
  </si>
  <si>
    <t>G2303</t>
    <phoneticPr fontId="11" type="noConversion"/>
  </si>
  <si>
    <t>4F Cage3-R04</t>
  </si>
  <si>
    <t>G2302</t>
    <phoneticPr fontId="11" type="noConversion"/>
  </si>
  <si>
    <t>4F Cage3-R05</t>
  </si>
  <si>
    <t>G2301</t>
    <phoneticPr fontId="11" type="noConversion"/>
  </si>
  <si>
    <t>4F Cage3-R06</t>
  </si>
  <si>
    <t>K 2-2</t>
    <phoneticPr fontId="11" type="noConversion"/>
  </si>
  <si>
    <t>G2205</t>
    <phoneticPr fontId="11" type="noConversion"/>
  </si>
  <si>
    <t>4F Cage3-R08</t>
    <phoneticPr fontId="11" type="noConversion"/>
  </si>
  <si>
    <t>KEN 6 #03 / 2P 100A</t>
    <phoneticPr fontId="11" type="noConversion"/>
  </si>
  <si>
    <t>KEN 13 #03 / 2P 100A</t>
    <phoneticPr fontId="11" type="noConversion"/>
  </si>
  <si>
    <t>4F Cage3-R10</t>
    <phoneticPr fontId="11" type="noConversion"/>
  </si>
  <si>
    <t>G2201</t>
    <phoneticPr fontId="11" type="noConversion"/>
  </si>
  <si>
    <t>4F Cage3-R12</t>
    <phoneticPr fontId="11" type="noConversion"/>
  </si>
  <si>
    <t>K 2-3</t>
    <phoneticPr fontId="11" type="noConversion"/>
  </si>
  <si>
    <t>G2206</t>
    <phoneticPr fontId="11" type="noConversion"/>
  </si>
  <si>
    <t>4F Cage3-R07</t>
    <phoneticPr fontId="11" type="noConversion"/>
  </si>
  <si>
    <t>KEN 6 #05 / 2P 100A</t>
    <phoneticPr fontId="11" type="noConversion"/>
  </si>
  <si>
    <t>KEN 13 #05 / 2P 100A</t>
    <phoneticPr fontId="11" type="noConversion"/>
  </si>
  <si>
    <t>G2204</t>
    <phoneticPr fontId="11" type="noConversion"/>
  </si>
  <si>
    <t>4F Cage3-R09</t>
    <phoneticPr fontId="11" type="noConversion"/>
  </si>
  <si>
    <t>G2202</t>
    <phoneticPr fontId="11" type="noConversion"/>
  </si>
  <si>
    <t>4F Cage3-R11</t>
    <phoneticPr fontId="11" type="noConversion"/>
  </si>
  <si>
    <t>K 2-4</t>
    <phoneticPr fontId="11" type="noConversion"/>
  </si>
  <si>
    <t>G2106</t>
    <phoneticPr fontId="11" type="noConversion"/>
  </si>
  <si>
    <t>4F Cage3-R13</t>
    <phoneticPr fontId="11" type="noConversion"/>
  </si>
  <si>
    <t>KEN 6 #07 / 2P 100A</t>
    <phoneticPr fontId="11" type="noConversion"/>
  </si>
  <si>
    <t>KEN 13 #07 / 2P 100A</t>
    <phoneticPr fontId="11" type="noConversion"/>
  </si>
  <si>
    <t>G2105</t>
    <phoneticPr fontId="11" type="noConversion"/>
  </si>
  <si>
    <t>4F Cage3-R14</t>
  </si>
  <si>
    <t>G2104</t>
    <phoneticPr fontId="11" type="noConversion"/>
  </si>
  <si>
    <t>4F Cage3-R15</t>
  </si>
  <si>
    <t>G2103</t>
    <phoneticPr fontId="11" type="noConversion"/>
  </si>
  <si>
    <t>4F Cage3-R16</t>
  </si>
  <si>
    <t>K 3-1</t>
    <phoneticPr fontId="11" type="noConversion"/>
  </si>
  <si>
    <t>미디어꾼</t>
    <phoneticPr fontId="11" type="noConversion"/>
  </si>
  <si>
    <t>4F Cage2-R15</t>
    <phoneticPr fontId="11" type="noConversion"/>
  </si>
  <si>
    <t>KEN 6 #02 / 2P 100A</t>
    <phoneticPr fontId="11" type="noConversion"/>
  </si>
  <si>
    <t>KEN 13 #02 / 2P 100A</t>
    <phoneticPr fontId="11" type="noConversion"/>
  </si>
  <si>
    <t>미디어꾼(구)윈텔)</t>
    <phoneticPr fontId="11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</si>
  <si>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</si>
  <si>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</si>
  <si>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</si>
  <si>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</si>
  <si>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</si>
  <si>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</si>
  <si>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</si>
  <si>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</si>
  <si>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</si>
  <si>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</si>
  <si>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1" type="noConversion"/>
  </si>
  <si>
    <t>G1203</t>
    <phoneticPr fontId="11" type="noConversion"/>
  </si>
  <si>
    <t>4F Cage2-R10</t>
    <phoneticPr fontId="11" type="noConversion"/>
  </si>
  <si>
    <t>KEN 6 #04 / 2P 100A</t>
    <phoneticPr fontId="11" type="noConversion"/>
  </si>
  <si>
    <t>KEN 13 #04 / 2P 100A</t>
    <phoneticPr fontId="11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</si>
  <si>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</si>
  <si>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</si>
  <si>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</si>
  <si>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</si>
  <si>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</si>
  <si>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</si>
  <si>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1" type="noConversion"/>
  </si>
  <si>
    <t>4F Cage2-R08</t>
    <phoneticPr fontId="11" type="noConversion"/>
  </si>
  <si>
    <t>KEN 6 #06 / 2P 100A</t>
    <phoneticPr fontId="11" type="noConversion"/>
  </si>
  <si>
    <t>KEN 13 #06 / 2P 100A</t>
    <phoneticPr fontId="11" type="noConversion"/>
  </si>
  <si>
    <t>4F Cage2-R09</t>
  </si>
  <si>
    <t>G1302</t>
    <phoneticPr fontId="11" type="noConversion"/>
  </si>
  <si>
    <t>4F Cage2-R02</t>
    <phoneticPr fontId="11" type="noConversion"/>
  </si>
  <si>
    <t>K 3-4</t>
    <phoneticPr fontId="11" type="noConversion"/>
  </si>
  <si>
    <t>G1301</t>
    <phoneticPr fontId="11" type="noConversion"/>
  </si>
  <si>
    <t>4F Cage2-R01</t>
    <phoneticPr fontId="11" type="noConversion"/>
  </si>
  <si>
    <t>KEN 6 #08 / 2P 100A</t>
    <phoneticPr fontId="11" type="noConversion"/>
  </si>
  <si>
    <t>KEN 13 #08 / 2P 100A</t>
    <phoneticPr fontId="11" type="noConversion"/>
  </si>
  <si>
    <t>미디어꾼(구)윈텔)</t>
  </si>
  <si>
    <t>G1303</t>
    <phoneticPr fontId="11" type="noConversion"/>
  </si>
  <si>
    <t>4F Cage2-R03</t>
    <phoneticPr fontId="11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</si>
  <si>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</si>
  <si>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</si>
  <si>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</si>
  <si>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</si>
  <si>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</si>
  <si>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</si>
  <si>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</si>
  <si>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</si>
  <si>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</si>
  <si>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</si>
  <si>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</si>
  <si>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</si>
  <si>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1" type="noConversion"/>
  </si>
  <si>
    <t>부하명</t>
  </si>
  <si>
    <t>배선연결</t>
    <phoneticPr fontId="11" type="noConversion"/>
  </si>
  <si>
    <t>ON/OFF</t>
  </si>
  <si>
    <t>R</t>
    <phoneticPr fontId="11" type="noConversion"/>
  </si>
  <si>
    <t>S</t>
    <phoneticPr fontId="11" type="noConversion"/>
  </si>
  <si>
    <t>T</t>
    <phoneticPr fontId="11" type="noConversion"/>
  </si>
  <si>
    <t>N</t>
    <phoneticPr fontId="11" type="noConversion"/>
  </si>
  <si>
    <t>CB 용량</t>
    <phoneticPr fontId="11" type="noConversion"/>
  </si>
  <si>
    <t>NO.</t>
    <phoneticPr fontId="11" type="noConversion"/>
  </si>
  <si>
    <t>DEK LOC #01</t>
  </si>
  <si>
    <t>O</t>
    <phoneticPr fontId="31" type="noConversion"/>
  </si>
  <si>
    <t>ON</t>
  </si>
  <si>
    <t>2P 30A</t>
    <phoneticPr fontId="11" type="noConversion"/>
  </si>
  <si>
    <t>#01</t>
    <phoneticPr fontId="11" type="noConversion"/>
  </si>
  <si>
    <t>#02</t>
  </si>
  <si>
    <t>O</t>
    <phoneticPr fontId="0" type="noConversion"/>
  </si>
  <si>
    <t>SECURITY #02</t>
  </si>
  <si>
    <t>DEK LOC #03</t>
  </si>
  <si>
    <t>#03</t>
    <phoneticPr fontId="11" type="noConversion"/>
  </si>
  <si>
    <t>#04</t>
  </si>
  <si>
    <t>OFF</t>
    <phoneticPr fontId="0" type="noConversion"/>
  </si>
  <si>
    <t>KIOSK #04</t>
  </si>
  <si>
    <t>DEK LOC #05</t>
  </si>
  <si>
    <t>#05</t>
    <phoneticPr fontId="11" type="noConversion"/>
  </si>
  <si>
    <t>#06</t>
  </si>
  <si>
    <t>RACK #06</t>
  </si>
  <si>
    <t>X</t>
    <phoneticPr fontId="17" type="noConversion"/>
  </si>
  <si>
    <t>OFF</t>
    <phoneticPr fontId="31" type="noConversion"/>
  </si>
  <si>
    <t>#07</t>
    <phoneticPr fontId="11" type="noConversion"/>
  </si>
  <si>
    <t>#08</t>
  </si>
  <si>
    <t>통합경보반 #08</t>
  </si>
  <si>
    <t>#09</t>
    <phoneticPr fontId="11" type="noConversion"/>
  </si>
  <si>
    <t>#10</t>
  </si>
  <si>
    <t>2P 30A</t>
  </si>
  <si>
    <t>#11</t>
    <phoneticPr fontId="11" type="noConversion"/>
  </si>
  <si>
    <t>#12</t>
  </si>
  <si>
    <t>#13</t>
    <phoneticPr fontId="11" type="noConversion"/>
  </si>
  <si>
    <t>#14</t>
  </si>
  <si>
    <t>#15</t>
    <phoneticPr fontId="11" type="noConversion"/>
  </si>
  <si>
    <t>#16</t>
  </si>
  <si>
    <t>#17</t>
    <phoneticPr fontId="11" type="noConversion"/>
  </si>
  <si>
    <t>#18</t>
  </si>
  <si>
    <t>SELABLE #18</t>
  </si>
  <si>
    <t>SJT 모니터 #19</t>
  </si>
  <si>
    <t>#19</t>
    <phoneticPr fontId="11" type="noConversion"/>
  </si>
  <si>
    <t>#20</t>
  </si>
  <si>
    <t>SELABLE #20</t>
  </si>
  <si>
    <t>STJ 사무실 # 21</t>
  </si>
  <si>
    <t>#21</t>
    <phoneticPr fontId="11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</si>
  <si>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</si>
  <si>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</si>
  <si>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</si>
  <si>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</si>
  <si>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</si>
  <si>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</si>
  <si>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</si>
  <si>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</si>
  <si>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</si>
  <si>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</si>
  <si>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</si>
  <si>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</si>
  <si>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</si>
  <si>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2023    년   9 월      27 일</t>
  </si>
  <si>
    <t>UPS 출력 분전반 A1(From:7F 창고)</t>
    <phoneticPr fontId="17" type="noConversion"/>
  </si>
  <si>
    <t>Main CB   4P 400A</t>
    <phoneticPr fontId="11" type="noConversion"/>
  </si>
  <si>
    <t>부하명</t>
    <phoneticPr fontId="11" type="noConversion"/>
  </si>
  <si>
    <t>W-DCS 8000</t>
    <phoneticPr fontId="17" type="noConversion"/>
  </si>
  <si>
    <t>O</t>
    <phoneticPr fontId="17" type="noConversion"/>
  </si>
  <si>
    <t>2P 20A</t>
    <phoneticPr fontId="11" type="noConversion"/>
  </si>
  <si>
    <t>#01</t>
  </si>
  <si>
    <t>전송</t>
    <phoneticPr fontId="17" type="noConversion"/>
  </si>
  <si>
    <t>O</t>
  </si>
  <si>
    <t>TO 8F 보안실 UPS항온
항습기 모니터용PC</t>
    <phoneticPr fontId="17" type="noConversion"/>
  </si>
  <si>
    <t>??</t>
    <phoneticPr fontId="11" type="noConversion"/>
  </si>
  <si>
    <t>#03</t>
  </si>
  <si>
    <t>넷피플</t>
    <phoneticPr fontId="17" type="noConversion"/>
  </si>
  <si>
    <t>E-4-B</t>
    <phoneticPr fontId="17" type="noConversion"/>
  </si>
  <si>
    <t>#05</t>
  </si>
  <si>
    <t>OFF</t>
    <phoneticPr fontId="17" type="noConversion"/>
  </si>
  <si>
    <t>E-3-B</t>
    <phoneticPr fontId="17" type="noConversion"/>
  </si>
  <si>
    <t>517 BAY</t>
    <phoneticPr fontId="17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</si>
  <si>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</si>
  <si>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1" type="noConversion"/>
  </si>
  <si>
    <t>Voice사업팀 MMS용-B</t>
    <phoneticPr fontId="17" type="noConversion"/>
  </si>
  <si>
    <t>#09</t>
  </si>
  <si>
    <t>IDC</t>
    <phoneticPr fontId="17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</si>
  <si>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1" type="noConversion"/>
  </si>
  <si>
    <t>Voice사업팀 D-7 RACK</t>
    <phoneticPr fontId="17" type="noConversion"/>
  </si>
  <si>
    <t>ON</t>
    <phoneticPr fontId="17" type="noConversion"/>
  </si>
  <si>
    <t>#11</t>
  </si>
  <si>
    <t>니즈텔레콤</t>
    <phoneticPr fontId="17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</si>
  <si>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1" type="noConversion"/>
  </si>
  <si>
    <t>ONS1064 SERVER</t>
    <phoneticPr fontId="17" type="noConversion"/>
  </si>
  <si>
    <t>#13</t>
  </si>
  <si>
    <t>엑사넷</t>
    <phoneticPr fontId="17" type="noConversion"/>
  </si>
  <si>
    <t>E-8-B</t>
  </si>
  <si>
    <t>NTT 하-1</t>
    <phoneticPr fontId="17" type="noConversion"/>
  </si>
  <si>
    <t>#15</t>
  </si>
  <si>
    <t>델피콤</t>
    <phoneticPr fontId="11" type="noConversion"/>
  </si>
  <si>
    <t>F-5-B</t>
  </si>
  <si>
    <t>8층 보안실 CCTV 모니터</t>
    <phoneticPr fontId="17" type="noConversion"/>
  </si>
  <si>
    <t>#17</t>
  </si>
  <si>
    <t>공통</t>
    <phoneticPr fontId="17" type="noConversion"/>
  </si>
  <si>
    <t>CARANG ('23.09.19)</t>
  </si>
  <si>
    <t>C604 / F-7-A</t>
  </si>
  <si>
    <t>G-10-A</t>
    <phoneticPr fontId="17" type="noConversion"/>
  </si>
  <si>
    <t>#19</t>
  </si>
  <si>
    <t>신한금융투자</t>
  </si>
  <si>
    <t>인터넷운영팀MAN
 RACK#2 전원A</t>
  </si>
  <si>
    <t>NTT 하-3</t>
    <phoneticPr fontId="17" type="noConversion"/>
  </si>
  <si>
    <t>#21</t>
  </si>
  <si>
    <t>NTT</t>
    <phoneticPr fontId="17" type="noConversion"/>
  </si>
  <si>
    <t>G-4-B</t>
  </si>
  <si>
    <t>C-7-A-Q1</t>
    <phoneticPr fontId="17" type="noConversion"/>
  </si>
  <si>
    <t>#23</t>
  </si>
  <si>
    <t>NTT</t>
    <phoneticPr fontId="11" type="noConversion"/>
  </si>
  <si>
    <t>#24</t>
  </si>
  <si>
    <t>G-6-B</t>
  </si>
  <si>
    <t>인터넷운영팀MAN
 RACK#2 전원B</t>
    <phoneticPr fontId="17" type="noConversion"/>
  </si>
  <si>
    <t>#25</t>
  </si>
  <si>
    <t>교환라우터(총무팀 ??)</t>
    <phoneticPr fontId="11" type="noConversion"/>
  </si>
  <si>
    <t>#26</t>
  </si>
  <si>
    <t>F-3-B</t>
  </si>
  <si>
    <t>NMS B-15</t>
    <phoneticPr fontId="17" type="noConversion"/>
  </si>
  <si>
    <t>#27</t>
  </si>
  <si>
    <t>#28</t>
  </si>
  <si>
    <t>NMS B-16</t>
    <phoneticPr fontId="17" type="noConversion"/>
  </si>
  <si>
    <t>#29</t>
  </si>
  <si>
    <t>#30</t>
  </si>
  <si>
    <t>#31</t>
  </si>
  <si>
    <t>#32</t>
  </si>
  <si>
    <t>전산랙 410BAY(B)</t>
    <phoneticPr fontId="11" type="noConversion"/>
  </si>
  <si>
    <t>G-5-B</t>
    <phoneticPr fontId="17" type="noConversion"/>
  </si>
  <si>
    <t>#33</t>
  </si>
  <si>
    <t>#34</t>
  </si>
  <si>
    <t>D-6-B</t>
  </si>
  <si>
    <t>G-1-B</t>
    <phoneticPr fontId="17" type="noConversion"/>
  </si>
  <si>
    <t>#35</t>
  </si>
  <si>
    <t>르네트</t>
    <phoneticPr fontId="17" type="noConversion"/>
  </si>
  <si>
    <t>#36</t>
  </si>
  <si>
    <t>E-9-B</t>
  </si>
  <si>
    <t>C-7-B-Q1</t>
    <phoneticPr fontId="17" type="noConversion"/>
  </si>
  <si>
    <t>#37</t>
  </si>
  <si>
    <t>#38</t>
  </si>
  <si>
    <t>D-7-B</t>
  </si>
  <si>
    <t>G-2-B</t>
    <phoneticPr fontId="17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</si>
  <si>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</si>
  <si>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</si>
  <si>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1" type="noConversion"/>
  </si>
  <si>
    <t>총합:</t>
    <phoneticPr fontId="17" type="noConversion"/>
  </si>
  <si>
    <t>U3-7B PANEL(From:TRroom-U7-6B)</t>
    <phoneticPr fontId="17" type="noConversion"/>
  </si>
  <si>
    <t>Main CB   4P 300A</t>
    <phoneticPr fontId="11" type="noConversion"/>
  </si>
  <si>
    <t>G-3-B (NTT#8-B)</t>
  </si>
  <si>
    <t>쿼드마이너</t>
  </si>
  <si>
    <t>C503</t>
    <phoneticPr fontId="17" type="noConversion"/>
  </si>
  <si>
    <t>쿼드마이너 예약상면</t>
  </si>
  <si>
    <t>7B-342BAY</t>
  </si>
  <si>
    <t>인터넷 IP 랙</t>
  </si>
  <si>
    <t>U3-7B-D1</t>
    <phoneticPr fontId="17" type="noConversion"/>
  </si>
  <si>
    <t>OFF</t>
  </si>
  <si>
    <t>NTT</t>
  </si>
  <si>
    <t>U3-7B-D5 B</t>
    <phoneticPr fontId="17" type="noConversion"/>
  </si>
  <si>
    <t>241BAY-B</t>
  </si>
  <si>
    <t>전송</t>
    <phoneticPr fontId="11" type="noConversion"/>
  </si>
  <si>
    <t>U3-7B-337</t>
    <phoneticPr fontId="31" type="noConversion"/>
  </si>
  <si>
    <t>242BAY-B</t>
  </si>
  <si>
    <t>7F-C-6-NTT#3-B</t>
    <phoneticPr fontId="11" type="noConversion"/>
  </si>
  <si>
    <t>209Bay - B</t>
    <phoneticPr fontId="11" type="noConversion"/>
  </si>
  <si>
    <t>U3-7B G-3-B</t>
    <phoneticPr fontId="11" type="noConversion"/>
  </si>
  <si>
    <t>210Bay - B</t>
    <phoneticPr fontId="11" type="noConversion"/>
  </si>
  <si>
    <t>DEKR Network Rack</t>
    <phoneticPr fontId="11" type="noConversion"/>
  </si>
  <si>
    <t>218Bay - A전원
('22.01.12 투입)</t>
    <phoneticPr fontId="11" type="noConversion"/>
  </si>
  <si>
    <t>TATA#1/B</t>
  </si>
  <si>
    <t>TATA</t>
    <phoneticPr fontId="11" type="noConversion"/>
  </si>
  <si>
    <t>217Bay - A전원
('22.01.12 투입)</t>
    <phoneticPr fontId="11" type="noConversion"/>
  </si>
  <si>
    <t>208BAY-B</t>
  </si>
  <si>
    <t>318Bay - DEK Network Rack</t>
    <phoneticPr fontId="11" type="noConversion"/>
  </si>
  <si>
    <t>318BAY-B
U3-7B-18</t>
    <phoneticPr fontId="11" type="noConversion"/>
  </si>
  <si>
    <t>207BAY-B</t>
  </si>
  <si>
    <t>317Bay - DEK Network Rack</t>
    <phoneticPr fontId="11" type="noConversion"/>
  </si>
  <si>
    <t>317BAY-B
U3-7B-20</t>
    <phoneticPr fontId="11" type="noConversion"/>
  </si>
  <si>
    <t>206BAY-B</t>
  </si>
  <si>
    <t>316Bay - DEK Network Rack</t>
    <phoneticPr fontId="11" type="noConversion"/>
  </si>
  <si>
    <t>316BAY-B
U3-7B-22</t>
    <phoneticPr fontId="11" type="noConversion"/>
  </si>
  <si>
    <t>205BAY-B</t>
  </si>
  <si>
    <t>315Bay - DEK Network Rack</t>
    <phoneticPr fontId="11" type="noConversion"/>
  </si>
  <si>
    <t>315BAY-B
U3-7B-24</t>
    <phoneticPr fontId="11" type="noConversion"/>
  </si>
  <si>
    <t>204BAY-B</t>
  </si>
  <si>
    <t>314Bay - DEK Network Rack</t>
    <phoneticPr fontId="11" type="noConversion"/>
  </si>
  <si>
    <t>314BAY-B
U3-7B-26</t>
    <phoneticPr fontId="11" type="noConversion"/>
  </si>
  <si>
    <t>208BAY-B(2)</t>
  </si>
  <si>
    <t>313Bay - DEK Network Rack</t>
    <phoneticPr fontId="11" type="noConversion"/>
  </si>
  <si>
    <t>313BAY-B
U3-7B-28</t>
    <phoneticPr fontId="11" type="noConversion"/>
  </si>
  <si>
    <t>C604 / F-7-B</t>
  </si>
  <si>
    <t>드림라인</t>
    <phoneticPr fontId="11" type="noConversion"/>
  </si>
  <si>
    <t>301BAY
U3-7B-30</t>
    <phoneticPr fontId="11" type="noConversion"/>
  </si>
  <si>
    <t>U3-7B-31
B-6-B</t>
  </si>
  <si>
    <t>세종 인터넷(클라우드이음)</t>
  </si>
  <si>
    <t>203Bay - 세종-아톤AWS</t>
    <phoneticPr fontId="11" type="noConversion"/>
  </si>
  <si>
    <t>203Bay-B ('22.07.14 투입)
U3-7B-32</t>
    <phoneticPr fontId="11" type="noConversion"/>
  </si>
  <si>
    <t>B-7-B</t>
  </si>
  <si>
    <t>O</t>
    <phoneticPr fontId="7" type="noConversion"/>
  </si>
  <si>
    <t>C909 (舊 C-02)
 / TATA#02</t>
    <phoneticPr fontId="11" type="noConversion"/>
  </si>
  <si>
    <t>C-02(C909-B)
U3-7B-34</t>
    <phoneticPr fontId="11" type="noConversion"/>
  </si>
  <si>
    <t>B-8-B</t>
  </si>
  <si>
    <t>B424(310BAY-B)</t>
    <phoneticPr fontId="11" type="noConversion"/>
  </si>
  <si>
    <t>Test Bed #2
U3-7B-37</t>
  </si>
  <si>
    <t>B423(311BAY-B)</t>
    <phoneticPr fontId="11" type="noConversion"/>
  </si>
  <si>
    <t>7-1-B2-30-39</t>
  </si>
  <si>
    <t>B422(312BAY-B)</t>
    <phoneticPr fontId="11" type="noConversion"/>
  </si>
  <si>
    <t>7B-30-41(C409)</t>
  </si>
  <si>
    <t>#41</t>
    <phoneticPr fontId="11" type="noConversion"/>
  </si>
  <si>
    <t>#42</t>
    <phoneticPr fontId="11" type="noConversion"/>
  </si>
  <si>
    <t>7-1-B2-30-42</t>
  </si>
  <si>
    <t>#43</t>
    <phoneticPr fontId="11" type="noConversion"/>
  </si>
  <si>
    <t>쿼드마이너</t>
    <phoneticPr fontId="11" type="noConversion"/>
  </si>
  <si>
    <t>#44</t>
    <phoneticPr fontId="11" type="noConversion"/>
  </si>
  <si>
    <t>2023/04/10 랙 반입 예정</t>
    <phoneticPr fontId="11" type="noConversion"/>
  </si>
  <si>
    <t>#45</t>
    <phoneticPr fontId="11" type="noConversion"/>
  </si>
  <si>
    <t>#46</t>
    <phoneticPr fontId="11" type="noConversion"/>
  </si>
  <si>
    <t>쿼드마이너 예약상면</t>
    <phoneticPr fontId="11" type="noConversion"/>
  </si>
  <si>
    <t>#47</t>
    <phoneticPr fontId="11" type="noConversion"/>
  </si>
  <si>
    <t>#48</t>
    <phoneticPr fontId="11" type="noConversion"/>
  </si>
  <si>
    <t>#49</t>
    <phoneticPr fontId="11" type="noConversion"/>
  </si>
  <si>
    <t>20F BMS</t>
  </si>
  <si>
    <t>#50</t>
    <phoneticPr fontId="11" type="noConversion"/>
  </si>
  <si>
    <t>7층 출입카드</t>
    <phoneticPr fontId="11" type="noConversion"/>
  </si>
  <si>
    <t>#51</t>
    <phoneticPr fontId="11" type="noConversion"/>
  </si>
  <si>
    <t>7F BMS</t>
  </si>
  <si>
    <t>#52</t>
    <phoneticPr fontId="11" type="noConversion"/>
  </si>
  <si>
    <t>20F MAIN (FMS)</t>
    <phoneticPr fontId="11" type="noConversion"/>
  </si>
  <si>
    <t>7B-D5-#1</t>
  </si>
  <si>
    <t>#53</t>
    <phoneticPr fontId="11" type="noConversion"/>
  </si>
  <si>
    <t>#54</t>
    <phoneticPr fontId="11" type="noConversion"/>
  </si>
  <si>
    <t>7F MAIN (FMS)</t>
    <phoneticPr fontId="11" type="noConversion"/>
  </si>
  <si>
    <t>U3-7A PANEL(From:TRroom-U7-5A)</t>
    <phoneticPr fontId="17" type="noConversion"/>
  </si>
  <si>
    <t>G-3-A (NTT#8-A)</t>
  </si>
  <si>
    <t>G-8-A (C503)</t>
    <phoneticPr fontId="11" type="noConversion"/>
  </si>
  <si>
    <t>F-5-A</t>
  </si>
  <si>
    <t>텔피콤</t>
    <phoneticPr fontId="17" type="noConversion"/>
  </si>
  <si>
    <t>D-1-A</t>
  </si>
  <si>
    <t>7A-342BAY</t>
  </si>
  <si>
    <t>인터넷 IP 랙</t>
    <phoneticPr fontId="11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</si>
  <si>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</si>
  <si>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</si>
  <si>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1" type="noConversion"/>
  </si>
  <si>
    <t>242BAY-A</t>
  </si>
  <si>
    <t>C-6-A</t>
  </si>
  <si>
    <t>209Bay - A</t>
    <phoneticPr fontId="11" type="noConversion"/>
  </si>
  <si>
    <t>U3-7A G-3-A</t>
  </si>
  <si>
    <t>210Bay - A</t>
    <phoneticPr fontId="11" type="noConversion"/>
  </si>
  <si>
    <t>TATA#1/A</t>
  </si>
  <si>
    <t>208BYA-A</t>
  </si>
  <si>
    <t>318BAY-A
U3-7A-18</t>
    <phoneticPr fontId="11" type="noConversion"/>
  </si>
  <si>
    <t>207BYA-A</t>
  </si>
  <si>
    <t>317BAY-A
U3-7A-20</t>
    <phoneticPr fontId="11" type="noConversion"/>
  </si>
  <si>
    <t>206BYA-A</t>
  </si>
  <si>
    <t>316BAY-A
U3-7A-22</t>
    <phoneticPr fontId="11" type="noConversion"/>
  </si>
  <si>
    <t>205BYA-A</t>
  </si>
  <si>
    <t>315BAY-A
U3-7A-24</t>
    <phoneticPr fontId="11" type="noConversion"/>
  </si>
  <si>
    <t>204BYA-A</t>
  </si>
  <si>
    <t>314BAY-A
U3-7A-26</t>
    <phoneticPr fontId="11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</si>
  <si>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1" type="noConversion"/>
  </si>
  <si>
    <t>313BAY-A
U3-7A-28</t>
    <phoneticPr fontId="11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</si>
  <si>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1" type="noConversion"/>
  </si>
  <si>
    <t>김종원M 요구회로</t>
    <phoneticPr fontId="11" type="noConversion"/>
  </si>
  <si>
    <t>301BAY
U3-7A-30</t>
    <phoneticPr fontId="11" type="noConversion"/>
  </si>
  <si>
    <t>U3-7A-31
B-6-A</t>
  </si>
  <si>
    <t>203Bay-A ('22.07.14 투입)
U3-7A-32</t>
    <phoneticPr fontId="11" type="noConversion"/>
  </si>
  <si>
    <t>B-7-A</t>
  </si>
  <si>
    <t>C-02(C909-A)
U3-7A-34</t>
    <phoneticPr fontId="11" type="noConversion"/>
  </si>
  <si>
    <t>B-8-A</t>
  </si>
  <si>
    <t>B424(310BAY-A)</t>
    <phoneticPr fontId="11" type="noConversion"/>
  </si>
  <si>
    <t>Test Bed #1
U3-7A-37</t>
  </si>
  <si>
    <t>B423(311BAY-A)</t>
    <phoneticPr fontId="11" type="noConversion"/>
  </si>
  <si>
    <t>7-1-A2-30-39</t>
  </si>
  <si>
    <t>B422(312BAY-A)</t>
    <phoneticPr fontId="11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</si>
  <si>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</si>
  <si>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</si>
  <si>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</si>
  <si>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</si>
  <si>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</si>
  <si>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</si>
  <si>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</si>
  <si>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</si>
  <si>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</si>
  <si>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</si>
  <si>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</si>
  <si>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</si>
  <si>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</si>
  <si>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</si>
  <si>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1" type="noConversion"/>
  </si>
  <si>
    <t>#53</t>
  </si>
  <si>
    <t>#54</t>
  </si>
  <si>
    <t>7A-D5-#1</t>
    <phoneticPr fontId="17" type="noConversion"/>
  </si>
  <si>
    <t>UPS 출력 분전반 B1(From:7F 창고)</t>
    <phoneticPr fontId="17" type="noConversion"/>
  </si>
  <si>
    <t>NO</t>
    <phoneticPr fontId="11" type="noConversion"/>
  </si>
  <si>
    <t>NO</t>
  </si>
  <si>
    <t>강남방향 창가열 콘센트</t>
    <phoneticPr fontId="17" type="noConversion"/>
  </si>
  <si>
    <t>#02</t>
    <phoneticPr fontId="11" type="noConversion"/>
  </si>
  <si>
    <t>정면창가 콘센트</t>
    <phoneticPr fontId="17" type="noConversion"/>
  </si>
  <si>
    <t>#04</t>
    <phoneticPr fontId="11" type="noConversion"/>
  </si>
  <si>
    <t>NTT 상-1</t>
    <phoneticPr fontId="17" type="noConversion"/>
  </si>
  <si>
    <t>301 BAY</t>
    <phoneticPr fontId="17" type="noConversion"/>
  </si>
  <si>
    <t>#06</t>
    <phoneticPr fontId="11" type="noConversion"/>
  </si>
  <si>
    <t>GAINS</t>
    <phoneticPr fontId="17" type="noConversion"/>
  </si>
  <si>
    <t>C2C DWDM 
EMS RACK</t>
    <phoneticPr fontId="17" type="noConversion"/>
  </si>
  <si>
    <t>#08</t>
    <phoneticPr fontId="11" type="noConversion"/>
  </si>
  <si>
    <t>C-8-A</t>
    <phoneticPr fontId="17" type="noConversion"/>
  </si>
  <si>
    <t>신한금융투자</t>
    <phoneticPr fontId="11" type="noConversion"/>
  </si>
  <si>
    <t>#10</t>
    <phoneticPr fontId="11" type="noConversion"/>
  </si>
  <si>
    <t>G-10-B</t>
    <phoneticPr fontId="17" type="noConversion"/>
  </si>
  <si>
    <t>#12</t>
    <phoneticPr fontId="11" type="noConversion"/>
  </si>
  <si>
    <t>C-8-B</t>
    <phoneticPr fontId="17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</si>
  <si>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1" type="noConversion"/>
  </si>
  <si>
    <t>유엔시스</t>
    <phoneticPr fontId="11" type="noConversion"/>
  </si>
  <si>
    <t>#14</t>
    <phoneticPr fontId="11" type="noConversion"/>
  </si>
  <si>
    <t>D-3-A</t>
    <phoneticPr fontId="17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</si>
  <si>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1" type="noConversion"/>
  </si>
  <si>
    <t>#16</t>
    <phoneticPr fontId="11" type="noConversion"/>
  </si>
  <si>
    <t>G-4-A (NTT#7)</t>
    <phoneticPr fontId="17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</si>
  <si>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1" type="noConversion"/>
  </si>
  <si>
    <t>#18</t>
    <phoneticPr fontId="11" type="noConversion"/>
  </si>
  <si>
    <t>G-6-A</t>
    <phoneticPr fontId="17" type="noConversion"/>
  </si>
  <si>
    <t>E-2-A</t>
    <phoneticPr fontId="17" type="noConversion"/>
  </si>
  <si>
    <t>#20</t>
    <phoneticPr fontId="11" type="noConversion"/>
  </si>
  <si>
    <t>F-3-A</t>
    <phoneticPr fontId="17" type="noConversion"/>
  </si>
  <si>
    <t>E-5-A</t>
    <phoneticPr fontId="17" type="noConversion"/>
  </si>
  <si>
    <t>니즈텔레콤</t>
  </si>
  <si>
    <t>#22</t>
    <phoneticPr fontId="11" type="noConversion"/>
  </si>
  <si>
    <t>운용실 바닥콘센트</t>
    <phoneticPr fontId="17" type="noConversion"/>
  </si>
  <si>
    <t>E-6-A</t>
    <phoneticPr fontId="17" type="noConversion"/>
  </si>
  <si>
    <t>#23</t>
    <phoneticPr fontId="11" type="noConversion"/>
  </si>
  <si>
    <t>#24</t>
    <phoneticPr fontId="11" type="noConversion"/>
  </si>
  <si>
    <t>운용실 콘센트 창가1열</t>
    <phoneticPr fontId="17" type="noConversion"/>
  </si>
  <si>
    <t>E-7-A</t>
    <phoneticPr fontId="17" type="noConversion"/>
  </si>
  <si>
    <t>#25</t>
    <phoneticPr fontId="11" type="noConversion"/>
  </si>
  <si>
    <t>#26</t>
    <phoneticPr fontId="11" type="noConversion"/>
  </si>
  <si>
    <t>전산랙 410 BAY-A</t>
    <phoneticPr fontId="17" type="noConversion"/>
  </si>
  <si>
    <t>E-8-A</t>
    <phoneticPr fontId="17" type="noConversion"/>
  </si>
  <si>
    <t>#27</t>
    <phoneticPr fontId="11" type="noConversion"/>
  </si>
  <si>
    <t>엑사넷</t>
    <phoneticPr fontId="11" type="noConversion"/>
  </si>
  <si>
    <t>#28</t>
    <phoneticPr fontId="11" type="noConversion"/>
  </si>
  <si>
    <t>D-6-A</t>
    <phoneticPr fontId="17" type="noConversion"/>
  </si>
  <si>
    <t>G-5-A</t>
    <phoneticPr fontId="17" type="noConversion"/>
  </si>
  <si>
    <t>#29</t>
    <phoneticPr fontId="11" type="noConversion"/>
  </si>
  <si>
    <t>르네트</t>
    <phoneticPr fontId="11" type="noConversion"/>
  </si>
  <si>
    <t>#30</t>
    <phoneticPr fontId="11" type="noConversion"/>
  </si>
  <si>
    <t>E-9-A</t>
    <phoneticPr fontId="17" type="noConversion"/>
  </si>
  <si>
    <t>Voice사업팀 
NMS용-A</t>
    <phoneticPr fontId="17" type="noConversion"/>
  </si>
  <si>
    <t>#31</t>
    <phoneticPr fontId="11" type="noConversion"/>
  </si>
  <si>
    <t>#32</t>
    <phoneticPr fontId="11" type="noConversion"/>
  </si>
  <si>
    <t>D-7-A</t>
    <phoneticPr fontId="17" type="noConversion"/>
  </si>
  <si>
    <t>NTT 상-3</t>
    <phoneticPr fontId="17" type="noConversion"/>
  </si>
  <si>
    <t>#33</t>
    <phoneticPr fontId="11" type="noConversion"/>
  </si>
  <si>
    <t>#34</t>
    <phoneticPr fontId="11" type="noConversion"/>
  </si>
  <si>
    <t>F-8-A</t>
    <phoneticPr fontId="17" type="noConversion"/>
  </si>
  <si>
    <t>7F NMS A-18</t>
    <phoneticPr fontId="17" type="noConversion"/>
  </si>
  <si>
    <t>#35</t>
    <phoneticPr fontId="11" type="noConversion"/>
  </si>
  <si>
    <t>델피콤</t>
    <phoneticPr fontId="17" type="noConversion"/>
  </si>
  <si>
    <t>#36</t>
    <phoneticPr fontId="11" type="noConversion"/>
  </si>
  <si>
    <t>F-6-A</t>
    <phoneticPr fontId="17" type="noConversion"/>
  </si>
  <si>
    <t>7F NMS A-19</t>
    <phoneticPr fontId="17" type="noConversion"/>
  </si>
  <si>
    <t>#37</t>
    <phoneticPr fontId="11" type="noConversion"/>
  </si>
  <si>
    <t>#38</t>
    <phoneticPr fontId="11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</si>
  <si>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1" type="noConversion"/>
  </si>
  <si>
    <t>7F NMS A-20</t>
    <phoneticPr fontId="17" type="noConversion"/>
  </si>
  <si>
    <t>#39</t>
    <phoneticPr fontId="11" type="noConversion"/>
  </si>
  <si>
    <t>#40</t>
    <phoneticPr fontId="11" type="noConversion"/>
  </si>
  <si>
    <t>F-9-A</t>
    <phoneticPr fontId="17" type="noConversion"/>
  </si>
  <si>
    <t>Main CB   4P 225A</t>
    <phoneticPr fontId="11" type="noConversion"/>
  </si>
  <si>
    <t>A-1-A  [A2-7-1]</t>
    <phoneticPr fontId="17" type="noConversion"/>
  </si>
  <si>
    <t>2P 50A</t>
    <phoneticPr fontId="11" type="noConversion"/>
  </si>
  <si>
    <t>CJ HELLOVISION</t>
  </si>
  <si>
    <t>D-4-A  [D3-A]</t>
    <phoneticPr fontId="17" type="noConversion"/>
  </si>
  <si>
    <t>A-2-A  [A2-7-2]</t>
    <phoneticPr fontId="17" type="noConversion"/>
  </si>
  <si>
    <t>X</t>
    <phoneticPr fontId="0" type="noConversion"/>
  </si>
  <si>
    <t>G-7-A</t>
    <phoneticPr fontId="11" type="noConversion"/>
  </si>
  <si>
    <t>A-3-A  [A2-7-3]</t>
    <phoneticPr fontId="17" type="noConversion"/>
  </si>
  <si>
    <t>A-7-A  [A2-7-7]</t>
    <phoneticPr fontId="17" type="noConversion"/>
  </si>
  <si>
    <t>A-4-A  [A2-7-4]</t>
    <phoneticPr fontId="17" type="noConversion"/>
  </si>
  <si>
    <t>A-8-A  [A2-7-8]</t>
    <phoneticPr fontId="17" type="noConversion"/>
  </si>
  <si>
    <t>A-5-A  [A2-7-5]</t>
    <phoneticPr fontId="17" type="noConversion"/>
  </si>
  <si>
    <t>A-6-A  [A2-7-6]</t>
    <phoneticPr fontId="17" type="noConversion"/>
  </si>
  <si>
    <t>[A]</t>
    <phoneticPr fontId="17" type="noConversion"/>
  </si>
  <si>
    <t>A-1-B  [B2-7-1]</t>
    <phoneticPr fontId="17" type="noConversion"/>
  </si>
  <si>
    <t>D-4-B  [D3-B]</t>
    <phoneticPr fontId="17" type="noConversion"/>
  </si>
  <si>
    <t>A-2-B  [B2-7-2]</t>
    <phoneticPr fontId="17" type="noConversion"/>
  </si>
  <si>
    <t>G-7-B</t>
    <phoneticPr fontId="11" type="noConversion"/>
  </si>
  <si>
    <t>A-3-B  [B2-7-3]</t>
    <phoneticPr fontId="17" type="noConversion"/>
  </si>
  <si>
    <t>A-7-B  [B2-7-7]</t>
    <phoneticPr fontId="17" type="noConversion"/>
  </si>
  <si>
    <t>A-4-B  [B2-7-4]</t>
    <phoneticPr fontId="17" type="noConversion"/>
  </si>
  <si>
    <t>A-8-B  [B2-7-8]</t>
    <phoneticPr fontId="17" type="noConversion"/>
  </si>
  <si>
    <t>A-5-B  [B2-7-5]</t>
    <phoneticPr fontId="17" type="noConversion"/>
  </si>
  <si>
    <t>A-6-B  [B2-7-6]</t>
    <phoneticPr fontId="17" type="noConversion"/>
  </si>
  <si>
    <t>UPS 출력 분전반 A(From:7F TR.Room)</t>
    <phoneticPr fontId="17" type="noConversion"/>
  </si>
  <si>
    <t>4P 225A</t>
    <phoneticPr fontId="11" type="noConversion"/>
  </si>
  <si>
    <t>.</t>
    <phoneticPr fontId="17" type="noConversion"/>
  </si>
  <si>
    <t>정류기시스템#1</t>
    <phoneticPr fontId="11" type="noConversion"/>
  </si>
  <si>
    <t>3P 100A</t>
    <phoneticPr fontId="11" type="noConversion"/>
  </si>
  <si>
    <t>4P 100A</t>
    <phoneticPr fontId="11" type="noConversion"/>
  </si>
  <si>
    <t>UPS 출력 분전반 B(From:7F TR.Room)</t>
    <phoneticPr fontId="17" type="noConversion"/>
  </si>
  <si>
    <t>정류기시스템#2</t>
    <phoneticPr fontId="11" type="noConversion"/>
  </si>
  <si>
    <t>3P 150A</t>
    <phoneticPr fontId="11" type="noConversion"/>
  </si>
  <si>
    <t>4P 50A</t>
    <phoneticPr fontId="11" type="noConversion"/>
  </si>
  <si>
    <t>사용량</t>
    <phoneticPr fontId="17" type="noConversion"/>
  </si>
  <si>
    <t>층 배분</t>
    <phoneticPr fontId="17" type="noConversion"/>
  </si>
  <si>
    <t>DEK</t>
    <phoneticPr fontId="11" type="noConversion"/>
  </si>
  <si>
    <t>IDC상면</t>
    <phoneticPr fontId="17" type="noConversion"/>
  </si>
  <si>
    <t>7-1-A1</t>
    <phoneticPr fontId="11" type="noConversion"/>
  </si>
  <si>
    <t>세종</t>
    <phoneticPr fontId="11" type="noConversion"/>
  </si>
  <si>
    <t>인터넷</t>
    <phoneticPr fontId="11" type="noConversion"/>
  </si>
  <si>
    <t>7-1-B1</t>
    <phoneticPr fontId="11" type="noConversion"/>
  </si>
  <si>
    <t>7-1-A3</t>
    <phoneticPr fontId="11" type="noConversion"/>
  </si>
  <si>
    <t>정류기</t>
    <phoneticPr fontId="17" type="noConversion"/>
  </si>
  <si>
    <t>7-1-B3</t>
    <phoneticPr fontId="11" type="noConversion"/>
  </si>
  <si>
    <t>전송/인터넷</t>
    <phoneticPr fontId="11" type="noConversion"/>
  </si>
  <si>
    <t>NOC</t>
    <phoneticPr fontId="11" type="noConversion"/>
  </si>
  <si>
    <t>7-1-A2</t>
    <phoneticPr fontId="11" type="noConversion"/>
  </si>
  <si>
    <t>8F Office</t>
    <phoneticPr fontId="11" type="noConversion"/>
  </si>
  <si>
    <t>7-1-B2</t>
    <phoneticPr fontId="11" type="noConversion"/>
  </si>
  <si>
    <t>총 합</t>
    <phoneticPr fontId="17" type="noConversion"/>
  </si>
  <si>
    <t>세종 정류기</t>
    <phoneticPr fontId="11" type="noConversion"/>
  </si>
  <si>
    <t>8F Office</t>
  </si>
  <si>
    <t>총계</t>
    <phoneticPr fontId="11" type="noConversion"/>
  </si>
  <si>
    <t>Main CB   4P 350A</t>
    <phoneticPr fontId="11" type="noConversion"/>
  </si>
  <si>
    <t>4P 150A</t>
    <phoneticPr fontId="11" type="noConversion"/>
  </si>
  <si>
    <t>사</t>
    <phoneticPr fontId="11" type="noConversion"/>
  </si>
  <si>
    <t>용</t>
    <phoneticPr fontId="11" type="noConversion"/>
  </si>
  <si>
    <t>금</t>
    <phoneticPr fontId="11" type="noConversion"/>
  </si>
  <si>
    <t>지</t>
    <phoneticPr fontId="11" type="noConversion"/>
  </si>
  <si>
    <t>4P 50A</t>
    <phoneticPr fontId="17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</si>
  <si>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</si>
  <si>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</si>
  <si>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</si>
  <si>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</si>
  <si>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</si>
  <si>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</si>
  <si>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1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</si>
  <si>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1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</si>
  <si>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</si>
  <si>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1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</si>
  <si>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1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</si>
  <si>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</si>
  <si>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</si>
  <si>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</si>
  <si>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</si>
  <si>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</si>
  <si>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</si>
  <si>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</si>
  <si>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</si>
  <si>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</si>
  <si>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</si>
  <si>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</si>
  <si>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</si>
  <si>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</si>
  <si>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</si>
  <si>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</si>
  <si>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</si>
  <si>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</si>
  <si>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</si>
  <si>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</si>
  <si>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</si>
  <si>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</si>
  <si>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</si>
  <si>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</si>
  <si>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1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</si>
  <si>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</si>
  <si>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</si>
  <si>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</si>
  <si>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</si>
  <si>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</si>
  <si>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</si>
  <si>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</si>
  <si>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</si>
  <si>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1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</si>
  <si>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1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</si>
  <si>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</si>
  <si>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</si>
  <si>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</si>
  <si>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</si>
  <si>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</si>
  <si>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</si>
  <si>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</si>
  <si>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</si>
  <si>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</si>
  <si>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</si>
  <si>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</si>
  <si>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</si>
  <si>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</si>
  <si>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</si>
  <si>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</si>
  <si>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</si>
  <si>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</si>
  <si>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</si>
  <si>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</si>
  <si>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</si>
  <si>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</si>
  <si>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1" type="noConversion"/>
  </si>
  <si>
    <t>Main CB   4P 200A</t>
    <phoneticPr fontId="11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</si>
  <si>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</si>
  <si>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</si>
  <si>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</si>
  <si>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</si>
  <si>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</si>
  <si>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</si>
  <si>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</si>
  <si>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</si>
  <si>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</si>
  <si>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</si>
  <si>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</si>
  <si>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</si>
  <si>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</si>
  <si>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</si>
  <si>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</si>
  <si>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</si>
  <si>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</si>
  <si>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</si>
  <si>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</si>
  <si>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</si>
  <si>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</si>
  <si>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</si>
  <si>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</si>
  <si>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</si>
  <si>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</si>
  <si>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</si>
  <si>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</si>
  <si>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</si>
  <si>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</si>
  <si>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</si>
  <si>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</si>
  <si>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</si>
  <si>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</si>
  <si>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</si>
  <si>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</si>
  <si>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</si>
  <si>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</si>
  <si>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</si>
  <si>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</si>
  <si>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</si>
  <si>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</si>
  <si>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</si>
  <si>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</si>
  <si>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</si>
  <si>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</si>
  <si>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</si>
  <si>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</si>
  <si>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</si>
  <si>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</si>
  <si>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</si>
  <si>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1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</si>
  <si>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</si>
  <si>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</si>
  <si>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</si>
  <si>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</si>
  <si>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</si>
  <si>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</si>
  <si>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</si>
  <si>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</si>
  <si>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</si>
  <si>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</si>
  <si>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</si>
  <si>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</si>
  <si>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</si>
  <si>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</si>
  <si>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</si>
  <si>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</si>
  <si>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</si>
  <si>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</si>
  <si>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</si>
  <si>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</si>
  <si>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</si>
  <si>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</si>
  <si>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</si>
  <si>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</si>
  <si>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</si>
  <si>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</si>
  <si>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</si>
  <si>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</si>
  <si>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</si>
  <si>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</si>
  <si>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</si>
  <si>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</si>
  <si>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</si>
  <si>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</si>
  <si>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</si>
  <si>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</si>
  <si>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</si>
  <si>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</si>
  <si>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</si>
  <si>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</si>
  <si>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</si>
  <si>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</si>
  <si>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</si>
  <si>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</si>
  <si>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</si>
  <si>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</si>
  <si>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</si>
  <si>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</si>
  <si>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1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</si>
  <si>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</si>
  <si>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</si>
  <si>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</si>
  <si>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</si>
  <si>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</si>
  <si>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</si>
  <si>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</si>
  <si>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</si>
  <si>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</si>
  <si>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</si>
  <si>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</si>
  <si>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</si>
  <si>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</si>
  <si>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</si>
  <si>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</si>
  <si>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</si>
  <si>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</si>
  <si>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</si>
  <si>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</si>
  <si>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1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</si>
  <si>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</si>
  <si>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</si>
  <si>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</si>
  <si>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</si>
  <si>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</si>
  <si>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</si>
  <si>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</si>
  <si>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</si>
  <si>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</si>
  <si>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</si>
  <si>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</si>
  <si>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</si>
  <si>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</si>
  <si>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</si>
  <si>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</si>
  <si>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</si>
  <si>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</si>
  <si>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</si>
  <si>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</si>
  <si>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</si>
  <si>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</si>
  <si>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</si>
  <si>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</si>
  <si>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</si>
  <si>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1" type="noConversion"/>
  </si>
  <si>
    <t>Rack S-13</t>
    <phoneticPr fontId="11" type="noConversion"/>
  </si>
  <si>
    <t>PDU : SEL1 - 6-1 - B6</t>
    <phoneticPr fontId="11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</si>
  <si>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</si>
  <si>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</si>
  <si>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</si>
  <si>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</si>
  <si>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</si>
  <si>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</si>
  <si>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</si>
  <si>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</si>
  <si>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</si>
  <si>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</si>
  <si>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</si>
  <si>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</si>
  <si>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</si>
  <si>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</si>
  <si>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</si>
  <si>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</si>
  <si>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</si>
  <si>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</si>
  <si>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</si>
  <si>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1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</si>
  <si>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</si>
  <si>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</si>
  <si>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</si>
  <si>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</si>
  <si>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</si>
  <si>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</si>
  <si>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</si>
  <si>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</si>
  <si>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</si>
  <si>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</si>
  <si>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</si>
  <si>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</si>
  <si>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</si>
  <si>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</si>
  <si>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</si>
  <si>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</si>
  <si>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</si>
  <si>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</si>
  <si>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</si>
  <si>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</si>
  <si>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</si>
  <si>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</si>
  <si>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</si>
  <si>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</si>
  <si>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</si>
  <si>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</si>
  <si>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1" type="noConversion"/>
  </si>
  <si>
    <t>A1-1-1</t>
  </si>
  <si>
    <t>G1101(A)</t>
    <phoneticPr fontId="11" type="noConversion"/>
  </si>
  <si>
    <t>A1-1-2</t>
  </si>
  <si>
    <t>G1103(A)</t>
    <phoneticPr fontId="11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</si>
  <si>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</si>
  <si>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</si>
  <si>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</si>
  <si>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</si>
  <si>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</si>
  <si>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</si>
  <si>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</si>
  <si>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</si>
  <si>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</si>
  <si>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</si>
  <si>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</si>
  <si>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</si>
  <si>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</si>
  <si>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</si>
  <si>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</si>
  <si>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</si>
  <si>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</si>
  <si>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</si>
  <si>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</si>
  <si>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</si>
  <si>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</si>
  <si>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</si>
  <si>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</si>
  <si>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</si>
  <si>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</si>
  <si>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</si>
  <si>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</si>
  <si>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</si>
  <si>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</si>
  <si>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</si>
  <si>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</si>
  <si>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1" type="noConversion"/>
  </si>
  <si>
    <t>A1-13-6 (AA-16)</t>
  </si>
  <si>
    <t>G1102 하부(미사용)</t>
    <phoneticPr fontId="11" type="noConversion"/>
  </si>
  <si>
    <t>A1-13-7 (AA-17)</t>
  </si>
  <si>
    <t>A1-35-3(2)(위치 불명)</t>
  </si>
  <si>
    <t>B209 / (AA-18)</t>
  </si>
  <si>
    <t>A1-13-9 (B410)</t>
    <phoneticPr fontId="11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</si>
  <si>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</si>
  <si>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</si>
  <si>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</si>
  <si>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</si>
  <si>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</si>
  <si>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</si>
  <si>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1" type="noConversion"/>
  </si>
  <si>
    <t>B1-1-1</t>
  </si>
  <si>
    <t>G1101 (B)</t>
    <phoneticPr fontId="11" type="noConversion"/>
  </si>
  <si>
    <t>B1-1-2</t>
  </si>
  <si>
    <t>G1103 (B)</t>
    <phoneticPr fontId="11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</si>
  <si>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</si>
  <si>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</si>
  <si>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</si>
  <si>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</si>
  <si>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</si>
  <si>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</si>
  <si>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</si>
  <si>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</si>
  <si>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</si>
  <si>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</si>
  <si>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</si>
  <si>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</si>
  <si>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</si>
  <si>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5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</si>
  <si>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</si>
  <si>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</si>
  <si>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</si>
  <si>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</si>
  <si>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</si>
  <si>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</si>
  <si>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</si>
  <si>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</si>
  <si>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</si>
  <si>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</si>
  <si>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</si>
  <si>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</si>
  <si>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</si>
  <si>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</si>
  <si>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</si>
  <si>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</si>
  <si>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</si>
  <si>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</si>
  <si>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1" type="noConversion"/>
  </si>
  <si>
    <t>B1-13-6 (AA-16)</t>
  </si>
  <si>
    <t>G1102 하부(도어락&amp;CCTV)</t>
    <phoneticPr fontId="11" type="noConversion"/>
  </si>
  <si>
    <t>B1-13-7 (AA-17)</t>
  </si>
  <si>
    <t>B1-35-3(2)(위치 불명)</t>
  </si>
  <si>
    <t>B1-13-9 (B410)</t>
    <phoneticPr fontId="11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</si>
  <si>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</si>
  <si>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</si>
  <si>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</si>
  <si>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</si>
  <si>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</si>
  <si>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1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</si>
  <si>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</si>
  <si>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</si>
  <si>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</si>
  <si>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</si>
  <si>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</si>
  <si>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</si>
  <si>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</si>
  <si>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</si>
  <si>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</si>
  <si>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</si>
  <si>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</si>
  <si>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</si>
  <si>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</si>
  <si>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</si>
  <si>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</si>
  <si>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</si>
  <si>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</si>
  <si>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</si>
  <si>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</si>
  <si>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</si>
  <si>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</si>
  <si>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</si>
  <si>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</si>
  <si>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</si>
  <si>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</si>
  <si>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</si>
  <si>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</si>
  <si>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</si>
  <si>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</si>
  <si>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</si>
  <si>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</si>
  <si>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</si>
  <si>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</si>
  <si>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</si>
  <si>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</si>
  <si>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</si>
  <si>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</si>
  <si>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</si>
  <si>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</si>
  <si>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</si>
  <si>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</si>
  <si>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</si>
  <si>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1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</si>
  <si>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</si>
  <si>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</si>
  <si>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</si>
  <si>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</si>
  <si>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</si>
  <si>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</si>
  <si>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</si>
  <si>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</si>
  <si>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</si>
  <si>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</si>
  <si>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</si>
  <si>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</si>
  <si>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</si>
  <si>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</si>
  <si>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</si>
  <si>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</si>
  <si>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</si>
  <si>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</si>
  <si>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</si>
  <si>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</si>
  <si>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</si>
  <si>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</si>
  <si>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</si>
  <si>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</si>
  <si>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</si>
  <si>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</si>
  <si>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</si>
  <si>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</si>
  <si>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</si>
  <si>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</si>
  <si>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</si>
  <si>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</si>
  <si>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</si>
  <si>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</si>
  <si>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</si>
  <si>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</si>
  <si>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</si>
  <si>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</si>
  <si>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</si>
  <si>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</si>
  <si>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1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</si>
  <si>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</si>
  <si>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</si>
  <si>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</si>
  <si>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</si>
  <si>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</si>
  <si>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</si>
  <si>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</si>
  <si>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</si>
  <si>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</si>
  <si>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</si>
  <si>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</si>
  <si>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</si>
  <si>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</si>
  <si>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</si>
  <si>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</si>
  <si>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</si>
  <si>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1" type="noConversion"/>
  </si>
  <si>
    <t>A5-15-9</t>
  </si>
  <si>
    <t>A5-9-8 (X-11)</t>
  </si>
  <si>
    <t>A5-17-1 (Q-11)</t>
  </si>
  <si>
    <t>A5-10-1</t>
  </si>
  <si>
    <t>A5-17-2 (Q-12)</t>
  </si>
  <si>
    <t>A807(A5-10-2)</t>
    <phoneticPr fontId="11" type="noConversion"/>
  </si>
  <si>
    <t>A5-17-3 (Q-13)</t>
  </si>
  <si>
    <t>A5-10-3 (A806 - 1)</t>
    <phoneticPr fontId="11" type="noConversion"/>
  </si>
  <si>
    <t>A5-17-4 (Q-14)</t>
  </si>
  <si>
    <t>A5-10-4 (A806 - 2)</t>
    <phoneticPr fontId="11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</si>
  <si>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</si>
  <si>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</si>
  <si>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</si>
  <si>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</si>
  <si>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</si>
  <si>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</si>
  <si>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</si>
  <si>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</si>
  <si>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</si>
  <si>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</si>
  <si>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</si>
  <si>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</si>
  <si>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</si>
  <si>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</si>
  <si>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</si>
  <si>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</si>
  <si>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</si>
  <si>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</si>
  <si>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</si>
  <si>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</si>
  <si>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</si>
  <si>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</si>
  <si>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</si>
  <si>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</si>
  <si>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</si>
  <si>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</si>
  <si>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</si>
  <si>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1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</si>
  <si>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</si>
  <si>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</si>
  <si>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</si>
  <si>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</si>
  <si>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</si>
  <si>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</si>
  <si>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</si>
  <si>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</si>
  <si>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</si>
  <si>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</si>
  <si>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</si>
  <si>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</si>
  <si>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</si>
  <si>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</si>
  <si>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</si>
  <si>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</si>
  <si>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</si>
  <si>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</si>
  <si>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</si>
  <si>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</si>
  <si>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</si>
  <si>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1" type="noConversion"/>
  </si>
  <si>
    <t>B5-17-3 (Q-13)</t>
  </si>
  <si>
    <t>B5-10-3 (A806 - 1)</t>
    <phoneticPr fontId="11" type="noConversion"/>
  </si>
  <si>
    <t>B5-17-4 (Q-14)</t>
  </si>
  <si>
    <t>B5-10-4 (A806 - 2)</t>
    <phoneticPr fontId="11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</si>
  <si>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</si>
  <si>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</si>
  <si>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</si>
  <si>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</si>
  <si>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</si>
  <si>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</si>
  <si>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</si>
  <si>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</si>
  <si>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</si>
  <si>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</si>
  <si>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</si>
  <si>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</si>
  <si>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</si>
  <si>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</si>
  <si>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</si>
  <si>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</si>
  <si>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</si>
  <si>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</si>
  <si>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</si>
  <si>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</si>
  <si>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</si>
  <si>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1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</si>
  <si>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</si>
  <si>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</si>
  <si>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</si>
  <si>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</si>
  <si>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</si>
  <si>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</si>
  <si>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</si>
  <si>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</si>
  <si>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</si>
  <si>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</si>
  <si>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</si>
  <si>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</si>
  <si>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</si>
  <si>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</si>
  <si>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</si>
  <si>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</si>
  <si>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</si>
  <si>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</si>
  <si>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</si>
  <si>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</si>
  <si>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</si>
  <si>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</si>
  <si>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</si>
  <si>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</si>
  <si>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</si>
  <si>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</si>
  <si>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</si>
  <si>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</si>
  <si>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</si>
  <si>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</si>
  <si>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</si>
  <si>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</si>
  <si>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</si>
  <si>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</si>
  <si>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</si>
  <si>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</si>
  <si>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</si>
  <si>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</si>
  <si>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</si>
  <si>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</si>
  <si>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</si>
  <si>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1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</si>
  <si>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</si>
  <si>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</si>
  <si>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</si>
  <si>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</si>
  <si>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</si>
  <si>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</si>
  <si>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</si>
  <si>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</si>
  <si>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</si>
  <si>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</si>
  <si>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</si>
  <si>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</si>
  <si>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</si>
  <si>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1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</si>
  <si>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</si>
  <si>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</si>
  <si>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</si>
  <si>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</si>
  <si>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</si>
  <si>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</si>
  <si>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</si>
  <si>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</si>
  <si>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</si>
  <si>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</si>
  <si>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</si>
  <si>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</si>
  <si>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</si>
  <si>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</si>
  <si>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</si>
  <si>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</si>
  <si>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</si>
  <si>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</si>
  <si>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</si>
  <si>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</si>
  <si>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</si>
  <si>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</si>
  <si>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</si>
  <si>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</si>
  <si>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</si>
  <si>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</si>
  <si>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</si>
  <si>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</si>
  <si>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</si>
  <si>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</si>
  <si>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</si>
  <si>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</si>
  <si>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</si>
  <si>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</si>
  <si>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</si>
  <si>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</si>
  <si>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</si>
  <si>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</si>
  <si>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</si>
  <si>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</si>
  <si>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</si>
  <si>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</si>
  <si>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</si>
  <si>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</si>
  <si>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</si>
  <si>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</si>
  <si>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7" type="noConversion"/>
  </si>
  <si>
    <t>합계:</t>
    <phoneticPr fontId="17" type="noConversion"/>
  </si>
  <si>
    <t>Main CB   4P 150A</t>
    <phoneticPr fontId="11" type="noConversion"/>
  </si>
  <si>
    <t>4P 60A</t>
    <phoneticPr fontId="11" type="noConversion"/>
  </si>
  <si>
    <t>LG CRAC #10 (수냉식)</t>
    <phoneticPr fontId="11" type="noConversion"/>
  </si>
  <si>
    <t>LG CRAC #11 (수냉식)</t>
    <phoneticPr fontId="11" type="noConversion"/>
  </si>
  <si>
    <t>LG CRAC #12 (수냉식)</t>
    <phoneticPr fontId="11" type="noConversion"/>
  </si>
  <si>
    <t>U5-1A</t>
    <phoneticPr fontId="17" type="noConversion"/>
  </si>
  <si>
    <t>PDU : SEL1 - 5-1 - A1</t>
    <phoneticPr fontId="11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</si>
  <si>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1" type="noConversion"/>
  </si>
  <si>
    <t>3P 60A</t>
    <phoneticPr fontId="11" type="noConversion"/>
  </si>
  <si>
    <t>#3P-01</t>
    <phoneticPr fontId="11" type="noConversion"/>
  </si>
  <si>
    <t>#3P-02</t>
    <phoneticPr fontId="11" type="noConversion"/>
  </si>
  <si>
    <t>보다폰정류기-A</t>
  </si>
  <si>
    <t>CF상면</t>
    <phoneticPr fontId="11" type="noConversion"/>
  </si>
  <si>
    <t>5F-Q-21 / 1A-2-11</t>
  </si>
  <si>
    <t>OFF</t>
    <phoneticPr fontId="8" type="noConversion"/>
  </si>
  <si>
    <t>CF상면</t>
  </si>
  <si>
    <t>구글202-A</t>
    <phoneticPr fontId="11" type="noConversion"/>
  </si>
  <si>
    <t>구글201-A</t>
    <phoneticPr fontId="11" type="noConversion"/>
  </si>
  <si>
    <t>5F-Q-24 / 1A-2-14</t>
  </si>
  <si>
    <t>G1101 (1A-1-5)</t>
    <phoneticPr fontId="11" type="noConversion"/>
  </si>
  <si>
    <t>cloudflare</t>
    <phoneticPr fontId="17" type="noConversion"/>
  </si>
  <si>
    <t>구글 시스템박스</t>
    <phoneticPr fontId="11" type="noConversion"/>
  </si>
  <si>
    <t>G1102 (1A-1-6)</t>
    <phoneticPr fontId="11" type="noConversion"/>
  </si>
  <si>
    <t>철거필요</t>
  </si>
  <si>
    <t>1A-3-1</t>
  </si>
  <si>
    <t>G1103 (1A-1-7)</t>
    <phoneticPr fontId="11" type="noConversion"/>
  </si>
  <si>
    <t>G1104 (1A-1-8)</t>
    <phoneticPr fontId="11" type="noConversion"/>
  </si>
  <si>
    <t>G1105 (1A-1-9)</t>
    <phoneticPr fontId="11" type="noConversion"/>
  </si>
  <si>
    <t>구글104-A</t>
    <phoneticPr fontId="11" type="noConversion"/>
  </si>
  <si>
    <t>구글103-A</t>
    <phoneticPr fontId="11" type="noConversion"/>
  </si>
  <si>
    <t>구글102-A</t>
    <phoneticPr fontId="11" type="noConversion"/>
  </si>
  <si>
    <t>1A-3-7</t>
  </si>
  <si>
    <t>구글101-A</t>
    <phoneticPr fontId="11" type="noConversion"/>
  </si>
  <si>
    <t>5F-P-20 / 1A-3-10</t>
  </si>
  <si>
    <t>G1201 (1A-2-1)</t>
    <phoneticPr fontId="11" type="noConversion"/>
  </si>
  <si>
    <t>5F-P-21 / 1A-3-11</t>
  </si>
  <si>
    <t>G1202 (1A-2-2)</t>
    <phoneticPr fontId="11" type="noConversion"/>
  </si>
  <si>
    <t>cloudflare</t>
  </si>
  <si>
    <t>5F-P-22 / 1A-3-12</t>
  </si>
  <si>
    <t>G1203 (1A-2-3)</t>
    <phoneticPr fontId="11" type="noConversion"/>
  </si>
  <si>
    <t>5F-P-23 / 1A-3-13</t>
  </si>
  <si>
    <t>G1204 (1A-2-4)</t>
    <phoneticPr fontId="11" type="noConversion"/>
  </si>
  <si>
    <t>5F-P-24 / 1A-3-14</t>
  </si>
  <si>
    <t>G1205 (1A-2-5)</t>
    <phoneticPr fontId="11" type="noConversion"/>
  </si>
  <si>
    <t>보다폰 케이지 안쪽</t>
    <phoneticPr fontId="11" type="noConversion"/>
  </si>
  <si>
    <t>1A-4-1</t>
  </si>
  <si>
    <t>Vodafone</t>
    <phoneticPr fontId="11" type="noConversion"/>
  </si>
  <si>
    <t>VF Rack#1-상</t>
  </si>
  <si>
    <t>5F-Q-20</t>
  </si>
  <si>
    <t>Vodafone</t>
  </si>
  <si>
    <t>VF Rack#2-상</t>
  </si>
  <si>
    <t>PDU : SEL1 - 5-1 - B1</t>
    <phoneticPr fontId="11" type="noConversion"/>
  </si>
  <si>
    <t>보다폰정류기-B</t>
  </si>
  <si>
    <t>5F-Q-21 / 1B-2-11</t>
  </si>
  <si>
    <t>5F-Q-24 / 1B-2-14</t>
  </si>
  <si>
    <t>G1101 (1B-1-5)</t>
    <phoneticPr fontId="11" type="noConversion"/>
  </si>
  <si>
    <t>구글Cage 지문인식기</t>
    <phoneticPr fontId="11" type="noConversion"/>
  </si>
  <si>
    <t>G1102 (1B-1-6)</t>
    <phoneticPr fontId="11" type="noConversion"/>
  </si>
  <si>
    <t>1B-3-1</t>
  </si>
  <si>
    <t>G1103 (1B-1-7)</t>
    <phoneticPr fontId="11" type="noConversion"/>
  </si>
  <si>
    <t>G1104 (1B-1-8)</t>
    <phoneticPr fontId="11" type="noConversion"/>
  </si>
  <si>
    <t>G1105 (1B-1-9)</t>
    <phoneticPr fontId="11" type="noConversion"/>
  </si>
  <si>
    <t>1B-3-7</t>
  </si>
  <si>
    <t>5F-P-20  / 1B-3-10</t>
  </si>
  <si>
    <t>5F-P-21  / 1B-3-11</t>
  </si>
  <si>
    <t>G1202 (1B-2-2)</t>
    <phoneticPr fontId="11" type="noConversion"/>
  </si>
  <si>
    <t>5F-P-22  / 1B-3-12</t>
  </si>
  <si>
    <t>G1203 (1B-2-3)</t>
    <phoneticPr fontId="11" type="noConversion"/>
  </si>
  <si>
    <t>5F-P-23  / 1B-3-13</t>
  </si>
  <si>
    <t>G1204 (1B-2-4)</t>
    <phoneticPr fontId="11" type="noConversion"/>
  </si>
  <si>
    <t>5F-P-24  / 1B-3-14</t>
  </si>
  <si>
    <t>G1205 (1B-2-5)</t>
    <phoneticPr fontId="11" type="noConversion"/>
  </si>
  <si>
    <t>5F-P-25  / 1B-3-15</t>
  </si>
  <si>
    <t>1B-7-1(2)</t>
  </si>
  <si>
    <t>VF Rack#1-하</t>
  </si>
  <si>
    <t>VF Rack#2-하</t>
  </si>
  <si>
    <t>PDU : SEL1 - 5-1 - A2</t>
    <phoneticPr fontId="11" type="noConversion"/>
  </si>
  <si>
    <t>5F-O-16 / 2A-4-6</t>
  </si>
  <si>
    <t>B221 (R13)-1</t>
    <phoneticPr fontId="11" type="noConversion"/>
  </si>
  <si>
    <t>5F-O-17 / 2A-4-7</t>
  </si>
  <si>
    <t>B221 (R13)-2</t>
    <phoneticPr fontId="11" type="noConversion"/>
  </si>
  <si>
    <t>5F-O-18</t>
  </si>
  <si>
    <t>B222 (R14)-1</t>
    <phoneticPr fontId="11" type="noConversion"/>
  </si>
  <si>
    <t>5F-O-19</t>
  </si>
  <si>
    <t>B222 (R14)-2</t>
    <phoneticPr fontId="11" type="noConversion"/>
  </si>
  <si>
    <t>5F-O-20</t>
  </si>
  <si>
    <t>B316 (R15)-1</t>
    <phoneticPr fontId="11" type="noConversion"/>
  </si>
  <si>
    <t>5F-O-21</t>
  </si>
  <si>
    <t>B316 (R15)-2</t>
    <phoneticPr fontId="11" type="noConversion"/>
  </si>
  <si>
    <t>5F-O-22</t>
  </si>
  <si>
    <t>B317 (R16)-1</t>
    <phoneticPr fontId="11" type="noConversion"/>
  </si>
  <si>
    <t>5F-O-23</t>
  </si>
  <si>
    <t>B318 (R17)-1</t>
    <phoneticPr fontId="11" type="noConversion"/>
  </si>
  <si>
    <t>5F-O-24</t>
  </si>
  <si>
    <t>B319 (R18)</t>
    <phoneticPr fontId="11" type="noConversion"/>
  </si>
  <si>
    <t>2A-7-2(2)</t>
  </si>
  <si>
    <t>B320 (R19)</t>
    <phoneticPr fontId="11" type="noConversion"/>
  </si>
  <si>
    <t>2A-5-1</t>
  </si>
  <si>
    <t>보다폰상면</t>
    <phoneticPr fontId="11" type="noConversion"/>
  </si>
  <si>
    <t>B321 (R20)</t>
    <phoneticPr fontId="11" type="noConversion"/>
  </si>
  <si>
    <t>O</t>
    <phoneticPr fontId="6" type="noConversion"/>
  </si>
  <si>
    <t>B322 (R21)</t>
    <phoneticPr fontId="11" type="noConversion"/>
  </si>
  <si>
    <t>B416 (R22)</t>
    <phoneticPr fontId="11" type="noConversion"/>
  </si>
  <si>
    <t>B417 (R23)</t>
    <phoneticPr fontId="11" type="noConversion"/>
  </si>
  <si>
    <t>B418 (R24)</t>
    <phoneticPr fontId="11" type="noConversion"/>
  </si>
  <si>
    <t>5-1-A2-31</t>
  </si>
  <si>
    <t>B116 (R12)</t>
    <phoneticPr fontId="11" type="noConversion"/>
  </si>
  <si>
    <t>5-1-A2-33</t>
  </si>
  <si>
    <t>B117 (R11)</t>
    <phoneticPr fontId="11" type="noConversion"/>
  </si>
  <si>
    <t>5-1-A2-35</t>
  </si>
  <si>
    <t>B118 (R10)</t>
    <phoneticPr fontId="11" type="noConversion"/>
  </si>
  <si>
    <t>B317 (R16)-2</t>
    <phoneticPr fontId="11" type="noConversion"/>
  </si>
  <si>
    <t>B119 (R9)</t>
    <phoneticPr fontId="11" type="noConversion"/>
  </si>
  <si>
    <t>B318 (R17)-2</t>
    <phoneticPr fontId="11" type="noConversion"/>
  </si>
  <si>
    <t>B120 (R8)</t>
    <phoneticPr fontId="11" type="noConversion"/>
  </si>
  <si>
    <t>B221 (R13)-3</t>
    <phoneticPr fontId="11" type="noConversion"/>
  </si>
  <si>
    <t>O</t>
    <phoneticPr fontId="4" type="noConversion"/>
  </si>
  <si>
    <t>B121 (R7)</t>
    <phoneticPr fontId="11" type="noConversion"/>
  </si>
  <si>
    <t>B222 (R14)-3</t>
    <phoneticPr fontId="11" type="noConversion"/>
  </si>
  <si>
    <t>B122 (R6)</t>
    <phoneticPr fontId="11" type="noConversion"/>
  </si>
  <si>
    <t>B316 (R15)-3</t>
    <phoneticPr fontId="11" type="noConversion"/>
  </si>
  <si>
    <t>B216 (R5)</t>
    <phoneticPr fontId="11" type="noConversion"/>
  </si>
  <si>
    <t>B219 (R2)</t>
  </si>
  <si>
    <t>B217 (R4)</t>
    <phoneticPr fontId="11" type="noConversion"/>
  </si>
  <si>
    <t>B220 (R1)</t>
  </si>
  <si>
    <t>B218 (R3)</t>
    <phoneticPr fontId="11" type="noConversion"/>
  </si>
  <si>
    <t>PDU : SEL1 - 5-1 - B2</t>
    <phoneticPr fontId="11" type="noConversion"/>
  </si>
  <si>
    <t>5F-O-16 / 2B-4-6</t>
  </si>
  <si>
    <t>철거가능</t>
    <phoneticPr fontId="11" type="noConversion"/>
  </si>
  <si>
    <t>5F-O-17 / 2B-4-7</t>
  </si>
  <si>
    <t>2B-7-2(2)</t>
  </si>
  <si>
    <t>2B-5-1</t>
  </si>
  <si>
    <t>철거필요</t>
    <phoneticPr fontId="11" type="noConversion"/>
  </si>
  <si>
    <t>철거가능</t>
  </si>
  <si>
    <t>B219 (R2)</t>
    <phoneticPr fontId="11" type="noConversion"/>
  </si>
  <si>
    <t>B220 (R1)</t>
    <phoneticPr fontId="11" type="noConversion"/>
  </si>
  <si>
    <t>PDU6B-1T</t>
  </si>
  <si>
    <t xml:space="preserve">PDU : </t>
    <phoneticPr fontId="11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</si>
  <si>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1" type="noConversion"/>
  </si>
  <si>
    <t>&lt;= MAIN OFF</t>
  </si>
  <si>
    <t>3P 30A</t>
    <phoneticPr fontId="11" type="noConversion"/>
  </si>
  <si>
    <t>#01(3상)</t>
    <phoneticPr fontId="11" type="noConversion"/>
  </si>
  <si>
    <t>#02(3상)</t>
    <phoneticPr fontId="11" type="noConversion"/>
  </si>
  <si>
    <t>1T-1-3</t>
  </si>
  <si>
    <t>3P 30A</t>
    <phoneticPr fontId="17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</si>
  <si>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</si>
  <si>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</si>
  <si>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</si>
  <si>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</si>
  <si>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</si>
  <si>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</si>
  <si>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</si>
  <si>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</si>
  <si>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</si>
  <si>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</si>
  <si>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7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</si>
  <si>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</si>
  <si>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</si>
  <si>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</si>
  <si>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</si>
  <si>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</si>
  <si>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</si>
  <si>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7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</si>
  <si>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</si>
  <si>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</si>
  <si>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</si>
  <si>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</si>
  <si>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</si>
  <si>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</si>
  <si>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</si>
  <si>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</si>
  <si>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1" type="noConversion"/>
  </si>
  <si>
    <t>3A-12-2</t>
    <phoneticPr fontId="11" type="noConversion"/>
  </si>
  <si>
    <t>3A-12-3</t>
    <phoneticPr fontId="11" type="noConversion"/>
  </si>
  <si>
    <t>3A-12-3T</t>
    <phoneticPr fontId="11" type="noConversion"/>
  </si>
  <si>
    <t>3A-12-4</t>
    <phoneticPr fontId="11" type="noConversion"/>
  </si>
  <si>
    <t>3A-12-5</t>
    <phoneticPr fontId="11" type="noConversion"/>
  </si>
  <si>
    <t>3A-12-6</t>
    <phoneticPr fontId="11" type="noConversion"/>
  </si>
  <si>
    <t>PDU : SEL1 - 5-1 - B3</t>
    <phoneticPr fontId="11" type="noConversion"/>
  </si>
  <si>
    <t>3B-12-6T</t>
  </si>
  <si>
    <t>PDU : SEL1 - 5-1 - A4</t>
    <phoneticPr fontId="11" type="noConversion"/>
  </si>
  <si>
    <t>9A-1-5 (PCCW) /5F-A-14</t>
  </si>
  <si>
    <t>PCCW</t>
    <phoneticPr fontId="17" type="noConversion"/>
  </si>
  <si>
    <t>센츄리링크코리아</t>
    <phoneticPr fontId="17" type="noConversion"/>
  </si>
  <si>
    <t>9A-1-8 / 5F-A-17</t>
    <phoneticPr fontId="11" type="noConversion"/>
  </si>
  <si>
    <t>9A-1-6 / 5F-A-15</t>
    <phoneticPr fontId="11" type="noConversion"/>
  </si>
  <si>
    <t>코로케션</t>
    <phoneticPr fontId="17" type="noConversion"/>
  </si>
  <si>
    <t>9A-1-9 / 5F-A-18</t>
    <phoneticPr fontId="11" type="noConversion"/>
  </si>
  <si>
    <t>9A-1-7 / 5F-A-16</t>
    <phoneticPr fontId="11" type="noConversion"/>
  </si>
  <si>
    <t>세종 인터넷(IES.YSM.S51)</t>
  </si>
  <si>
    <t>9A-1-10 / 5F-A-19</t>
    <phoneticPr fontId="11" type="noConversion"/>
  </si>
  <si>
    <t>PDU : SEL1 - 5-1 - A5</t>
    <phoneticPr fontId="11" type="noConversion"/>
  </si>
  <si>
    <t>&lt;= MAIN OFF</t>
    <phoneticPr fontId="17" type="noConversion"/>
  </si>
  <si>
    <t>PDU : SEL1 - 5-1 - B4</t>
    <phoneticPr fontId="11" type="noConversion"/>
  </si>
  <si>
    <t>센츄리링크코리아</t>
  </si>
  <si>
    <t>9B-1-8 / 5F-A-17</t>
    <phoneticPr fontId="11" type="noConversion"/>
  </si>
  <si>
    <t>9B-1-6 / 5F-A-15</t>
    <phoneticPr fontId="11" type="noConversion"/>
  </si>
  <si>
    <t>9B-1-9 / 5F-A-18</t>
    <phoneticPr fontId="11" type="noConversion"/>
  </si>
  <si>
    <t>9B-1-7 / 5F-A-16</t>
    <phoneticPr fontId="11" type="noConversion"/>
  </si>
  <si>
    <t>세종 인터넷(IES.YSM.S51)</t>
    <phoneticPr fontId="17" type="noConversion"/>
  </si>
  <si>
    <t>9B-1-10 / 5F-A-19</t>
    <phoneticPr fontId="11" type="noConversion"/>
  </si>
  <si>
    <t>9B-1-5 (PCCW)/5F-A-14</t>
  </si>
  <si>
    <t>PDU : SEL1 - 5-1 - B5</t>
    <phoneticPr fontId="11" type="noConversion"/>
  </si>
  <si>
    <t>PDU : SEL1 - 5-1 - A6</t>
    <phoneticPr fontId="11" type="noConversion"/>
  </si>
  <si>
    <t>1A-1-1 / 5F-A-10</t>
    <phoneticPr fontId="11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</si>
  <si>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</si>
  <si>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</si>
  <si>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</si>
  <si>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</si>
  <si>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</si>
  <si>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</si>
  <si>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1" type="noConversion"/>
  </si>
  <si>
    <t>A1-2-1 / 5F-B-10</t>
    <phoneticPr fontId="11" type="noConversion"/>
  </si>
  <si>
    <t>A1-2-2 / 5F-B-11</t>
    <phoneticPr fontId="11" type="noConversion"/>
  </si>
  <si>
    <t>A1-2-3 / 5F-B-12</t>
    <phoneticPr fontId="11" type="noConversion"/>
  </si>
  <si>
    <t>A1-2-4 / 5F-B-13</t>
    <phoneticPr fontId="11" type="noConversion"/>
  </si>
  <si>
    <t>다코스</t>
    <phoneticPr fontId="17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</si>
  <si>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</si>
  <si>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1" type="noConversion"/>
  </si>
  <si>
    <t>이비즈네트웍스</t>
    <phoneticPr fontId="17" type="noConversion"/>
  </si>
  <si>
    <t>A1-5-10(2) / 5F-E-19</t>
  </si>
  <si>
    <t>A1-2-6 / 5F-B-15</t>
    <phoneticPr fontId="11" type="noConversion"/>
  </si>
  <si>
    <t>다코스 &amp; NTT</t>
    <phoneticPr fontId="17" type="noConversion"/>
  </si>
  <si>
    <t>A1-1-3(2) / 5F-A-12(2)</t>
    <phoneticPr fontId="11" type="noConversion"/>
  </si>
  <si>
    <t>A1-2-7 / 5F-B-16</t>
    <phoneticPr fontId="11" type="noConversion"/>
  </si>
  <si>
    <t>제우스네트웍스</t>
    <phoneticPr fontId="17" type="noConversion"/>
  </si>
  <si>
    <t>A1-1-8(2) / 5F-A-17 (2)</t>
    <phoneticPr fontId="11" type="noConversion"/>
  </si>
  <si>
    <t>A1-2-8 / 5F-B-17</t>
    <phoneticPr fontId="11" type="noConversion"/>
  </si>
  <si>
    <t>COLT</t>
    <phoneticPr fontId="17" type="noConversion"/>
  </si>
  <si>
    <t>5F-D-18 임시</t>
  </si>
  <si>
    <t>A1-3-1</t>
  </si>
  <si>
    <t>PDU : SEL1 - 5-1 - A7</t>
    <phoneticPr fontId="11" type="noConversion"/>
  </si>
  <si>
    <t>A2-2-9 / 5F-B-18</t>
    <phoneticPr fontId="11" type="noConversion"/>
  </si>
  <si>
    <t>A2-2-10 / 5F-B-19</t>
  </si>
  <si>
    <t>A2-4-1</t>
  </si>
  <si>
    <t>A2-4-2</t>
  </si>
  <si>
    <t>A2-4-3</t>
  </si>
  <si>
    <t>3P 20A</t>
    <phoneticPr fontId="11" type="noConversion"/>
  </si>
  <si>
    <t>A2-4-5 / 5F-D-14</t>
  </si>
  <si>
    <t>A2-5-10 / 5F-E-19</t>
  </si>
  <si>
    <t>A2-4-6 / 5F-D-15</t>
    <phoneticPr fontId="11" type="noConversion"/>
  </si>
  <si>
    <t>A2-6-5 / F-14</t>
    <phoneticPr fontId="11" type="noConversion"/>
  </si>
  <si>
    <t>A2-6-6 / F-15</t>
    <phoneticPr fontId="11" type="noConversion"/>
  </si>
  <si>
    <t>A2-6-7 / F-16</t>
    <phoneticPr fontId="11" type="noConversion"/>
  </si>
  <si>
    <t>A2-6-8 / F-17</t>
    <phoneticPr fontId="11" type="noConversion"/>
  </si>
  <si>
    <t>PDU : SEL1 - 5-1 - A8</t>
    <phoneticPr fontId="11" type="noConversion"/>
  </si>
  <si>
    <t>AC PDU-3#A</t>
  </si>
  <si>
    <t>3P 50A</t>
    <phoneticPr fontId="11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</si>
  <si>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1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</si>
  <si>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</si>
  <si>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1" type="noConversion"/>
  </si>
  <si>
    <t>TO:PDU(A)-3A</t>
  </si>
  <si>
    <t>3P 50A</t>
    <phoneticPr fontId="17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</si>
  <si>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1" type="noConversion"/>
  </si>
  <si>
    <t>Singtel-1</t>
    <phoneticPr fontId="11" type="noConversion"/>
  </si>
  <si>
    <r>
      <t>#04</t>
    </r>
    <r>
      <rPr>
        <sz val="11"/>
        <rFont val="돋움"/>
        <family val="3"/>
        <charset val="129"/>
      </rPr>
      <t>(3상)</t>
    </r>
    <phoneticPr fontId="11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</si>
  <si>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</si>
  <si>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</si>
  <si>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1" type="noConversion"/>
  </si>
  <si>
    <r>
      <t>#06</t>
    </r>
    <r>
      <rPr>
        <sz val="11"/>
        <rFont val="돋움"/>
        <family val="3"/>
        <charset val="129"/>
      </rPr>
      <t>(3상)</t>
    </r>
    <phoneticPr fontId="11" type="noConversion"/>
  </si>
  <si>
    <t>customer con</t>
  </si>
  <si>
    <t>PUD(A)-3-07 / 5F-B-17 (2)</t>
    <phoneticPr fontId="11" type="noConversion"/>
  </si>
  <si>
    <t>A1007 / 5F-F-16</t>
  </si>
  <si>
    <t>PUD(A)-3-09 / 5F-B-17 (3)</t>
    <phoneticPr fontId="11" type="noConversion"/>
  </si>
  <si>
    <t>A1006 / 5F-F-15</t>
  </si>
  <si>
    <t>A603 / Colt, A-1 (23/08/23 On)</t>
  </si>
  <si>
    <t>CMI</t>
    <phoneticPr fontId="11" type="noConversion"/>
  </si>
  <si>
    <t>D-15랙(CMI)-A ('21.09.29 투입)</t>
    <phoneticPr fontId="11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</si>
  <si>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</si>
  <si>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</si>
  <si>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</si>
  <si>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</si>
  <si>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</si>
  <si>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</si>
  <si>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</si>
  <si>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</si>
  <si>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</si>
  <si>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</si>
  <si>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1" type="noConversion"/>
  </si>
  <si>
    <t>PUD(A)-2-29</t>
  </si>
  <si>
    <t>PDU : SEL1 - 5-1 - B6</t>
    <phoneticPr fontId="11" type="noConversion"/>
  </si>
  <si>
    <t>1B-1-1 / 5F-A-10</t>
    <phoneticPr fontId="11" type="noConversion"/>
  </si>
  <si>
    <t>B1-3-3</t>
  </si>
  <si>
    <t>1B-1-2 / 5F-A-11</t>
  </si>
  <si>
    <t>1B-1-4 / 5F-A-13</t>
  </si>
  <si>
    <t>1B-1-4(2) / 5F-A-13 (2)</t>
    <phoneticPr fontId="11" type="noConversion"/>
  </si>
  <si>
    <t>B1-2-1 / 5F-B-10</t>
    <phoneticPr fontId="11" type="noConversion"/>
  </si>
  <si>
    <t>B1-2-2 / 5F-B-11</t>
    <phoneticPr fontId="11" type="noConversion"/>
  </si>
  <si>
    <t>B1-2-3 / 5F-B-12</t>
    <phoneticPr fontId="11" type="noConversion"/>
  </si>
  <si>
    <t>B1-2-4 / 5F-B-13</t>
    <phoneticPr fontId="11" type="noConversion"/>
  </si>
  <si>
    <t>B1-2-5 / A605 (B)</t>
    <phoneticPr fontId="11" type="noConversion"/>
  </si>
  <si>
    <t>X</t>
    <phoneticPr fontId="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</si>
  <si>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</si>
  <si>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1" type="noConversion"/>
  </si>
  <si>
    <t>B1-5-10(2) / 5F-E-19</t>
  </si>
  <si>
    <t>B1-2-7 / 5F-B-16</t>
    <phoneticPr fontId="11" type="noConversion"/>
  </si>
  <si>
    <t>1B-1-3 / 5F-A-12</t>
  </si>
  <si>
    <t>B1-2-8 / 5F-B-17</t>
    <phoneticPr fontId="11" type="noConversion"/>
  </si>
  <si>
    <t>B1-1-8(2) / 5F-A-17 (2)</t>
    <phoneticPr fontId="11" type="noConversion"/>
  </si>
  <si>
    <t>B1-3-1</t>
  </si>
  <si>
    <t>B1-1-3(2) / 5F-A-12 (2)</t>
    <phoneticPr fontId="11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</si>
  <si>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</si>
  <si>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1" type="noConversion"/>
  </si>
  <si>
    <t>B1-2-9 / 5F-B-18</t>
    <phoneticPr fontId="11" type="noConversion"/>
  </si>
  <si>
    <t>PDU : SEL1 - 5-1 - B7</t>
    <phoneticPr fontId="11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</si>
  <si>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</si>
  <si>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</si>
  <si>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</si>
  <si>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</si>
  <si>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</si>
  <si>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</si>
  <si>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1" type="noConversion"/>
  </si>
  <si>
    <t>B2-6-5 / F-14</t>
    <phoneticPr fontId="11" type="noConversion"/>
  </si>
  <si>
    <t>B2-6-6 / F-15</t>
    <phoneticPr fontId="11" type="noConversion"/>
  </si>
  <si>
    <t>B2-6-7 / F-16</t>
    <phoneticPr fontId="11" type="noConversion"/>
  </si>
  <si>
    <t>B2-6-8 / F-17</t>
    <phoneticPr fontId="11" type="noConversion"/>
  </si>
  <si>
    <t>FMS 5층 메인전원</t>
  </si>
  <si>
    <t>PDU : SEL1 - 5-1 - B8</t>
    <phoneticPr fontId="11" type="noConversion"/>
  </si>
  <si>
    <t>&lt;- 디스플래이값</t>
  </si>
  <si>
    <t>AC PDU-3#B</t>
  </si>
  <si>
    <t>TO:PDU(B)-3A</t>
  </si>
  <si>
    <t>DC정류기B</t>
  </si>
  <si>
    <t>PUD(B)-3-07 / 5F-B-17 (2)</t>
    <phoneticPr fontId="11" type="noConversion"/>
  </si>
  <si>
    <t>PUD(B)-3-09 / 5F-B-17 (3)</t>
    <phoneticPr fontId="11" type="noConversion"/>
  </si>
  <si>
    <t>A603 / Colt, B-1 (23/08/23 On)</t>
  </si>
  <si>
    <t>D-15랙(CMI)-B ('21.09.29 투입)</t>
    <phoneticPr fontId="11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</si>
  <si>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</si>
  <si>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</si>
  <si>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7" type="noConversion"/>
  </si>
  <si>
    <t>4F BMS</t>
  </si>
  <si>
    <t>텔스트라 CCTV 모니터링PC 및 시스템 박스</t>
  </si>
  <si>
    <t>5F BMS</t>
  </si>
  <si>
    <t>Singtel-2</t>
    <phoneticPr fontId="11" type="noConversion"/>
  </si>
  <si>
    <t>다코스 &amp; NTT</t>
  </si>
  <si>
    <t>B3-2-6(2) / 5F-B-15 (2)</t>
    <phoneticPr fontId="11" type="noConversion"/>
  </si>
  <si>
    <t>PDU(C)</t>
  </si>
  <si>
    <t>Main CB   4P 50A</t>
    <phoneticPr fontId="11" type="noConversion"/>
  </si>
  <si>
    <t>라우터룸 System box</t>
  </si>
  <si>
    <t>SYSTEM BOX</t>
  </si>
  <si>
    <t>M/S 단파</t>
  </si>
  <si>
    <t>합계:</t>
    <phoneticPr fontId="11" type="noConversion"/>
  </si>
  <si>
    <t>PDU : SEL1 - 5-1 - A9</t>
    <phoneticPr fontId="11" type="noConversion"/>
  </si>
  <si>
    <t>RT-07</t>
    <phoneticPr fontId="11" type="noConversion"/>
  </si>
  <si>
    <t>○</t>
    <phoneticPr fontId="17" type="noConversion"/>
  </si>
  <si>
    <t>U08-A-01</t>
    <phoneticPr fontId="11" type="noConversion"/>
  </si>
  <si>
    <t>U08-A-02</t>
    <phoneticPr fontId="11" type="noConversion"/>
  </si>
  <si>
    <t>RT-08</t>
    <phoneticPr fontId="11" type="noConversion"/>
  </si>
  <si>
    <t>RT-09</t>
    <phoneticPr fontId="11" type="noConversion"/>
  </si>
  <si>
    <t>U08-A-03</t>
    <phoneticPr fontId="11" type="noConversion"/>
  </si>
  <si>
    <t>U08-A-04</t>
    <phoneticPr fontId="11" type="noConversion"/>
  </si>
  <si>
    <t>RT-10</t>
    <phoneticPr fontId="11" type="noConversion"/>
  </si>
  <si>
    <t>RT-11</t>
    <phoneticPr fontId="11" type="noConversion"/>
  </si>
  <si>
    <t>U08-A-05</t>
  </si>
  <si>
    <t>U08-A-06</t>
    <phoneticPr fontId="11" type="noConversion"/>
  </si>
  <si>
    <t>RT-12</t>
    <phoneticPr fontId="11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</si>
  <si>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</si>
  <si>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</si>
  <si>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</si>
  <si>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</si>
  <si>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</si>
  <si>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</si>
  <si>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</si>
  <si>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</si>
  <si>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</si>
  <si>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</si>
  <si>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</si>
  <si>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</si>
  <si>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</si>
  <si>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</si>
  <si>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</si>
  <si>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1" type="noConversion"/>
  </si>
  <si>
    <t>LSP-02</t>
    <phoneticPr fontId="11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</si>
  <si>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1" type="noConversion"/>
  </si>
  <si>
    <t>U08-A-15</t>
  </si>
  <si>
    <t>U08-A-16</t>
  </si>
  <si>
    <t>LSP-03</t>
    <phoneticPr fontId="11" type="noConversion"/>
  </si>
  <si>
    <t>LSP-04</t>
    <phoneticPr fontId="11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</si>
  <si>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</si>
  <si>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</si>
  <si>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</si>
  <si>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</si>
  <si>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</si>
  <si>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</si>
  <si>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</si>
  <si>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</si>
  <si>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</si>
  <si>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</si>
  <si>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</si>
  <si>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</si>
  <si>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</si>
  <si>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</si>
  <si>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1" type="noConversion"/>
  </si>
  <si>
    <t>RT-08 정류기</t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</si>
  <si>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1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</si>
  <si>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</si>
  <si>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</si>
  <si>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</si>
  <si>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</si>
  <si>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1" type="noConversion"/>
  </si>
  <si>
    <t>PDU : SEL1 - 5-1 - B9</t>
    <phoneticPr fontId="11" type="noConversion"/>
  </si>
  <si>
    <t>U08-B-01</t>
    <phoneticPr fontId="11" type="noConversion"/>
  </si>
  <si>
    <t>U08-B-02</t>
    <phoneticPr fontId="11" type="noConversion"/>
  </si>
  <si>
    <t>U08-B-03</t>
    <phoneticPr fontId="11" type="noConversion"/>
  </si>
  <si>
    <t>U08-B-04</t>
    <phoneticPr fontId="11" type="noConversion"/>
  </si>
  <si>
    <t>U08-B-05</t>
    <phoneticPr fontId="11" type="noConversion"/>
  </si>
  <si>
    <t>U08-B-06</t>
    <phoneticPr fontId="11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</si>
  <si>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</si>
  <si>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</si>
  <si>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</si>
  <si>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</si>
  <si>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</si>
  <si>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</si>
  <si>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</si>
  <si>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</si>
  <si>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</si>
  <si>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</si>
  <si>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</si>
  <si>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</si>
  <si>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</si>
  <si>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</si>
  <si>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</si>
  <si>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</si>
  <si>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</si>
  <si>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</si>
  <si>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1" type="noConversion"/>
  </si>
  <si>
    <t>U08-B-25</t>
  </si>
  <si>
    <t>PDU : SEL1 - 5-1 - A10</t>
    <phoneticPr fontId="11" type="noConversion"/>
  </si>
  <si>
    <t>RTX Rack#1, R1-1-1</t>
    <phoneticPr fontId="11" type="noConversion"/>
  </si>
  <si>
    <t>RTX Rack#8, R3-1-1</t>
    <phoneticPr fontId="11" type="noConversion"/>
  </si>
  <si>
    <t>RTX Rack#2, R1-2-1</t>
    <phoneticPr fontId="11" type="noConversion"/>
  </si>
  <si>
    <t>RTX Rack#9, R3-2-1</t>
    <phoneticPr fontId="11" type="noConversion"/>
  </si>
  <si>
    <t>RTX Rack#3, R1-3-1</t>
    <phoneticPr fontId="11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</si>
  <si>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1" type="noConversion"/>
  </si>
  <si>
    <t>NW/Mgmt Rack, R3-3-1</t>
    <phoneticPr fontId="11" type="noConversion"/>
  </si>
  <si>
    <t>RTX Rack#4, R2-1-1</t>
    <phoneticPr fontId="11" type="noConversion"/>
  </si>
  <si>
    <t>A40 Rack#1, R4-1-1</t>
    <phoneticPr fontId="11" type="noConversion"/>
  </si>
  <si>
    <t>RTX Rack#5, R2-2-1</t>
    <phoneticPr fontId="11" type="noConversion"/>
  </si>
  <si>
    <t>A40 Rack#2, R4-2-1</t>
    <phoneticPr fontId="11" type="noConversion"/>
  </si>
  <si>
    <t>RTX Rack#6, R2-3-1</t>
    <phoneticPr fontId="11" type="noConversion"/>
  </si>
  <si>
    <t>NetApp FAS#1, R4-3-1</t>
    <phoneticPr fontId="11" type="noConversion"/>
  </si>
  <si>
    <t>RTX Rack#7, R2-4-1</t>
    <phoneticPr fontId="11" type="noConversion"/>
  </si>
  <si>
    <t>NetApp AFF#2, R4-4-1</t>
    <phoneticPr fontId="11" type="noConversion"/>
  </si>
  <si>
    <t>DGX Rack#1, R5-1-1</t>
    <phoneticPr fontId="11" type="noConversion"/>
  </si>
  <si>
    <t>예비Rack#1, R6-1-1</t>
    <phoneticPr fontId="11" type="noConversion"/>
  </si>
  <si>
    <t>DGX Rack#2, R5-2-1</t>
    <phoneticPr fontId="11" type="noConversion"/>
  </si>
  <si>
    <t>예비Rack#2, R6-2-1</t>
    <phoneticPr fontId="11" type="noConversion"/>
  </si>
  <si>
    <t>DGX Rack#3, R5-3-1</t>
    <phoneticPr fontId="11" type="noConversion"/>
  </si>
  <si>
    <t>예비Rack#3, R6-3-1</t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</si>
  <si>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1" type="noConversion"/>
  </si>
  <si>
    <r>
      <t>#</t>
    </r>
    <r>
      <rPr>
        <sz val="11"/>
        <rFont val="돋움"/>
        <family val="3"/>
        <charset val="129"/>
      </rPr>
      <t>22</t>
    </r>
    <phoneticPr fontId="11" type="noConversion"/>
  </si>
  <si>
    <t>예비Rack#4, R6-4-1</t>
    <phoneticPr fontId="11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</si>
  <si>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1" type="noConversion"/>
  </si>
  <si>
    <r>
      <t>#2</t>
    </r>
    <r>
      <rPr>
        <sz val="11"/>
        <rFont val="돋움"/>
        <family val="3"/>
        <charset val="129"/>
      </rPr>
      <t>4</t>
    </r>
    <phoneticPr fontId="11" type="noConversion"/>
  </si>
  <si>
    <t>PDU : SEL1 - 5-1 - B10</t>
    <phoneticPr fontId="11" type="noConversion"/>
  </si>
  <si>
    <t>RTX Rack#1, R1-1-2</t>
    <phoneticPr fontId="11" type="noConversion"/>
  </si>
  <si>
    <t>RTX Rack#8, R3-1-2</t>
    <phoneticPr fontId="11" type="noConversion"/>
  </si>
  <si>
    <t>RTX Rack#2, R1-2-2</t>
    <phoneticPr fontId="11" type="noConversion"/>
  </si>
  <si>
    <t>RTX Rack#9, R3-2-2</t>
    <phoneticPr fontId="11" type="noConversion"/>
  </si>
  <si>
    <t>RTX Rack#3, R1-3-2</t>
    <phoneticPr fontId="11" type="noConversion"/>
  </si>
  <si>
    <t>NW/Mgmt Rack, R3-3-2</t>
    <phoneticPr fontId="11" type="noConversion"/>
  </si>
  <si>
    <t>RTX Rack#4, R2-1-2</t>
    <phoneticPr fontId="11" type="noConversion"/>
  </si>
  <si>
    <t>A40 Rack#1, R4-1-2</t>
    <phoneticPr fontId="11" type="noConversion"/>
  </si>
  <si>
    <t>RTX Rack#5, R2-2-2</t>
    <phoneticPr fontId="11" type="noConversion"/>
  </si>
  <si>
    <t>A40 Rack#2, R4-2-2</t>
    <phoneticPr fontId="11" type="noConversion"/>
  </si>
  <si>
    <t>RTX Rack#6, R2-3-2</t>
    <phoneticPr fontId="11" type="noConversion"/>
  </si>
  <si>
    <t>NetApp FAS#1, R4-3-2</t>
    <phoneticPr fontId="11" type="noConversion"/>
  </si>
  <si>
    <t>RTX Rack#7, R2-4-2</t>
    <phoneticPr fontId="11" type="noConversion"/>
  </si>
  <si>
    <t>NetApp AFF#2, R4-4-2</t>
    <phoneticPr fontId="11" type="noConversion"/>
  </si>
  <si>
    <t>DGX Rack#1, R5-1-2</t>
    <phoneticPr fontId="11" type="noConversion"/>
  </si>
  <si>
    <t>예비Rack#1, R6-1-2</t>
    <phoneticPr fontId="11" type="noConversion"/>
  </si>
  <si>
    <t>DGX Rack#2, R5-2-2</t>
    <phoneticPr fontId="11" type="noConversion"/>
  </si>
  <si>
    <t>예비Rack#2, R6-2-2</t>
    <phoneticPr fontId="11" type="noConversion"/>
  </si>
  <si>
    <t>DGX Rack#3, R5-3-2</t>
    <phoneticPr fontId="11" type="noConversion"/>
  </si>
  <si>
    <t>예비Rack#3, R6-3-2</t>
    <phoneticPr fontId="11" type="noConversion"/>
  </si>
  <si>
    <t>예비Rack#4, R6-4-2</t>
    <phoneticPr fontId="11" type="noConversion"/>
  </si>
  <si>
    <t>PDU : SEL1 - 5-1 - A11</t>
    <phoneticPr fontId="11" type="noConversion"/>
  </si>
  <si>
    <t>RTX Rack#1, R1-1-3</t>
    <phoneticPr fontId="11" type="noConversion"/>
  </si>
  <si>
    <t>RTX Rack#8, R3-1-3</t>
    <phoneticPr fontId="11" type="noConversion"/>
  </si>
  <si>
    <t>RTX Rack#2, R1-2-3</t>
    <phoneticPr fontId="11" type="noConversion"/>
  </si>
  <si>
    <t>RTX Rack#9, R3-2-3</t>
    <phoneticPr fontId="11" type="noConversion"/>
  </si>
  <si>
    <t>RTX Rack#3, R1-3-3</t>
    <phoneticPr fontId="11" type="noConversion"/>
  </si>
  <si>
    <t>NW/Mgmt Rack, R3-3-3</t>
    <phoneticPr fontId="11" type="noConversion"/>
  </si>
  <si>
    <t>RTX Rack#4, R2-1-3</t>
    <phoneticPr fontId="11" type="noConversion"/>
  </si>
  <si>
    <t>A40 Rack#1, R4-1-3</t>
    <phoneticPr fontId="11" type="noConversion"/>
  </si>
  <si>
    <t>RTX Rack#5, R2-2-3</t>
    <phoneticPr fontId="11" type="noConversion"/>
  </si>
  <si>
    <t>A40 Rack#2, R4-2-3</t>
    <phoneticPr fontId="11" type="noConversion"/>
  </si>
  <si>
    <t>RTX Rack#6, R2-3-3</t>
    <phoneticPr fontId="11" type="noConversion"/>
  </si>
  <si>
    <t>NetApp FAS#1, R4-3-3</t>
    <phoneticPr fontId="11" type="noConversion"/>
  </si>
  <si>
    <t>RTX Rack#7, R2-4-3</t>
    <phoneticPr fontId="11" type="noConversion"/>
  </si>
  <si>
    <t>NetApp AFF#2, R4-4-3</t>
    <phoneticPr fontId="11" type="noConversion"/>
  </si>
  <si>
    <t>DGX Rack#1, R5-1-3</t>
    <phoneticPr fontId="11" type="noConversion"/>
  </si>
  <si>
    <t>예비Rack#1, R6-1-3</t>
    <phoneticPr fontId="11" type="noConversion"/>
  </si>
  <si>
    <t>DGX Rack#2, R5-2-3</t>
    <phoneticPr fontId="11" type="noConversion"/>
  </si>
  <si>
    <t>예비Rack#2, R6-2-3</t>
    <phoneticPr fontId="11" type="noConversion"/>
  </si>
  <si>
    <t>DGX Rack#3, R5-3-3</t>
    <phoneticPr fontId="11" type="noConversion"/>
  </si>
  <si>
    <t>예비Rack#3, R6-3-3</t>
    <phoneticPr fontId="11" type="noConversion"/>
  </si>
  <si>
    <t>예비Rack#4, R6-4-3</t>
    <phoneticPr fontId="11" type="noConversion"/>
  </si>
  <si>
    <t>PDU : SEL1 - 5-1 - B11</t>
    <phoneticPr fontId="11" type="noConversion"/>
  </si>
  <si>
    <t>RTX Rack#1, R1-1-4</t>
    <phoneticPr fontId="11" type="noConversion"/>
  </si>
  <si>
    <t>RTX Rack#8, R3-1-4</t>
    <phoneticPr fontId="11" type="noConversion"/>
  </si>
  <si>
    <t>RTX Rack#2, R1-2-4</t>
    <phoneticPr fontId="11" type="noConversion"/>
  </si>
  <si>
    <t>RTX Rack#9, R3-2-4</t>
    <phoneticPr fontId="11" type="noConversion"/>
  </si>
  <si>
    <t>RTX Rack#3, R1-3-4</t>
    <phoneticPr fontId="11" type="noConversion"/>
  </si>
  <si>
    <t>NW/Mgmt Rack, R3-3-4</t>
    <phoneticPr fontId="11" type="noConversion"/>
  </si>
  <si>
    <t>RTX Rack#4, R2-1-4</t>
    <phoneticPr fontId="11" type="noConversion"/>
  </si>
  <si>
    <t>A40 Rack#1, R4-1-4</t>
    <phoneticPr fontId="11" type="noConversion"/>
  </si>
  <si>
    <t>RTX Rack#5, R2-2-4</t>
    <phoneticPr fontId="11" type="noConversion"/>
  </si>
  <si>
    <t>A40 Rack#2, R4-2-4</t>
    <phoneticPr fontId="11" type="noConversion"/>
  </si>
  <si>
    <t>RTX Rack#6, R2-3-4</t>
    <phoneticPr fontId="11" type="noConversion"/>
  </si>
  <si>
    <t>NetApp FAS#1, R4-3-4</t>
    <phoneticPr fontId="11" type="noConversion"/>
  </si>
  <si>
    <t>RTX Rack#7, R2-4-4</t>
    <phoneticPr fontId="11" type="noConversion"/>
  </si>
  <si>
    <t>NetApp AFF#2, R4-4-4</t>
    <phoneticPr fontId="11" type="noConversion"/>
  </si>
  <si>
    <t>DGX Rack#1, R5-1-4</t>
    <phoneticPr fontId="11" type="noConversion"/>
  </si>
  <si>
    <t>예비Rack#1, R6-1-4</t>
    <phoneticPr fontId="11" type="noConversion"/>
  </si>
  <si>
    <t>DGX Rack#2, R5-2-4</t>
    <phoneticPr fontId="11" type="noConversion"/>
  </si>
  <si>
    <t>예비Rack#2, R6-2-4</t>
    <phoneticPr fontId="11" type="noConversion"/>
  </si>
  <si>
    <t>DGX Rack#3, R5-3-4</t>
    <phoneticPr fontId="11" type="noConversion"/>
  </si>
  <si>
    <t>예비Rack#3, R6-3-4</t>
    <phoneticPr fontId="11" type="noConversion"/>
  </si>
  <si>
    <t>예비Rack#4, R6-4-4</t>
    <phoneticPr fontId="11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</si>
  <si>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</si>
  <si>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1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</si>
  <si>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</si>
  <si>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1" type="noConversion"/>
  </si>
  <si>
    <t>Singtel</t>
    <phoneticPr fontId="38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</si>
  <si>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1" type="noConversion"/>
  </si>
  <si>
    <t>텔스트라 정류기 A1</t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</si>
  <si>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1" type="noConversion"/>
  </si>
  <si>
    <t>C2C</t>
    <phoneticPr fontId="38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</si>
  <si>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</si>
  <si>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1" type="noConversion"/>
  </si>
  <si>
    <t>텔스트라 정류기 A2</t>
    <phoneticPr fontId="11" type="noConversion"/>
  </si>
  <si>
    <t>텔스트라 정류기 B1</t>
    <phoneticPr fontId="11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</si>
  <si>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1" type="noConversion"/>
  </si>
  <si>
    <r>
      <t>#</t>
    </r>
    <r>
      <rPr>
        <sz val="11"/>
        <rFont val="돋움"/>
        <family val="3"/>
        <charset val="129"/>
      </rPr>
      <t>06</t>
    </r>
    <phoneticPr fontId="11" type="noConversion"/>
  </si>
  <si>
    <t>텔스트라 정류기 B2</t>
    <phoneticPr fontId="11" type="noConversion"/>
  </si>
  <si>
    <t>배분</t>
    <phoneticPr fontId="17" type="noConversion"/>
  </si>
  <si>
    <t>IDC</t>
    <phoneticPr fontId="11" type="noConversion"/>
  </si>
  <si>
    <t>텔스트라 정류기</t>
    <phoneticPr fontId="17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</si>
  <si>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7" type="noConversion"/>
  </si>
  <si>
    <t>singtel PDU-8-B</t>
    <phoneticPr fontId="17" type="noConversion"/>
  </si>
  <si>
    <t>=&gt;합계</t>
    <phoneticPr fontId="11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</si>
  <si>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1" type="noConversion"/>
  </si>
  <si>
    <t>LG CNS</t>
    <phoneticPr fontId="11" type="noConversion"/>
  </si>
  <si>
    <t>함계</t>
    <phoneticPr fontId="17" type="noConversion"/>
  </si>
  <si>
    <t>복도</t>
    <phoneticPr fontId="38" type="noConversion"/>
  </si>
  <si>
    <t>▼</t>
    <phoneticPr fontId="38" type="noConversion"/>
  </si>
  <si>
    <t>Singtel-1</t>
    <phoneticPr fontId="38" type="noConversion"/>
  </si>
  <si>
    <t>Singtel-2</t>
    <phoneticPr fontId="38" type="noConversion"/>
  </si>
  <si>
    <t>Pacnet</t>
    <phoneticPr fontId="38" type="noConversion"/>
  </si>
  <si>
    <t>KEN 1</t>
    <phoneticPr fontId="17" type="noConversion"/>
  </si>
  <si>
    <t>Main CB  4P 300A</t>
    <phoneticPr fontId="11" type="noConversion"/>
  </si>
  <si>
    <t>PDU : SEL1 - 4-1 - B1</t>
    <phoneticPr fontId="11" type="noConversion"/>
  </si>
  <si>
    <t>KEN 2</t>
    <phoneticPr fontId="17" type="noConversion"/>
  </si>
  <si>
    <t>PDU : SEL1 - 4-1 - B2</t>
    <phoneticPr fontId="11" type="noConversion"/>
  </si>
  <si>
    <t>CB NO.</t>
    <phoneticPr fontId="11" type="noConversion"/>
  </si>
  <si>
    <t>비고</t>
    <phoneticPr fontId="11" type="noConversion"/>
  </si>
  <si>
    <t>정류기 1호기</t>
    <phoneticPr fontId="17" type="noConversion"/>
  </si>
  <si>
    <t>코어룸</t>
    <phoneticPr fontId="17" type="noConversion"/>
  </si>
  <si>
    <t>POP E(상)</t>
    <phoneticPr fontId="17" type="noConversion"/>
  </si>
  <si>
    <t>2P 100A</t>
    <phoneticPr fontId="17" type="noConversion"/>
  </si>
  <si>
    <t>POP F(상)</t>
    <phoneticPr fontId="17" type="noConversion"/>
  </si>
  <si>
    <t>POP B(상)</t>
    <phoneticPr fontId="17" type="noConversion"/>
  </si>
  <si>
    <t>IDC 1구역 B(상)</t>
    <phoneticPr fontId="17" type="noConversion"/>
  </si>
  <si>
    <t>POP C(상)</t>
    <phoneticPr fontId="17" type="noConversion"/>
  </si>
  <si>
    <t>IDC 1구역 C(상)</t>
    <phoneticPr fontId="17" type="noConversion"/>
  </si>
  <si>
    <t>POP D(상)</t>
    <phoneticPr fontId="17" type="noConversion"/>
  </si>
  <si>
    <t>IDC 1구역 D(상)</t>
    <phoneticPr fontId="17" type="noConversion"/>
  </si>
  <si>
    <t>IDC 2구역 I(상)</t>
    <phoneticPr fontId="17" type="noConversion"/>
  </si>
  <si>
    <t>IDC 1구역 E(상)</t>
    <phoneticPr fontId="17" type="noConversion"/>
  </si>
  <si>
    <t>IDC 2구역 H(상)</t>
    <phoneticPr fontId="17" type="noConversion"/>
  </si>
  <si>
    <t>IDC 1구역 F(상)</t>
    <phoneticPr fontId="17" type="noConversion"/>
  </si>
  <si>
    <t>IDC 1구역 G(상)</t>
    <phoneticPr fontId="17" type="noConversion"/>
  </si>
  <si>
    <t>KEN 3</t>
    <phoneticPr fontId="17" type="noConversion"/>
  </si>
  <si>
    <t>PDU : SEL1 - 4-1 - B3</t>
    <phoneticPr fontId="11" type="noConversion"/>
  </si>
  <si>
    <t>KEN 6</t>
    <phoneticPr fontId="17" type="noConversion"/>
  </si>
  <si>
    <t>PDU : SEL1 - 4-1 - B4</t>
    <phoneticPr fontId="11" type="noConversion"/>
  </si>
  <si>
    <t>IDC 2구역 J(상)</t>
    <phoneticPr fontId="17" type="noConversion"/>
  </si>
  <si>
    <t>K 2-1-상</t>
    <phoneticPr fontId="17" type="noConversion"/>
  </si>
  <si>
    <t>세틀뱅크(구 시스케어)</t>
    <phoneticPr fontId="17" type="noConversion"/>
  </si>
  <si>
    <t>IDC 2구역 K(상)</t>
    <phoneticPr fontId="17" type="noConversion"/>
  </si>
  <si>
    <t>K 3-1 상</t>
    <phoneticPr fontId="17" type="noConversion"/>
  </si>
  <si>
    <t>미디어꾼(구)윈텔)</t>
    <phoneticPr fontId="17" type="noConversion"/>
  </si>
  <si>
    <t>IDC 2구역 L(상)</t>
    <phoneticPr fontId="17" type="noConversion"/>
  </si>
  <si>
    <t>K 2-2-상</t>
    <phoneticPr fontId="17" type="noConversion"/>
  </si>
  <si>
    <t>세틀뱅크(구 시스케어)</t>
  </si>
  <si>
    <t>IDC 2구역 M(상)</t>
    <phoneticPr fontId="17" type="noConversion"/>
  </si>
  <si>
    <t>K 3-2 상</t>
    <phoneticPr fontId="17" type="noConversion"/>
  </si>
  <si>
    <t>IDC 3구역 N(상)</t>
    <phoneticPr fontId="17" type="noConversion"/>
  </si>
  <si>
    <t>K 2-3-상</t>
    <phoneticPr fontId="17" type="noConversion"/>
  </si>
  <si>
    <t>IDC 3구역 O(상)</t>
    <phoneticPr fontId="17" type="noConversion"/>
  </si>
  <si>
    <t>K 3-3 상</t>
    <phoneticPr fontId="17" type="noConversion"/>
  </si>
  <si>
    <t>IDC 3구역 P(상)</t>
    <phoneticPr fontId="17" type="noConversion"/>
  </si>
  <si>
    <t>K 2-4 상</t>
    <phoneticPr fontId="17" type="noConversion"/>
  </si>
  <si>
    <t>IDC 3구역 Q(상)</t>
    <phoneticPr fontId="17" type="noConversion"/>
  </si>
  <si>
    <t>K 3-4 상</t>
    <phoneticPr fontId="17" type="noConversion"/>
  </si>
  <si>
    <t>IDC 3구역 R(상)</t>
    <phoneticPr fontId="17" type="noConversion"/>
  </si>
  <si>
    <t>K 1-1 상</t>
    <phoneticPr fontId="17" type="noConversion"/>
  </si>
  <si>
    <t>BMW</t>
    <phoneticPr fontId="17" type="noConversion"/>
  </si>
  <si>
    <t>IDC 3구역 S(상)</t>
    <phoneticPr fontId="17" type="noConversion"/>
  </si>
  <si>
    <t>K 1-2 상</t>
    <phoneticPr fontId="17" type="noConversion"/>
  </si>
  <si>
    <t>세종시스템케이지</t>
    <phoneticPr fontId="17" type="noConversion"/>
  </si>
  <si>
    <t>KEN 7</t>
    <phoneticPr fontId="17" type="noConversion"/>
  </si>
  <si>
    <t>PDU : SEL1 - 4-1 - B5</t>
    <phoneticPr fontId="11" type="noConversion"/>
  </si>
  <si>
    <t>KEN 8</t>
    <phoneticPr fontId="17" type="noConversion"/>
  </si>
  <si>
    <t>PDU : SEL1 - 4-1 - A1</t>
    <phoneticPr fontId="11" type="noConversion"/>
  </si>
  <si>
    <t>라온 - 철거</t>
    <phoneticPr fontId="17" type="noConversion"/>
  </si>
  <si>
    <t>4P 200A</t>
    <phoneticPr fontId="17" type="noConversion"/>
  </si>
  <si>
    <t>정류기 2호기</t>
    <phoneticPr fontId="17" type="noConversion"/>
  </si>
  <si>
    <t>CRAC 4E-1호기(20RT)</t>
    <phoneticPr fontId="11" type="noConversion"/>
  </si>
  <si>
    <t>항온</t>
    <phoneticPr fontId="17" type="noConversion"/>
  </si>
  <si>
    <t>POP E(하)</t>
    <phoneticPr fontId="17" type="noConversion"/>
  </si>
  <si>
    <t>CRAC 4E-2호기(20RT)</t>
    <phoneticPr fontId="11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</si>
  <si>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</si>
  <si>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</si>
  <si>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</si>
  <si>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</si>
  <si>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</si>
  <si>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7" type="noConversion"/>
  </si>
  <si>
    <t>PDU : SEL1 - 4-1 - A2</t>
    <phoneticPr fontId="11" type="noConversion"/>
  </si>
  <si>
    <t>KEN 10</t>
    <phoneticPr fontId="17" type="noConversion"/>
  </si>
  <si>
    <t>PDU : SEL1 - 4-1 - A3</t>
    <phoneticPr fontId="11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</si>
  <si>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</si>
  <si>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</si>
  <si>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</si>
  <si>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</si>
  <si>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</si>
  <si>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</si>
  <si>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</si>
  <si>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</si>
  <si>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</si>
  <si>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</si>
  <si>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</si>
  <si>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</si>
  <si>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</si>
  <si>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</si>
  <si>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</si>
  <si>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</si>
  <si>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</si>
  <si>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7" type="noConversion"/>
  </si>
  <si>
    <t>PDU : SEL1 - 4-1 - A4</t>
    <phoneticPr fontId="11" type="noConversion"/>
  </si>
  <si>
    <t>KEN 14</t>
    <phoneticPr fontId="17" type="noConversion"/>
  </si>
  <si>
    <t>PDU : SEL1 - 4-1 - A5</t>
    <phoneticPr fontId="11" type="noConversion"/>
  </si>
  <si>
    <t>CB NO.</t>
  </si>
  <si>
    <t>K 2-1-하</t>
    <phoneticPr fontId="17" type="noConversion"/>
  </si>
  <si>
    <t>라온(상)- 철거</t>
    <phoneticPr fontId="17" type="noConversion"/>
  </si>
  <si>
    <t>K 3-1-하</t>
    <phoneticPr fontId="17" type="noConversion"/>
  </si>
  <si>
    <t>K 2-2-하</t>
    <phoneticPr fontId="17" type="noConversion"/>
  </si>
  <si>
    <t>K 3-2-하</t>
    <phoneticPr fontId="17" type="noConversion"/>
  </si>
  <si>
    <t>합계:</t>
    <phoneticPr fontId="31" type="noConversion"/>
  </si>
  <si>
    <t>K 2-3-하</t>
    <phoneticPr fontId="17" type="noConversion"/>
  </si>
  <si>
    <t>TR Room A,B</t>
    <phoneticPr fontId="17" type="noConversion"/>
  </si>
  <si>
    <t>K 3-3-하</t>
    <phoneticPr fontId="17" type="noConversion"/>
  </si>
  <si>
    <t>K 2-4-하</t>
    <phoneticPr fontId="17" type="noConversion"/>
  </si>
  <si>
    <t>KB증권 DR(A) - 철거</t>
    <phoneticPr fontId="17" type="noConversion"/>
  </si>
  <si>
    <t>4P 320A</t>
    <phoneticPr fontId="17" type="noConversion"/>
  </si>
  <si>
    <t>K 3-4-하</t>
    <phoneticPr fontId="17" type="noConversion"/>
  </si>
  <si>
    <t>K 1-1-하</t>
    <phoneticPr fontId="17" type="noConversion"/>
  </si>
  <si>
    <t>K 1-2-하</t>
    <phoneticPr fontId="17" type="noConversion"/>
  </si>
  <si>
    <t>KB증권 DR(B) - 철거</t>
    <phoneticPr fontId="17" type="noConversion"/>
  </si>
  <si>
    <t>층당 분배</t>
    <phoneticPr fontId="17" type="noConversion"/>
  </si>
  <si>
    <t>4층</t>
    <phoneticPr fontId="17" type="noConversion"/>
  </si>
  <si>
    <t>IP</t>
    <phoneticPr fontId="17" type="noConversion"/>
  </si>
  <si>
    <t>세종 시스템</t>
    <phoneticPr fontId="17" type="noConversion"/>
  </si>
  <si>
    <t>core room</t>
    <phoneticPr fontId="17" type="noConversion"/>
  </si>
  <si>
    <t>총합</t>
    <phoneticPr fontId="17" type="noConversion"/>
  </si>
  <si>
    <t>4층 항온항습기 비상 (4층 5RT x 3대, 10RT x 1대)</t>
    <phoneticPr fontId="17" type="noConversion"/>
  </si>
  <si>
    <t>Main CB   3P 150A</t>
    <phoneticPr fontId="11" type="noConversion"/>
  </si>
  <si>
    <t>4-1 호</t>
    <phoneticPr fontId="11" type="noConversion"/>
  </si>
  <si>
    <t>4-4호</t>
    <phoneticPr fontId="11" type="noConversion"/>
  </si>
  <si>
    <t>4-2 호</t>
  </si>
  <si>
    <t>4-3 호</t>
  </si>
  <si>
    <t>차단기 사용 현황</t>
    <phoneticPr fontId="17" type="noConversion"/>
  </si>
  <si>
    <t>7층</t>
    <phoneticPr fontId="17" type="noConversion"/>
  </si>
  <si>
    <t>DE 분전반 신규명칭</t>
    <phoneticPr fontId="17" type="noConversion"/>
  </si>
  <si>
    <t>분전반 명칭</t>
    <phoneticPr fontId="17" type="noConversion"/>
  </si>
  <si>
    <t>차단전류
(A)</t>
    <phoneticPr fontId="17" type="noConversion"/>
  </si>
  <si>
    <t>메인차단용량
(kVA)</t>
    <phoneticPr fontId="17" type="noConversion"/>
  </si>
  <si>
    <t>IT허용용량
(kVA)</t>
    <phoneticPr fontId="17" type="noConversion"/>
  </si>
  <si>
    <t>사용량
(kVA)</t>
    <phoneticPr fontId="17" type="noConversion"/>
  </si>
  <si>
    <t>사용율
(%)</t>
    <phoneticPr fontId="17" type="noConversion"/>
  </si>
  <si>
    <t>2P 20A</t>
    <phoneticPr fontId="17" type="noConversion"/>
  </si>
  <si>
    <t>2P 50A</t>
    <phoneticPr fontId="17" type="noConversion"/>
  </si>
  <si>
    <t>4P 225A</t>
    <phoneticPr fontId="17" type="noConversion"/>
  </si>
  <si>
    <t>3P 100A</t>
    <phoneticPr fontId="17" type="noConversion"/>
  </si>
  <si>
    <t>3P 150A</t>
    <phoneticPr fontId="17" type="noConversion"/>
  </si>
  <si>
    <t>총계</t>
    <phoneticPr fontId="17" type="noConversion"/>
  </si>
  <si>
    <t>UPS 출력 분전반 A2(From:7F 창고)</t>
    <phoneticPr fontId="17" type="noConversion"/>
  </si>
  <si>
    <t>UPS 출력 분전반 B2(From:7F 창고)</t>
    <phoneticPr fontId="11" type="noConversion"/>
  </si>
  <si>
    <t>7-1-A4</t>
    <phoneticPr fontId="11" type="noConversion"/>
  </si>
  <si>
    <t>7-1-B4</t>
    <phoneticPr fontId="11" type="noConversion"/>
  </si>
  <si>
    <t>6층</t>
    <phoneticPr fontId="17" type="noConversion"/>
  </si>
  <si>
    <t>6-1-A1</t>
    <phoneticPr fontId="11" type="noConversion"/>
  </si>
  <si>
    <t>U-A1</t>
    <phoneticPr fontId="17" type="noConversion"/>
  </si>
  <si>
    <t>6-1-B1</t>
    <phoneticPr fontId="11" type="noConversion"/>
  </si>
  <si>
    <t>U-B1</t>
    <phoneticPr fontId="17" type="noConversion"/>
  </si>
  <si>
    <t>6-1-A2</t>
    <phoneticPr fontId="11" type="noConversion"/>
  </si>
  <si>
    <t>U-A2</t>
    <phoneticPr fontId="17" type="noConversion"/>
  </si>
  <si>
    <t>6-1-B2</t>
    <phoneticPr fontId="11" type="noConversion"/>
  </si>
  <si>
    <t>U-B2</t>
    <phoneticPr fontId="17" type="noConversion"/>
  </si>
  <si>
    <t>6-1-A3</t>
    <phoneticPr fontId="11" type="noConversion"/>
  </si>
  <si>
    <t>U6-A5 PANEL</t>
    <phoneticPr fontId="17" type="noConversion"/>
  </si>
  <si>
    <t>6-1-B3</t>
    <phoneticPr fontId="11" type="noConversion"/>
  </si>
  <si>
    <t>U6-B5 PANEL</t>
    <phoneticPr fontId="17" type="noConversion"/>
  </si>
  <si>
    <t>6-1-A4</t>
    <phoneticPr fontId="11" type="noConversion"/>
  </si>
  <si>
    <t>U6-A6 PANEL</t>
    <phoneticPr fontId="17" type="noConversion"/>
  </si>
  <si>
    <t>6-1-B4</t>
    <phoneticPr fontId="11" type="noConversion"/>
  </si>
  <si>
    <t>U6-B6 PANEL</t>
    <phoneticPr fontId="17" type="noConversion"/>
  </si>
  <si>
    <t>6-1-A5</t>
    <phoneticPr fontId="11" type="noConversion"/>
  </si>
  <si>
    <t>U-A3</t>
    <phoneticPr fontId="17" type="noConversion"/>
  </si>
  <si>
    <t>6-1-B5</t>
    <phoneticPr fontId="11" type="noConversion"/>
  </si>
  <si>
    <t>U-B3</t>
    <phoneticPr fontId="17" type="noConversion"/>
  </si>
  <si>
    <t>6-1-A6</t>
    <phoneticPr fontId="11" type="noConversion"/>
  </si>
  <si>
    <t>U-A4</t>
    <phoneticPr fontId="17" type="noConversion"/>
  </si>
  <si>
    <t>6-1-B6</t>
    <phoneticPr fontId="11" type="noConversion"/>
  </si>
  <si>
    <t>U-B4</t>
    <phoneticPr fontId="17" type="noConversion"/>
  </si>
  <si>
    <t>6-1-A7</t>
    <phoneticPr fontId="11" type="noConversion"/>
  </si>
  <si>
    <t>U6-A7 PANEL</t>
    <phoneticPr fontId="17" type="noConversion"/>
  </si>
  <si>
    <t>6-1-B7</t>
    <phoneticPr fontId="11" type="noConversion"/>
  </si>
  <si>
    <t>U6-B7 PANEL</t>
    <phoneticPr fontId="17" type="noConversion"/>
  </si>
  <si>
    <t>5층</t>
    <phoneticPr fontId="17" type="noConversion"/>
  </si>
  <si>
    <t>3P 60A</t>
    <phoneticPr fontId="17" type="noConversion"/>
  </si>
  <si>
    <t>5-1-A1</t>
    <phoneticPr fontId="11" type="noConversion"/>
  </si>
  <si>
    <t>5-1-B1</t>
    <phoneticPr fontId="11" type="noConversion"/>
  </si>
  <si>
    <t>U5-1B</t>
    <phoneticPr fontId="17" type="noConversion"/>
  </si>
  <si>
    <t>5-1-A2</t>
    <phoneticPr fontId="11" type="noConversion"/>
  </si>
  <si>
    <t>U5-2A</t>
    <phoneticPr fontId="17" type="noConversion"/>
  </si>
  <si>
    <t>U5-2B</t>
    <phoneticPr fontId="17" type="noConversion"/>
  </si>
  <si>
    <t>5-1-A3</t>
    <phoneticPr fontId="11" type="noConversion"/>
  </si>
  <si>
    <t>U5-3A</t>
    <phoneticPr fontId="17" type="noConversion"/>
  </si>
  <si>
    <t>5-1-B3</t>
    <phoneticPr fontId="11" type="noConversion"/>
  </si>
  <si>
    <t>U5-3B</t>
    <phoneticPr fontId="17" type="noConversion"/>
  </si>
  <si>
    <t>5-1-A4</t>
    <phoneticPr fontId="11" type="noConversion"/>
  </si>
  <si>
    <t>PDU(A)-9</t>
    <phoneticPr fontId="17" type="noConversion"/>
  </si>
  <si>
    <t>5-1-B4</t>
    <phoneticPr fontId="11" type="noConversion"/>
  </si>
  <si>
    <t>PDU(B)-9</t>
    <phoneticPr fontId="17" type="noConversion"/>
  </si>
  <si>
    <t>5-1-A5</t>
    <phoneticPr fontId="11" type="noConversion"/>
  </si>
  <si>
    <t>PDU(A)-10</t>
    <phoneticPr fontId="17" type="noConversion"/>
  </si>
  <si>
    <t>5-1-B5</t>
    <phoneticPr fontId="11" type="noConversion"/>
  </si>
  <si>
    <t>PDU(B)-10</t>
    <phoneticPr fontId="17" type="noConversion"/>
  </si>
  <si>
    <t>5-1-A6</t>
    <phoneticPr fontId="11" type="noConversion"/>
  </si>
  <si>
    <t>PDU(A)-1</t>
    <phoneticPr fontId="17" type="noConversion"/>
  </si>
  <si>
    <t>5-1-B6</t>
    <phoneticPr fontId="11" type="noConversion"/>
  </si>
  <si>
    <t>PDU(B)-1</t>
    <phoneticPr fontId="17" type="noConversion"/>
  </si>
  <si>
    <t>5-1-A7</t>
    <phoneticPr fontId="11" type="noConversion"/>
  </si>
  <si>
    <t>PDU(A)-2</t>
    <phoneticPr fontId="17" type="noConversion"/>
  </si>
  <si>
    <t>5-1-B7</t>
  </si>
  <si>
    <t>PDU(B)-2</t>
    <phoneticPr fontId="17" type="noConversion"/>
  </si>
  <si>
    <t>5-1-A8</t>
  </si>
  <si>
    <t>PDU(A)-3</t>
    <phoneticPr fontId="17" type="noConversion"/>
  </si>
  <si>
    <t>5-1-B8</t>
  </si>
  <si>
    <t>PDU(B)-3</t>
    <phoneticPr fontId="17" type="noConversion"/>
  </si>
  <si>
    <t>5-1-A9</t>
    <phoneticPr fontId="11" type="noConversion"/>
  </si>
  <si>
    <t>Singtel PDU-8-A</t>
  </si>
  <si>
    <t>5-1-B9</t>
    <phoneticPr fontId="11" type="noConversion"/>
  </si>
  <si>
    <t>Singtel PDU-8-B</t>
  </si>
  <si>
    <t>5-1-A10</t>
    <phoneticPr fontId="11" type="noConversion"/>
  </si>
  <si>
    <t>LG PDU(A1)</t>
  </si>
  <si>
    <t>5-1-B10</t>
    <phoneticPr fontId="11" type="noConversion"/>
  </si>
  <si>
    <t>LG PDU(B1)</t>
  </si>
  <si>
    <t>5-1-A11</t>
    <phoneticPr fontId="11" type="noConversion"/>
  </si>
  <si>
    <t>LG PDU(A2)</t>
  </si>
  <si>
    <t>5-1-B11</t>
    <phoneticPr fontId="11" type="noConversion"/>
  </si>
  <si>
    <t>LG PDU(B2)</t>
  </si>
  <si>
    <t>PDU6B-1T</t>
    <phoneticPr fontId="17" type="noConversion"/>
  </si>
  <si>
    <t>PDU(C)</t>
    <phoneticPr fontId="17" type="noConversion"/>
  </si>
  <si>
    <t>통신전력기준
(kVA)</t>
    <phoneticPr fontId="17" type="noConversion"/>
  </si>
  <si>
    <t>4P 100A</t>
    <phoneticPr fontId="17" type="noConversion"/>
  </si>
  <si>
    <t>4-1-A1</t>
    <phoneticPr fontId="11" type="noConversion"/>
  </si>
  <si>
    <t>4-1-B1</t>
    <phoneticPr fontId="11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</si>
  <si>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</si>
  <si>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</si>
  <si>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</si>
  <si>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</si>
  <si>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</si>
  <si>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</si>
  <si>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</si>
  <si>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</si>
  <si>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7" type="noConversion"/>
  </si>
  <si>
    <t>사용량(A)</t>
    <phoneticPr fontId="17" type="noConversion"/>
  </si>
  <si>
    <t>층 배분(%)</t>
    <phoneticPr fontId="17" type="noConversion"/>
  </si>
  <si>
    <t>IP</t>
    <phoneticPr fontId="11" type="noConversion"/>
  </si>
  <si>
    <t>세종 인터넷</t>
    <phoneticPr fontId="17" type="noConversion"/>
  </si>
  <si>
    <t>세종 7층 NOC(미확인 포함)</t>
    <phoneticPr fontId="11" type="noConversion"/>
  </si>
  <si>
    <t>DEKR IDC</t>
    <phoneticPr fontId="17" type="noConversion"/>
  </si>
  <si>
    <t>세종 core room</t>
    <phoneticPr fontId="17" type="noConversion"/>
  </si>
  <si>
    <t>IDC</t>
  </si>
  <si>
    <t>DEKR IDC</t>
  </si>
  <si>
    <t>세종 전송설비</t>
    <phoneticPr fontId="17" type="noConversion"/>
  </si>
  <si>
    <t>세종 정류기</t>
    <phoneticPr fontId="17" type="noConversion"/>
  </si>
  <si>
    <t>IPD 운용현황(' 22 년        월         일)</t>
    <phoneticPr fontId="11" type="noConversion"/>
  </si>
  <si>
    <t>201 BAY</t>
  </si>
  <si>
    <t>Display</t>
  </si>
  <si>
    <t>전압 :            V        전류 :            A</t>
    <phoneticPr fontId="11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</si>
  <si>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</si>
  <si>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</si>
  <si>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</si>
  <si>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</si>
  <si>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</si>
  <si>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</si>
  <si>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</si>
  <si>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</si>
  <si>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</si>
  <si>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</si>
  <si>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</si>
  <si>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</si>
  <si>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1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</si>
  <si>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</si>
  <si>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1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</si>
  <si>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</si>
  <si>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</si>
  <si>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</si>
  <si>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</si>
  <si>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</si>
  <si>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</si>
  <si>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</si>
  <si>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</si>
  <si>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</si>
  <si>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</si>
  <si>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</si>
  <si>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1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</si>
  <si>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</si>
  <si>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</si>
  <si>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</si>
  <si>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</si>
  <si>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</si>
  <si>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1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</si>
  <si>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</si>
  <si>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</si>
  <si>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</si>
  <si>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</si>
  <si>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</si>
  <si>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</si>
  <si>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</si>
  <si>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</si>
  <si>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</si>
  <si>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1" type="noConversion"/>
  </si>
  <si>
    <t>100A</t>
    <phoneticPr fontId="11" type="noConversion"/>
  </si>
  <si>
    <t>307BAY_LGU+PDP.A
201BAY_PDR_P24</t>
    <phoneticPr fontId="11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</si>
  <si>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</si>
  <si>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</si>
  <si>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</si>
  <si>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</si>
  <si>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</si>
  <si>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</si>
  <si>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</si>
  <si>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</si>
  <si>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1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</si>
  <si>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</si>
  <si>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</si>
  <si>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</si>
  <si>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</si>
  <si>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</si>
  <si>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</si>
  <si>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</si>
  <si>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</si>
  <si>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</si>
  <si>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</si>
  <si>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</si>
  <si>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</si>
  <si>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</si>
  <si>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</si>
  <si>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</si>
  <si>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</si>
  <si>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</si>
  <si>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</si>
  <si>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1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</si>
  <si>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</si>
  <si>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</si>
  <si>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</si>
  <si>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</si>
  <si>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</si>
  <si>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</si>
  <si>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</si>
  <si>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</si>
  <si>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</si>
  <si>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1" type="noConversion"/>
  </si>
  <si>
    <t>307BAY_LGU+PDP.B
401BAY_PDR_P24</t>
    <phoneticPr fontId="11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</si>
  <si>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</si>
  <si>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</si>
  <si>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</si>
  <si>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</si>
  <si>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</si>
  <si>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</si>
  <si>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</si>
  <si>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</si>
  <si>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</si>
  <si>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</si>
  <si>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</si>
  <si>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</si>
  <si>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</si>
  <si>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</si>
  <si>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</si>
  <si>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</si>
  <si>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</si>
  <si>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</si>
  <si>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</si>
  <si>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1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</si>
  <si>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1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</si>
  <si>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</si>
  <si>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</si>
  <si>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</si>
  <si>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</si>
  <si>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</si>
  <si>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</si>
  <si>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</si>
  <si>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</si>
  <si>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</si>
  <si>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</si>
  <si>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</si>
  <si>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</si>
  <si>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</si>
  <si>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</si>
  <si>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</si>
  <si>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</si>
  <si>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</si>
  <si>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</si>
  <si>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</si>
  <si>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</si>
  <si>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</si>
  <si>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</si>
  <si>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</si>
  <si>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</si>
  <si>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</si>
  <si>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</si>
  <si>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</si>
  <si>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</si>
  <si>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</si>
  <si>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1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</si>
  <si>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</si>
  <si>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</si>
  <si>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</si>
  <si>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</si>
  <si>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</si>
  <si>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</si>
  <si>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</si>
  <si>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</si>
  <si>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</si>
  <si>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</si>
  <si>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</si>
  <si>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</si>
  <si>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</si>
  <si>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</si>
  <si>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</si>
  <si>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</si>
  <si>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</si>
  <si>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</si>
  <si>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</si>
  <si>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</si>
  <si>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</si>
  <si>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</si>
  <si>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</si>
  <si>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</si>
  <si>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</si>
  <si>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</si>
  <si>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</si>
  <si>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</si>
  <si>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</si>
  <si>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</si>
  <si>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</si>
  <si>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</si>
  <si>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</si>
  <si>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</si>
  <si>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</si>
  <si>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</si>
  <si>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</si>
  <si>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</si>
  <si>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</si>
  <si>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</si>
  <si>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</si>
  <si>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</si>
  <si>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</si>
  <si>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</si>
  <si>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</si>
  <si>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</si>
  <si>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</si>
  <si>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</si>
  <si>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</si>
  <si>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</si>
  <si>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</si>
  <si>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</si>
  <si>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</si>
  <si>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</si>
  <si>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</si>
  <si>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1" type="noConversion"/>
  </si>
  <si>
    <t>IPD / A-3_P21
227BAY PDP_A</t>
  </si>
  <si>
    <t>323B ODO -48VA
코위버 갬으 DURTKA#2</t>
    <phoneticPr fontId="11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</si>
  <si>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</si>
  <si>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</si>
  <si>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</si>
  <si>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</si>
  <si>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</si>
  <si>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1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</si>
  <si>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</si>
  <si>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</si>
  <si>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</si>
  <si>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</si>
  <si>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</si>
  <si>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</si>
  <si>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</si>
  <si>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</si>
  <si>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</si>
  <si>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</si>
  <si>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</si>
  <si>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</si>
  <si>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</si>
  <si>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</si>
  <si>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</si>
  <si>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</si>
  <si>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</si>
  <si>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</si>
  <si>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</si>
  <si>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</si>
  <si>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</si>
  <si>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</si>
  <si>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</si>
  <si>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</si>
  <si>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</si>
  <si>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</si>
  <si>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</si>
  <si>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</si>
  <si>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</si>
  <si>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</si>
  <si>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</si>
  <si>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</si>
  <si>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</si>
  <si>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</si>
  <si>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</si>
  <si>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</si>
  <si>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</si>
  <si>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</si>
  <si>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1" type="noConversion"/>
  </si>
  <si>
    <t>IPD / B-3_P21
227BAY PDP_B</t>
  </si>
  <si>
    <t>323B ODO -48VB
코위버 갬으 DURTKA#2</t>
    <phoneticPr fontId="11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</si>
  <si>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</si>
  <si>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</si>
  <si>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</si>
  <si>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</si>
  <si>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</si>
  <si>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</si>
  <si>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1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</si>
  <si>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</si>
  <si>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</si>
  <si>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1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</si>
  <si>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</si>
  <si>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</si>
  <si>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</si>
  <si>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</si>
  <si>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</si>
  <si>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</si>
  <si>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</si>
  <si>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</si>
  <si>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</si>
  <si>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</si>
  <si>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</si>
  <si>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</si>
  <si>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</si>
  <si>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</si>
  <si>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</si>
  <si>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</si>
  <si>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</si>
  <si>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1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</si>
  <si>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</si>
  <si>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</si>
  <si>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</si>
  <si>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</si>
  <si>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</si>
  <si>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</si>
  <si>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</si>
  <si>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</si>
  <si>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</si>
  <si>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1" type="noConversion"/>
  </si>
  <si>
    <t>35A</t>
    <phoneticPr fontId="11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</si>
  <si>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</si>
  <si>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</si>
  <si>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1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</si>
  <si>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</si>
  <si>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</si>
  <si>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</si>
  <si>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</si>
  <si>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</si>
  <si>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</si>
  <si>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</si>
  <si>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</si>
  <si>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</si>
  <si>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</si>
  <si>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</si>
  <si>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</si>
  <si>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</si>
  <si>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</si>
  <si>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</si>
  <si>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</si>
  <si>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</si>
  <si>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1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</si>
  <si>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</si>
  <si>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</si>
  <si>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</si>
  <si>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</si>
  <si>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</si>
  <si>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</si>
  <si>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</si>
  <si>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1" type="noConversion"/>
  </si>
  <si>
    <t>A-A1 BAY</t>
  </si>
  <si>
    <t>IPD/A-5 (구 IPD-B)</t>
    <phoneticPr fontId="11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</si>
  <si>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</si>
  <si>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</si>
  <si>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</si>
  <si>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</si>
  <si>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</si>
  <si>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</si>
  <si>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</si>
  <si>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</si>
  <si>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</si>
  <si>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</si>
  <si>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</si>
  <si>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</si>
  <si>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</si>
  <si>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</si>
  <si>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</si>
  <si>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</si>
  <si>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</si>
  <si>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</si>
  <si>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</si>
  <si>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</si>
  <si>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</si>
  <si>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</si>
  <si>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</si>
  <si>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</si>
  <si>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</si>
  <si>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</si>
  <si>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</si>
  <si>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</si>
  <si>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</si>
  <si>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</si>
  <si>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</si>
  <si>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</si>
  <si>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</si>
  <si>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</si>
  <si>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</si>
  <si>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</si>
  <si>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</si>
  <si>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</si>
  <si>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</si>
  <si>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</si>
  <si>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</si>
  <si>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</si>
  <si>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</si>
  <si>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</si>
  <si>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</si>
  <si>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</si>
  <si>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</si>
  <si>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</si>
  <si>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</si>
  <si>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</si>
  <si>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</si>
  <si>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</si>
  <si>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</si>
  <si>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</si>
  <si>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</si>
  <si>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</si>
  <si>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</si>
  <si>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</si>
  <si>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</si>
  <si>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</si>
  <si>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</si>
  <si>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</si>
  <si>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</si>
  <si>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</si>
  <si>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</si>
  <si>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</si>
  <si>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</si>
  <si>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</si>
  <si>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</si>
  <si>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</si>
  <si>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</si>
  <si>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</si>
  <si>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</si>
  <si>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</si>
  <si>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</si>
  <si>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</si>
  <si>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</si>
  <si>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</si>
  <si>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</si>
  <si>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</si>
  <si>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</si>
  <si>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1" type="noConversion"/>
  </si>
  <si>
    <t>F101</t>
  </si>
  <si>
    <t>F42</t>
  </si>
  <si>
    <t>IPD / A-5_P42
A-5 랙 장비_B(1)</t>
    <phoneticPr fontId="11" type="noConversion"/>
  </si>
  <si>
    <t>F102</t>
  </si>
  <si>
    <t>F43</t>
  </si>
  <si>
    <t>IPD / A-5_P43
A-5 랙 장비_B(2)</t>
    <phoneticPr fontId="11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</si>
  <si>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</si>
  <si>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</si>
  <si>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</si>
  <si>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</si>
  <si>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</si>
  <si>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</si>
  <si>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</si>
  <si>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</si>
  <si>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</si>
  <si>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</si>
  <si>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</si>
  <si>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</si>
  <si>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</si>
  <si>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</si>
  <si>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</si>
  <si>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</si>
  <si>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</si>
  <si>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</si>
  <si>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</si>
  <si>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</si>
  <si>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</si>
  <si>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</si>
  <si>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</si>
  <si>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</si>
  <si>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</si>
  <si>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</si>
  <si>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</si>
  <si>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</si>
  <si>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</si>
  <si>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</si>
  <si>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</si>
  <si>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</si>
  <si>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</si>
  <si>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</si>
  <si>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</si>
  <si>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</si>
  <si>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</si>
  <si>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</si>
  <si>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</si>
  <si>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1" type="noConversion"/>
  </si>
  <si>
    <t>400A</t>
  </si>
  <si>
    <t>IPD / B-5_P03
F-8 랙 PDP_A off상태</t>
    <phoneticPr fontId="11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</si>
  <si>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</si>
  <si>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</si>
  <si>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</si>
  <si>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</si>
  <si>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</si>
  <si>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</si>
  <si>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</si>
  <si>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</si>
  <si>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1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</si>
  <si>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</si>
  <si>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</si>
  <si>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</si>
  <si>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</si>
  <si>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</si>
  <si>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</si>
  <si>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</si>
  <si>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</si>
  <si>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</si>
  <si>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</si>
  <si>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</si>
  <si>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</si>
  <si>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</si>
  <si>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</si>
  <si>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</si>
  <si>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</si>
  <si>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</si>
  <si>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</si>
  <si>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</si>
  <si>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1" type="noConversion"/>
  </si>
  <si>
    <t>사용량</t>
    <phoneticPr fontId="11" type="noConversion"/>
  </si>
  <si>
    <t>전류</t>
    <phoneticPr fontId="11" type="noConversion"/>
  </si>
  <si>
    <t>점유율</t>
    <phoneticPr fontId="11" type="noConversion"/>
  </si>
  <si>
    <t>8F 전체 전력지침</t>
  </si>
  <si>
    <t>DEK 사용량</t>
    <phoneticPr fontId="11" type="noConversion"/>
  </si>
  <si>
    <t>SJT 모니터</t>
    <phoneticPr fontId="11" type="noConversion"/>
  </si>
  <si>
    <t>SJT Office</t>
    <phoneticPr fontId="11" type="noConversion"/>
  </si>
  <si>
    <t>SJT Server</t>
    <phoneticPr fontId="11" type="noConversion"/>
  </si>
  <si>
    <t>8월</t>
    <phoneticPr fontId="11" type="noConversion"/>
  </si>
  <si>
    <t>9월</t>
    <phoneticPr fontId="11" type="noConversion"/>
  </si>
  <si>
    <t>05</t>
  </si>
  <si>
    <t>07</t>
  </si>
  <si>
    <t>02</t>
  </si>
  <si>
    <t>02</t>
    <phoneticPr fontId="11" type="noConversion"/>
  </si>
  <si>
    <t>04</t>
  </si>
  <si>
    <t>04</t>
    <phoneticPr fontId="11" type="noConversion"/>
  </si>
  <si>
    <t>01</t>
  </si>
  <si>
    <t>01</t>
    <phoneticPr fontId="11" type="noConversion"/>
  </si>
  <si>
    <t>03</t>
  </si>
  <si>
    <t>03</t>
    <phoneticPr fontId="11" type="noConversion"/>
  </si>
  <si>
    <t>06</t>
  </si>
  <si>
    <t>06</t>
    <phoneticPr fontId="11" type="noConversion"/>
  </si>
  <si>
    <t>05</t>
    <phoneticPr fontId="11" type="noConversion"/>
  </si>
  <si>
    <t>08</t>
  </si>
  <si>
    <t>08</t>
    <phoneticPr fontId="11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</si>
  <si>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</si>
  <si>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</si>
  <si>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</si>
  <si>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</si>
  <si>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</si>
  <si>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</si>
  <si>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</si>
  <si>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</si>
  <si>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</si>
  <si>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</si>
  <si>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</si>
  <si>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</si>
  <si>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</si>
  <si>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</si>
  <si>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</si>
  <si>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</si>
  <si>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</si>
  <si>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</si>
  <si>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</si>
  <si>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</si>
  <si>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</si>
  <si>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</si>
  <si>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</si>
  <si>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</si>
  <si>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</si>
  <si>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</si>
  <si>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</si>
  <si>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</si>
  <si>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</si>
  <si>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</si>
  <si>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</si>
  <si>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</si>
  <si>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</si>
  <si>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</si>
  <si>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1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</si>
  <si>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</si>
  <si>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</si>
  <si>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</si>
  <si>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</si>
  <si>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</si>
  <si>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</si>
  <si>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</si>
  <si>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</si>
  <si>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</si>
  <si>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</si>
  <si>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</si>
  <si>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1" type="noConversion"/>
  </si>
  <si>
    <t>5-DaHall 1-EH-01</t>
    <phoneticPr fontId="11" type="noConversion"/>
  </si>
  <si>
    <t>7-DaHall 1-EH
(7층 가습기 Main)</t>
    <phoneticPr fontId="11" type="noConversion"/>
  </si>
  <si>
    <t>6-DaHall 1-EH
(6층 가습기 Main)</t>
    <phoneticPr fontId="11" type="noConversion"/>
  </si>
  <si>
    <t>5-DaHall 1-CRAC-16
보조 5F-2호기(구글)</t>
    <phoneticPr fontId="11" type="noConversion"/>
  </si>
  <si>
    <t>5-DaHall 1-CRAC-01
LG CRAC #01</t>
    <phoneticPr fontId="11" type="noConversion"/>
  </si>
  <si>
    <t>5-DaHall 1-CRAC-03
LG CRAC #03</t>
    <phoneticPr fontId="11" type="noConversion"/>
  </si>
  <si>
    <t>5-DaHall 1-CRAC-05
LG CRAC #05</t>
    <phoneticPr fontId="11" type="noConversion"/>
  </si>
  <si>
    <t>5-DaHall 1-CRAC-07
LG CRAC #07</t>
    <phoneticPr fontId="11" type="noConversion"/>
  </si>
  <si>
    <t>5-DaHall 1-CRAC-09
LG CRAC #09</t>
    <phoneticPr fontId="11" type="noConversion"/>
  </si>
  <si>
    <t>5-DaHall 1-CRAC-02
LG CRAC #02</t>
    <phoneticPr fontId="11" type="noConversion"/>
  </si>
  <si>
    <t>5-DaHall 1-CRAC-04
LG CRAC #04</t>
    <phoneticPr fontId="11" type="noConversion"/>
  </si>
  <si>
    <t>5-DaHall 1-CRAC-06
LG CRAC #06</t>
    <phoneticPr fontId="11" type="noConversion"/>
  </si>
  <si>
    <t>5-DaHall 1-CRAC-08
LG CRAC #08</t>
    <phoneticPr fontId="11" type="noConversion"/>
  </si>
  <si>
    <t>5-DaHall 1-CRAC-13
CF CRAC #01</t>
    <phoneticPr fontId="11" type="noConversion"/>
  </si>
  <si>
    <t>5-DaHall 1-EH
(5층 가습기 Main)</t>
    <phoneticPr fontId="11" type="noConversion"/>
  </si>
  <si>
    <t>4-DaHall 1-EH
(4층 가습기 Main)</t>
    <phoneticPr fontId="11" type="noConversion"/>
  </si>
  <si>
    <t>5-DaHall 1-CRAC-15
보조 5F-1호기(구글)</t>
    <phoneticPr fontId="11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</si>
  <si>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</si>
  <si>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</si>
  <si>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</si>
  <si>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</si>
  <si>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</si>
  <si>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</si>
  <si>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</si>
  <si>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</si>
  <si>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</si>
  <si>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</si>
  <si>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</si>
  <si>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</si>
  <si>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</si>
  <si>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</si>
  <si>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</si>
  <si>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</si>
  <si>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</si>
  <si>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</si>
  <si>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</si>
  <si>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</si>
  <si>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</si>
  <si>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</si>
  <si>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</si>
  <si>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</si>
  <si>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1" type="noConversion"/>
  </si>
  <si>
    <t>Device Name</t>
    <phoneticPr fontId="11" type="noConversion"/>
  </si>
  <si>
    <t>5-DaHall 1-PDU-05</t>
    <phoneticPr fontId="11" type="noConversion"/>
  </si>
  <si>
    <t>5-DaHall 1-PDU-07</t>
    <phoneticPr fontId="11" type="noConversion"/>
  </si>
  <si>
    <t>5-DaHall 1-PDU-09</t>
    <phoneticPr fontId="11" type="noConversion"/>
  </si>
  <si>
    <t>5-DaHall 1-PDU-11</t>
    <phoneticPr fontId="11" type="noConversion"/>
  </si>
  <si>
    <t>5-DaHall 1-PDU-13</t>
    <phoneticPr fontId="11" type="noConversion"/>
  </si>
  <si>
    <t>5-DaHall 1-PDU-15</t>
    <phoneticPr fontId="11" type="noConversion"/>
  </si>
  <si>
    <t>5-DaHall 1-PDU-17</t>
    <phoneticPr fontId="11" type="noConversion"/>
  </si>
  <si>
    <t>5-DaHall 1-PDU-19</t>
    <phoneticPr fontId="11" type="noConversion"/>
  </si>
  <si>
    <t>5-DaHall 1-PDU-21</t>
    <phoneticPr fontId="11" type="noConversion"/>
  </si>
  <si>
    <t>5-DaHall 1-PDU-04</t>
    <phoneticPr fontId="11" type="noConversion"/>
  </si>
  <si>
    <t>5-DaHall 1-PDU-06</t>
    <phoneticPr fontId="11" type="noConversion"/>
  </si>
  <si>
    <t>5-DaHall 1-PDU-08</t>
    <phoneticPr fontId="11" type="noConversion"/>
  </si>
  <si>
    <t>5-DaHall 1-PDU-10</t>
    <phoneticPr fontId="11" type="noConversion"/>
  </si>
  <si>
    <t>5-DaHall 1-PDU-12</t>
    <phoneticPr fontId="11" type="noConversion"/>
  </si>
  <si>
    <t>5-DaHall 1-PDU-14</t>
    <phoneticPr fontId="11" type="noConversion"/>
  </si>
  <si>
    <t>5-DaHall 1-PDU-16</t>
    <phoneticPr fontId="11" type="noConversion"/>
  </si>
  <si>
    <t>5-DaHall 1-PDU-18</t>
    <phoneticPr fontId="11" type="noConversion"/>
  </si>
  <si>
    <t>5-DaHall 1-PDU-20</t>
    <phoneticPr fontId="11" type="noConversion"/>
  </si>
  <si>
    <t>4-DaHall 1-PDU-03</t>
    <phoneticPr fontId="11" type="noConversion"/>
  </si>
  <si>
    <t>4-DaHall 1-PDU-05</t>
    <phoneticPr fontId="11" type="noConversion"/>
  </si>
  <si>
    <t>4-DaHall 1-PDU-07</t>
    <phoneticPr fontId="11" type="noConversion"/>
  </si>
  <si>
    <t>4-DaHall 1-PDU-09</t>
    <phoneticPr fontId="11" type="noConversion"/>
  </si>
  <si>
    <t>4-DaHall 1-PDU-04</t>
    <phoneticPr fontId="11" type="noConversion"/>
  </si>
  <si>
    <t>4-DaHall 1-PDU-06</t>
    <phoneticPr fontId="11" type="noConversion"/>
  </si>
  <si>
    <t>4-DaHall 1-PDU-08</t>
    <phoneticPr fontId="11" type="noConversion"/>
  </si>
  <si>
    <t>4-DaHall 1-PDU-10</t>
    <phoneticPr fontId="11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</si>
  <si>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</si>
  <si>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</si>
  <si>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</si>
  <si>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</si>
  <si>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</si>
  <si>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</si>
  <si>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</si>
  <si>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</si>
  <si>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</si>
  <si>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1" type="noConversion"/>
  </si>
  <si>
    <t>월간 사용전력량[kWh]</t>
    <phoneticPr fontId="11" type="noConversion"/>
  </si>
  <si>
    <t>kWh(전월유효전력량)</t>
    <phoneticPr fontId="11" type="noConversion"/>
  </si>
  <si>
    <t>4F</t>
    <phoneticPr fontId="11" type="noConversion"/>
  </si>
  <si>
    <t>5F</t>
    <phoneticPr fontId="11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</si>
  <si>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</si>
  <si>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</si>
  <si>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</si>
  <si>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</si>
  <si>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</si>
  <si>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</si>
  <si>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</si>
  <si>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</si>
  <si>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</si>
  <si>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1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</si>
  <si>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</si>
  <si>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</si>
  <si>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</si>
  <si>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</si>
  <si>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</si>
  <si>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</si>
  <si>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</si>
  <si>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</si>
  <si>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1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</si>
  <si>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</si>
  <si>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</si>
  <si>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</si>
  <si>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</si>
  <si>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</si>
  <si>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</si>
  <si>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</si>
  <si>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</si>
  <si>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1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</si>
  <si>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</si>
  <si>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</si>
  <si>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</si>
  <si>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</si>
  <si>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</si>
  <si>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</si>
  <si>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</si>
  <si>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</si>
  <si>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1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</si>
  <si>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</si>
  <si>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</si>
  <si>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</si>
  <si>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</si>
  <si>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</si>
  <si>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</si>
  <si>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</si>
  <si>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</si>
  <si>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1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</si>
  <si>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</si>
  <si>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</si>
  <si>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</si>
  <si>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</si>
  <si>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</si>
  <si>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</si>
  <si>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</si>
  <si>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</si>
  <si>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1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</si>
  <si>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</si>
  <si>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</si>
  <si>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</si>
  <si>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</si>
  <si>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</si>
  <si>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</si>
  <si>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</si>
  <si>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</si>
  <si>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1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</si>
  <si>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</si>
  <si>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</si>
  <si>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</si>
  <si>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</si>
  <si>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</si>
  <si>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</si>
  <si>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</si>
  <si>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</si>
  <si>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1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</si>
  <si>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</si>
  <si>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</si>
  <si>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</si>
  <si>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</si>
  <si>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</si>
  <si>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</si>
  <si>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</si>
  <si>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</si>
  <si>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</si>
  <si>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</si>
  <si>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</si>
  <si>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1" type="noConversion"/>
  </si>
  <si>
    <t>4-DaHall 1-PDU-09-02</t>
  </si>
  <si>
    <t>4-DaHall 1-PDU-09-03</t>
  </si>
  <si>
    <t>4-DaHall 1-PDU-10-01</t>
    <phoneticPr fontId="11" type="noConversion"/>
  </si>
  <si>
    <t>4-DaHall 1-PDU-10-02</t>
  </si>
  <si>
    <t>4-DaHall 1-PDU-10-03</t>
  </si>
  <si>
    <t>5-DaHall 1-PDU-01-01</t>
    <phoneticPr fontId="11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</si>
  <si>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</si>
  <si>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</si>
  <si>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</si>
  <si>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</si>
  <si>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</si>
  <si>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</si>
  <si>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</si>
  <si>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</si>
  <si>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</si>
  <si>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</si>
  <si>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</si>
  <si>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</si>
  <si>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</si>
  <si>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</si>
  <si>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</si>
  <si>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</si>
  <si>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</si>
  <si>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</si>
  <si>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</si>
  <si>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</si>
  <si>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</si>
  <si>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</si>
  <si>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</si>
  <si>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</si>
  <si>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</si>
  <si>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</si>
  <si>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</si>
  <si>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</si>
  <si>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</si>
  <si>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</si>
  <si>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</si>
  <si>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</si>
  <si>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</si>
  <si>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</si>
  <si>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</si>
  <si>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</si>
  <si>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</si>
  <si>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</si>
  <si>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</si>
  <si>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</si>
  <si>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</si>
  <si>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</si>
  <si>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</si>
  <si>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</si>
  <si>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</si>
  <si>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</si>
  <si>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</si>
  <si>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</si>
  <si>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</si>
  <si>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1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</si>
  <si>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</si>
  <si>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</si>
  <si>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</si>
  <si>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</si>
  <si>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</si>
  <si>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</si>
  <si>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</si>
  <si>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</si>
  <si>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</si>
  <si>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</si>
  <si>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</si>
  <si>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</si>
  <si>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</si>
  <si>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</si>
  <si>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</si>
  <si>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</si>
  <si>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</si>
  <si>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</si>
  <si>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</si>
  <si>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</si>
  <si>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</si>
  <si>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</si>
  <si>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</si>
  <si>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</si>
  <si>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</si>
  <si>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</si>
  <si>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</si>
  <si>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</si>
  <si>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</si>
  <si>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</si>
  <si>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</si>
  <si>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</si>
  <si>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</si>
  <si>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</si>
  <si>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</si>
  <si>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</si>
  <si>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</si>
  <si>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</si>
  <si>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</si>
  <si>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</si>
  <si>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</si>
  <si>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</si>
  <si>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</si>
  <si>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</si>
  <si>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</si>
  <si>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</si>
  <si>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</si>
  <si>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</si>
  <si>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</si>
  <si>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1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</si>
  <si>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</si>
  <si>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</si>
  <si>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</si>
  <si>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</si>
  <si>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</si>
  <si>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</si>
  <si>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</si>
  <si>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</si>
  <si>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</si>
  <si>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</si>
  <si>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</si>
  <si>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</si>
  <si>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</si>
  <si>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</si>
  <si>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</si>
  <si>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</si>
  <si>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</si>
  <si>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</si>
  <si>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</si>
  <si>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</si>
  <si>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</si>
  <si>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</si>
  <si>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</si>
  <si>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</si>
  <si>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</si>
  <si>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</si>
  <si>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</si>
  <si>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</si>
  <si>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</si>
  <si>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</si>
  <si>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</si>
  <si>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</si>
  <si>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</si>
  <si>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</si>
  <si>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</si>
  <si>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</si>
  <si>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</si>
  <si>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</si>
  <si>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</si>
  <si>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</si>
  <si>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</si>
  <si>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</si>
  <si>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</si>
  <si>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</si>
  <si>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</si>
  <si>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</si>
  <si>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</si>
  <si>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</si>
  <si>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</si>
  <si>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1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</si>
  <si>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</si>
  <si>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</si>
  <si>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</si>
  <si>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</si>
  <si>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</si>
  <si>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</si>
  <si>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</si>
  <si>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</si>
  <si>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</si>
  <si>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</si>
  <si>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</si>
  <si>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</si>
  <si>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</si>
  <si>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</si>
  <si>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</si>
  <si>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</si>
  <si>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</si>
  <si>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</si>
  <si>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</si>
  <si>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</si>
  <si>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</si>
  <si>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</si>
  <si>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</si>
  <si>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</si>
  <si>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</si>
  <si>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</si>
  <si>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</si>
  <si>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</si>
  <si>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</si>
  <si>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</si>
  <si>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</si>
  <si>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</si>
  <si>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</si>
  <si>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</si>
  <si>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</si>
  <si>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</si>
  <si>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</si>
  <si>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</si>
  <si>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</si>
  <si>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</si>
  <si>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</si>
  <si>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</si>
  <si>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</si>
  <si>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</si>
  <si>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</si>
  <si>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</si>
  <si>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</si>
  <si>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</si>
  <si>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</si>
  <si>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1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</si>
  <si>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</si>
  <si>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</si>
  <si>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</si>
  <si>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</si>
  <si>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</si>
  <si>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</si>
  <si>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</si>
  <si>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</si>
  <si>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</si>
  <si>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</si>
  <si>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</si>
  <si>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</si>
  <si>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</si>
  <si>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</si>
  <si>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</si>
  <si>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</si>
  <si>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</si>
  <si>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</si>
  <si>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</si>
  <si>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</si>
  <si>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</si>
  <si>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</si>
  <si>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</si>
  <si>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</si>
  <si>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</si>
  <si>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</si>
  <si>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</si>
  <si>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</si>
  <si>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</si>
  <si>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</si>
  <si>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</si>
  <si>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</si>
  <si>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</si>
  <si>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</si>
  <si>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</si>
  <si>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</si>
  <si>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</si>
  <si>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</si>
  <si>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</si>
  <si>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</si>
  <si>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</si>
  <si>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</si>
  <si>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</si>
  <si>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</si>
  <si>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</si>
  <si>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</si>
  <si>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</si>
  <si>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</si>
  <si>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</si>
  <si>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</si>
  <si>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</si>
  <si>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</si>
  <si>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</si>
  <si>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</si>
  <si>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</si>
  <si>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</si>
  <si>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</si>
  <si>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</si>
  <si>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</si>
  <si>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</si>
  <si>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</si>
  <si>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</si>
  <si>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</si>
  <si>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</si>
  <si>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</si>
  <si>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</si>
  <si>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</si>
  <si>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</si>
  <si>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</si>
  <si>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</si>
  <si>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</si>
  <si>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</si>
  <si>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</si>
  <si>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</si>
  <si>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</si>
  <si>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</si>
  <si>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</si>
  <si>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</si>
  <si>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</si>
  <si>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</si>
  <si>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</si>
  <si>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</si>
  <si>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</si>
  <si>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</si>
  <si>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</si>
  <si>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</si>
  <si>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</si>
  <si>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</si>
  <si>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</si>
  <si>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</si>
  <si>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</si>
  <si>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</si>
  <si>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</si>
  <si>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</si>
  <si>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</si>
  <si>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</si>
  <si>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</si>
  <si>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</si>
  <si>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</si>
  <si>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</si>
  <si>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</si>
  <si>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</si>
  <si>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</si>
  <si>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</si>
  <si>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</si>
  <si>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</si>
  <si>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</si>
  <si>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1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</si>
  <si>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</si>
  <si>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</si>
  <si>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</si>
  <si>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</si>
  <si>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</si>
  <si>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</si>
  <si>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</si>
  <si>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</si>
  <si>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</si>
  <si>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</si>
  <si>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</si>
  <si>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</si>
  <si>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</si>
  <si>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</si>
  <si>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</si>
  <si>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</si>
  <si>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</si>
  <si>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</si>
  <si>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</si>
  <si>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</si>
  <si>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</si>
  <si>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</si>
  <si>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</si>
  <si>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</si>
  <si>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</si>
  <si>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</si>
  <si>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</si>
  <si>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</si>
  <si>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</si>
  <si>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</si>
  <si>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</si>
  <si>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</si>
  <si>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</si>
  <si>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</si>
  <si>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</si>
  <si>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1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</si>
  <si>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</si>
  <si>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</si>
  <si>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</si>
  <si>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</si>
  <si>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</si>
  <si>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</si>
  <si>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</si>
  <si>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</si>
  <si>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</si>
  <si>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</si>
  <si>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</si>
  <si>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</si>
  <si>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</si>
  <si>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</si>
  <si>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</si>
  <si>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</si>
  <si>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</si>
  <si>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</si>
  <si>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</si>
  <si>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</si>
  <si>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</si>
  <si>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</si>
  <si>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</si>
  <si>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</si>
  <si>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</si>
  <si>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</si>
  <si>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</si>
  <si>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</si>
  <si>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</si>
  <si>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</si>
  <si>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</si>
  <si>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</si>
  <si>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</si>
  <si>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</si>
  <si>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</si>
  <si>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1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</si>
  <si>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</si>
  <si>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</si>
  <si>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</si>
  <si>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</si>
  <si>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</si>
  <si>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</si>
  <si>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</si>
  <si>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</si>
  <si>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</si>
  <si>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</si>
  <si>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</si>
  <si>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</si>
  <si>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</si>
  <si>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</si>
  <si>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</si>
  <si>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</si>
  <si>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</si>
  <si>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</si>
  <si>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</si>
  <si>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</si>
  <si>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</si>
  <si>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</si>
  <si>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</si>
  <si>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</si>
  <si>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</si>
  <si>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</si>
  <si>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</si>
  <si>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</si>
  <si>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</si>
  <si>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</si>
  <si>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</si>
  <si>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</si>
  <si>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</si>
  <si>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</si>
  <si>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</si>
  <si>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</si>
  <si>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</si>
  <si>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</si>
  <si>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</si>
  <si>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</si>
  <si>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</si>
  <si>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</si>
  <si>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</si>
  <si>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</si>
  <si>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</si>
  <si>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</si>
  <si>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</si>
  <si>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</si>
  <si>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</si>
  <si>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</si>
  <si>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</si>
  <si>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</si>
  <si>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</si>
  <si>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</si>
  <si>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</si>
  <si>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</si>
  <si>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</si>
  <si>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</si>
  <si>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</si>
  <si>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</si>
  <si>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</si>
  <si>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</si>
  <si>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</si>
  <si>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</si>
  <si>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</si>
  <si>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</si>
  <si>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</si>
  <si>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</si>
  <si>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</si>
  <si>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</si>
  <si>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</si>
  <si>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</si>
  <si>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</si>
  <si>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</si>
  <si>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</si>
  <si>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1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</si>
  <si>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</si>
  <si>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</si>
  <si>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</si>
  <si>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</si>
  <si>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</si>
  <si>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</si>
  <si>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</si>
  <si>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</si>
  <si>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</si>
  <si>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</si>
  <si>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</si>
  <si>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</si>
  <si>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</si>
  <si>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</si>
  <si>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</si>
  <si>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</si>
  <si>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</si>
  <si>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</si>
  <si>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</si>
  <si>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</si>
  <si>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</si>
  <si>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</si>
  <si>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</si>
  <si>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</si>
  <si>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</si>
  <si>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</si>
  <si>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</si>
  <si>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</si>
  <si>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</si>
  <si>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</si>
  <si>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</si>
  <si>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</si>
  <si>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</si>
  <si>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</si>
  <si>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</si>
  <si>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</si>
  <si>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</si>
  <si>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</si>
  <si>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</si>
  <si>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</si>
  <si>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</si>
  <si>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</si>
  <si>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</si>
  <si>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</si>
  <si>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</si>
  <si>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</si>
  <si>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</si>
  <si>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</si>
  <si>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</si>
  <si>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</si>
  <si>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</si>
  <si>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</si>
  <si>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</si>
  <si>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</si>
  <si>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</si>
  <si>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</si>
  <si>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</si>
  <si>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</si>
  <si>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</si>
  <si>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</si>
  <si>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</si>
  <si>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</si>
  <si>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</si>
  <si>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</si>
  <si>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</si>
  <si>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</si>
  <si>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</si>
  <si>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</si>
  <si>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</si>
  <si>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</si>
  <si>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</si>
  <si>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</si>
  <si>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</si>
  <si>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</si>
  <si>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</si>
  <si>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</si>
  <si>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</si>
  <si>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</si>
  <si>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</si>
  <si>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</si>
  <si>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</si>
  <si>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</si>
  <si>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</si>
  <si>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</si>
  <si>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</si>
  <si>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</si>
  <si>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</si>
  <si>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</si>
  <si>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</si>
  <si>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</si>
  <si>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</si>
  <si>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</si>
  <si>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</si>
  <si>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</si>
  <si>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</si>
  <si>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</si>
  <si>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</si>
  <si>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</si>
  <si>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</si>
  <si>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</si>
  <si>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</si>
  <si>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</si>
  <si>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</si>
  <si>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</si>
  <si>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</si>
  <si>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</si>
  <si>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</si>
  <si>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</si>
  <si>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</si>
  <si>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</si>
  <si>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</si>
  <si>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</si>
  <si>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</si>
  <si>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</si>
  <si>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</si>
  <si>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</si>
  <si>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</si>
  <si>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</si>
  <si>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</si>
  <si>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</si>
  <si>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</si>
  <si>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</si>
  <si>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</si>
  <si>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</si>
  <si>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</si>
  <si>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</si>
  <si>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</si>
  <si>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1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</si>
  <si>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</si>
  <si>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</si>
  <si>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</si>
  <si>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</si>
  <si>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</si>
  <si>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</si>
  <si>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</si>
  <si>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</si>
  <si>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</si>
  <si>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</si>
  <si>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</si>
  <si>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</si>
  <si>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</si>
  <si>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</si>
  <si>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</si>
  <si>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</si>
  <si>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</si>
  <si>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</si>
  <si>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</si>
  <si>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</si>
  <si>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</si>
  <si>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</si>
  <si>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</si>
  <si>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</si>
  <si>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</si>
  <si>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</si>
  <si>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</si>
  <si>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</si>
  <si>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</si>
  <si>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1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</si>
  <si>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</si>
  <si>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</si>
  <si>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</si>
  <si>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</si>
  <si>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</si>
  <si>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</si>
  <si>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</si>
  <si>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</si>
  <si>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</si>
  <si>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</si>
  <si>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</si>
  <si>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</si>
  <si>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</si>
  <si>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</si>
  <si>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</si>
  <si>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</si>
  <si>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</si>
  <si>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</si>
  <si>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</si>
  <si>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</si>
  <si>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</si>
  <si>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</si>
  <si>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</si>
  <si>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</si>
  <si>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</si>
  <si>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</si>
  <si>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</si>
  <si>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</si>
  <si>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</si>
  <si>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1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</si>
  <si>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</si>
  <si>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</si>
  <si>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</si>
  <si>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</si>
  <si>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</si>
  <si>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</si>
  <si>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</si>
  <si>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</si>
  <si>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</si>
  <si>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</si>
  <si>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</si>
  <si>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</si>
  <si>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</si>
  <si>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</si>
  <si>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</si>
  <si>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</si>
  <si>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</si>
  <si>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</si>
  <si>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</si>
  <si>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</si>
  <si>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</si>
  <si>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</si>
  <si>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</si>
  <si>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</si>
  <si>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</si>
  <si>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</si>
  <si>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</si>
  <si>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</si>
  <si>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</si>
  <si>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</si>
  <si>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</si>
  <si>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</si>
  <si>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</si>
  <si>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</si>
  <si>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</si>
  <si>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</si>
  <si>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</si>
  <si>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</si>
  <si>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</si>
  <si>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</si>
  <si>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</si>
  <si>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</si>
  <si>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</si>
  <si>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</si>
  <si>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</si>
  <si>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</si>
  <si>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</si>
  <si>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</si>
  <si>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</si>
  <si>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</si>
  <si>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</si>
  <si>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</si>
  <si>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</si>
  <si>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</si>
  <si>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</si>
  <si>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</si>
  <si>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</si>
  <si>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</si>
  <si>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</si>
  <si>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</si>
  <si>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</si>
  <si>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</si>
  <si>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</si>
  <si>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</si>
  <si>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</si>
  <si>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</si>
  <si>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</si>
  <si>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1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</si>
  <si>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</si>
  <si>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</si>
  <si>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</si>
  <si>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</si>
  <si>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</si>
  <si>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</si>
  <si>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</si>
  <si>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</si>
  <si>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</si>
  <si>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</si>
  <si>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</si>
  <si>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</si>
  <si>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</si>
  <si>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</si>
  <si>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</si>
  <si>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</si>
  <si>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</si>
  <si>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</si>
  <si>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</si>
  <si>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</si>
  <si>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</si>
  <si>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</si>
  <si>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</si>
  <si>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</si>
  <si>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</si>
  <si>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</si>
  <si>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</si>
  <si>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</si>
  <si>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</si>
  <si>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</si>
  <si>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</si>
  <si>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</si>
  <si>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</si>
  <si>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</si>
  <si>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</si>
  <si>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</si>
  <si>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</si>
  <si>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</si>
  <si>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</si>
  <si>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</si>
  <si>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</si>
  <si>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</si>
  <si>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</si>
  <si>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</si>
  <si>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</si>
  <si>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</si>
  <si>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</si>
  <si>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</si>
  <si>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</si>
  <si>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</si>
  <si>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</si>
  <si>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</si>
  <si>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</si>
  <si>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</si>
  <si>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</si>
  <si>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</si>
  <si>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</si>
  <si>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</si>
  <si>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</si>
  <si>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</si>
  <si>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</si>
  <si>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</si>
  <si>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</si>
  <si>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</si>
  <si>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</si>
  <si>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</si>
  <si>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</si>
  <si>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</si>
  <si>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</si>
  <si>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</si>
  <si>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</si>
  <si>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</si>
  <si>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</si>
  <si>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</si>
  <si>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</si>
  <si>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</si>
  <si>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</si>
  <si>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</si>
  <si>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</si>
  <si>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</si>
  <si>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</si>
  <si>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</si>
  <si>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</si>
  <si>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</si>
  <si>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</si>
  <si>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</si>
  <si>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</si>
  <si>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</si>
  <si>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</si>
  <si>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</si>
  <si>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</si>
  <si>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</si>
  <si>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</si>
  <si>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</si>
  <si>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</si>
  <si>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1" type="noConversion"/>
  </si>
  <si>
    <t>6-DaHall 1-PDU-01-01</t>
    <phoneticPr fontId="11" type="noConversion"/>
  </si>
  <si>
    <t>6-DaHall 1-PDU-02-01</t>
  </si>
  <si>
    <t>6-DaHall 1-PDU-03-01</t>
  </si>
  <si>
    <t>6-DaHall 1-PDU-04-01</t>
  </si>
  <si>
    <t>6F</t>
    <phoneticPr fontId="11" type="noConversion"/>
  </si>
  <si>
    <t>7F</t>
    <phoneticPr fontId="11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</si>
  <si>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</si>
  <si>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</si>
  <si>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</si>
  <si>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</si>
  <si>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</si>
  <si>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</si>
  <si>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</si>
  <si>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</si>
  <si>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</si>
  <si>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</si>
  <si>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</si>
  <si>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</si>
  <si>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</si>
  <si>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</si>
  <si>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</si>
  <si>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</si>
  <si>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</si>
  <si>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</si>
  <si>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</si>
  <si>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</si>
  <si>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</si>
  <si>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</si>
  <si>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</si>
  <si>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</si>
  <si>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</si>
  <si>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</si>
  <si>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</si>
  <si>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</si>
  <si>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</si>
  <si>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</si>
  <si>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</si>
  <si>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</si>
  <si>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</si>
  <si>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</si>
  <si>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</si>
  <si>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</si>
  <si>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</si>
  <si>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</si>
  <si>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</si>
  <si>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</si>
  <si>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</si>
  <si>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</si>
  <si>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</si>
  <si>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</si>
  <si>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</si>
  <si>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</si>
  <si>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</si>
  <si>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</si>
  <si>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</si>
  <si>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</si>
  <si>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</si>
  <si>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</si>
  <si>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</si>
  <si>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</si>
  <si>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</si>
  <si>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</si>
  <si>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</si>
  <si>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</si>
  <si>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</si>
  <si>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</si>
  <si>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</si>
  <si>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</si>
  <si>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</si>
  <si>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</si>
  <si>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</si>
  <si>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</si>
  <si>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</si>
  <si>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</si>
  <si>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</si>
  <si>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</si>
  <si>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</si>
  <si>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</si>
  <si>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</si>
  <si>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</si>
  <si>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</si>
  <si>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</si>
  <si>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</si>
  <si>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</si>
  <si>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</si>
  <si>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</si>
  <si>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</si>
  <si>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</si>
  <si>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</si>
  <si>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</si>
  <si>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</si>
  <si>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</si>
  <si>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</si>
  <si>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</si>
  <si>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</si>
  <si>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</si>
  <si>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</si>
  <si>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</si>
  <si>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</si>
  <si>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</si>
  <si>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</si>
  <si>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</si>
  <si>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</si>
  <si>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</si>
  <si>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</si>
  <si>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</si>
  <si>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</si>
  <si>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</si>
  <si>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</si>
  <si>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</si>
  <si>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</si>
  <si>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</si>
  <si>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</si>
  <si>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</si>
  <si>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</si>
  <si>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</si>
  <si>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</si>
  <si>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</si>
  <si>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</si>
  <si>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</si>
  <si>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</si>
  <si>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</si>
  <si>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</si>
  <si>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</si>
  <si>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</si>
  <si>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</si>
  <si>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</si>
  <si>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</si>
  <si>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</si>
  <si>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</si>
  <si>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</si>
  <si>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</si>
  <si>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</si>
  <si>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</si>
  <si>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</si>
  <si>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</si>
  <si>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</si>
  <si>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</si>
  <si>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</si>
  <si>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</si>
  <si>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</si>
  <si>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</si>
  <si>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</si>
  <si>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</si>
  <si>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</si>
  <si>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</si>
  <si>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</si>
  <si>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</si>
  <si>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</si>
  <si>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</si>
  <si>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</si>
  <si>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</si>
  <si>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</si>
  <si>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</si>
  <si>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</si>
  <si>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</si>
  <si>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</si>
  <si>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</si>
  <si>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</si>
  <si>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</si>
  <si>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</si>
  <si>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</si>
  <si>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</si>
  <si>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</si>
  <si>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</si>
  <si>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</si>
  <si>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</si>
  <si>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</si>
  <si>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</si>
  <si>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</si>
  <si>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</si>
  <si>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</si>
  <si>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</si>
  <si>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</si>
  <si>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</si>
  <si>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</si>
  <si>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</si>
  <si>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</si>
  <si>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</si>
  <si>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</si>
  <si>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</si>
  <si>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</si>
  <si>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</si>
  <si>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</si>
  <si>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</si>
  <si>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</si>
  <si>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</si>
  <si>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</si>
  <si>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</si>
  <si>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</si>
  <si>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</si>
  <si>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</si>
  <si>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</si>
  <si>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</si>
  <si>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</si>
  <si>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</si>
  <si>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</si>
  <si>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</si>
  <si>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</si>
  <si>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</si>
  <si>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</si>
  <si>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</si>
  <si>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1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</si>
  <si>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</si>
  <si>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</si>
  <si>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</si>
  <si>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</si>
  <si>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</si>
  <si>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</si>
  <si>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</si>
  <si>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</si>
  <si>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</si>
  <si>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</si>
  <si>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</si>
  <si>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</si>
  <si>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</si>
  <si>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</si>
  <si>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</si>
  <si>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</si>
  <si>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</si>
  <si>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</si>
  <si>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</si>
  <si>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</si>
  <si>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</si>
  <si>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</si>
  <si>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</si>
  <si>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</si>
  <si>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</si>
  <si>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</si>
  <si>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</si>
  <si>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</si>
  <si>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</si>
  <si>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</si>
  <si>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</si>
  <si>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</si>
  <si>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</si>
  <si>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</si>
  <si>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</si>
  <si>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</si>
  <si>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</si>
  <si>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</si>
  <si>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</si>
  <si>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</si>
  <si>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</si>
  <si>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</si>
  <si>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</si>
  <si>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</si>
  <si>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</si>
  <si>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</si>
  <si>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</si>
  <si>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</si>
  <si>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</si>
  <si>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</si>
  <si>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</si>
  <si>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</si>
  <si>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</si>
  <si>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</si>
  <si>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</si>
  <si>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</si>
  <si>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</si>
  <si>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</si>
  <si>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</si>
  <si>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</si>
  <si>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</si>
  <si>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</si>
  <si>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</si>
  <si>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</si>
  <si>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</si>
  <si>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</si>
  <si>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</si>
  <si>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</si>
  <si>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</si>
  <si>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</si>
  <si>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</si>
  <si>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</si>
  <si>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</si>
  <si>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</si>
  <si>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</si>
  <si>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</si>
  <si>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</si>
  <si>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</si>
  <si>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</si>
  <si>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</si>
  <si>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</si>
  <si>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</si>
  <si>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</si>
  <si>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</si>
  <si>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</si>
  <si>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</si>
  <si>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</si>
  <si>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</si>
  <si>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</si>
  <si>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</si>
  <si>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</si>
  <si>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</si>
  <si>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</si>
  <si>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</si>
  <si>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</si>
  <si>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</si>
  <si>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</si>
  <si>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</si>
  <si>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</si>
  <si>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</si>
  <si>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</si>
  <si>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</si>
  <si>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</si>
  <si>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</si>
  <si>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</si>
  <si>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</si>
  <si>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</si>
  <si>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</si>
  <si>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</si>
  <si>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</si>
  <si>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</si>
  <si>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</si>
  <si>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</si>
  <si>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</si>
  <si>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</si>
  <si>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</si>
  <si>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</si>
  <si>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</si>
  <si>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</si>
  <si>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</si>
  <si>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</si>
  <si>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</si>
  <si>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</si>
  <si>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</si>
  <si>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</si>
  <si>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</si>
  <si>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</si>
  <si>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</si>
  <si>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</si>
  <si>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</si>
  <si>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</si>
  <si>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</si>
  <si>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</si>
  <si>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</si>
  <si>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</si>
  <si>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</si>
  <si>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</si>
  <si>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</si>
  <si>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</si>
  <si>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</si>
  <si>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</si>
  <si>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</si>
  <si>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</si>
  <si>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</si>
  <si>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</si>
  <si>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</si>
  <si>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</si>
  <si>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</si>
  <si>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</si>
  <si>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</si>
  <si>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</si>
  <si>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</si>
  <si>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</si>
  <si>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</si>
  <si>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</si>
  <si>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</si>
  <si>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</si>
  <si>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</si>
  <si>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</si>
  <si>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</si>
  <si>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</si>
  <si>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</si>
  <si>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</si>
  <si>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</si>
  <si>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</si>
  <si>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</si>
  <si>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</si>
  <si>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</si>
  <si>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</si>
  <si>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</si>
  <si>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</si>
  <si>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</si>
  <si>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</si>
  <si>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</si>
  <si>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</si>
  <si>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</si>
  <si>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</si>
  <si>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</si>
  <si>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</si>
  <si>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</si>
  <si>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</si>
  <si>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</si>
  <si>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</si>
  <si>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</si>
  <si>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</si>
  <si>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</si>
  <si>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</si>
  <si>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</si>
  <si>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</si>
  <si>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</si>
  <si>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</si>
  <si>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</si>
  <si>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</si>
  <si>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</si>
  <si>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</si>
  <si>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</si>
  <si>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</si>
  <si>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</si>
  <si>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</si>
  <si>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</si>
  <si>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</si>
  <si>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</si>
  <si>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</si>
  <si>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</si>
  <si>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</si>
  <si>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</si>
  <si>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</si>
  <si>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</si>
  <si>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</si>
  <si>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</si>
  <si>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</si>
  <si>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</si>
  <si>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</si>
  <si>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</si>
  <si>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</si>
  <si>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1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</si>
  <si>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</si>
  <si>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</si>
  <si>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</si>
  <si>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</si>
  <si>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</si>
  <si>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</si>
  <si>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</si>
  <si>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</si>
  <si>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</si>
  <si>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</si>
  <si>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</si>
  <si>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</si>
  <si>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</si>
  <si>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</si>
  <si>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</si>
  <si>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</si>
  <si>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</si>
  <si>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</si>
  <si>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</si>
  <si>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</si>
  <si>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</si>
  <si>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</si>
  <si>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</si>
  <si>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</si>
  <si>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</si>
  <si>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</si>
  <si>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</si>
  <si>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</si>
  <si>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</si>
  <si>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</si>
  <si>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</si>
  <si>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</si>
  <si>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</si>
  <si>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</si>
  <si>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</si>
  <si>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</si>
  <si>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</si>
  <si>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</si>
  <si>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</si>
  <si>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</si>
  <si>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</si>
  <si>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</si>
  <si>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</si>
  <si>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</si>
  <si>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</si>
  <si>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</si>
  <si>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</si>
  <si>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</si>
  <si>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</si>
  <si>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</si>
  <si>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</si>
  <si>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</si>
  <si>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</si>
  <si>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</si>
  <si>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</si>
  <si>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</si>
  <si>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</si>
  <si>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</si>
  <si>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</si>
  <si>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</si>
  <si>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</si>
  <si>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</si>
  <si>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</si>
  <si>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</si>
  <si>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</si>
  <si>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</si>
  <si>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</si>
  <si>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</si>
  <si>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</si>
  <si>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</si>
  <si>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</si>
  <si>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</si>
  <si>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</si>
  <si>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</si>
  <si>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</si>
  <si>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</si>
  <si>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</si>
  <si>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</si>
  <si>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</si>
  <si>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</si>
  <si>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</si>
  <si>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</si>
  <si>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</si>
  <si>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</si>
  <si>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</si>
  <si>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</si>
  <si>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</si>
  <si>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</si>
  <si>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</si>
  <si>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</si>
  <si>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</si>
  <si>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</si>
  <si>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</si>
  <si>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</si>
  <si>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</si>
  <si>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</si>
  <si>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</si>
  <si>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</si>
  <si>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</si>
  <si>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</si>
  <si>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</si>
  <si>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</si>
  <si>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</si>
  <si>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</si>
  <si>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</si>
  <si>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</si>
  <si>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</si>
  <si>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</si>
  <si>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</si>
  <si>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</si>
  <si>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</si>
  <si>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</si>
  <si>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</si>
  <si>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</si>
  <si>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</si>
  <si>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</si>
  <si>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</si>
  <si>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</si>
  <si>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</si>
  <si>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</si>
  <si>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</si>
  <si>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</si>
  <si>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</si>
  <si>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</si>
  <si>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</si>
  <si>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</si>
  <si>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</si>
  <si>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</si>
  <si>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</si>
  <si>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</si>
  <si>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</si>
  <si>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</si>
  <si>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</si>
  <si>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</si>
  <si>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</si>
  <si>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</si>
  <si>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</si>
  <si>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</si>
  <si>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</si>
  <si>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</si>
  <si>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</si>
  <si>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</si>
  <si>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</si>
  <si>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</si>
  <si>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</si>
  <si>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</si>
  <si>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</si>
  <si>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</si>
  <si>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</si>
  <si>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</si>
  <si>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</si>
  <si>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</si>
  <si>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</si>
  <si>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</si>
  <si>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</si>
  <si>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</si>
  <si>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</si>
  <si>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</si>
  <si>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</si>
  <si>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</si>
  <si>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</si>
  <si>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</si>
  <si>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</si>
  <si>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</si>
  <si>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</si>
  <si>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</si>
  <si>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</si>
  <si>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</si>
  <si>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</si>
  <si>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</si>
  <si>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</si>
  <si>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</si>
  <si>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</si>
  <si>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</si>
  <si>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</si>
  <si>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</si>
  <si>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</si>
  <si>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</si>
  <si>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</si>
  <si>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</si>
  <si>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</si>
  <si>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</si>
  <si>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</si>
  <si>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</si>
  <si>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</si>
  <si>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</si>
  <si>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</si>
  <si>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</si>
  <si>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</si>
  <si>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</si>
  <si>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</si>
  <si>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</si>
  <si>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</si>
  <si>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</si>
  <si>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</si>
  <si>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</si>
  <si>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</si>
  <si>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</si>
  <si>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</si>
  <si>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1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</si>
  <si>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</si>
  <si>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</si>
  <si>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</si>
  <si>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</si>
  <si>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</si>
  <si>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</si>
  <si>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</si>
  <si>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</si>
  <si>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</si>
  <si>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</si>
  <si>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</si>
  <si>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</si>
  <si>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</si>
  <si>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</si>
  <si>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</si>
  <si>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</si>
  <si>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</si>
  <si>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</si>
  <si>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</si>
  <si>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</si>
  <si>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</si>
  <si>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</si>
  <si>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</si>
  <si>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</si>
  <si>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</si>
  <si>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</si>
  <si>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</si>
  <si>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</si>
  <si>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</si>
  <si>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</si>
  <si>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</si>
  <si>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</si>
  <si>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</si>
  <si>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</si>
  <si>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</si>
  <si>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</si>
  <si>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</si>
  <si>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</si>
  <si>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</si>
  <si>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</si>
  <si>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</si>
  <si>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</si>
  <si>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</si>
  <si>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</si>
  <si>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</si>
  <si>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</si>
  <si>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</si>
  <si>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</si>
  <si>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</si>
  <si>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</si>
  <si>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</si>
  <si>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</si>
  <si>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</si>
  <si>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1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</si>
  <si>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</si>
  <si>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</si>
  <si>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</si>
  <si>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</si>
  <si>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</si>
  <si>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</si>
  <si>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</si>
  <si>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</si>
  <si>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</si>
  <si>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</si>
  <si>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</si>
  <si>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</si>
  <si>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</si>
  <si>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</si>
  <si>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</si>
  <si>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</si>
  <si>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</si>
  <si>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</si>
  <si>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</si>
  <si>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</si>
  <si>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</si>
  <si>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</si>
  <si>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</si>
  <si>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</si>
  <si>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</si>
  <si>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</si>
  <si>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</si>
  <si>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</si>
  <si>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</si>
  <si>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</si>
  <si>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</si>
  <si>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</si>
  <si>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</si>
  <si>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</si>
  <si>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</si>
  <si>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</si>
  <si>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</si>
  <si>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</si>
  <si>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</si>
  <si>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</si>
  <si>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</si>
  <si>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</si>
  <si>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</si>
  <si>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</si>
  <si>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</si>
  <si>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</si>
  <si>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</si>
  <si>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</si>
  <si>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</si>
  <si>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</si>
  <si>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</si>
  <si>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</si>
  <si>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</si>
  <si>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</si>
  <si>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</si>
  <si>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</si>
  <si>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</si>
  <si>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</si>
  <si>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</si>
  <si>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</si>
  <si>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</si>
  <si>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</si>
  <si>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</si>
  <si>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</si>
  <si>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</si>
  <si>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</si>
  <si>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</si>
  <si>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</si>
  <si>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</si>
  <si>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</si>
  <si>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</si>
  <si>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</si>
  <si>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</si>
  <si>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</si>
  <si>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</si>
  <si>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</si>
  <si>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</si>
  <si>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</si>
  <si>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</si>
  <si>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</si>
  <si>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</si>
  <si>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</si>
  <si>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</si>
  <si>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</si>
  <si>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</si>
  <si>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</si>
  <si>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</si>
  <si>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</si>
  <si>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</si>
  <si>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</si>
  <si>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</si>
  <si>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</si>
  <si>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</si>
  <si>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</si>
  <si>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</si>
  <si>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</si>
  <si>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</si>
  <si>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</si>
  <si>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</si>
  <si>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</si>
  <si>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</si>
  <si>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</si>
  <si>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</si>
  <si>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</si>
  <si>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</si>
  <si>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</si>
  <si>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</si>
  <si>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</si>
  <si>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</si>
  <si>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</si>
  <si>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</si>
  <si>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</si>
  <si>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</si>
  <si>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</si>
  <si>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</si>
  <si>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</si>
  <si>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</si>
  <si>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</si>
  <si>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</si>
  <si>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</si>
  <si>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</si>
  <si>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</si>
  <si>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</si>
  <si>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</si>
  <si>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</si>
  <si>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</si>
  <si>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</si>
  <si>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</si>
  <si>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</si>
  <si>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</si>
  <si>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</si>
  <si>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</si>
  <si>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</si>
  <si>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</si>
  <si>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</si>
  <si>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</si>
  <si>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</si>
  <si>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</si>
  <si>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</si>
  <si>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</si>
  <si>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</si>
  <si>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</si>
  <si>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</si>
  <si>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</si>
  <si>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</si>
  <si>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</si>
  <si>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</si>
  <si>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</si>
  <si>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</si>
  <si>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</si>
  <si>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</si>
  <si>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</si>
  <si>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</si>
  <si>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</si>
  <si>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</si>
  <si>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</si>
  <si>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</si>
  <si>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</si>
  <si>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</si>
  <si>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</si>
  <si>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1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</si>
  <si>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</si>
  <si>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</si>
  <si>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</si>
  <si>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</si>
  <si>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</si>
  <si>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</si>
  <si>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</si>
  <si>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</si>
  <si>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</si>
  <si>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</si>
  <si>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</si>
  <si>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</si>
  <si>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</si>
  <si>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</si>
  <si>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</si>
  <si>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</si>
  <si>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</si>
  <si>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</si>
  <si>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</si>
  <si>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1" type="noConversion"/>
  </si>
  <si>
    <t>7-DaHall 1-RPP-01-01</t>
    <phoneticPr fontId="11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</si>
  <si>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</si>
  <si>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</si>
  <si>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</si>
  <si>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</si>
  <si>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</si>
  <si>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</si>
  <si>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</si>
  <si>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</si>
  <si>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</si>
  <si>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</si>
  <si>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</si>
  <si>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</si>
  <si>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</si>
  <si>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</si>
  <si>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</si>
  <si>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</si>
  <si>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</si>
  <si>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</si>
  <si>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</si>
  <si>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</si>
  <si>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</si>
  <si>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</si>
  <si>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</si>
  <si>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</si>
  <si>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</si>
  <si>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</si>
  <si>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</si>
  <si>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</si>
  <si>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</si>
  <si>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</si>
  <si>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</si>
  <si>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</si>
  <si>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</si>
  <si>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</si>
  <si>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</si>
  <si>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</si>
  <si>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</si>
  <si>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</si>
  <si>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</si>
  <si>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</si>
  <si>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</si>
  <si>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</si>
  <si>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</si>
  <si>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</si>
  <si>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</si>
  <si>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</si>
  <si>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</si>
  <si>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</si>
  <si>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</si>
  <si>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</si>
  <si>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</si>
  <si>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</si>
  <si>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</si>
  <si>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</si>
  <si>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</si>
  <si>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</si>
  <si>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</si>
  <si>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</si>
  <si>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</si>
  <si>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</si>
  <si>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</si>
  <si>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</si>
  <si>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</si>
  <si>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</si>
  <si>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</si>
  <si>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</si>
  <si>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</si>
  <si>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</si>
  <si>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</si>
  <si>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</si>
  <si>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</si>
  <si>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</si>
  <si>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</si>
  <si>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</si>
  <si>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</si>
  <si>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</si>
  <si>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</si>
  <si>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</si>
  <si>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</si>
  <si>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1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</si>
  <si>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</si>
  <si>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</si>
  <si>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</si>
  <si>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</si>
  <si>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</si>
  <si>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</si>
  <si>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</si>
  <si>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</si>
  <si>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</si>
  <si>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</si>
  <si>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</si>
  <si>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</si>
  <si>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</si>
  <si>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</si>
  <si>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</si>
  <si>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</si>
  <si>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</si>
  <si>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</si>
  <si>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</si>
  <si>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</si>
  <si>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</si>
  <si>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</si>
  <si>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</si>
  <si>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</si>
  <si>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</si>
  <si>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</si>
  <si>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1" type="noConversion"/>
  </si>
  <si>
    <t>[branch#001] [A] current</t>
  </si>
  <si>
    <t>[branch#001] [A] current</t>
    <phoneticPr fontId="11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</si>
  <si>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</si>
  <si>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</si>
  <si>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</si>
  <si>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</si>
  <si>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</si>
  <si>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</si>
  <si>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</si>
  <si>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</si>
  <si>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</si>
  <si>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</si>
  <si>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</si>
  <si>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</si>
  <si>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</si>
  <si>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</si>
  <si>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</si>
  <si>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</si>
  <si>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</si>
  <si>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</si>
  <si>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</si>
  <si>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</si>
  <si>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</si>
  <si>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</si>
  <si>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</si>
  <si>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</si>
  <si>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</si>
  <si>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</si>
  <si>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</si>
  <si>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</si>
  <si>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</si>
  <si>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</si>
  <si>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</si>
  <si>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</si>
  <si>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</si>
  <si>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</si>
  <si>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</si>
  <si>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</si>
  <si>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</si>
  <si>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</si>
  <si>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</si>
  <si>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</si>
  <si>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</si>
  <si>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</si>
  <si>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</si>
  <si>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</si>
  <si>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</si>
  <si>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</si>
  <si>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</si>
  <si>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</si>
  <si>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</si>
  <si>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</si>
  <si>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</si>
  <si>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</si>
  <si>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</si>
  <si>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1" type="noConversion"/>
  </si>
  <si>
    <t>PDU : 7-DaHall 1-PDU-02</t>
    <phoneticPr fontId="11" type="noConversion"/>
  </si>
  <si>
    <t>PDU : 7-DaHall 1-PDU-01</t>
    <phoneticPr fontId="11" type="noConversion"/>
  </si>
  <si>
    <t>PDU : 7-DaHall 1-RPP-02</t>
    <phoneticPr fontId="11" type="noConversion"/>
  </si>
  <si>
    <t>PDU : 7-DaHall 1-RPP-03</t>
    <phoneticPr fontId="11" type="noConversion"/>
  </si>
  <si>
    <t>PDU : 7-DaHall 1-PDU-03</t>
    <phoneticPr fontId="11" type="noConversion"/>
  </si>
  <si>
    <t>PDU : 7-DaHall 1-PDU-04</t>
    <phoneticPr fontId="11" type="noConversion"/>
  </si>
  <si>
    <t>PDU : 7-DaHall 1-RPP-04</t>
    <phoneticPr fontId="11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</si>
  <si>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</si>
  <si>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</si>
  <si>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</si>
  <si>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</si>
  <si>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</si>
  <si>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</si>
  <si>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</si>
  <si>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</si>
  <si>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</si>
  <si>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</si>
  <si>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</si>
  <si>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</si>
  <si>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</si>
  <si>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</si>
  <si>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</si>
  <si>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</si>
  <si>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</si>
  <si>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</si>
  <si>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</si>
  <si>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</si>
  <si>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</si>
  <si>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</si>
  <si>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</si>
  <si>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</si>
  <si>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</si>
  <si>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</si>
  <si>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</si>
  <si>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</si>
  <si>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</si>
  <si>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</si>
  <si>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</si>
  <si>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</si>
  <si>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</si>
  <si>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</si>
  <si>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</si>
  <si>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</si>
  <si>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</si>
  <si>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</si>
  <si>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</si>
  <si>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</si>
  <si>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</si>
  <si>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</si>
  <si>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</si>
  <si>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</si>
  <si>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</si>
  <si>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</si>
  <si>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</si>
  <si>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</si>
  <si>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</si>
  <si>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</si>
  <si>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</si>
  <si>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</si>
  <si>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</si>
  <si>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</si>
  <si>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</si>
  <si>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</si>
  <si>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</si>
  <si>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</si>
  <si>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</si>
  <si>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</si>
  <si>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</si>
  <si>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1" type="noConversion"/>
  </si>
  <si>
    <t>[branch#001] [S] I2</t>
  </si>
  <si>
    <t>[branch#001] [S] I2</t>
    <phoneticPr fontId="11" type="noConversion"/>
  </si>
  <si>
    <t>[branch#001] [T] I3</t>
  </si>
  <si>
    <t>[branch#001] [T] I3</t>
    <phoneticPr fontId="11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</si>
  <si>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</si>
  <si>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</si>
  <si>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</si>
  <si>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</si>
  <si>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</si>
  <si>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</si>
  <si>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</si>
  <si>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</si>
  <si>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</si>
  <si>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</si>
  <si>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</si>
  <si>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</si>
  <si>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</si>
  <si>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</si>
  <si>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</si>
  <si>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</si>
  <si>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</si>
  <si>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</si>
  <si>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</si>
  <si>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</si>
  <si>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</si>
  <si>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</si>
  <si>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</si>
  <si>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</si>
  <si>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</si>
  <si>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</si>
  <si>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</si>
  <si>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</si>
  <si>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</si>
  <si>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</si>
  <si>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1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</si>
  <si>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</si>
  <si>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</si>
  <si>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</si>
  <si>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</si>
  <si>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</si>
  <si>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</si>
  <si>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</si>
  <si>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</si>
  <si>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</si>
  <si>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</si>
  <si>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</si>
  <si>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</si>
  <si>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</si>
  <si>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</si>
  <si>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</si>
  <si>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</si>
  <si>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1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</si>
  <si>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</si>
  <si>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</si>
  <si>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</si>
  <si>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</si>
  <si>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</si>
  <si>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1" type="noConversion"/>
  </si>
  <si>
    <t>[branch#012] [S] I2</t>
    <phoneticPr fontId="11" type="noConversion"/>
  </si>
  <si>
    <t>[branch#012] [T] I3</t>
    <phoneticPr fontId="11" type="noConversion"/>
  </si>
  <si>
    <t>5-DaHall 1-CEP-05-01</t>
    <phoneticPr fontId="11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</si>
  <si>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</si>
  <si>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</si>
  <si>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</si>
  <si>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</si>
  <si>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</si>
  <si>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</si>
  <si>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</si>
  <si>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</si>
  <si>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</si>
  <si>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</si>
  <si>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</si>
  <si>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</si>
  <si>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</si>
  <si>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</si>
  <si>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</si>
  <si>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</si>
  <si>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</si>
  <si>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1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</si>
  <si>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</si>
  <si>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</si>
  <si>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</si>
  <si>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</si>
  <si>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</si>
  <si>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</si>
  <si>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</si>
  <si>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</si>
  <si>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</si>
  <si>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</si>
  <si>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</si>
  <si>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</si>
  <si>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1" type="noConversion"/>
  </si>
  <si>
    <t xml:space="preserve">0230 [branch#01] [S] I2 </t>
    <phoneticPr fontId="11" type="noConversion"/>
  </si>
  <si>
    <t xml:space="preserve">0255 [branch#01] [T] I3 </t>
    <phoneticPr fontId="11" type="noConversion"/>
  </si>
  <si>
    <t>포인트명</t>
    <phoneticPr fontId="11" type="noConversion"/>
  </si>
  <si>
    <t>장비명</t>
    <phoneticPr fontId="11" type="noConversion"/>
  </si>
  <si>
    <t>분기번호</t>
    <phoneticPr fontId="11" type="noConversion"/>
  </si>
  <si>
    <t>MIN</t>
    <phoneticPr fontId="11" type="noConversion"/>
  </si>
  <si>
    <t>MAX</t>
    <phoneticPr fontId="11" type="noConversion"/>
  </si>
  <si>
    <t>AVG</t>
    <phoneticPr fontId="11" type="noConversion"/>
  </si>
  <si>
    <t>월 평균 전류</t>
    <phoneticPr fontId="11" type="noConversion"/>
  </si>
  <si>
    <t>월 유효전력량</t>
    <phoneticPr fontId="11" type="noConversion"/>
  </si>
  <si>
    <t>5층 랙별 전기공급계통</t>
  </si>
  <si>
    <t>R5-4</t>
    <phoneticPr fontId="11" type="noConversion"/>
  </si>
  <si>
    <t>'23.11.10 준비완료</t>
    <phoneticPr fontId="11" type="noConversion"/>
  </si>
  <si>
    <t>R3-4</t>
    <phoneticPr fontId="11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</si>
  <si>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1" type="noConversion"/>
  </si>
  <si>
    <t>RTX Rack#4 / R1-4-1</t>
    <phoneticPr fontId="11" type="noConversion"/>
  </si>
  <si>
    <t>RTX Rack#4 / R1-4-2</t>
    <phoneticPr fontId="11" type="noConversion"/>
  </si>
  <si>
    <t>'23.12.05 투입</t>
    <phoneticPr fontId="11" type="noConversion"/>
  </si>
  <si>
    <t>RTX Rack#4 / R1-4-3</t>
    <phoneticPr fontId="11" type="noConversion"/>
  </si>
  <si>
    <t>RTX Rack#4 / R1-4-4</t>
    <phoneticPr fontId="11" type="noConversion"/>
  </si>
  <si>
    <t>별도 측정 필요</t>
    <phoneticPr fontId="11" type="noConversion"/>
  </si>
  <si>
    <t>별도 측정 필요</t>
  </si>
  <si>
    <t>여기서부터 다시 작성 필요합니다 ㅠㅠ</t>
  </si>
  <si>
    <t>DEK차단기명칭</t>
    <phoneticPr fontId="11" type="noConversion"/>
  </si>
  <si>
    <t>DEK차단기명칭 (NEW)</t>
    <phoneticPr fontId="11" type="noConversion"/>
  </si>
  <si>
    <t>계측값</t>
    <phoneticPr fontId="11" type="noConversion"/>
  </si>
  <si>
    <t>구분</t>
    <phoneticPr fontId="11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</si>
  <si>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</si>
  <si>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</si>
  <si>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</si>
  <si>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</si>
  <si>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</si>
  <si>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</si>
  <si>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1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</si>
  <si>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</si>
  <si>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</si>
  <si>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</si>
  <si>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</si>
  <si>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</si>
  <si>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</si>
  <si>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</si>
  <si>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</si>
  <si>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</si>
  <si>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</si>
  <si>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</si>
  <si>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</si>
  <si>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</si>
  <si>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</si>
  <si>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</si>
  <si>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</si>
  <si>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</si>
  <si>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</si>
  <si>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</si>
  <si>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</si>
  <si>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</si>
  <si>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</si>
  <si>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</si>
  <si>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</si>
  <si>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</si>
  <si>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</si>
  <si>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</si>
  <si>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</si>
  <si>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</si>
  <si>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</si>
  <si>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</si>
  <si>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</si>
  <si>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</si>
  <si>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</si>
  <si>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</si>
  <si>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</si>
  <si>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</si>
  <si>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</si>
  <si>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</si>
  <si>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</si>
  <si>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</si>
  <si>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</si>
  <si>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</si>
  <si>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</si>
  <si>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</si>
  <si>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</si>
  <si>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</si>
  <si>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</si>
  <si>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</si>
  <si>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</si>
  <si>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</si>
  <si>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</si>
  <si>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</si>
  <si>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</si>
  <si>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</si>
  <si>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</si>
  <si>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</si>
  <si>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</si>
  <si>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</si>
  <si>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</si>
  <si>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</si>
  <si>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</si>
  <si>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</si>
  <si>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</si>
  <si>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</si>
  <si>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</si>
  <si>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</si>
  <si>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</si>
  <si>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</si>
  <si>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</si>
  <si>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</si>
  <si>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</si>
  <si>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</si>
  <si>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</si>
  <si>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</si>
  <si>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SJT 전송('23.10.12 투입)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</si>
  <si>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</si>
  <si>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</si>
  <si>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</si>
  <si>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</si>
  <si>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</si>
  <si>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</si>
  <si>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</si>
  <si>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</si>
  <si>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</si>
  <si>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</si>
  <si>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</si>
  <si>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</si>
  <si>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</si>
  <si>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</si>
  <si>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</si>
  <si>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</si>
  <si>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</si>
  <si>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</si>
  <si>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</si>
  <si>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</si>
  <si>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</si>
  <si>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</si>
  <si>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</si>
  <si>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</si>
  <si>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</si>
  <si>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</si>
  <si>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</si>
  <si>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</si>
  <si>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</si>
  <si>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</si>
  <si>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</si>
  <si>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</si>
  <si>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</si>
  <si>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</si>
  <si>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</si>
  <si>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</si>
  <si>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</si>
  <si>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</si>
  <si>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</si>
  <si>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</si>
  <si>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</si>
  <si>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</si>
  <si>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</si>
  <si>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</si>
  <si>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</si>
  <si>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</si>
  <si>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</si>
  <si>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</si>
  <si>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</si>
  <si>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</si>
  <si>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</si>
  <si>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</si>
  <si>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</si>
  <si>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</si>
  <si>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</si>
  <si>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</si>
  <si>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</si>
  <si>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</si>
  <si>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</si>
  <si>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</si>
  <si>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</si>
  <si>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</si>
  <si>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</si>
  <si>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</si>
  <si>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</si>
  <si>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</si>
  <si>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</si>
  <si>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</si>
  <si>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</si>
  <si>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</si>
  <si>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</si>
  <si>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</si>
  <si>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</si>
  <si>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</si>
  <si>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</si>
  <si>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</si>
  <si>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</si>
  <si>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</si>
  <si>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</si>
  <si>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</si>
  <si>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</si>
  <si>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</si>
  <si>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</si>
  <si>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</si>
  <si>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</si>
  <si>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</si>
  <si>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</si>
  <si>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</si>
  <si>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</si>
  <si>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</si>
  <si>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</si>
  <si>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</si>
  <si>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</si>
  <si>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</si>
  <si>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</si>
  <si>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</si>
  <si>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</si>
  <si>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</si>
  <si>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</si>
  <si>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</si>
  <si>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</si>
  <si>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</si>
  <si>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</si>
  <si>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</si>
  <si>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</si>
  <si>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</si>
  <si>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</si>
  <si>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</si>
  <si>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</si>
  <si>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</si>
  <si>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</si>
  <si>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</si>
  <si>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</si>
  <si>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</si>
  <si>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</si>
  <si>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</si>
  <si>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</si>
  <si>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</si>
  <si>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</si>
  <si>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</si>
  <si>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</si>
  <si>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</si>
  <si>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</si>
  <si>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</si>
  <si>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</si>
  <si>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</si>
  <si>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</si>
  <si>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</si>
  <si>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</si>
  <si>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</si>
  <si>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</si>
  <si>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</si>
  <si>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</si>
  <si>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</si>
  <si>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</si>
  <si>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</si>
  <si>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</si>
  <si>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</si>
  <si>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</si>
  <si>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</si>
  <si>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</si>
  <si>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</si>
  <si>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</si>
  <si>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</si>
  <si>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</si>
  <si>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</si>
  <si>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</si>
  <si>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</si>
  <si>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</si>
  <si>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</si>
  <si>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</si>
  <si>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</si>
  <si>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</si>
  <si>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</si>
  <si>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</si>
  <si>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</si>
  <si>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</si>
  <si>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</si>
  <si>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</si>
  <si>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</si>
  <si>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</si>
  <si>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</si>
  <si>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</si>
  <si>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</si>
  <si>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</si>
  <si>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</si>
  <si>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</si>
  <si>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</si>
  <si>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</si>
  <si>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</si>
  <si>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</si>
  <si>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</si>
  <si>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</si>
  <si>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</si>
  <si>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</si>
  <si>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</si>
  <si>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</si>
  <si>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</si>
  <si>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</si>
  <si>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</si>
  <si>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</si>
  <si>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</si>
  <si>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</si>
  <si>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</si>
  <si>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</si>
  <si>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</si>
  <si>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</si>
  <si>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</si>
  <si>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</si>
  <si>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</si>
  <si>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</si>
  <si>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</si>
  <si>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</si>
  <si>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</si>
  <si>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</si>
  <si>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</si>
  <si>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</si>
  <si>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</si>
  <si>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</si>
  <si>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</si>
  <si>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</si>
  <si>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</si>
  <si>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</si>
  <si>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</si>
  <si>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</si>
  <si>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</si>
  <si>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</si>
  <si>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</si>
  <si>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</si>
  <si>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</si>
  <si>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</si>
  <si>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</si>
  <si>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</si>
  <si>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</si>
  <si>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</si>
  <si>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</si>
  <si>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</si>
  <si>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</si>
  <si>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</si>
  <si>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</si>
  <si>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</si>
  <si>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</si>
  <si>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</si>
  <si>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</si>
  <si>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</si>
  <si>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</si>
  <si>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</si>
  <si>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</si>
  <si>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</si>
  <si>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</si>
  <si>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</si>
  <si>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</si>
  <si>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</si>
  <si>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</si>
  <si>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</si>
  <si>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</si>
  <si>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</si>
  <si>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</si>
  <si>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</si>
  <si>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</si>
  <si>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</si>
  <si>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</si>
  <si>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1" type="noConversion"/>
  </si>
  <si>
    <t>UPS A1-26 / 2P 30A</t>
  </si>
  <si>
    <t>2023.11.06 설치 (패더IT)</t>
    <phoneticPr fontId="11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</si>
  <si>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</si>
  <si>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</si>
  <si>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</si>
  <si>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</si>
  <si>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</si>
  <si>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</si>
  <si>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</si>
  <si>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</si>
  <si>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</si>
  <si>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</si>
  <si>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</si>
  <si>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</si>
  <si>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</si>
  <si>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</si>
  <si>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</si>
  <si>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</si>
  <si>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</si>
  <si>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</si>
  <si>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</si>
  <si>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</si>
  <si>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</si>
  <si>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</si>
  <si>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</si>
  <si>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</si>
  <si>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</si>
  <si>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</si>
  <si>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</si>
  <si>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</si>
  <si>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</si>
  <si>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</si>
  <si>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</si>
  <si>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</si>
  <si>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</si>
  <si>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</si>
  <si>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</si>
  <si>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</si>
  <si>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</si>
  <si>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</si>
  <si>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</si>
  <si>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</si>
  <si>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</si>
  <si>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</si>
  <si>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</si>
  <si>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</si>
  <si>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</si>
  <si>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</si>
  <si>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</si>
  <si>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</si>
  <si>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</si>
  <si>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</si>
  <si>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</si>
  <si>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</si>
  <si>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</si>
  <si>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</si>
  <si>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</si>
  <si>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</si>
  <si>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</si>
  <si>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</si>
  <si>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</si>
  <si>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</si>
  <si>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</si>
  <si>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</si>
  <si>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</si>
  <si>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</si>
  <si>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</si>
  <si>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</si>
  <si>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</si>
  <si>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</si>
  <si>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</si>
  <si>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</si>
  <si>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</si>
  <si>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</si>
  <si>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</si>
  <si>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</si>
  <si>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</si>
  <si>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</si>
  <si>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</si>
  <si>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</si>
  <si>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</si>
  <si>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</si>
  <si>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</si>
  <si>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</si>
  <si>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</si>
  <si>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</si>
  <si>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</si>
  <si>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</si>
  <si>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</si>
  <si>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</si>
  <si>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</si>
  <si>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</si>
  <si>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</si>
  <si>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</si>
  <si>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</si>
  <si>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</si>
  <si>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</si>
  <si>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</si>
  <si>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</si>
  <si>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</si>
  <si>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</si>
  <si>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</si>
  <si>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</si>
  <si>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</si>
  <si>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</si>
  <si>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</si>
  <si>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</si>
  <si>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</si>
  <si>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Date : 2023-11-01 ~ 2023-11-30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</si>
  <si>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</si>
  <si>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</si>
  <si>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</si>
  <si>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</si>
  <si>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</si>
  <si>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</si>
  <si>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</si>
  <si>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</si>
  <si>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</si>
  <si>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</si>
  <si>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</si>
  <si>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</si>
  <si>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</si>
  <si>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</si>
  <si>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</si>
  <si>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</si>
  <si>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</si>
  <si>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</si>
  <si>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</si>
  <si>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</si>
  <si>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</si>
  <si>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</si>
  <si>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</si>
  <si>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</si>
  <si>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</si>
  <si>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</si>
  <si>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</si>
  <si>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4-EPS-CEP-06</t>
  </si>
  <si>
    <t>5-CRACRm-CEP-01</t>
  </si>
  <si>
    <t>5-CRACRm-CEP-02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</si>
  <si>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</si>
  <si>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</si>
  <si>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</si>
  <si>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</si>
  <si>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</si>
  <si>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</si>
  <si>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</si>
  <si>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</si>
  <si>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</si>
  <si>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</si>
  <si>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</si>
  <si>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</si>
  <si>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</si>
  <si>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</si>
  <si>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</si>
  <si>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</si>
  <si>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</si>
  <si>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</si>
  <si>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</si>
  <si>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</si>
  <si>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</si>
  <si>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</si>
  <si>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</si>
  <si>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</si>
  <si>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[branch#019] [A] kWh last month</t>
  </si>
  <si>
    <t>[branch#073] [A] kWh last month</t>
  </si>
  <si>
    <t>[branch#020] [A] kWh last month</t>
  </si>
  <si>
    <t>[branch#074] [A] kWh last month</t>
  </si>
  <si>
    <t>[branch#021] [A] kWh last month</t>
  </si>
  <si>
    <t>[branch#075] [A] kWh last month</t>
  </si>
  <si>
    <t>[branch#022] [A] kWh last month</t>
  </si>
  <si>
    <t>[branch#076] [A] kWh last month</t>
  </si>
  <si>
    <t>[branch#023] [A] kWh last month</t>
  </si>
  <si>
    <t>[branch#077] [A] kWh last month</t>
  </si>
  <si>
    <t>[branch#024] [A] kWh last month</t>
  </si>
  <si>
    <t>[branch#078] [A] kWh last month</t>
  </si>
  <si>
    <t>[branch#025] [A] kWh last month</t>
  </si>
  <si>
    <t>[branch#079] [A] kWh last month</t>
  </si>
  <si>
    <t>[branch#026] [A] kWh last month</t>
  </si>
  <si>
    <t>[branch#080]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</si>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</sst>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41" formatCode="_-* #,##0_-;\-* #,##0_-;_-* &quot;-&quot;_-;_-@_-"/>
    <numFmt numFmtId="42" formatCode="_-&quot;₩&quot;* #,##0_-;\-&quot;₩&quot;* #,##0_-;_-&quot;₩&quot;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&quot;"/>
    <numFmt numFmtId="196" formatCode="_-* #,##0&quot;AT&quot;"/>
    <numFmt numFmtId="197" formatCode="_-* #,##0&quot;Adc&quot;"/>
    <numFmt numFmtId="198" formatCode="_-* #,##0.00_-;\-* #,##0.00_-;_-* &quot;-&quot;_-;_-@_-"/>
    <numFmt numFmtId="199" formatCode="_-* #,##0.0&quot; ㎾h&quot;"/>
    <numFmt numFmtId="200" formatCode="_-* #,##0.00&quot; ㎾h&quot;"/>
    <numFmt numFmtId="201" formatCode="_-* #,##0.000&quot; ㎾h&quot;"/>
  </numFmts>
  <fonts count="101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488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 style="hair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</borders>
  <cellStyleXfs count="13">
    <xf numFmtId="0" fontId="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0" fillId="0" borderId="0"/>
    <xf numFmtId="0" fontId="33" fillId="0" borderId="0"/>
    <xf numFmtId="41" fontId="33" fillId="0" borderId="0" applyFont="0" applyFill="0" applyBorder="0" applyAlignment="0" applyProtection="0"/>
    <xf numFmtId="9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9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</cellStyleXfs>
  <cellXfs count="371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8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3" fillId="0" borderId="0" xfId="0" applyFont="1" applyAlignment="1">
      <alignment horizontal="center" vertical="center" wrapText="1"/>
    </xf>
    <xf numFmtId="0" fontId="12" fillId="2" borderId="7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180" fontId="13" fillId="0" borderId="11" xfId="0" applyNumberFormat="1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180" fontId="13" fillId="0" borderId="15" xfId="0" applyNumberFormat="1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180" fontId="13" fillId="0" borderId="15" xfId="0" applyNumberFormat="1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5" fillId="0" borderId="18" xfId="0" applyFont="1" applyBorder="1" applyAlignment="1">
      <alignment horizontal="center" vertical="center"/>
    </xf>
    <xf numFmtId="180" fontId="13" fillId="0" borderId="18" xfId="0" applyNumberFormat="1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/>
    </xf>
    <xf numFmtId="0" fontId="12" fillId="0" borderId="16" xfId="0" quotePrefix="1" applyFont="1" applyBorder="1" applyAlignment="1">
      <alignment horizontal="center" vertical="center"/>
    </xf>
    <xf numFmtId="0" fontId="13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3" fillId="0" borderId="21" xfId="0" applyNumberFormat="1" applyFont="1" applyBorder="1" applyAlignment="1">
      <alignment horizontal="center" vertical="center" wrapText="1"/>
    </xf>
    <xf numFmtId="0" fontId="12" fillId="0" borderId="22" xfId="0" quotePrefix="1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3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3" fillId="0" borderId="25" xfId="0" applyNumberFormat="1" applyFont="1" applyBorder="1" applyAlignment="1">
      <alignment horizontal="center" vertical="center" wrapText="1"/>
    </xf>
    <xf numFmtId="0" fontId="12" fillId="0" borderId="26" xfId="0" quotePrefix="1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  <xf numFmtId="0" fontId="13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3" fillId="0" borderId="28" xfId="0" applyNumberFormat="1" applyFont="1" applyBorder="1" applyAlignment="1">
      <alignment horizontal="center" vertical="center" wrapText="1"/>
    </xf>
    <xf numFmtId="0" fontId="12" fillId="0" borderId="29" xfId="0" quotePrefix="1" applyFont="1" applyBorder="1" applyAlignment="1">
      <alignment horizontal="center" vertical="center"/>
    </xf>
    <xf numFmtId="0" fontId="13" fillId="0" borderId="30" xfId="0" applyFont="1" applyBorder="1" applyAlignment="1">
      <alignment horizontal="center" vertical="center"/>
    </xf>
    <xf numFmtId="0" fontId="12" fillId="0" borderId="19" xfId="0" quotePrefix="1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31" xfId="0" applyFont="1" applyBorder="1" applyAlignment="1">
      <alignment horizontal="center" vertical="center"/>
    </xf>
    <xf numFmtId="0" fontId="12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6" fillId="0" borderId="0" xfId="0" applyFont="1">
      <alignment vertical="center"/>
    </xf>
    <xf numFmtId="178" fontId="19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2" fillId="2" borderId="32" xfId="0" applyFont="1" applyFill="1" applyBorder="1" applyAlignment="1">
      <alignment horizontal="center" vertical="center"/>
    </xf>
    <xf numFmtId="0" fontId="12" fillId="2" borderId="33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 wrapText="1"/>
    </xf>
    <xf numFmtId="0" fontId="12" fillId="0" borderId="34" xfId="0" applyFont="1" applyBorder="1" applyAlignment="1">
      <alignment horizontal="center" vertical="center"/>
    </xf>
    <xf numFmtId="0" fontId="12" fillId="0" borderId="35" xfId="0" applyFont="1" applyBorder="1" applyAlignment="1">
      <alignment horizontal="center" vertical="center"/>
    </xf>
    <xf numFmtId="177" fontId="13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2" fillId="0" borderId="37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/>
    </xf>
    <xf numFmtId="177" fontId="13" fillId="0" borderId="15" xfId="0" applyNumberFormat="1" applyFont="1" applyBorder="1" applyAlignment="1">
      <alignment horizontal="center" vertical="center"/>
    </xf>
    <xf numFmtId="0" fontId="13" fillId="0" borderId="39" xfId="0" applyFont="1" applyBorder="1" applyAlignment="1">
      <alignment horizontal="center" vertical="center" wrapText="1"/>
    </xf>
    <xf numFmtId="177" fontId="13" fillId="0" borderId="15" xfId="0" applyNumberFormat="1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5" fillId="0" borderId="41" xfId="0" applyFont="1" applyBorder="1" applyAlignment="1">
      <alignment horizontal="center" vertical="center"/>
    </xf>
    <xf numFmtId="180" fontId="13" fillId="0" borderId="41" xfId="0" applyNumberFormat="1" applyFont="1" applyBorder="1" applyAlignment="1">
      <alignment horizontal="center" vertical="center" wrapText="1"/>
    </xf>
    <xf numFmtId="177" fontId="13" fillId="0" borderId="41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177" fontId="13" fillId="0" borderId="25" xfId="0" applyNumberFormat="1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2" fillId="0" borderId="38" xfId="0" quotePrefix="1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 wrapText="1"/>
    </xf>
    <xf numFmtId="0" fontId="12" fillId="0" borderId="45" xfId="0" quotePrefix="1" applyFont="1" applyBorder="1" applyAlignment="1">
      <alignment horizontal="center" vertical="center"/>
    </xf>
    <xf numFmtId="0" fontId="12" fillId="0" borderId="43" xfId="0" quotePrefix="1" applyFont="1" applyBorder="1" applyAlignment="1">
      <alignment horizontal="center" vertical="center"/>
    </xf>
    <xf numFmtId="0" fontId="12" fillId="0" borderId="42" xfId="0" quotePrefix="1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5" fillId="0" borderId="47" xfId="0" applyFont="1" applyBorder="1" applyAlignment="1">
      <alignment horizontal="center" vertical="center"/>
    </xf>
    <xf numFmtId="180" fontId="13" fillId="0" borderId="47" xfId="0" applyNumberFormat="1" applyFont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177" fontId="13" fillId="0" borderId="47" xfId="0" applyNumberFormat="1" applyFont="1" applyBorder="1" applyAlignment="1">
      <alignment horizontal="center" vertical="center" wrapText="1"/>
    </xf>
    <xf numFmtId="0" fontId="13" fillId="0" borderId="50" xfId="0" applyFont="1" applyBorder="1" applyAlignment="1">
      <alignment horizontal="center" vertical="center" wrapText="1"/>
    </xf>
    <xf numFmtId="0" fontId="12" fillId="0" borderId="51" xfId="0" applyFont="1" applyBorder="1" applyAlignment="1">
      <alignment horizontal="center" vertical="center"/>
    </xf>
    <xf numFmtId="0" fontId="12" fillId="0" borderId="45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3" fillId="0" borderId="52" xfId="0" applyFont="1" applyBorder="1" applyAlignment="1">
      <alignment horizontal="center" vertical="center"/>
    </xf>
    <xf numFmtId="0" fontId="12" fillId="2" borderId="53" xfId="0" applyFont="1" applyFill="1" applyBorder="1" applyAlignment="1">
      <alignment horizontal="center" vertical="center"/>
    </xf>
    <xf numFmtId="0" fontId="13" fillId="0" borderId="13" xfId="0" applyFont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/>
    </xf>
    <xf numFmtId="0" fontId="12" fillId="0" borderId="55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180" fontId="13" fillId="0" borderId="11" xfId="0" applyNumberFormat="1" applyFont="1" applyBorder="1" applyAlignment="1">
      <alignment horizontal="center" vertical="center" wrapText="1"/>
    </xf>
    <xf numFmtId="177" fontId="13" fillId="0" borderId="11" xfId="0" applyNumberFormat="1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/>
    </xf>
    <xf numFmtId="177" fontId="13" fillId="0" borderId="18" xfId="0" applyNumberFormat="1" applyFont="1" applyBorder="1" applyAlignment="1">
      <alignment horizontal="center" vertical="center" wrapText="1"/>
    </xf>
    <xf numFmtId="0" fontId="13" fillId="0" borderId="58" xfId="0" applyFont="1" applyBorder="1" applyAlignment="1">
      <alignment horizontal="center" vertical="center"/>
    </xf>
    <xf numFmtId="177" fontId="13" fillId="0" borderId="21" xfId="0" applyNumberFormat="1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2" fillId="0" borderId="37" xfId="0" quotePrefix="1" applyFont="1" applyBorder="1" applyAlignment="1">
      <alignment horizontal="center" vertical="center"/>
    </xf>
    <xf numFmtId="0" fontId="12" fillId="0" borderId="54" xfId="0" quotePrefix="1" applyFont="1" applyBorder="1" applyAlignment="1">
      <alignment horizontal="center" vertical="center"/>
    </xf>
    <xf numFmtId="0" fontId="12" fillId="0" borderId="55" xfId="0" quotePrefix="1" applyFont="1" applyBorder="1" applyAlignment="1">
      <alignment horizontal="center" vertical="center"/>
    </xf>
    <xf numFmtId="0" fontId="12" fillId="0" borderId="48" xfId="0" quotePrefix="1" applyFont="1" applyBorder="1" applyAlignment="1">
      <alignment horizontal="center" vertical="center"/>
    </xf>
    <xf numFmtId="0" fontId="12" fillId="0" borderId="49" xfId="0" quotePrefix="1" applyFont="1" applyBorder="1" applyAlignment="1">
      <alignment horizontal="center" vertical="center"/>
    </xf>
    <xf numFmtId="0" fontId="12" fillId="0" borderId="51" xfId="0" quotePrefix="1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3" fillId="0" borderId="20" xfId="0" applyFont="1" applyBorder="1" applyAlignment="1">
      <alignment horizontal="center" vertical="center"/>
    </xf>
    <xf numFmtId="0" fontId="12" fillId="0" borderId="59" xfId="0" quotePrefix="1" applyFont="1" applyBorder="1" applyAlignment="1">
      <alignment horizontal="center" vertical="center"/>
    </xf>
    <xf numFmtId="0" fontId="12" fillId="0" borderId="60" xfId="0" quotePrefix="1" applyFont="1" applyBorder="1" applyAlignment="1">
      <alignment horizontal="center" vertical="center"/>
    </xf>
    <xf numFmtId="0" fontId="13" fillId="0" borderId="61" xfId="0" applyFont="1" applyBorder="1" applyAlignment="1">
      <alignment horizontal="center" vertical="center" wrapText="1"/>
    </xf>
    <xf numFmtId="0" fontId="13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5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0" fillId="0" borderId="0" xfId="0" applyNumberFormat="1" applyFont="1" applyAlignment="1">
      <alignment horizontal="center" vertical="center" wrapText="1"/>
    </xf>
    <xf numFmtId="181" fontId="20" fillId="0" borderId="0" xfId="0" applyNumberFormat="1" applyFont="1" applyAlignment="1">
      <alignment horizontal="center" vertical="center"/>
    </xf>
    <xf numFmtId="181" fontId="10" fillId="0" borderId="0" xfId="0" applyNumberFormat="1" applyFont="1" applyAlignment="1">
      <alignment horizontal="center" vertical="center" wrapText="1"/>
    </xf>
    <xf numFmtId="181" fontId="15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2" fillId="2" borderId="7" xfId="0" applyNumberFormat="1" applyFont="1" applyFill="1" applyBorder="1" applyAlignment="1">
      <alignment horizontal="center" vertical="center"/>
    </xf>
    <xf numFmtId="181" fontId="12" fillId="2" borderId="8" xfId="0" applyNumberFormat="1" applyFont="1" applyFill="1" applyBorder="1" applyAlignment="1">
      <alignment horizontal="center" vertical="center"/>
    </xf>
    <xf numFmtId="181" fontId="10" fillId="2" borderId="8" xfId="0" applyNumberFormat="1" applyFont="1" applyFill="1" applyBorder="1" applyAlignment="1">
      <alignment horizontal="center" vertical="center"/>
    </xf>
    <xf numFmtId="181" fontId="12" fillId="2" borderId="53" xfId="0" applyNumberFormat="1" applyFont="1" applyFill="1" applyBorder="1" applyAlignment="1">
      <alignment horizontal="center" vertical="center"/>
    </xf>
    <xf numFmtId="181" fontId="12" fillId="2" borderId="32" xfId="0" applyNumberFormat="1" applyFont="1" applyFill="1" applyBorder="1" applyAlignment="1">
      <alignment horizontal="center" vertical="center"/>
    </xf>
    <xf numFmtId="181" fontId="12" fillId="2" borderId="33" xfId="0" applyNumberFormat="1" applyFont="1" applyFill="1" applyBorder="1" applyAlignment="1">
      <alignment horizontal="center" vertical="center"/>
    </xf>
    <xf numFmtId="181" fontId="12" fillId="2" borderId="9" xfId="0" applyNumberFormat="1" applyFont="1" applyFill="1" applyBorder="1" applyAlignment="1">
      <alignment horizontal="center" vertical="center" wrapText="1"/>
    </xf>
    <xf numFmtId="181" fontId="10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0" fillId="0" borderId="11" xfId="0" applyNumberFormat="1" applyFont="1" applyBorder="1" applyAlignment="1">
      <alignment horizontal="center" vertical="center"/>
    </xf>
    <xf numFmtId="181" fontId="12" fillId="0" borderId="34" xfId="0" applyNumberFormat="1" applyFont="1" applyBorder="1" applyAlignment="1">
      <alignment horizontal="center" vertical="center"/>
    </xf>
    <xf numFmtId="181" fontId="12" fillId="0" borderId="35" xfId="0" applyNumberFormat="1" applyFont="1" applyBorder="1" applyAlignment="1">
      <alignment horizontal="center" vertical="center"/>
    </xf>
    <xf numFmtId="181" fontId="10" fillId="0" borderId="13" xfId="0" applyNumberFormat="1" applyFont="1" applyBorder="1" applyAlignment="1">
      <alignment horizontal="center" vertical="center" wrapText="1"/>
    </xf>
    <xf numFmtId="181" fontId="10" fillId="0" borderId="17" xfId="0" applyNumberFormat="1" applyFont="1" applyBorder="1" applyAlignment="1">
      <alignment horizontal="center" vertical="center"/>
    </xf>
    <xf numFmtId="181" fontId="10" fillId="0" borderId="15" xfId="0" applyNumberFormat="1" applyFont="1" applyBorder="1" applyAlignment="1">
      <alignment horizontal="center" vertical="center"/>
    </xf>
    <xf numFmtId="181" fontId="12" fillId="0" borderId="37" xfId="0" applyNumberFormat="1" applyFont="1" applyBorder="1" applyAlignment="1">
      <alignment horizontal="center" vertical="center"/>
    </xf>
    <xf numFmtId="181" fontId="12" fillId="0" borderId="38" xfId="0" applyNumberFormat="1" applyFont="1" applyBorder="1" applyAlignment="1">
      <alignment horizontal="center" vertical="center"/>
    </xf>
    <xf numFmtId="181" fontId="25" fillId="0" borderId="11" xfId="0" applyNumberFormat="1" applyFont="1" applyBorder="1" applyAlignment="1">
      <alignment horizontal="center" vertical="center"/>
    </xf>
    <xf numFmtId="181" fontId="10" fillId="0" borderId="16" xfId="0" applyNumberFormat="1" applyFont="1" applyBorder="1" applyAlignment="1">
      <alignment horizontal="center" vertical="center" wrapText="1"/>
    </xf>
    <xf numFmtId="181" fontId="12" fillId="0" borderId="37" xfId="0" quotePrefix="1" applyNumberFormat="1" applyFont="1" applyBorder="1" applyAlignment="1">
      <alignment horizontal="center" vertical="center"/>
    </xf>
    <xf numFmtId="181" fontId="12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0" fillId="0" borderId="15" xfId="0" applyNumberFormat="1" applyFont="1" applyBorder="1" applyAlignment="1">
      <alignment horizontal="center" vertical="center" wrapText="1"/>
    </xf>
    <xf numFmtId="181" fontId="10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0" fillId="0" borderId="18" xfId="0" applyNumberFormat="1" applyFont="1" applyBorder="1" applyAlignment="1">
      <alignment horizontal="center" vertical="center" wrapText="1"/>
    </xf>
    <xf numFmtId="181" fontId="12" fillId="0" borderId="54" xfId="0" quotePrefix="1" applyNumberFormat="1" applyFont="1" applyBorder="1" applyAlignment="1">
      <alignment horizontal="center" vertical="center"/>
    </xf>
    <xf numFmtId="181" fontId="12" fillId="0" borderId="55" xfId="0" quotePrefix="1" applyNumberFormat="1" applyFont="1" applyBorder="1" applyAlignment="1">
      <alignment horizontal="center" vertical="center"/>
    </xf>
    <xf numFmtId="181" fontId="10" fillId="0" borderId="11" xfId="0" applyNumberFormat="1" applyFont="1" applyBorder="1" applyAlignment="1">
      <alignment horizontal="center" vertical="center" wrapText="1"/>
    </xf>
    <xf numFmtId="181" fontId="25" fillId="0" borderId="15" xfId="0" applyNumberFormat="1" applyFont="1" applyBorder="1" applyAlignment="1">
      <alignment horizontal="center" vertical="center"/>
    </xf>
    <xf numFmtId="181" fontId="10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0" fillId="0" borderId="25" xfId="0" applyNumberFormat="1" applyFont="1" applyBorder="1" applyAlignment="1">
      <alignment horizontal="center" vertical="center" wrapText="1"/>
    </xf>
    <xf numFmtId="181" fontId="12" fillId="0" borderId="42" xfId="0" quotePrefix="1" applyNumberFormat="1" applyFont="1" applyBorder="1" applyAlignment="1">
      <alignment horizontal="center" vertical="center"/>
    </xf>
    <xf numFmtId="181" fontId="12" fillId="0" borderId="43" xfId="0" quotePrefix="1" applyNumberFormat="1" applyFont="1" applyBorder="1" applyAlignment="1">
      <alignment horizontal="center" vertical="center"/>
    </xf>
    <xf numFmtId="181" fontId="10" fillId="0" borderId="26" xfId="0" applyNumberFormat="1" applyFont="1" applyBorder="1" applyAlignment="1">
      <alignment horizontal="center" vertical="center" wrapText="1"/>
    </xf>
    <xf numFmtId="181" fontId="10" fillId="0" borderId="0" xfId="0" applyNumberFormat="1" applyFont="1" applyAlignment="1">
      <alignment horizontal="center" vertical="center"/>
    </xf>
    <xf numFmtId="181" fontId="12" fillId="0" borderId="0" xfId="0" quotePrefix="1" applyNumberFormat="1" applyFont="1" applyAlignment="1">
      <alignment horizontal="center" vertical="center"/>
    </xf>
    <xf numFmtId="181" fontId="15" fillId="0" borderId="0" xfId="0" applyNumberFormat="1" applyFont="1">
      <alignment vertical="center"/>
    </xf>
    <xf numFmtId="181" fontId="10" fillId="0" borderId="40" xfId="0" applyNumberFormat="1" applyFont="1" applyBorder="1" applyAlignment="1">
      <alignment horizontal="center" vertical="center"/>
    </xf>
    <xf numFmtId="181" fontId="10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0" fillId="0" borderId="47" xfId="0" applyNumberFormat="1" applyFont="1" applyBorder="1" applyAlignment="1">
      <alignment horizontal="center" vertical="center" wrapText="1"/>
    </xf>
    <xf numFmtId="181" fontId="12" fillId="0" borderId="48" xfId="0" quotePrefix="1" applyNumberFormat="1" applyFont="1" applyBorder="1" applyAlignment="1">
      <alignment horizontal="center" vertical="center"/>
    </xf>
    <xf numFmtId="181" fontId="10" fillId="0" borderId="41" xfId="0" applyNumberFormat="1" applyFont="1" applyBorder="1" applyAlignment="1">
      <alignment horizontal="center" vertical="center" wrapText="1"/>
    </xf>
    <xf numFmtId="181" fontId="12" fillId="0" borderId="51" xfId="0" quotePrefix="1" applyNumberFormat="1" applyFont="1" applyBorder="1" applyAlignment="1">
      <alignment horizontal="center" vertical="center"/>
    </xf>
    <xf numFmtId="181" fontId="12" fillId="0" borderId="45" xfId="0" quotePrefix="1" applyNumberFormat="1" applyFont="1" applyBorder="1" applyAlignment="1">
      <alignment horizontal="center" vertical="center"/>
    </xf>
    <xf numFmtId="181" fontId="10" fillId="0" borderId="39" xfId="0" applyNumberFormat="1" applyFont="1" applyBorder="1" applyAlignment="1">
      <alignment horizontal="center" vertical="center" wrapText="1"/>
    </xf>
    <xf numFmtId="181" fontId="10" fillId="0" borderId="44" xfId="0" applyNumberFormat="1" applyFont="1" applyBorder="1" applyAlignment="1">
      <alignment horizontal="center" vertical="center" wrapText="1"/>
    </xf>
    <xf numFmtId="181" fontId="25" fillId="0" borderId="25" xfId="0" applyNumberFormat="1" applyFont="1" applyBorder="1" applyAlignment="1">
      <alignment horizontal="center" vertical="center"/>
    </xf>
    <xf numFmtId="181" fontId="25" fillId="0" borderId="18" xfId="0" applyNumberFormat="1" applyFont="1" applyBorder="1" applyAlignment="1">
      <alignment horizontal="center" vertical="center"/>
    </xf>
    <xf numFmtId="181" fontId="12" fillId="0" borderId="48" xfId="0" applyNumberFormat="1" applyFont="1" applyBorder="1" applyAlignment="1">
      <alignment horizontal="center" vertical="center"/>
    </xf>
    <xf numFmtId="181" fontId="12" fillId="0" borderId="49" xfId="0" applyNumberFormat="1" applyFont="1" applyBorder="1" applyAlignment="1">
      <alignment horizontal="center" vertical="center"/>
    </xf>
    <xf numFmtId="181" fontId="12" fillId="0" borderId="45" xfId="0" applyNumberFormat="1" applyFont="1" applyBorder="1" applyAlignment="1">
      <alignment horizontal="center" vertical="center"/>
    </xf>
    <xf numFmtId="181" fontId="25" fillId="0" borderId="41" xfId="0" applyNumberFormat="1" applyFont="1" applyBorder="1" applyAlignment="1">
      <alignment horizontal="center" vertical="center"/>
    </xf>
    <xf numFmtId="181" fontId="12" fillId="0" borderId="43" xfId="0" applyNumberFormat="1" applyFont="1" applyBorder="1" applyAlignment="1">
      <alignment horizontal="center" vertical="center"/>
    </xf>
    <xf numFmtId="181" fontId="25" fillId="0" borderId="47" xfId="0" applyNumberFormat="1" applyFont="1" applyBorder="1" applyAlignment="1">
      <alignment horizontal="center" vertical="center"/>
    </xf>
    <xf numFmtId="181" fontId="12" fillId="0" borderId="55" xfId="0" applyNumberFormat="1" applyFont="1" applyBorder="1" applyAlignment="1">
      <alignment horizontal="center" vertical="center"/>
    </xf>
    <xf numFmtId="181" fontId="12" fillId="0" borderId="51" xfId="0" applyNumberFormat="1" applyFont="1" applyBorder="1" applyAlignment="1">
      <alignment horizontal="center" vertical="center"/>
    </xf>
    <xf numFmtId="181" fontId="12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5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5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5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5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5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3" fillId="0" borderId="0" xfId="0" applyFont="1" applyAlignment="1">
      <alignment horizontal="right" vertical="center"/>
    </xf>
    <xf numFmtId="42" fontId="0" fillId="0" borderId="6" xfId="0" applyNumberFormat="1" applyBorder="1" applyAlignment="1">
      <alignment horizontal="center" vertical="center"/>
    </xf>
    <xf numFmtId="176" fontId="13" fillId="0" borderId="103" xfId="2" applyNumberFormat="1" applyFont="1" applyBorder="1">
      <alignment vertical="center"/>
    </xf>
    <xf numFmtId="176" fontId="13" fillId="0" borderId="6" xfId="2" applyNumberFormat="1" applyFont="1" applyBorder="1">
      <alignment vertical="center"/>
    </xf>
    <xf numFmtId="181" fontId="10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0" fillId="7" borderId="17" xfId="0" applyNumberFormat="1" applyFont="1" applyFill="1" applyBorder="1" applyAlignment="1">
      <alignment horizontal="center" vertical="center"/>
    </xf>
    <xf numFmtId="181" fontId="10" fillId="7" borderId="24" xfId="0" applyNumberFormat="1" applyFont="1" applyFill="1" applyBorder="1" applyAlignment="1">
      <alignment horizontal="center" vertical="center"/>
    </xf>
    <xf numFmtId="181" fontId="10" fillId="7" borderId="40" xfId="0" applyNumberFormat="1" applyFont="1" applyFill="1" applyBorder="1" applyAlignment="1">
      <alignment horizontal="center" vertical="center"/>
    </xf>
    <xf numFmtId="181" fontId="10" fillId="7" borderId="46" xfId="0" applyNumberFormat="1" applyFont="1" applyFill="1" applyBorder="1" applyAlignment="1">
      <alignment horizontal="center" vertical="center"/>
    </xf>
    <xf numFmtId="176" fontId="29" fillId="0" borderId="6" xfId="2" applyNumberFormat="1" applyFont="1" applyBorder="1">
      <alignment vertical="center"/>
    </xf>
    <xf numFmtId="181" fontId="10" fillId="7" borderId="14" xfId="0" applyNumberFormat="1" applyFont="1" applyFill="1" applyBorder="1" applyAlignment="1">
      <alignment horizontal="center" vertical="center"/>
    </xf>
    <xf numFmtId="181" fontId="24" fillId="7" borderId="16" xfId="0" applyNumberFormat="1" applyFont="1" applyFill="1" applyBorder="1" applyAlignment="1">
      <alignment horizontal="center" vertical="center" wrapText="1"/>
    </xf>
    <xf numFmtId="181" fontId="10" fillId="7" borderId="10" xfId="0" applyNumberFormat="1" applyFont="1" applyFill="1" applyBorder="1" applyAlignment="1">
      <alignment horizontal="center" vertical="center"/>
    </xf>
    <xf numFmtId="0" fontId="13" fillId="7" borderId="14" xfId="0" applyFont="1" applyFill="1" applyBorder="1" applyAlignment="1">
      <alignment horizontal="center" vertical="center"/>
    </xf>
    <xf numFmtId="0" fontId="13" fillId="7" borderId="17" xfId="0" applyFont="1" applyFill="1" applyBorder="1" applyAlignment="1">
      <alignment horizontal="center" vertical="center"/>
    </xf>
    <xf numFmtId="0" fontId="13" fillId="7" borderId="17" xfId="0" applyFont="1" applyFill="1" applyBorder="1" applyAlignment="1">
      <alignment horizontal="center" vertical="center" wrapText="1"/>
    </xf>
    <xf numFmtId="0" fontId="13" fillId="7" borderId="14" xfId="0" applyFont="1" applyFill="1" applyBorder="1" applyAlignment="1">
      <alignment horizontal="center" vertical="center" wrapText="1"/>
    </xf>
    <xf numFmtId="176" fontId="13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3" fillId="7" borderId="10" xfId="0" applyFont="1" applyFill="1" applyBorder="1" applyAlignment="1">
      <alignment horizontal="center" vertical="center"/>
    </xf>
    <xf numFmtId="181" fontId="24" fillId="7" borderId="26" xfId="0" applyNumberFormat="1" applyFont="1" applyFill="1" applyBorder="1" applyAlignment="1">
      <alignment horizontal="center" vertical="center" wrapText="1"/>
    </xf>
    <xf numFmtId="181" fontId="24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4" fillId="7" borderId="13" xfId="0" applyNumberFormat="1" applyFont="1" applyFill="1" applyBorder="1" applyAlignment="1">
      <alignment horizontal="center" vertical="center" wrapText="1"/>
    </xf>
    <xf numFmtId="181" fontId="24" fillId="7" borderId="10" xfId="0" applyNumberFormat="1" applyFont="1" applyFill="1" applyBorder="1" applyAlignment="1">
      <alignment horizontal="center" vertical="center"/>
    </xf>
    <xf numFmtId="181" fontId="24" fillId="7" borderId="14" xfId="0" applyNumberFormat="1" applyFont="1" applyFill="1" applyBorder="1" applyAlignment="1">
      <alignment horizontal="center" vertical="center"/>
    </xf>
    <xf numFmtId="181" fontId="24" fillId="7" borderId="44" xfId="0" applyNumberFormat="1" applyFont="1" applyFill="1" applyBorder="1" applyAlignment="1">
      <alignment horizontal="center" vertical="center" wrapText="1"/>
    </xf>
    <xf numFmtId="181" fontId="24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2" fillId="0" borderId="15" xfId="0" applyNumberFormat="1" applyFont="1" applyBorder="1" applyAlignment="1">
      <alignment horizontal="center" vertical="center"/>
    </xf>
    <xf numFmtId="181" fontId="12" fillId="0" borderId="127" xfId="0" applyNumberFormat="1" applyFont="1" applyBorder="1" applyAlignment="1">
      <alignment horizontal="center" vertical="center"/>
    </xf>
    <xf numFmtId="181" fontId="12" fillId="0" borderId="128" xfId="0" applyNumberFormat="1" applyFont="1" applyBorder="1" applyAlignment="1">
      <alignment horizontal="center" vertical="center"/>
    </xf>
    <xf numFmtId="181" fontId="32" fillId="0" borderId="18" xfId="0" applyNumberFormat="1" applyFont="1" applyBorder="1" applyAlignment="1">
      <alignment horizontal="center" vertical="center"/>
    </xf>
    <xf numFmtId="181" fontId="32" fillId="0" borderId="11" xfId="0" applyNumberFormat="1" applyFont="1" applyBorder="1" applyAlignment="1">
      <alignment horizontal="center" vertical="center"/>
    </xf>
    <xf numFmtId="181" fontId="32" fillId="0" borderId="25" xfId="0" applyNumberFormat="1" applyFont="1" applyBorder="1" applyAlignment="1">
      <alignment horizontal="center" vertical="center"/>
    </xf>
    <xf numFmtId="181" fontId="12" fillId="0" borderId="130" xfId="0" applyNumberFormat="1" applyFont="1" applyBorder="1" applyAlignment="1">
      <alignment horizontal="center" vertical="center"/>
    </xf>
    <xf numFmtId="181" fontId="12" fillId="0" borderId="131" xfId="0" quotePrefix="1" applyNumberFormat="1" applyFont="1" applyBorder="1" applyAlignment="1">
      <alignment horizontal="center" vertical="center"/>
    </xf>
    <xf numFmtId="181" fontId="12" fillId="5" borderId="34" xfId="0" applyNumberFormat="1" applyFont="1" applyFill="1" applyBorder="1" applyAlignment="1">
      <alignment horizontal="center" vertical="center"/>
    </xf>
    <xf numFmtId="181" fontId="12" fillId="5" borderId="35" xfId="0" applyNumberFormat="1" applyFont="1" applyFill="1" applyBorder="1" applyAlignment="1">
      <alignment horizontal="center" vertical="center"/>
    </xf>
    <xf numFmtId="181" fontId="12" fillId="5" borderId="37" xfId="0" applyNumberFormat="1" applyFont="1" applyFill="1" applyBorder="1" applyAlignment="1">
      <alignment horizontal="center" vertical="center"/>
    </xf>
    <xf numFmtId="181" fontId="12" fillId="5" borderId="38" xfId="0" applyNumberFormat="1" applyFont="1" applyFill="1" applyBorder="1" applyAlignment="1">
      <alignment horizontal="center" vertical="center"/>
    </xf>
    <xf numFmtId="181" fontId="12" fillId="5" borderId="48" xfId="0" applyNumberFormat="1" applyFont="1" applyFill="1" applyBorder="1" applyAlignment="1">
      <alignment horizontal="center" vertical="center"/>
    </xf>
    <xf numFmtId="181" fontId="12" fillId="5" borderId="49" xfId="0" applyNumberFormat="1" applyFont="1" applyFill="1" applyBorder="1" applyAlignment="1">
      <alignment horizontal="center" vertical="center"/>
    </xf>
    <xf numFmtId="181" fontId="12" fillId="5" borderId="51" xfId="0" quotePrefix="1" applyNumberFormat="1" applyFont="1" applyFill="1" applyBorder="1" applyAlignment="1">
      <alignment horizontal="center" vertical="center"/>
    </xf>
    <xf numFmtId="181" fontId="12" fillId="5" borderId="45" xfId="0" applyNumberFormat="1" applyFont="1" applyFill="1" applyBorder="1" applyAlignment="1">
      <alignment horizontal="center" vertical="center"/>
    </xf>
    <xf numFmtId="181" fontId="12" fillId="5" borderId="37" xfId="0" quotePrefix="1" applyNumberFormat="1" applyFont="1" applyFill="1" applyBorder="1" applyAlignment="1">
      <alignment horizontal="center" vertical="center"/>
    </xf>
    <xf numFmtId="181" fontId="12" fillId="5" borderId="42" xfId="0" applyNumberFormat="1" applyFont="1" applyFill="1" applyBorder="1" applyAlignment="1">
      <alignment horizontal="center" vertical="center"/>
    </xf>
    <xf numFmtId="181" fontId="12" fillId="5" borderId="42" xfId="0" quotePrefix="1" applyNumberFormat="1" applyFont="1" applyFill="1" applyBorder="1" applyAlignment="1">
      <alignment horizontal="center" vertical="center"/>
    </xf>
    <xf numFmtId="0" fontId="12" fillId="5" borderId="34" xfId="0" applyFont="1" applyFill="1" applyBorder="1" applyAlignment="1">
      <alignment horizontal="center" vertical="center"/>
    </xf>
    <xf numFmtId="0" fontId="12" fillId="5" borderId="37" xfId="0" applyFont="1" applyFill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176" fontId="13" fillId="5" borderId="6" xfId="2" applyNumberFormat="1" applyFont="1" applyFill="1" applyBorder="1">
      <alignment vertical="center"/>
    </xf>
    <xf numFmtId="176" fontId="13" fillId="5" borderId="103" xfId="2" applyNumberFormat="1" applyFont="1" applyFill="1" applyBorder="1">
      <alignment vertical="center"/>
    </xf>
    <xf numFmtId="181" fontId="36" fillId="0" borderId="15" xfId="0" applyNumberFormat="1" applyFont="1" applyBorder="1" applyAlignment="1">
      <alignment horizontal="center" vertical="center"/>
    </xf>
    <xf numFmtId="180" fontId="13" fillId="5" borderId="11" xfId="0" applyNumberFormat="1" applyFont="1" applyFill="1" applyBorder="1" applyAlignment="1">
      <alignment horizontal="center" vertical="center"/>
    </xf>
    <xf numFmtId="180" fontId="13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3" fillId="5" borderId="134" xfId="0" applyNumberFormat="1" applyFont="1" applyFill="1" applyBorder="1" applyAlignment="1">
      <alignment horizontal="center" vertical="center"/>
    </xf>
    <xf numFmtId="180" fontId="13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2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37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2" fillId="0" borderId="127" xfId="0" quotePrefix="1" applyNumberFormat="1" applyFont="1" applyBorder="1" applyAlignment="1">
      <alignment horizontal="center" vertical="center"/>
    </xf>
    <xf numFmtId="181" fontId="12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3" fillId="0" borderId="135" xfId="2" applyNumberFormat="1" applyFont="1" applyBorder="1">
      <alignment vertical="center"/>
    </xf>
    <xf numFmtId="176" fontId="13" fillId="0" borderId="136" xfId="2" applyNumberFormat="1" applyFont="1" applyBorder="1">
      <alignment vertical="center"/>
    </xf>
    <xf numFmtId="176" fontId="13" fillId="0" borderId="101" xfId="2" applyNumberFormat="1" applyFont="1" applyBorder="1">
      <alignment vertical="center"/>
    </xf>
    <xf numFmtId="176" fontId="13" fillId="0" borderId="136" xfId="2" applyNumberFormat="1" applyFont="1" applyFill="1" applyBorder="1">
      <alignment vertical="center"/>
    </xf>
    <xf numFmtId="0" fontId="12" fillId="0" borderId="135" xfId="0" applyFont="1" applyBorder="1" applyAlignment="1">
      <alignment horizontal="center" vertical="center"/>
    </xf>
    <xf numFmtId="176" fontId="14" fillId="0" borderId="135" xfId="2" applyNumberFormat="1" applyFont="1" applyFill="1" applyBorder="1">
      <alignment vertical="center"/>
    </xf>
    <xf numFmtId="176" fontId="13" fillId="5" borderId="136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0" fillId="8" borderId="15" xfId="0" applyNumberFormat="1" applyFont="1" applyFill="1" applyBorder="1" applyAlignment="1">
      <alignment horizontal="center" vertical="center" wrapText="1"/>
    </xf>
    <xf numFmtId="181" fontId="10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0" fillId="0" borderId="41" xfId="0" applyNumberFormat="1" applyFont="1" applyBorder="1" applyAlignment="1">
      <alignment horizontal="center" vertical="center"/>
    </xf>
    <xf numFmtId="180" fontId="13" fillId="8" borderId="18" xfId="0" applyNumberFormat="1" applyFont="1" applyFill="1" applyBorder="1" applyAlignment="1">
      <alignment horizontal="center" vertical="center" wrapText="1"/>
    </xf>
    <xf numFmtId="180" fontId="13" fillId="8" borderId="11" xfId="0" applyNumberFormat="1" applyFont="1" applyFill="1" applyBorder="1" applyAlignment="1">
      <alignment horizontal="center" vertical="center"/>
    </xf>
    <xf numFmtId="180" fontId="13" fillId="8" borderId="15" xfId="0" applyNumberFormat="1" applyFont="1" applyFill="1" applyBorder="1" applyAlignment="1">
      <alignment horizontal="center" vertical="center"/>
    </xf>
    <xf numFmtId="180" fontId="13" fillId="8" borderId="15" xfId="0" applyNumberFormat="1" applyFont="1" applyFill="1" applyBorder="1" applyAlignment="1">
      <alignment horizontal="center" vertical="center" wrapText="1"/>
    </xf>
    <xf numFmtId="180" fontId="13" fillId="8" borderId="25" xfId="0" applyNumberFormat="1" applyFont="1" applyFill="1" applyBorder="1" applyAlignment="1">
      <alignment horizontal="center" vertical="center" wrapText="1"/>
    </xf>
    <xf numFmtId="181" fontId="10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0" fillId="8" borderId="18" xfId="0" applyNumberFormat="1" applyFont="1" applyFill="1" applyBorder="1" applyAlignment="1">
      <alignment horizontal="center" vertical="center" wrapText="1"/>
    </xf>
    <xf numFmtId="0" fontId="18" fillId="0" borderId="0" xfId="9" applyFont="1">
      <alignment vertical="center"/>
    </xf>
    <xf numFmtId="0" fontId="9" fillId="0" borderId="0" xfId="9">
      <alignment vertical="center"/>
    </xf>
    <xf numFmtId="0" fontId="16" fillId="0" borderId="0" xfId="9" applyFont="1">
      <alignment vertical="center"/>
    </xf>
    <xf numFmtId="0" fontId="9" fillId="0" borderId="0" xfId="9" applyAlignment="1">
      <alignment horizontal="center" vertical="center"/>
    </xf>
    <xf numFmtId="0" fontId="9" fillId="0" borderId="0" xfId="9" applyAlignment="1">
      <alignment horizontal="right" vertical="center" wrapText="1"/>
    </xf>
    <xf numFmtId="178" fontId="19" fillId="0" borderId="0" xfId="9" applyNumberFormat="1" applyFont="1" applyAlignment="1">
      <alignment horizontal="center" vertical="center" wrapText="1"/>
    </xf>
    <xf numFmtId="0" fontId="13" fillId="0" borderId="0" xfId="9" applyFont="1" applyAlignment="1">
      <alignment horizontal="center" vertical="center" wrapText="1"/>
    </xf>
    <xf numFmtId="0" fontId="15" fillId="0" borderId="0" xfId="9" applyFont="1" applyAlignment="1">
      <alignment horizontal="center" vertical="center"/>
    </xf>
    <xf numFmtId="0" fontId="9" fillId="0" borderId="0" xfId="9" applyAlignment="1">
      <alignment vertical="center" wrapText="1"/>
    </xf>
    <xf numFmtId="0" fontId="12" fillId="2" borderId="7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2" fillId="2" borderId="8" xfId="9" applyFont="1" applyFill="1" applyBorder="1" applyAlignment="1">
      <alignment horizontal="center" vertical="center"/>
    </xf>
    <xf numFmtId="0" fontId="12" fillId="2" borderId="32" xfId="9" applyFont="1" applyFill="1" applyBorder="1" applyAlignment="1">
      <alignment horizontal="center" vertical="center"/>
    </xf>
    <xf numFmtId="0" fontId="12" fillId="2" borderId="33" xfId="9" applyFont="1" applyFill="1" applyBorder="1" applyAlignment="1">
      <alignment horizontal="center" vertical="center"/>
    </xf>
    <xf numFmtId="0" fontId="12" fillId="2" borderId="9" xfId="9" applyFont="1" applyFill="1" applyBorder="1" applyAlignment="1">
      <alignment horizontal="center" vertical="center" wrapText="1"/>
    </xf>
    <xf numFmtId="0" fontId="13" fillId="0" borderId="10" xfId="9" applyFont="1" applyBorder="1" applyAlignment="1">
      <alignment horizontal="center" vertical="center"/>
    </xf>
    <xf numFmtId="0" fontId="9" fillId="0" borderId="11" xfId="9" applyBorder="1" applyAlignment="1">
      <alignment horizontal="center" vertical="center"/>
    </xf>
    <xf numFmtId="0" fontId="9" fillId="0" borderId="12" xfId="9" applyBorder="1" applyAlignment="1">
      <alignment horizontal="center" vertical="center"/>
    </xf>
    <xf numFmtId="180" fontId="13" fillId="0" borderId="11" xfId="9" applyNumberFormat="1" applyFont="1" applyBorder="1" applyAlignment="1">
      <alignment horizontal="center" vertical="center"/>
    </xf>
    <xf numFmtId="0" fontId="12" fillId="0" borderId="34" xfId="9" applyFont="1" applyBorder="1" applyAlignment="1">
      <alignment horizontal="center" vertical="center"/>
    </xf>
    <xf numFmtId="0" fontId="12" fillId="0" borderId="35" xfId="9" applyFont="1" applyBorder="1" applyAlignment="1">
      <alignment horizontal="center" vertical="center"/>
    </xf>
    <xf numFmtId="180" fontId="13" fillId="8" borderId="11" xfId="9" applyNumberFormat="1" applyFont="1" applyFill="1" applyBorder="1" applyAlignment="1">
      <alignment horizontal="center" vertical="center"/>
    </xf>
    <xf numFmtId="177" fontId="13" fillId="0" borderId="11" xfId="9" applyNumberFormat="1" applyFont="1" applyBorder="1" applyAlignment="1">
      <alignment horizontal="center" vertical="center"/>
    </xf>
    <xf numFmtId="0" fontId="25" fillId="0" borderId="11" xfId="9" applyFont="1" applyBorder="1" applyAlignment="1">
      <alignment horizontal="center" vertical="center"/>
    </xf>
    <xf numFmtId="0" fontId="9" fillId="0" borderId="36" xfId="9" applyBorder="1" applyAlignment="1">
      <alignment horizontal="center" vertical="center"/>
    </xf>
    <xf numFmtId="0" fontId="13" fillId="0" borderId="14" xfId="9" applyFont="1" applyBorder="1" applyAlignment="1">
      <alignment horizontal="center" vertical="center"/>
    </xf>
    <xf numFmtId="0" fontId="9" fillId="0" borderId="15" xfId="9" applyBorder="1" applyAlignment="1">
      <alignment horizontal="center" vertical="center"/>
    </xf>
    <xf numFmtId="180" fontId="13" fillId="0" borderId="15" xfId="9" applyNumberFormat="1" applyFont="1" applyBorder="1" applyAlignment="1">
      <alignment horizontal="center" vertical="center"/>
    </xf>
    <xf numFmtId="0" fontId="12" fillId="0" borderId="37" xfId="9" applyFont="1" applyBorder="1" applyAlignment="1">
      <alignment horizontal="center" vertical="center"/>
    </xf>
    <xf numFmtId="0" fontId="12" fillId="0" borderId="38" xfId="9" applyFont="1" applyBorder="1" applyAlignment="1">
      <alignment horizontal="center" vertical="center"/>
    </xf>
    <xf numFmtId="180" fontId="13" fillId="8" borderId="15" xfId="9" applyNumberFormat="1" applyFont="1" applyFill="1" applyBorder="1" applyAlignment="1">
      <alignment horizontal="center" vertical="center"/>
    </xf>
    <xf numFmtId="180" fontId="13" fillId="0" borderId="15" xfId="9" applyNumberFormat="1" applyFont="1" applyBorder="1" applyAlignment="1">
      <alignment horizontal="center" vertical="center" wrapText="1"/>
    </xf>
    <xf numFmtId="177" fontId="13" fillId="0" borderId="15" xfId="9" applyNumberFormat="1" applyFont="1" applyBorder="1" applyAlignment="1">
      <alignment horizontal="center" vertical="center"/>
    </xf>
    <xf numFmtId="0" fontId="25" fillId="0" borderId="15" xfId="9" applyFont="1" applyBorder="1" applyAlignment="1">
      <alignment horizontal="center" vertical="center"/>
    </xf>
    <xf numFmtId="0" fontId="13" fillId="0" borderId="39" xfId="9" applyFont="1" applyBorder="1" applyAlignment="1">
      <alignment horizontal="center" vertical="center" wrapText="1"/>
    </xf>
    <xf numFmtId="0" fontId="13" fillId="0" borderId="17" xfId="9" applyFont="1" applyBorder="1" applyAlignment="1">
      <alignment horizontal="center" vertical="center"/>
    </xf>
    <xf numFmtId="0" fontId="12" fillId="0" borderId="37" xfId="9" quotePrefix="1" applyFont="1" applyBorder="1" applyAlignment="1">
      <alignment horizontal="center" vertical="center"/>
    </xf>
    <xf numFmtId="0" fontId="12" fillId="0" borderId="38" xfId="9" quotePrefix="1" applyFont="1" applyBorder="1" applyAlignment="1">
      <alignment horizontal="center" vertical="center"/>
    </xf>
    <xf numFmtId="177" fontId="13" fillId="0" borderId="15" xfId="9" applyNumberFormat="1" applyFont="1" applyBorder="1" applyAlignment="1">
      <alignment horizontal="center" vertical="center" wrapText="1"/>
    </xf>
    <xf numFmtId="0" fontId="13" fillId="0" borderId="16" xfId="9" applyFont="1" applyBorder="1" applyAlignment="1">
      <alignment horizontal="center" vertical="center" wrapText="1"/>
    </xf>
    <xf numFmtId="0" fontId="13" fillId="0" borderId="14" xfId="9" applyFont="1" applyBorder="1" applyAlignment="1">
      <alignment horizontal="center" vertical="center" wrapText="1"/>
    </xf>
    <xf numFmtId="0" fontId="9" fillId="0" borderId="47" xfId="9" applyBorder="1" applyAlignment="1">
      <alignment horizontal="center" vertical="center"/>
    </xf>
    <xf numFmtId="180" fontId="13" fillId="0" borderId="47" xfId="9" applyNumberFormat="1" applyFont="1" applyBorder="1" applyAlignment="1">
      <alignment horizontal="center" vertical="center" wrapText="1"/>
    </xf>
    <xf numFmtId="177" fontId="13" fillId="0" borderId="47" xfId="9" applyNumberFormat="1" applyFont="1" applyBorder="1" applyAlignment="1">
      <alignment horizontal="center" vertical="center" wrapText="1"/>
    </xf>
    <xf numFmtId="0" fontId="13" fillId="0" borderId="50" xfId="9" applyFont="1" applyBorder="1" applyAlignment="1">
      <alignment horizontal="center" vertical="center" wrapText="1"/>
    </xf>
    <xf numFmtId="180" fontId="13" fillId="0" borderId="11" xfId="9" applyNumberFormat="1" applyFont="1" applyBorder="1" applyAlignment="1">
      <alignment horizontal="center" vertical="center" wrapText="1"/>
    </xf>
    <xf numFmtId="177" fontId="13" fillId="0" borderId="11" xfId="9" applyNumberFormat="1" applyFont="1" applyBorder="1" applyAlignment="1">
      <alignment horizontal="center" vertical="center" wrapText="1"/>
    </xf>
    <xf numFmtId="0" fontId="13" fillId="0" borderId="52" xfId="9" applyFont="1" applyBorder="1" applyAlignment="1">
      <alignment horizontal="center" vertical="center"/>
    </xf>
    <xf numFmtId="180" fontId="13" fillId="8" borderId="15" xfId="9" applyNumberFormat="1" applyFont="1" applyFill="1" applyBorder="1" applyAlignment="1">
      <alignment horizontal="center" vertical="center" wrapText="1"/>
    </xf>
    <xf numFmtId="0" fontId="13" fillId="0" borderId="62" xfId="9" applyFont="1" applyBorder="1" applyAlignment="1">
      <alignment horizontal="center" vertical="center" wrapText="1"/>
    </xf>
    <xf numFmtId="0" fontId="13" fillId="0" borderId="20" xfId="9" applyFont="1" applyBorder="1" applyAlignment="1">
      <alignment horizontal="center" vertical="center"/>
    </xf>
    <xf numFmtId="0" fontId="9" fillId="0" borderId="21" xfId="9" applyBorder="1" applyAlignment="1">
      <alignment horizontal="center" vertical="center"/>
    </xf>
    <xf numFmtId="180" fontId="13" fillId="0" borderId="21" xfId="9" applyNumberFormat="1" applyFont="1" applyBorder="1" applyAlignment="1">
      <alignment horizontal="center" vertical="center" wrapText="1"/>
    </xf>
    <xf numFmtId="177" fontId="13" fillId="0" borderId="21" xfId="9" applyNumberFormat="1" applyFont="1" applyBorder="1" applyAlignment="1">
      <alignment horizontal="center" vertical="center" wrapText="1"/>
    </xf>
    <xf numFmtId="0" fontId="13" fillId="0" borderId="63" xfId="9" applyFont="1" applyBorder="1" applyAlignment="1">
      <alignment horizontal="center" vertical="center" wrapText="1"/>
    </xf>
    <xf numFmtId="0" fontId="9" fillId="0" borderId="23" xfId="9" applyBorder="1" applyAlignment="1">
      <alignment horizontal="center" vertical="center"/>
    </xf>
    <xf numFmtId="180" fontId="9" fillId="0" borderId="0" xfId="9" applyNumberFormat="1">
      <alignment vertical="center"/>
    </xf>
    <xf numFmtId="0" fontId="13" fillId="0" borderId="19" xfId="9" applyFont="1" applyBorder="1" applyAlignment="1">
      <alignment horizontal="center" vertical="center" wrapText="1"/>
    </xf>
    <xf numFmtId="0" fontId="13" fillId="0" borderId="64" xfId="9" applyFont="1" applyBorder="1" applyAlignment="1">
      <alignment horizontal="center" vertical="center"/>
    </xf>
    <xf numFmtId="0" fontId="9" fillId="0" borderId="18" xfId="9" applyBorder="1" applyAlignment="1">
      <alignment horizontal="center" vertical="center"/>
    </xf>
    <xf numFmtId="0" fontId="25" fillId="0" borderId="18" xfId="9" applyFont="1" applyBorder="1" applyAlignment="1">
      <alignment horizontal="center" vertical="center"/>
    </xf>
    <xf numFmtId="180" fontId="13" fillId="0" borderId="18" xfId="9" applyNumberFormat="1" applyFont="1" applyBorder="1" applyAlignment="1">
      <alignment horizontal="center" vertical="center" wrapText="1"/>
    </xf>
    <xf numFmtId="180" fontId="13" fillId="8" borderId="18" xfId="9" applyNumberFormat="1" applyFont="1" applyFill="1" applyBorder="1" applyAlignment="1">
      <alignment horizontal="center" vertical="center" wrapText="1"/>
    </xf>
    <xf numFmtId="0" fontId="12" fillId="0" borderId="54" xfId="9" applyFont="1" applyBorder="1" applyAlignment="1">
      <alignment horizontal="center" vertical="center"/>
    </xf>
    <xf numFmtId="0" fontId="12" fillId="0" borderId="55" xfId="9" applyFont="1" applyBorder="1" applyAlignment="1">
      <alignment horizontal="center" vertical="center"/>
    </xf>
    <xf numFmtId="177" fontId="13" fillId="0" borderId="18" xfId="9" applyNumberFormat="1" applyFont="1" applyBorder="1" applyAlignment="1">
      <alignment horizontal="center" vertical="center" wrapText="1"/>
    </xf>
    <xf numFmtId="0" fontId="13" fillId="0" borderId="44" xfId="9" applyFont="1" applyBorder="1" applyAlignment="1">
      <alignment horizontal="center" vertical="center" wrapText="1"/>
    </xf>
    <xf numFmtId="0" fontId="13" fillId="0" borderId="36" xfId="9" applyFont="1" applyBorder="1" applyAlignment="1">
      <alignment horizontal="center" vertical="center" wrapText="1"/>
    </xf>
    <xf numFmtId="0" fontId="9" fillId="0" borderId="41" xfId="9" applyBorder="1" applyAlignment="1">
      <alignment horizontal="center" vertical="center"/>
    </xf>
    <xf numFmtId="0" fontId="25" fillId="0" borderId="41" xfId="9" applyFont="1" applyBorder="1" applyAlignment="1">
      <alignment horizontal="center" vertical="center"/>
    </xf>
    <xf numFmtId="180" fontId="13" fillId="0" borderId="41" xfId="9" applyNumberFormat="1" applyFont="1" applyBorder="1" applyAlignment="1">
      <alignment horizontal="center" vertical="center" wrapText="1"/>
    </xf>
    <xf numFmtId="0" fontId="12" fillId="0" borderId="51" xfId="9" applyFont="1" applyBorder="1" applyAlignment="1">
      <alignment horizontal="center" vertical="center"/>
    </xf>
    <xf numFmtId="0" fontId="12" fillId="0" borderId="45" xfId="9" applyFont="1" applyBorder="1" applyAlignment="1">
      <alignment horizontal="center" vertical="center"/>
    </xf>
    <xf numFmtId="177" fontId="13" fillId="0" borderId="41" xfId="9" applyNumberFormat="1" applyFont="1" applyBorder="1" applyAlignment="1">
      <alignment horizontal="center" vertical="center" wrapText="1"/>
    </xf>
    <xf numFmtId="0" fontId="9" fillId="0" borderId="62" xfId="9" applyBorder="1">
      <alignment vertical="center"/>
    </xf>
    <xf numFmtId="0" fontId="13" fillId="0" borderId="24" xfId="9" applyFont="1" applyBorder="1" applyAlignment="1">
      <alignment horizontal="center" vertical="center"/>
    </xf>
    <xf numFmtId="0" fontId="9" fillId="0" borderId="25" xfId="9" applyBorder="1" applyAlignment="1">
      <alignment horizontal="center" vertical="center"/>
    </xf>
    <xf numFmtId="180" fontId="13" fillId="0" borderId="25" xfId="9" applyNumberFormat="1" applyFont="1" applyBorder="1" applyAlignment="1">
      <alignment horizontal="center" vertical="center" wrapText="1"/>
    </xf>
    <xf numFmtId="0" fontId="12" fillId="0" borderId="42" xfId="9" applyFont="1" applyBorder="1" applyAlignment="1">
      <alignment horizontal="center" vertical="center"/>
    </xf>
    <xf numFmtId="180" fontId="13" fillId="8" borderId="25" xfId="9" applyNumberFormat="1" applyFont="1" applyFill="1" applyBorder="1" applyAlignment="1">
      <alignment horizontal="center" vertical="center" wrapText="1"/>
    </xf>
    <xf numFmtId="177" fontId="13" fillId="0" borderId="25" xfId="9" applyNumberFormat="1" applyFont="1" applyBorder="1" applyAlignment="1">
      <alignment horizontal="center" vertical="center" wrapText="1"/>
    </xf>
    <xf numFmtId="0" fontId="25" fillId="0" borderId="25" xfId="9" applyFont="1" applyBorder="1" applyAlignment="1">
      <alignment horizontal="center" vertical="center"/>
    </xf>
    <xf numFmtId="0" fontId="13" fillId="0" borderId="26" xfId="9" applyFont="1" applyBorder="1" applyAlignment="1">
      <alignment horizontal="center" vertical="center" wrapText="1"/>
    </xf>
    <xf numFmtId="0" fontId="13" fillId="0" borderId="65" xfId="9" applyFont="1" applyBorder="1" applyAlignment="1">
      <alignment horizontal="center" vertical="center"/>
    </xf>
    <xf numFmtId="0" fontId="13" fillId="0" borderId="66" xfId="9" applyFont="1" applyBorder="1" applyAlignment="1">
      <alignment horizontal="center" vertical="center" wrapText="1"/>
    </xf>
    <xf numFmtId="0" fontId="12" fillId="0" borderId="43" xfId="9" quotePrefix="1" applyFont="1" applyBorder="1" applyAlignment="1">
      <alignment horizontal="center" vertical="center"/>
    </xf>
    <xf numFmtId="0" fontId="13" fillId="0" borderId="61" xfId="9" applyFont="1" applyBorder="1" applyAlignment="1">
      <alignment horizontal="center" vertical="center" wrapText="1"/>
    </xf>
    <xf numFmtId="0" fontId="13" fillId="0" borderId="56" xfId="9" applyFont="1" applyBorder="1" applyAlignment="1">
      <alignment horizontal="center" vertical="center"/>
    </xf>
    <xf numFmtId="0" fontId="21" fillId="0" borderId="17" xfId="9" applyFont="1" applyBorder="1" applyAlignment="1">
      <alignment horizontal="center" vertical="center" wrapText="1"/>
    </xf>
    <xf numFmtId="0" fontId="25" fillId="0" borderId="21" xfId="9" applyFont="1" applyBorder="1" applyAlignment="1">
      <alignment horizontal="center" vertical="center"/>
    </xf>
    <xf numFmtId="0" fontId="11" fillId="0" borderId="14" xfId="9" applyFont="1" applyBorder="1" applyAlignment="1">
      <alignment horizontal="center" vertical="center"/>
    </xf>
    <xf numFmtId="0" fontId="12" fillId="0" borderId="54" xfId="9" quotePrefix="1" applyFont="1" applyBorder="1" applyAlignment="1">
      <alignment horizontal="center" vertical="center"/>
    </xf>
    <xf numFmtId="0" fontId="13" fillId="0" borderId="17" xfId="9" applyFont="1" applyBorder="1" applyAlignment="1">
      <alignment horizontal="center" vertical="center" wrapText="1"/>
    </xf>
    <xf numFmtId="0" fontId="12" fillId="0" borderId="42" xfId="9" quotePrefix="1" applyFont="1" applyBorder="1" applyAlignment="1">
      <alignment horizontal="center" vertical="center"/>
    </xf>
    <xf numFmtId="0" fontId="13" fillId="0" borderId="0" xfId="9" applyFont="1" applyAlignment="1">
      <alignment horizontal="center" vertical="center"/>
    </xf>
    <xf numFmtId="0" fontId="25" fillId="0" borderId="0" xfId="9" applyFont="1" applyAlignment="1">
      <alignment horizontal="center" vertical="center"/>
    </xf>
    <xf numFmtId="180" fontId="13" fillId="0" borderId="0" xfId="9" applyNumberFormat="1" applyFont="1" applyAlignment="1">
      <alignment horizontal="center" vertical="center" wrapText="1"/>
    </xf>
    <xf numFmtId="0" fontId="12" fillId="0" borderId="0" xfId="9" quotePrefix="1" applyFont="1" applyAlignment="1">
      <alignment horizontal="center" vertical="center"/>
    </xf>
    <xf numFmtId="177" fontId="13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9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9" fillId="0" borderId="3" xfId="9" applyBorder="1">
      <alignment vertical="center"/>
    </xf>
    <xf numFmtId="0" fontId="9" fillId="0" borderId="141" xfId="9" applyBorder="1">
      <alignment vertical="center"/>
    </xf>
    <xf numFmtId="0" fontId="9" fillId="0" borderId="142" xfId="9" applyBorder="1">
      <alignment vertical="center"/>
    </xf>
    <xf numFmtId="0" fontId="9" fillId="0" borderId="143" xfId="9" applyBorder="1">
      <alignment vertical="center"/>
    </xf>
    <xf numFmtId="0" fontId="9" fillId="0" borderId="1" xfId="9" applyBorder="1">
      <alignment vertical="center"/>
    </xf>
    <xf numFmtId="0" fontId="9" fillId="0" borderId="144" xfId="9" applyBorder="1">
      <alignment vertical="center"/>
    </xf>
    <xf numFmtId="0" fontId="9" fillId="0" borderId="4" xfId="9" applyBorder="1">
      <alignment vertical="center"/>
    </xf>
    <xf numFmtId="0" fontId="9" fillId="0" borderId="101" xfId="9" applyBorder="1">
      <alignment vertical="center"/>
    </xf>
    <xf numFmtId="0" fontId="9" fillId="0" borderId="102" xfId="9" applyBorder="1">
      <alignment vertical="center"/>
    </xf>
    <xf numFmtId="0" fontId="12" fillId="0" borderId="102" xfId="9" applyFont="1" applyBorder="1" applyAlignment="1">
      <alignment horizontal="center" vertical="center"/>
    </xf>
    <xf numFmtId="0" fontId="9" fillId="0" borderId="115" xfId="9" applyBorder="1" applyAlignment="1">
      <alignment horizontal="center" vertical="center"/>
    </xf>
    <xf numFmtId="0" fontId="9" fillId="0" borderId="138" xfId="9" applyBorder="1">
      <alignment vertical="center"/>
    </xf>
    <xf numFmtId="0" fontId="12" fillId="0" borderId="145" xfId="9" applyFont="1" applyBorder="1" applyAlignment="1">
      <alignment horizontal="center" vertical="center"/>
    </xf>
    <xf numFmtId="0" fontId="9" fillId="0" borderId="145" xfId="9" applyBorder="1">
      <alignment vertical="center"/>
    </xf>
    <xf numFmtId="0" fontId="9" fillId="0" borderId="2" xfId="9" applyBorder="1">
      <alignment vertical="center"/>
    </xf>
    <xf numFmtId="0" fontId="9" fillId="0" borderId="99" xfId="9" applyBorder="1">
      <alignment vertical="center"/>
    </xf>
    <xf numFmtId="49" fontId="13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2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3" fillId="0" borderId="147" xfId="0" applyFont="1" applyBorder="1" applyAlignment="1">
      <alignment horizontal="center" vertical="center"/>
    </xf>
    <xf numFmtId="181" fontId="12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181" fontId="12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181" fontId="13" fillId="0" borderId="0" xfId="0" applyNumberFormat="1" applyFont="1" applyAlignment="1">
      <alignment horizontal="right" vertical="center" wrapText="1"/>
    </xf>
    <xf numFmtId="181" fontId="14" fillId="2" borderId="7" xfId="0" applyNumberFormat="1" applyFont="1" applyFill="1" applyBorder="1" applyAlignment="1">
      <alignment horizontal="center" vertical="center"/>
    </xf>
    <xf numFmtId="181" fontId="13" fillId="0" borderId="10" xfId="0" applyNumberFormat="1" applyFont="1" applyBorder="1" applyAlignment="1">
      <alignment horizontal="center" vertical="center"/>
    </xf>
    <xf numFmtId="181" fontId="13" fillId="0" borderId="14" xfId="0" applyNumberFormat="1" applyFont="1" applyBorder="1" applyAlignment="1">
      <alignment horizontal="center" vertical="center"/>
    </xf>
    <xf numFmtId="181" fontId="13" fillId="0" borderId="17" xfId="0" applyNumberFormat="1" applyFont="1" applyBorder="1" applyAlignment="1">
      <alignment horizontal="center" vertical="center"/>
    </xf>
    <xf numFmtId="181" fontId="13" fillId="0" borderId="40" xfId="0" applyNumberFormat="1" applyFont="1" applyBorder="1" applyAlignment="1">
      <alignment horizontal="center" vertical="center"/>
    </xf>
    <xf numFmtId="181" fontId="13" fillId="0" borderId="17" xfId="0" applyNumberFormat="1" applyFont="1" applyBorder="1" applyAlignment="1">
      <alignment horizontal="center" vertical="center" wrapText="1"/>
    </xf>
    <xf numFmtId="181" fontId="13" fillId="0" borderId="58" xfId="0" applyNumberFormat="1" applyFont="1" applyBorder="1" applyAlignment="1">
      <alignment horizontal="center" vertical="center"/>
    </xf>
    <xf numFmtId="181" fontId="13" fillId="0" borderId="0" xfId="0" applyNumberFormat="1" applyFont="1" applyAlignment="1">
      <alignment horizontal="center" vertical="center"/>
    </xf>
    <xf numFmtId="181" fontId="16" fillId="0" borderId="0" xfId="0" applyNumberFormat="1" applyFont="1">
      <alignment vertical="center"/>
    </xf>
    <xf numFmtId="181" fontId="13" fillId="0" borderId="46" xfId="0" applyNumberFormat="1" applyFont="1" applyBorder="1" applyAlignment="1">
      <alignment horizontal="center" vertical="center"/>
    </xf>
    <xf numFmtId="181" fontId="13" fillId="0" borderId="24" xfId="0" applyNumberFormat="1" applyFont="1" applyBorder="1" applyAlignment="1">
      <alignment horizontal="center" vertical="center"/>
    </xf>
    <xf numFmtId="181" fontId="13" fillId="0" borderId="0" xfId="0" applyNumberFormat="1" applyFont="1">
      <alignment vertical="center"/>
    </xf>
    <xf numFmtId="181" fontId="13" fillId="0" borderId="40" xfId="0" applyNumberFormat="1" applyFont="1" applyBorder="1" applyAlignment="1">
      <alignment horizontal="center" vertical="center" wrapText="1"/>
    </xf>
    <xf numFmtId="181" fontId="13" fillId="0" borderId="56" xfId="0" applyNumberFormat="1" applyFont="1" applyBorder="1" applyAlignment="1">
      <alignment horizontal="center" vertical="center" wrapText="1"/>
    </xf>
    <xf numFmtId="0" fontId="13" fillId="0" borderId="0" xfId="0" applyFont="1">
      <alignment vertical="center"/>
    </xf>
    <xf numFmtId="181" fontId="13" fillId="0" borderId="52" xfId="0" applyNumberFormat="1" applyFont="1" applyBorder="1" applyAlignment="1">
      <alignment horizontal="center" vertical="center" wrapText="1"/>
    </xf>
    <xf numFmtId="0" fontId="13" fillId="0" borderId="52" xfId="0" applyFont="1" applyBorder="1">
      <alignment vertical="center"/>
    </xf>
    <xf numFmtId="181" fontId="13" fillId="0" borderId="24" xfId="0" applyNumberFormat="1" applyFont="1" applyBorder="1" applyAlignment="1">
      <alignment horizontal="center" vertical="center" wrapText="1"/>
    </xf>
    <xf numFmtId="181" fontId="13" fillId="0" borderId="0" xfId="0" applyNumberFormat="1" applyFont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/>
    </xf>
    <xf numFmtId="181" fontId="14" fillId="2" borderId="33" xfId="0" applyNumberFormat="1" applyFont="1" applyFill="1" applyBorder="1" applyAlignment="1">
      <alignment horizontal="center" vertical="center"/>
    </xf>
    <xf numFmtId="181" fontId="14" fillId="0" borderId="35" xfId="0" applyNumberFormat="1" applyFont="1" applyBorder="1" applyAlignment="1">
      <alignment horizontal="center" vertical="center"/>
    </xf>
    <xf numFmtId="181" fontId="14" fillId="0" borderId="38" xfId="0" applyNumberFormat="1" applyFont="1" applyBorder="1" applyAlignment="1">
      <alignment horizontal="center" vertical="center"/>
    </xf>
    <xf numFmtId="181" fontId="14" fillId="0" borderId="45" xfId="0" applyNumberFormat="1" applyFont="1" applyBorder="1" applyAlignment="1">
      <alignment horizontal="center" vertical="center"/>
    </xf>
    <xf numFmtId="181" fontId="14" fillId="0" borderId="43" xfId="0" applyNumberFormat="1" applyFont="1" applyBorder="1" applyAlignment="1">
      <alignment horizontal="center" vertical="center"/>
    </xf>
    <xf numFmtId="181" fontId="14" fillId="0" borderId="0" xfId="0" quotePrefix="1" applyNumberFormat="1" applyFont="1" applyAlignment="1">
      <alignment horizontal="center" vertical="center"/>
    </xf>
    <xf numFmtId="181" fontId="14" fillId="0" borderId="38" xfId="0" quotePrefix="1" applyNumberFormat="1" applyFont="1" applyBorder="1" applyAlignment="1">
      <alignment horizontal="center" vertical="center"/>
    </xf>
    <xf numFmtId="181" fontId="14" fillId="0" borderId="45" xfId="0" quotePrefix="1" applyNumberFormat="1" applyFont="1" applyBorder="1" applyAlignment="1">
      <alignment horizontal="center" vertical="center"/>
    </xf>
    <xf numFmtId="181" fontId="14" fillId="0" borderId="43" xfId="0" quotePrefix="1" applyNumberFormat="1" applyFont="1" applyBorder="1" applyAlignment="1">
      <alignment horizontal="center" vertical="center"/>
    </xf>
    <xf numFmtId="181" fontId="14" fillId="0" borderId="131" xfId="0" applyNumberFormat="1" applyFont="1" applyBorder="1" applyAlignment="1">
      <alignment horizontal="center" vertical="center"/>
    </xf>
    <xf numFmtId="181" fontId="14" fillId="0" borderId="128" xfId="0" applyNumberFormat="1" applyFont="1" applyBorder="1" applyAlignment="1">
      <alignment horizontal="center" vertical="center"/>
    </xf>
    <xf numFmtId="181" fontId="13" fillId="0" borderId="0" xfId="0" applyNumberFormat="1" applyFont="1" applyAlignment="1">
      <alignment vertical="center" wrapText="1"/>
    </xf>
    <xf numFmtId="181" fontId="14" fillId="2" borderId="9" xfId="0" applyNumberFormat="1" applyFont="1" applyFill="1" applyBorder="1" applyAlignment="1">
      <alignment horizontal="center" vertical="center" wrapText="1"/>
    </xf>
    <xf numFmtId="181" fontId="13" fillId="0" borderId="13" xfId="0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26" xfId="0" applyNumberFormat="1" applyFont="1" applyBorder="1" applyAlignment="1">
      <alignment horizontal="center" vertical="center" wrapText="1"/>
    </xf>
    <xf numFmtId="181" fontId="13" fillId="0" borderId="13" xfId="0" applyNumberFormat="1" applyFont="1" applyBorder="1" applyAlignment="1">
      <alignment horizontal="center" vertical="center"/>
    </xf>
    <xf numFmtId="181" fontId="13" fillId="0" borderId="62" xfId="0" applyNumberFormat="1" applyFont="1" applyBorder="1" applyAlignment="1">
      <alignment horizontal="center" vertical="center" wrapText="1"/>
    </xf>
    <xf numFmtId="181" fontId="13" fillId="0" borderId="68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13" fillId="0" borderId="61" xfId="0" applyNumberFormat="1" applyFont="1" applyBorder="1" applyAlignment="1">
      <alignment horizontal="center" vertical="center" wrapText="1"/>
    </xf>
    <xf numFmtId="181" fontId="14" fillId="2" borderId="8" xfId="0" applyNumberFormat="1" applyFont="1" applyFill="1" applyBorder="1" applyAlignment="1">
      <alignment horizontal="center" vertical="center"/>
    </xf>
    <xf numFmtId="181" fontId="13" fillId="0" borderId="11" xfId="0" applyNumberFormat="1" applyFont="1" applyBorder="1" applyAlignment="1">
      <alignment horizontal="center" vertical="center"/>
    </xf>
    <xf numFmtId="181" fontId="13" fillId="0" borderId="15" xfId="0" applyNumberFormat="1" applyFont="1" applyBorder="1" applyAlignment="1">
      <alignment horizontal="center" vertical="center"/>
    </xf>
    <xf numFmtId="181" fontId="13" fillId="0" borderId="41" xfId="0" applyNumberFormat="1" applyFont="1" applyBorder="1" applyAlignment="1">
      <alignment horizontal="center" vertical="center"/>
    </xf>
    <xf numFmtId="181" fontId="13" fillId="0" borderId="25" xfId="0" applyNumberFormat="1" applyFont="1" applyBorder="1" applyAlignment="1">
      <alignment horizontal="center" vertical="center"/>
    </xf>
    <xf numFmtId="181" fontId="13" fillId="0" borderId="47" xfId="0" applyNumberFormat="1" applyFont="1" applyBorder="1" applyAlignment="1">
      <alignment horizontal="center" vertical="center"/>
    </xf>
    <xf numFmtId="181" fontId="13" fillId="0" borderId="132" xfId="0" applyNumberFormat="1" applyFont="1" applyBorder="1" applyAlignment="1">
      <alignment horizontal="center" vertical="center"/>
    </xf>
    <xf numFmtId="181" fontId="13" fillId="0" borderId="133" xfId="0" applyNumberFormat="1" applyFont="1" applyBorder="1" applyAlignment="1">
      <alignment horizontal="center" vertical="center"/>
    </xf>
    <xf numFmtId="0" fontId="12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2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2" fillId="2" borderId="164" xfId="9" applyFont="1" applyFill="1" applyBorder="1" applyAlignment="1">
      <alignment horizontal="center" vertical="center"/>
    </xf>
    <xf numFmtId="0" fontId="9" fillId="0" borderId="30" xfId="9" applyBorder="1" applyAlignment="1">
      <alignment horizontal="center" vertical="center"/>
    </xf>
    <xf numFmtId="0" fontId="9" fillId="0" borderId="165" xfId="9" applyBorder="1" applyAlignment="1">
      <alignment horizontal="center" vertical="center"/>
    </xf>
    <xf numFmtId="0" fontId="9" fillId="0" borderId="108" xfId="9" applyBorder="1" applyAlignment="1">
      <alignment horizontal="center" vertical="center"/>
    </xf>
    <xf numFmtId="0" fontId="9" fillId="0" borderId="5" xfId="9" applyBorder="1" applyAlignment="1">
      <alignment horizontal="center" vertical="center"/>
    </xf>
    <xf numFmtId="0" fontId="9" fillId="0" borderId="166" xfId="9" applyBorder="1" applyAlignment="1">
      <alignment horizontal="center" vertical="center"/>
    </xf>
    <xf numFmtId="0" fontId="9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39" fillId="0" borderId="0" xfId="9" applyFont="1" applyAlignment="1">
      <alignment horizontal="center" vertical="center"/>
    </xf>
    <xf numFmtId="0" fontId="10" fillId="2" borderId="164" xfId="9" applyFont="1" applyFill="1" applyBorder="1" applyAlignment="1">
      <alignment horizontal="center" vertical="center"/>
    </xf>
    <xf numFmtId="0" fontId="10" fillId="0" borderId="165" xfId="9" applyFont="1" applyBorder="1" applyAlignment="1">
      <alignment horizontal="center" vertical="center"/>
    </xf>
    <xf numFmtId="0" fontId="10" fillId="0" borderId="30" xfId="9" applyFont="1" applyBorder="1" applyAlignment="1">
      <alignment horizontal="center" vertical="center"/>
    </xf>
    <xf numFmtId="0" fontId="10" fillId="0" borderId="30" xfId="9" quotePrefix="1" applyFont="1" applyBorder="1" applyAlignment="1">
      <alignment horizontal="center" vertical="center"/>
    </xf>
    <xf numFmtId="0" fontId="10" fillId="0" borderId="168" xfId="9" quotePrefix="1" applyFont="1" applyBorder="1" applyAlignment="1">
      <alignment horizontal="center" vertical="center"/>
    </xf>
    <xf numFmtId="0" fontId="10" fillId="0" borderId="165" xfId="9" quotePrefix="1" applyFont="1" applyBorder="1" applyAlignment="1">
      <alignment horizontal="center" vertical="center"/>
    </xf>
    <xf numFmtId="0" fontId="10" fillId="0" borderId="108" xfId="9" quotePrefix="1" applyFont="1" applyBorder="1" applyAlignment="1">
      <alignment horizontal="center" vertical="center"/>
    </xf>
    <xf numFmtId="0" fontId="10" fillId="0" borderId="5" xfId="9" applyFont="1" applyBorder="1" applyAlignment="1">
      <alignment horizontal="center" vertical="center"/>
    </xf>
    <xf numFmtId="0" fontId="10" fillId="0" borderId="166" xfId="9" applyFont="1" applyBorder="1" applyAlignment="1">
      <alignment horizontal="center" vertical="center"/>
    </xf>
    <xf numFmtId="0" fontId="10" fillId="0" borderId="167" xfId="9" quotePrefix="1" applyFont="1" applyBorder="1" applyAlignment="1">
      <alignment horizontal="center" vertical="center"/>
    </xf>
    <xf numFmtId="0" fontId="10" fillId="0" borderId="108" xfId="9" applyFont="1" applyBorder="1" applyAlignment="1">
      <alignment horizontal="center" vertical="center"/>
    </xf>
    <xf numFmtId="0" fontId="10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2" fillId="4" borderId="37" xfId="0" applyFont="1" applyFill="1" applyBorder="1" applyAlignment="1">
      <alignment horizontal="center" vertical="center"/>
    </xf>
    <xf numFmtId="0" fontId="23" fillId="0" borderId="37" xfId="0" applyFont="1" applyBorder="1" applyAlignment="1">
      <alignment horizontal="center" vertical="center"/>
    </xf>
    <xf numFmtId="0" fontId="40" fillId="0" borderId="37" xfId="0" applyFont="1" applyBorder="1" applyAlignment="1">
      <alignment horizontal="center" vertical="center"/>
    </xf>
    <xf numFmtId="0" fontId="23" fillId="4" borderId="37" xfId="0" applyFont="1" applyFill="1" applyBorder="1" applyAlignment="1">
      <alignment horizontal="center" vertical="center"/>
    </xf>
    <xf numFmtId="0" fontId="23" fillId="0" borderId="38" xfId="0" applyFont="1" applyBorder="1" applyAlignment="1">
      <alignment horizontal="center" vertical="center"/>
    </xf>
    <xf numFmtId="0" fontId="23" fillId="0" borderId="38" xfId="0" applyFont="1" applyBorder="1" applyAlignment="1">
      <alignment horizontal="center" vertical="center" shrinkToFit="1"/>
    </xf>
    <xf numFmtId="0" fontId="12" fillId="0" borderId="38" xfId="0" applyFont="1" applyBorder="1" applyAlignment="1">
      <alignment horizontal="center" vertical="center" shrinkToFit="1"/>
    </xf>
    <xf numFmtId="0" fontId="36" fillId="0" borderId="15" xfId="0" applyFont="1" applyBorder="1" applyAlignment="1">
      <alignment horizontal="center" vertical="center"/>
    </xf>
    <xf numFmtId="0" fontId="36" fillId="0" borderId="25" xfId="0" applyFont="1" applyBorder="1" applyAlignment="1">
      <alignment horizontal="center" vertical="center"/>
    </xf>
    <xf numFmtId="0" fontId="41" fillId="0" borderId="17" xfId="0" applyFont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29" fillId="0" borderId="16" xfId="0" applyFont="1" applyBorder="1" applyAlignment="1">
      <alignment horizontal="center" vertical="center" wrapText="1"/>
    </xf>
    <xf numFmtId="0" fontId="29" fillId="0" borderId="39" xfId="0" applyFont="1" applyBorder="1" applyAlignment="1">
      <alignment horizontal="center" vertical="center" wrapText="1"/>
    </xf>
    <xf numFmtId="0" fontId="42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3" fillId="0" borderId="0" xfId="9" applyNumberFormat="1" applyFont="1" applyAlignment="1">
      <alignment vertical="center" wrapText="1"/>
    </xf>
    <xf numFmtId="181" fontId="12" fillId="0" borderId="50" xfId="0" applyNumberFormat="1" applyFont="1" applyBorder="1" applyAlignment="1">
      <alignment horizontal="center" vertical="center" wrapText="1"/>
    </xf>
    <xf numFmtId="181" fontId="12" fillId="0" borderId="39" xfId="0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44" xfId="0" applyNumberFormat="1" applyFont="1" applyBorder="1" applyAlignment="1">
      <alignment horizontal="center" vertical="center" wrapText="1"/>
    </xf>
    <xf numFmtId="181" fontId="12" fillId="0" borderId="146" xfId="0" applyNumberFormat="1" applyFont="1" applyBorder="1" applyAlignment="1">
      <alignment horizontal="center" vertical="center" wrapText="1"/>
    </xf>
    <xf numFmtId="181" fontId="23" fillId="7" borderId="16" xfId="0" applyNumberFormat="1" applyFont="1" applyFill="1" applyBorder="1" applyAlignment="1">
      <alignment horizontal="center" vertical="center" wrapText="1"/>
    </xf>
    <xf numFmtId="181" fontId="12" fillId="7" borderId="16" xfId="0" applyNumberFormat="1" applyFont="1" applyFill="1" applyBorder="1" applyAlignment="1">
      <alignment horizontal="center" vertical="center" wrapText="1"/>
    </xf>
    <xf numFmtId="181" fontId="12" fillId="7" borderId="50" xfId="0" applyNumberFormat="1" applyFont="1" applyFill="1" applyBorder="1" applyAlignment="1">
      <alignment horizontal="center" vertical="center" wrapText="1"/>
    </xf>
    <xf numFmtId="181" fontId="12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4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2" fillId="10" borderId="37" xfId="0" applyFont="1" applyFill="1" applyBorder="1" applyAlignment="1">
      <alignment horizontal="center" vertical="center"/>
    </xf>
    <xf numFmtId="0" fontId="12" fillId="10" borderId="38" xfId="0" applyFont="1" applyFill="1" applyBorder="1" applyAlignment="1">
      <alignment horizontal="center" vertical="center"/>
    </xf>
    <xf numFmtId="0" fontId="12" fillId="10" borderId="38" xfId="0" applyFont="1" applyFill="1" applyBorder="1" applyAlignment="1">
      <alignment horizontal="left" vertical="center"/>
    </xf>
    <xf numFmtId="0" fontId="44" fillId="10" borderId="38" xfId="0" applyFont="1" applyFill="1" applyBorder="1" applyAlignment="1">
      <alignment horizontal="center" vertical="center" wrapText="1"/>
    </xf>
    <xf numFmtId="181" fontId="10" fillId="7" borderId="39" xfId="0" applyNumberFormat="1" applyFont="1" applyFill="1" applyBorder="1" applyAlignment="1">
      <alignment horizontal="center" vertical="center" wrapText="1"/>
    </xf>
    <xf numFmtId="0" fontId="18" fillId="4" borderId="0" xfId="0" applyFont="1" applyFill="1">
      <alignment vertical="center"/>
    </xf>
    <xf numFmtId="0" fontId="47" fillId="0" borderId="13" xfId="0" applyFont="1" applyBorder="1" applyAlignment="1">
      <alignment horizontal="left" vertical="center"/>
    </xf>
    <xf numFmtId="0" fontId="47" fillId="0" borderId="19" xfId="0" applyFont="1" applyBorder="1" applyAlignment="1">
      <alignment horizontal="left" vertical="center"/>
    </xf>
    <xf numFmtId="0" fontId="47" fillId="0" borderId="16" xfId="0" applyFont="1" applyBorder="1" applyAlignment="1">
      <alignment horizontal="left" vertical="center"/>
    </xf>
    <xf numFmtId="0" fontId="29" fillId="7" borderId="10" xfId="0" applyFont="1" applyFill="1" applyBorder="1" applyAlignment="1">
      <alignment horizontal="center" vertical="center"/>
    </xf>
    <xf numFmtId="0" fontId="29" fillId="7" borderId="17" xfId="0" applyFont="1" applyFill="1" applyBorder="1" applyAlignment="1">
      <alignment horizontal="center" vertical="center"/>
    </xf>
    <xf numFmtId="0" fontId="29" fillId="7" borderId="14" xfId="0" applyFont="1" applyFill="1" applyBorder="1" applyAlignment="1">
      <alignment horizontal="center" vertical="center"/>
    </xf>
    <xf numFmtId="0" fontId="48" fillId="0" borderId="16" xfId="0" applyFont="1" applyBorder="1" applyAlignment="1">
      <alignment horizontal="left" vertical="center"/>
    </xf>
    <xf numFmtId="0" fontId="48" fillId="0" borderId="16" xfId="0" applyFont="1" applyBorder="1" applyAlignment="1">
      <alignment horizontal="center" vertical="center"/>
    </xf>
    <xf numFmtId="0" fontId="23" fillId="0" borderId="16" xfId="0" applyFont="1" applyBorder="1" applyAlignment="1">
      <alignment horizontal="center" vertical="center"/>
    </xf>
    <xf numFmtId="181" fontId="41" fillId="0" borderId="38" xfId="0" applyNumberFormat="1" applyFont="1" applyBorder="1" applyAlignment="1">
      <alignment horizontal="center" vertical="center"/>
    </xf>
    <xf numFmtId="181" fontId="23" fillId="0" borderId="37" xfId="0" applyNumberFormat="1" applyFont="1" applyBorder="1" applyAlignment="1">
      <alignment horizontal="center" vertical="center"/>
    </xf>
    <xf numFmtId="181" fontId="23" fillId="0" borderId="37" xfId="0" quotePrefix="1" applyNumberFormat="1" applyFont="1" applyBorder="1" applyAlignment="1">
      <alignment horizontal="center" vertical="center"/>
    </xf>
    <xf numFmtId="181" fontId="41" fillId="15" borderId="38" xfId="0" applyNumberFormat="1" applyFont="1" applyFill="1" applyBorder="1" applyAlignment="1">
      <alignment horizontal="center" vertical="center"/>
    </xf>
    <xf numFmtId="181" fontId="41" fillId="0" borderId="38" xfId="0" quotePrefix="1" applyNumberFormat="1" applyFont="1" applyBorder="1" applyAlignment="1">
      <alignment horizontal="center" vertical="center"/>
    </xf>
    <xf numFmtId="181" fontId="47" fillId="0" borderId="37" xfId="0" quotePrefix="1" applyNumberFormat="1" applyFont="1" applyBorder="1" applyAlignment="1">
      <alignment horizontal="center" vertical="center" wrapText="1"/>
    </xf>
    <xf numFmtId="181" fontId="43" fillId="0" borderId="37" xfId="0" quotePrefix="1" applyNumberFormat="1" applyFont="1" applyBorder="1" applyAlignment="1">
      <alignment horizontal="center" vertical="center"/>
    </xf>
    <xf numFmtId="181" fontId="41" fillId="0" borderId="45" xfId="0" applyNumberFormat="1" applyFont="1" applyBorder="1" applyAlignment="1">
      <alignment horizontal="center" vertical="center"/>
    </xf>
    <xf numFmtId="0" fontId="29" fillId="4" borderId="14" xfId="0" applyFont="1" applyFill="1" applyBorder="1" applyAlignment="1">
      <alignment horizontal="center" vertical="center"/>
    </xf>
    <xf numFmtId="0" fontId="29" fillId="4" borderId="40" xfId="0" applyFont="1" applyFill="1" applyBorder="1" applyAlignment="1">
      <alignment horizontal="center" vertical="center"/>
    </xf>
    <xf numFmtId="0" fontId="41" fillId="0" borderId="14" xfId="0" applyFont="1" applyBorder="1" applyAlignment="1">
      <alignment horizontal="center" vertical="center"/>
    </xf>
    <xf numFmtId="0" fontId="41" fillId="0" borderId="16" xfId="0" applyFont="1" applyBorder="1" applyAlignment="1">
      <alignment horizontal="center" vertical="center" wrapText="1"/>
    </xf>
    <xf numFmtId="0" fontId="41" fillId="4" borderId="16" xfId="0" applyFont="1" applyFill="1" applyBorder="1" applyAlignment="1">
      <alignment horizontal="center" vertical="center" wrapText="1"/>
    </xf>
    <xf numFmtId="0" fontId="41" fillId="0" borderId="52" xfId="0" applyFont="1" applyBorder="1" applyAlignment="1">
      <alignment horizontal="center" vertical="center"/>
    </xf>
    <xf numFmtId="0" fontId="41" fillId="0" borderId="39" xfId="0" applyFont="1" applyBorder="1" applyAlignment="1">
      <alignment horizontal="center" vertical="center" wrapText="1"/>
    </xf>
    <xf numFmtId="0" fontId="41" fillId="0" borderId="17" xfId="9" applyFont="1" applyBorder="1" applyAlignment="1">
      <alignment horizontal="center" vertical="center"/>
    </xf>
    <xf numFmtId="0" fontId="41" fillId="0" borderId="56" xfId="9" applyFont="1" applyBorder="1" applyAlignment="1">
      <alignment horizontal="center" vertical="center"/>
    </xf>
    <xf numFmtId="0" fontId="23" fillId="0" borderId="37" xfId="9" applyFont="1" applyBorder="1" applyAlignment="1">
      <alignment horizontal="center" vertical="center"/>
    </xf>
    <xf numFmtId="0" fontId="41" fillId="0" borderId="16" xfId="9" applyFont="1" applyBorder="1" applyAlignment="1">
      <alignment horizontal="center" vertical="center" wrapText="1"/>
    </xf>
    <xf numFmtId="0" fontId="41" fillId="0" borderId="30" xfId="9" applyFont="1" applyBorder="1" applyAlignment="1">
      <alignment horizontal="center" vertical="center"/>
    </xf>
    <xf numFmtId="0" fontId="41" fillId="4" borderId="16" xfId="9" applyFont="1" applyFill="1" applyBorder="1" applyAlignment="1">
      <alignment horizontal="center" vertical="center" wrapText="1"/>
    </xf>
    <xf numFmtId="0" fontId="41" fillId="0" borderId="67" xfId="9" applyFont="1" applyBorder="1" applyAlignment="1">
      <alignment horizontal="center" vertical="center"/>
    </xf>
    <xf numFmtId="0" fontId="23" fillId="0" borderId="34" xfId="9" applyFont="1" applyBorder="1" applyAlignment="1">
      <alignment horizontal="center" vertical="center"/>
    </xf>
    <xf numFmtId="0" fontId="23" fillId="0" borderId="35" xfId="9" applyFont="1" applyBorder="1" applyAlignment="1">
      <alignment horizontal="center" vertical="center"/>
    </xf>
    <xf numFmtId="0" fontId="41" fillId="0" borderId="36" xfId="9" applyFont="1" applyBorder="1" applyAlignment="1">
      <alignment horizontal="center" vertical="center" wrapText="1"/>
    </xf>
    <xf numFmtId="0" fontId="55" fillId="0" borderId="0" xfId="0" applyFont="1" applyAlignment="1">
      <alignment horizontal="center" vertical="center"/>
    </xf>
    <xf numFmtId="0" fontId="55" fillId="0" borderId="97" xfId="0" applyFont="1" applyBorder="1" applyAlignment="1">
      <alignment horizontal="center" vertical="center"/>
    </xf>
    <xf numFmtId="184" fontId="56" fillId="7" borderId="150" xfId="2" applyNumberFormat="1" applyFont="1" applyFill="1" applyBorder="1" applyAlignment="1" applyProtection="1">
      <alignment horizontal="center" vertical="center"/>
    </xf>
    <xf numFmtId="0" fontId="55" fillId="0" borderId="98" xfId="0" applyFont="1" applyBorder="1" applyAlignment="1">
      <alignment horizontal="center" vertical="center"/>
    </xf>
    <xf numFmtId="184" fontId="56" fillId="6" borderId="6" xfId="2" applyNumberFormat="1" applyFont="1" applyFill="1" applyBorder="1" applyAlignment="1" applyProtection="1">
      <alignment horizontal="center" vertical="center"/>
    </xf>
    <xf numFmtId="184" fontId="56" fillId="7" borderId="75" xfId="2" applyNumberFormat="1" applyFont="1" applyFill="1" applyBorder="1" applyAlignment="1" applyProtection="1">
      <alignment horizontal="center" vertical="center"/>
    </xf>
    <xf numFmtId="184" fontId="56" fillId="6" borderId="71" xfId="2" applyNumberFormat="1" applyFont="1" applyFill="1" applyBorder="1" applyAlignment="1" applyProtection="1">
      <alignment horizontal="center" vertical="center"/>
    </xf>
    <xf numFmtId="184" fontId="56" fillId="7" borderId="90" xfId="2" applyNumberFormat="1" applyFont="1" applyFill="1" applyBorder="1" applyAlignment="1" applyProtection="1">
      <alignment horizontal="center" vertical="center"/>
    </xf>
    <xf numFmtId="0" fontId="55" fillId="0" borderId="72" xfId="0" applyFont="1" applyBorder="1" applyAlignment="1">
      <alignment horizontal="center" vertical="center"/>
    </xf>
    <xf numFmtId="184" fontId="57" fillId="6" borderId="97" xfId="2" applyNumberFormat="1" applyFont="1" applyFill="1" applyBorder="1" applyAlignment="1" applyProtection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/>
    </xf>
    <xf numFmtId="184" fontId="57" fillId="7" borderId="75" xfId="2" applyNumberFormat="1" applyFont="1" applyFill="1" applyBorder="1" applyAlignment="1" applyProtection="1">
      <alignment horizontal="center" vertical="center"/>
    </xf>
    <xf numFmtId="0" fontId="58" fillId="0" borderId="82" xfId="0" applyFont="1" applyBorder="1" applyAlignment="1">
      <alignment horizontal="left" vertical="center"/>
    </xf>
    <xf numFmtId="0" fontId="55" fillId="17" borderId="6" xfId="0" applyFont="1" applyFill="1" applyBorder="1" applyAlignment="1">
      <alignment horizontal="center" vertical="center"/>
    </xf>
    <xf numFmtId="184" fontId="56" fillId="6" borderId="6" xfId="2" applyNumberFormat="1" applyFont="1" applyFill="1" applyBorder="1" applyAlignment="1" applyProtection="1">
      <alignment horizontal="center" vertical="center" wrapText="1"/>
    </xf>
    <xf numFmtId="184" fontId="56" fillId="7" borderId="75" xfId="2" applyNumberFormat="1" applyFont="1" applyFill="1" applyBorder="1" applyAlignment="1" applyProtection="1">
      <alignment horizontal="center" vertical="center" wrapText="1"/>
    </xf>
    <xf numFmtId="0" fontId="56" fillId="0" borderId="6" xfId="0" applyFont="1" applyBorder="1" applyAlignment="1">
      <alignment horizontal="center" vertical="center" wrapText="1"/>
    </xf>
    <xf numFmtId="0" fontId="57" fillId="0" borderId="82" xfId="0" applyFont="1" applyBorder="1" applyAlignment="1">
      <alignment horizontal="center" vertical="center"/>
    </xf>
    <xf numFmtId="0" fontId="58" fillId="0" borderId="82" xfId="0" applyFont="1" applyBorder="1" applyAlignment="1">
      <alignment horizontal="center" vertical="center"/>
    </xf>
    <xf numFmtId="184" fontId="57" fillId="6" borderId="71" xfId="2" applyNumberFormat="1" applyFont="1" applyFill="1" applyBorder="1" applyAlignment="1" applyProtection="1">
      <alignment horizontal="center" vertical="center"/>
    </xf>
    <xf numFmtId="0" fontId="57" fillId="0" borderId="72" xfId="0" applyFont="1" applyBorder="1" applyAlignment="1">
      <alignment horizontal="center" vertical="center"/>
    </xf>
    <xf numFmtId="184" fontId="57" fillId="7" borderId="92" xfId="2" applyNumberFormat="1" applyFont="1" applyFill="1" applyBorder="1" applyAlignment="1" applyProtection="1">
      <alignment horizontal="center" vertical="center"/>
    </xf>
    <xf numFmtId="0" fontId="56" fillId="7" borderId="6" xfId="0" applyFont="1" applyFill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 wrapText="1"/>
    </xf>
    <xf numFmtId="0" fontId="56" fillId="0" borderId="97" xfId="0" applyFont="1" applyBorder="1" applyAlignment="1">
      <alignment horizontal="center" vertical="center"/>
    </xf>
    <xf numFmtId="0" fontId="55" fillId="17" borderId="151" xfId="0" applyFont="1" applyFill="1" applyBorder="1" applyAlignment="1">
      <alignment horizontal="center" vertical="center"/>
    </xf>
    <xf numFmtId="0" fontId="55" fillId="17" borderId="98" xfId="0" applyFont="1" applyFill="1" applyBorder="1" applyAlignment="1">
      <alignment horizontal="center" vertical="center"/>
    </xf>
    <xf numFmtId="0" fontId="57" fillId="0" borderId="73" xfId="0" applyFont="1" applyBorder="1" applyAlignment="1">
      <alignment horizontal="center" vertical="center"/>
    </xf>
    <xf numFmtId="0" fontId="57" fillId="0" borderId="151" xfId="0" applyFont="1" applyBorder="1" applyAlignment="1">
      <alignment horizontal="center" vertical="center"/>
    </xf>
    <xf numFmtId="0" fontId="55" fillId="17" borderId="82" xfId="0" applyFont="1" applyFill="1" applyBorder="1" applyAlignment="1">
      <alignment horizontal="center" vertical="center"/>
    </xf>
    <xf numFmtId="0" fontId="57" fillId="17" borderId="83" xfId="0" applyFont="1" applyFill="1" applyBorder="1" applyAlignment="1">
      <alignment horizontal="center" vertical="center"/>
    </xf>
    <xf numFmtId="0" fontId="57" fillId="15" borderId="83" xfId="0" applyFont="1" applyFill="1" applyBorder="1" applyAlignment="1">
      <alignment horizontal="center" vertical="center"/>
    </xf>
    <xf numFmtId="0" fontId="57" fillId="0" borderId="6" xfId="0" applyFont="1" applyBorder="1" applyAlignment="1">
      <alignment horizontal="center" vertical="center" wrapText="1"/>
    </xf>
    <xf numFmtId="0" fontId="56" fillId="0" borderId="97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/>
    </xf>
    <xf numFmtId="181" fontId="29" fillId="0" borderId="16" xfId="0" applyNumberFormat="1" applyFont="1" applyBorder="1" applyAlignment="1">
      <alignment horizontal="center" vertical="center" wrapText="1"/>
    </xf>
    <xf numFmtId="181" fontId="29" fillId="4" borderId="40" xfId="0" applyNumberFormat="1" applyFont="1" applyFill="1" applyBorder="1" applyAlignment="1">
      <alignment horizontal="center" vertical="center"/>
    </xf>
    <xf numFmtId="181" fontId="29" fillId="4" borderId="17" xfId="0" applyNumberFormat="1" applyFont="1" applyFill="1" applyBorder="1" applyAlignment="1">
      <alignment horizontal="center" vertical="center"/>
    </xf>
    <xf numFmtId="0" fontId="41" fillId="0" borderId="0" xfId="0" applyFont="1" applyAlignment="1">
      <alignment horizontal="left" vertical="center"/>
    </xf>
    <xf numFmtId="0" fontId="14" fillId="18" borderId="0" xfId="0" applyFont="1" applyFill="1" applyAlignment="1">
      <alignment horizontal="center" vertical="center"/>
    </xf>
    <xf numFmtId="0" fontId="14" fillId="19" borderId="159" xfId="0" applyFont="1" applyFill="1" applyBorder="1" applyAlignment="1">
      <alignment horizontal="center" vertical="center"/>
    </xf>
    <xf numFmtId="0" fontId="14" fillId="19" borderId="160" xfId="0" applyFont="1" applyFill="1" applyBorder="1" applyAlignment="1">
      <alignment horizontal="center" vertical="center"/>
    </xf>
    <xf numFmtId="0" fontId="14" fillId="19" borderId="162" xfId="0" applyFont="1" applyFill="1" applyBorder="1" applyAlignment="1">
      <alignment horizontal="center" vertical="center"/>
    </xf>
    <xf numFmtId="0" fontId="13" fillId="20" borderId="138" xfId="0" applyFont="1" applyFill="1" applyBorder="1" applyAlignment="1">
      <alignment horizontal="center" vertical="center"/>
    </xf>
    <xf numFmtId="0" fontId="14" fillId="19" borderId="163" xfId="0" applyFont="1" applyFill="1" applyBorder="1" applyAlignment="1">
      <alignment horizontal="center" vertical="center"/>
    </xf>
    <xf numFmtId="0" fontId="14" fillId="19" borderId="161" xfId="0" applyFont="1" applyFill="1" applyBorder="1" applyAlignment="1">
      <alignment horizontal="center" vertical="center"/>
    </xf>
    <xf numFmtId="0" fontId="13" fillId="0" borderId="152" xfId="0" applyFont="1" applyBorder="1" applyAlignment="1">
      <alignment horizontal="center" vertical="center"/>
    </xf>
    <xf numFmtId="183" fontId="13" fillId="0" borderId="148" xfId="0" applyNumberFormat="1" applyFont="1" applyBorder="1" applyAlignment="1">
      <alignment horizontal="center" vertical="center"/>
    </xf>
    <xf numFmtId="0" fontId="13" fillId="20" borderId="145" xfId="0" applyFont="1" applyFill="1" applyBorder="1" applyAlignment="1">
      <alignment horizontal="center" vertical="center"/>
    </xf>
    <xf numFmtId="183" fontId="13" fillId="0" borderId="149" xfId="0" applyNumberFormat="1" applyFont="1" applyBorder="1" applyAlignment="1">
      <alignment horizontal="center" vertical="center"/>
    </xf>
    <xf numFmtId="0" fontId="13" fillId="0" borderId="153" xfId="0" applyFont="1" applyBorder="1" applyAlignment="1">
      <alignment horizontal="center" vertical="center"/>
    </xf>
    <xf numFmtId="0" fontId="13" fillId="0" borderId="154" xfId="0" applyFont="1" applyBorder="1" applyAlignment="1">
      <alignment horizontal="center" vertical="center"/>
    </xf>
    <xf numFmtId="0" fontId="13" fillId="0" borderId="155" xfId="0" applyFont="1" applyBorder="1" applyAlignment="1">
      <alignment horizontal="center" vertical="center"/>
    </xf>
    <xf numFmtId="183" fontId="13" fillId="0" borderId="156" xfId="0" applyNumberFormat="1" applyFont="1" applyBorder="1" applyAlignment="1">
      <alignment horizontal="center" vertical="center"/>
    </xf>
    <xf numFmtId="0" fontId="13" fillId="20" borderId="99" xfId="0" applyFont="1" applyFill="1" applyBorder="1" applyAlignment="1">
      <alignment horizontal="center" vertical="center"/>
    </xf>
    <xf numFmtId="183" fontId="13" fillId="0" borderId="157" xfId="0" applyNumberFormat="1" applyFont="1" applyBorder="1" applyAlignment="1">
      <alignment horizontal="center" vertical="center"/>
    </xf>
    <xf numFmtId="0" fontId="13" fillId="0" borderId="158" xfId="0" applyFont="1" applyBorder="1" applyAlignment="1">
      <alignment horizontal="center" vertical="center"/>
    </xf>
    <xf numFmtId="183" fontId="13" fillId="0" borderId="0" xfId="0" applyNumberFormat="1" applyFont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182" fontId="13" fillId="0" borderId="0" xfId="0" applyNumberFormat="1" applyFont="1" applyAlignment="1">
      <alignment horizontal="center" vertical="center"/>
    </xf>
    <xf numFmtId="0" fontId="63" fillId="0" borderId="0" xfId="0" applyFont="1" applyAlignment="1">
      <alignment horizontal="right" vertical="center"/>
    </xf>
    <xf numFmtId="0" fontId="57" fillId="0" borderId="181" xfId="0" applyFont="1" applyBorder="1" applyAlignment="1">
      <alignment horizontal="center" vertical="center"/>
    </xf>
    <xf numFmtId="0" fontId="57" fillId="0" borderId="182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64" fillId="0" borderId="71" xfId="0" applyFont="1" applyBorder="1" applyAlignment="1">
      <alignment horizontal="center" vertical="center"/>
    </xf>
    <xf numFmtId="0" fontId="64" fillId="6" borderId="115" xfId="0" applyFont="1" applyFill="1" applyBorder="1" applyAlignment="1">
      <alignment horizontal="center" vertical="center" wrapText="1"/>
    </xf>
    <xf numFmtId="0" fontId="57" fillId="4" borderId="6" xfId="0" applyFont="1" applyFill="1" applyBorder="1" applyAlignment="1">
      <alignment horizontal="center" vertical="center"/>
    </xf>
    <xf numFmtId="0" fontId="57" fillId="4" borderId="82" xfId="0" applyFont="1" applyFill="1" applyBorder="1" applyAlignment="1">
      <alignment horizontal="center" vertical="center"/>
    </xf>
    <xf numFmtId="0" fontId="11" fillId="0" borderId="152" xfId="0" applyFont="1" applyBorder="1" applyAlignment="1">
      <alignment horizontal="center" vertical="center"/>
    </xf>
    <xf numFmtId="0" fontId="65" fillId="0" borderId="147" xfId="0" applyFont="1" applyBorder="1" applyAlignment="1">
      <alignment horizontal="center" vertical="center"/>
    </xf>
    <xf numFmtId="0" fontId="11" fillId="0" borderId="147" xfId="0" applyFont="1" applyBorder="1" applyAlignment="1">
      <alignment horizontal="center" vertical="center"/>
    </xf>
    <xf numFmtId="183" fontId="11" fillId="0" borderId="148" xfId="0" applyNumberFormat="1" applyFont="1" applyBorder="1" applyAlignment="1">
      <alignment horizontal="center" vertical="center"/>
    </xf>
    <xf numFmtId="0" fontId="11" fillId="20" borderId="145" xfId="0" applyFont="1" applyFill="1" applyBorder="1" applyAlignment="1">
      <alignment horizontal="center" vertical="center"/>
    </xf>
    <xf numFmtId="183" fontId="11" fillId="0" borderId="149" xfId="0" applyNumberFormat="1" applyFont="1" applyBorder="1" applyAlignment="1">
      <alignment horizontal="center" vertical="center"/>
    </xf>
    <xf numFmtId="0" fontId="11" fillId="0" borderId="153" xfId="0" applyFont="1" applyBorder="1" applyAlignment="1">
      <alignment horizontal="center" vertical="center"/>
    </xf>
    <xf numFmtId="183" fontId="66" fillId="0" borderId="149" xfId="0" applyNumberFormat="1" applyFont="1" applyBorder="1" applyAlignment="1">
      <alignment horizontal="center" vertical="center"/>
    </xf>
    <xf numFmtId="0" fontId="43" fillId="13" borderId="147" xfId="0" applyFont="1" applyFill="1" applyBorder="1" applyAlignment="1">
      <alignment horizontal="center" vertical="center"/>
    </xf>
    <xf numFmtId="0" fontId="11" fillId="0" borderId="0" xfId="0" applyFont="1" applyAlignment="1">
      <alignment horizontal="right" vertical="center"/>
    </xf>
    <xf numFmtId="0" fontId="11" fillId="0" borderId="0" xfId="0" applyFont="1">
      <alignment vertical="center"/>
    </xf>
    <xf numFmtId="0" fontId="65" fillId="0" borderId="147" xfId="0" applyFont="1" applyBorder="1" applyAlignment="1">
      <alignment horizontal="center" vertical="center" wrapText="1"/>
    </xf>
    <xf numFmtId="183" fontId="43" fillId="0" borderId="149" xfId="0" applyNumberFormat="1" applyFont="1" applyBorder="1" applyAlignment="1">
      <alignment horizontal="center" vertical="center"/>
    </xf>
    <xf numFmtId="183" fontId="43" fillId="0" borderId="148" xfId="0" applyNumberFormat="1" applyFont="1" applyBorder="1" applyAlignment="1">
      <alignment horizontal="center" vertical="center"/>
    </xf>
    <xf numFmtId="183" fontId="11" fillId="14" borderId="149" xfId="0" applyNumberFormat="1" applyFont="1" applyFill="1" applyBorder="1" applyAlignment="1">
      <alignment horizontal="center" vertical="center"/>
    </xf>
    <xf numFmtId="0" fontId="11" fillId="14" borderId="147" xfId="0" applyFont="1" applyFill="1" applyBorder="1" applyAlignment="1">
      <alignment horizontal="center" vertical="center"/>
    </xf>
    <xf numFmtId="0" fontId="65" fillId="14" borderId="147" xfId="0" applyFont="1" applyFill="1" applyBorder="1" applyAlignment="1">
      <alignment horizontal="center" vertical="center"/>
    </xf>
    <xf numFmtId="0" fontId="11" fillId="14" borderId="153" xfId="0" applyFont="1" applyFill="1" applyBorder="1" applyAlignment="1">
      <alignment horizontal="center" vertical="center"/>
    </xf>
    <xf numFmtId="183" fontId="66" fillId="0" borderId="148" xfId="0" applyNumberFormat="1" applyFont="1" applyBorder="1" applyAlignment="1">
      <alignment horizontal="center" vertical="center"/>
    </xf>
    <xf numFmtId="0" fontId="68" fillId="0" borderId="152" xfId="0" applyFont="1" applyBorder="1" applyAlignment="1">
      <alignment horizontal="center" vertical="center"/>
    </xf>
    <xf numFmtId="0" fontId="69" fillId="0" borderId="147" xfId="0" applyFont="1" applyBorder="1" applyAlignment="1">
      <alignment horizontal="center" vertical="center" wrapText="1"/>
    </xf>
    <xf numFmtId="0" fontId="68" fillId="0" borderId="147" xfId="0" applyFont="1" applyBorder="1" applyAlignment="1">
      <alignment horizontal="center" vertical="center"/>
    </xf>
    <xf numFmtId="183" fontId="68" fillId="0" borderId="148" xfId="0" applyNumberFormat="1" applyFont="1" applyBorder="1" applyAlignment="1">
      <alignment horizontal="center" vertical="center"/>
    </xf>
    <xf numFmtId="0" fontId="11" fillId="0" borderId="154" xfId="0" applyFont="1" applyBorder="1" applyAlignment="1">
      <alignment horizontal="center" vertical="center"/>
    </xf>
    <xf numFmtId="0" fontId="11" fillId="0" borderId="155" xfId="0" applyFont="1" applyBorder="1" applyAlignment="1">
      <alignment horizontal="center" vertical="center"/>
    </xf>
    <xf numFmtId="183" fontId="11" fillId="0" borderId="156" xfId="0" applyNumberFormat="1" applyFont="1" applyBorder="1" applyAlignment="1">
      <alignment horizontal="center" vertical="center"/>
    </xf>
    <xf numFmtId="0" fontId="11" fillId="20" borderId="99" xfId="0" applyFont="1" applyFill="1" applyBorder="1" applyAlignment="1">
      <alignment horizontal="center" vertical="center"/>
    </xf>
    <xf numFmtId="183" fontId="11" fillId="0" borderId="157" xfId="0" applyNumberFormat="1" applyFont="1" applyBorder="1" applyAlignment="1">
      <alignment horizontal="center" vertical="center"/>
    </xf>
    <xf numFmtId="0" fontId="11" fillId="0" borderId="1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83" fontId="11" fillId="0" borderId="0" xfId="0" applyNumberFormat="1" applyFont="1" applyAlignment="1">
      <alignment horizontal="center" vertical="center"/>
    </xf>
    <xf numFmtId="0" fontId="43" fillId="18" borderId="0" xfId="0" applyFont="1" applyFill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43" fillId="19" borderId="159" xfId="0" applyFont="1" applyFill="1" applyBorder="1" applyAlignment="1">
      <alignment horizontal="center" vertical="center"/>
    </xf>
    <xf numFmtId="0" fontId="43" fillId="19" borderId="160" xfId="0" applyFont="1" applyFill="1" applyBorder="1" applyAlignment="1">
      <alignment horizontal="center" vertical="center"/>
    </xf>
    <xf numFmtId="0" fontId="43" fillId="19" borderId="162" xfId="0" applyFont="1" applyFill="1" applyBorder="1" applyAlignment="1">
      <alignment horizontal="center" vertical="center"/>
    </xf>
    <xf numFmtId="0" fontId="43" fillId="20" borderId="138" xfId="0" applyFont="1" applyFill="1" applyBorder="1" applyAlignment="1">
      <alignment horizontal="center" vertical="center"/>
    </xf>
    <xf numFmtId="0" fontId="43" fillId="19" borderId="163" xfId="0" applyFont="1" applyFill="1" applyBorder="1" applyAlignment="1">
      <alignment horizontal="center" vertical="center"/>
    </xf>
    <xf numFmtId="0" fontId="43" fillId="19" borderId="161" xfId="0" applyFont="1" applyFill="1" applyBorder="1" applyAlignment="1">
      <alignment horizontal="center" vertical="center"/>
    </xf>
    <xf numFmtId="0" fontId="11" fillId="0" borderId="147" xfId="0" applyFont="1" applyBorder="1" applyAlignment="1">
      <alignment horizontal="center" vertical="center" wrapText="1"/>
    </xf>
    <xf numFmtId="0" fontId="11" fillId="6" borderId="145" xfId="0" applyFont="1" applyFill="1" applyBorder="1" applyAlignment="1">
      <alignment horizontal="center" vertical="center"/>
    </xf>
    <xf numFmtId="0" fontId="47" fillId="18" borderId="0" xfId="0" applyFont="1" applyFill="1" applyAlignment="1">
      <alignment horizontal="center" vertical="center"/>
    </xf>
    <xf numFmtId="0" fontId="43" fillId="19" borderId="96" xfId="0" applyFont="1" applyFill="1" applyBorder="1" applyAlignment="1">
      <alignment horizontal="center" vertical="center"/>
    </xf>
    <xf numFmtId="0" fontId="43" fillId="19" borderId="97" xfId="0" applyFont="1" applyFill="1" applyBorder="1" applyAlignment="1">
      <alignment horizontal="center" vertical="center"/>
    </xf>
    <xf numFmtId="0" fontId="43" fillId="19" borderId="150" xfId="0" applyFont="1" applyFill="1" applyBorder="1" applyAlignment="1">
      <alignment horizontal="center" vertical="center"/>
    </xf>
    <xf numFmtId="0" fontId="43" fillId="19" borderId="151" xfId="0" applyFont="1" applyFill="1" applyBorder="1" applyAlignment="1">
      <alignment horizontal="center" vertical="center"/>
    </xf>
    <xf numFmtId="0" fontId="43" fillId="19" borderId="98" xfId="0" applyFont="1" applyFill="1" applyBorder="1" applyAlignment="1">
      <alignment horizontal="center" vertical="center"/>
    </xf>
    <xf numFmtId="0" fontId="11" fillId="0" borderId="184" xfId="0" applyFont="1" applyBorder="1" applyAlignment="1">
      <alignment horizontal="center" vertical="center"/>
    </xf>
    <xf numFmtId="0" fontId="11" fillId="0" borderId="172" xfId="0" applyFont="1" applyBorder="1" applyAlignment="1">
      <alignment horizontal="center" vertical="center"/>
    </xf>
    <xf numFmtId="183" fontId="11" fillId="0" borderId="185" xfId="0" applyNumberFormat="1" applyFont="1" applyBorder="1" applyAlignment="1">
      <alignment horizontal="center" vertical="center"/>
    </xf>
    <xf numFmtId="183" fontId="11" fillId="0" borderId="184" xfId="0" applyNumberFormat="1" applyFont="1" applyBorder="1" applyAlignment="1">
      <alignment horizontal="center" vertical="center"/>
    </xf>
    <xf numFmtId="0" fontId="11" fillId="0" borderId="185" xfId="0" applyFont="1" applyBorder="1" applyAlignment="1">
      <alignment horizontal="center" vertical="center"/>
    </xf>
    <xf numFmtId="0" fontId="11" fillId="0" borderId="186" xfId="0" applyFont="1" applyBorder="1" applyAlignment="1">
      <alignment horizontal="center" vertical="center"/>
    </xf>
    <xf numFmtId="0" fontId="11" fillId="0" borderId="187" xfId="0" applyFont="1" applyBorder="1" applyAlignment="1">
      <alignment horizontal="center" vertical="center"/>
    </xf>
    <xf numFmtId="183" fontId="11" fillId="0" borderId="188" xfId="0" applyNumberFormat="1" applyFont="1" applyBorder="1" applyAlignment="1">
      <alignment horizontal="center" vertical="center"/>
    </xf>
    <xf numFmtId="183" fontId="11" fillId="0" borderId="186" xfId="0" applyNumberFormat="1" applyFont="1" applyBorder="1" applyAlignment="1">
      <alignment horizontal="center" vertical="center"/>
    </xf>
    <xf numFmtId="0" fontId="11" fillId="0" borderId="188" xfId="0" applyFont="1" applyBorder="1" applyAlignment="1">
      <alignment horizontal="center" vertical="center"/>
    </xf>
    <xf numFmtId="0" fontId="43" fillId="21" borderId="152" xfId="0" applyFont="1" applyFill="1" applyBorder="1" applyAlignment="1">
      <alignment horizontal="center" vertical="center"/>
    </xf>
    <xf numFmtId="0" fontId="43" fillId="21" borderId="147" xfId="0" applyFont="1" applyFill="1" applyBorder="1" applyAlignment="1">
      <alignment horizontal="center" vertical="center" wrapText="1"/>
    </xf>
    <xf numFmtId="0" fontId="43" fillId="21" borderId="147" xfId="0" applyFont="1" applyFill="1" applyBorder="1" applyAlignment="1">
      <alignment horizontal="center" vertical="center"/>
    </xf>
    <xf numFmtId="183" fontId="43" fillId="21" borderId="148" xfId="0" applyNumberFormat="1" applyFont="1" applyFill="1" applyBorder="1" applyAlignment="1">
      <alignment horizontal="center" vertical="center"/>
    </xf>
    <xf numFmtId="187" fontId="47" fillId="21" borderId="148" xfId="0" applyNumberFormat="1" applyFont="1" applyFill="1" applyBorder="1" applyAlignment="1">
      <alignment horizontal="center" vertical="center"/>
    </xf>
    <xf numFmtId="0" fontId="43" fillId="21" borderId="6" xfId="0" applyFont="1" applyFill="1" applyBorder="1" applyAlignment="1">
      <alignment horizontal="center" vertical="center" wrapText="1"/>
    </xf>
    <xf numFmtId="187" fontId="47" fillId="21" borderId="149" xfId="0" applyNumberFormat="1" applyFont="1" applyFill="1" applyBorder="1" applyAlignment="1">
      <alignment horizontal="center" vertical="center"/>
    </xf>
    <xf numFmtId="0" fontId="43" fillId="21" borderId="153" xfId="0" applyFont="1" applyFill="1" applyBorder="1" applyAlignment="1">
      <alignment horizontal="center" vertical="center"/>
    </xf>
    <xf numFmtId="183" fontId="47" fillId="21" borderId="149" xfId="0" applyNumberFormat="1" applyFont="1" applyFill="1" applyBorder="1" applyAlignment="1">
      <alignment horizontal="center" vertical="center"/>
    </xf>
    <xf numFmtId="183" fontId="43" fillId="21" borderId="149" xfId="0" applyNumberFormat="1" applyFont="1" applyFill="1" applyBorder="1" applyAlignment="1">
      <alignment horizontal="center" vertical="center"/>
    </xf>
    <xf numFmtId="0" fontId="67" fillId="21" borderId="152" xfId="0" applyFont="1" applyFill="1" applyBorder="1" applyAlignment="1">
      <alignment horizontal="center" vertical="center"/>
    </xf>
    <xf numFmtId="0" fontId="67" fillId="21" borderId="147" xfId="0" applyFont="1" applyFill="1" applyBorder="1" applyAlignment="1">
      <alignment horizontal="center" vertical="center" wrapText="1"/>
    </xf>
    <xf numFmtId="0" fontId="67" fillId="21" borderId="147" xfId="0" applyFont="1" applyFill="1" applyBorder="1" applyAlignment="1">
      <alignment horizontal="center" vertical="center"/>
    </xf>
    <xf numFmtId="183" fontId="67" fillId="21" borderId="148" xfId="0" applyNumberFormat="1" applyFont="1" applyFill="1" applyBorder="1" applyAlignment="1">
      <alignment horizontal="center" vertical="center"/>
    </xf>
    <xf numFmtId="183" fontId="47" fillId="21" borderId="148" xfId="0" applyNumberFormat="1" applyFont="1" applyFill="1" applyBorder="1" applyAlignment="1">
      <alignment horizontal="center" vertical="center"/>
    </xf>
    <xf numFmtId="0" fontId="47" fillId="21" borderId="147" xfId="0" applyFont="1" applyFill="1" applyBorder="1" applyAlignment="1">
      <alignment horizontal="center" vertical="center"/>
    </xf>
    <xf numFmtId="0" fontId="11" fillId="21" borderId="152" xfId="0" applyFont="1" applyFill="1" applyBorder="1" applyAlignment="1">
      <alignment horizontal="center" vertical="center"/>
    </xf>
    <xf numFmtId="0" fontId="43" fillId="21" borderId="184" xfId="0" applyFont="1" applyFill="1" applyBorder="1" applyAlignment="1">
      <alignment horizontal="center" vertical="center"/>
    </xf>
    <xf numFmtId="0" fontId="43" fillId="21" borderId="172" xfId="0" applyFont="1" applyFill="1" applyBorder="1" applyAlignment="1">
      <alignment horizontal="center" vertical="center" wrapText="1"/>
    </xf>
    <xf numFmtId="0" fontId="43" fillId="21" borderId="172" xfId="0" applyFont="1" applyFill="1" applyBorder="1" applyAlignment="1">
      <alignment horizontal="center" vertical="center"/>
    </xf>
    <xf numFmtId="187" fontId="47" fillId="21" borderId="185" xfId="0" applyNumberFormat="1" applyFont="1" applyFill="1" applyBorder="1" applyAlignment="1">
      <alignment horizontal="center" vertical="center"/>
    </xf>
    <xf numFmtId="183" fontId="43" fillId="21" borderId="185" xfId="0" applyNumberFormat="1" applyFont="1" applyFill="1" applyBorder="1" applyAlignment="1">
      <alignment horizontal="center" vertical="center"/>
    </xf>
    <xf numFmtId="0" fontId="43" fillId="0" borderId="152" xfId="0" applyFont="1" applyBorder="1" applyAlignment="1">
      <alignment horizontal="center" vertical="center"/>
    </xf>
    <xf numFmtId="0" fontId="43" fillId="0" borderId="147" xfId="0" applyFont="1" applyBorder="1" applyAlignment="1">
      <alignment horizontal="center" vertical="center" wrapText="1"/>
    </xf>
    <xf numFmtId="0" fontId="71" fillId="16" borderId="136" xfId="0" applyFont="1" applyFill="1" applyBorder="1" applyAlignment="1">
      <alignment horizontal="center" vertical="center"/>
    </xf>
    <xf numFmtId="0" fontId="71" fillId="22" borderId="136" xfId="0" applyFont="1" applyFill="1" applyBorder="1" applyAlignment="1">
      <alignment horizontal="center" vertical="center"/>
    </xf>
    <xf numFmtId="0" fontId="30" fillId="0" borderId="135" xfId="0" applyFont="1" applyBorder="1" applyAlignment="1">
      <alignment horizontal="center" vertical="center" readingOrder="1"/>
    </xf>
    <xf numFmtId="0" fontId="30" fillId="0" borderId="6" xfId="0" applyFont="1" applyBorder="1" applyAlignment="1">
      <alignment horizontal="center" vertical="center" readingOrder="1"/>
    </xf>
    <xf numFmtId="176" fontId="42" fillId="0" borderId="6" xfId="2" applyNumberFormat="1" applyFont="1" applyFill="1" applyBorder="1">
      <alignment vertical="center"/>
    </xf>
    <xf numFmtId="0" fontId="30" fillId="0" borderId="136" xfId="0" applyFont="1" applyBorder="1" applyAlignment="1">
      <alignment horizontal="center" vertical="center" readingOrder="1"/>
    </xf>
    <xf numFmtId="0" fontId="24" fillId="0" borderId="135" xfId="0" applyFont="1" applyBorder="1" applyAlignment="1">
      <alignment horizontal="center" vertical="center"/>
    </xf>
    <xf numFmtId="0" fontId="45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4" fillId="0" borderId="191" xfId="0" applyFont="1" applyBorder="1" applyAlignment="1">
      <alignment horizontal="center" vertical="center"/>
    </xf>
    <xf numFmtId="0" fontId="45" fillId="0" borderId="191" xfId="0" applyFont="1" applyBorder="1" applyAlignment="1">
      <alignment horizontal="center" vertical="center"/>
    </xf>
    <xf numFmtId="176" fontId="13" fillId="0" borderId="191" xfId="2" applyNumberFormat="1" applyFont="1" applyBorder="1">
      <alignment vertical="center"/>
    </xf>
    <xf numFmtId="0" fontId="24" fillId="0" borderId="182" xfId="0" applyFont="1" applyBorder="1" applyAlignment="1">
      <alignment horizontal="center" vertical="center"/>
    </xf>
    <xf numFmtId="0" fontId="45" fillId="0" borderId="182" xfId="0" applyFont="1" applyBorder="1" applyAlignment="1">
      <alignment horizontal="center" vertical="center"/>
    </xf>
    <xf numFmtId="176" fontId="13" fillId="0" borderId="182" xfId="2" applyNumberFormat="1" applyFont="1" applyBorder="1">
      <alignment vertical="center"/>
    </xf>
    <xf numFmtId="176" fontId="13" fillId="0" borderId="191" xfId="2" applyNumberFormat="1" applyFont="1" applyFill="1" applyBorder="1">
      <alignment vertical="center"/>
    </xf>
    <xf numFmtId="176" fontId="13" fillId="0" borderId="135" xfId="2" applyNumberFormat="1" applyFont="1" applyFill="1" applyBorder="1">
      <alignment vertical="center"/>
    </xf>
    <xf numFmtId="0" fontId="0" fillId="0" borderId="193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194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4" fillId="5" borderId="196" xfId="0" applyFont="1" applyFill="1" applyBorder="1" applyAlignment="1">
      <alignment horizontal="center" vertical="center"/>
    </xf>
    <xf numFmtId="0" fontId="45" fillId="5" borderId="196" xfId="0" applyFont="1" applyFill="1" applyBorder="1" applyAlignment="1">
      <alignment horizontal="center" vertical="center"/>
    </xf>
    <xf numFmtId="176" fontId="13" fillId="5" borderId="196" xfId="2" applyNumberFormat="1" applyFont="1" applyFill="1" applyBorder="1">
      <alignment vertical="center"/>
    </xf>
    <xf numFmtId="176" fontId="12" fillId="6" borderId="136" xfId="2" applyNumberFormat="1" applyFont="1" applyFill="1" applyBorder="1" applyAlignment="1">
      <alignment horizontal="center" vertical="center"/>
    </xf>
    <xf numFmtId="0" fontId="0" fillId="0" borderId="192" xfId="0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3" fillId="0" borderId="198" xfId="2" applyNumberFormat="1" applyFont="1" applyBorder="1">
      <alignment vertical="center"/>
    </xf>
    <xf numFmtId="176" fontId="13" fillId="5" borderId="198" xfId="2" applyNumberFormat="1" applyFont="1" applyFill="1" applyBorder="1">
      <alignment vertical="center"/>
    </xf>
    <xf numFmtId="42" fontId="24" fillId="0" borderId="6" xfId="0" applyNumberFormat="1" applyFont="1" applyBorder="1" applyAlignment="1">
      <alignment horizontal="center" vertical="center"/>
    </xf>
    <xf numFmtId="42" fontId="45" fillId="0" borderId="6" xfId="0" applyNumberFormat="1" applyFont="1" applyBorder="1" applyAlignment="1">
      <alignment horizontal="center" vertical="center"/>
    </xf>
    <xf numFmtId="42" fontId="0" fillId="0" borderId="136" xfId="0" applyNumberFormat="1" applyBorder="1" applyAlignment="1">
      <alignment horizontal="center" vertical="center"/>
    </xf>
    <xf numFmtId="42" fontId="24" fillId="0" borderId="136" xfId="0" applyNumberFormat="1" applyFont="1" applyBorder="1" applyAlignment="1">
      <alignment horizontal="center" vertical="center"/>
    </xf>
    <xf numFmtId="42" fontId="45" fillId="0" borderId="136" xfId="0" applyNumberFormat="1" applyFont="1" applyBorder="1" applyAlignment="1">
      <alignment horizontal="center" vertical="center"/>
    </xf>
    <xf numFmtId="0" fontId="0" fillId="0" borderId="178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0" fillId="0" borderId="203" xfId="0" applyBorder="1" applyAlignment="1">
      <alignment horizontal="center" vertical="center"/>
    </xf>
    <xf numFmtId="0" fontId="45" fillId="0" borderId="196" xfId="0" applyFont="1" applyBorder="1" applyAlignment="1">
      <alignment horizontal="center" vertical="center"/>
    </xf>
    <xf numFmtId="176" fontId="13" fillId="0" borderId="196" xfId="2" applyNumberFormat="1" applyFont="1" applyBorder="1">
      <alignment vertical="center"/>
    </xf>
    <xf numFmtId="0" fontId="23" fillId="0" borderId="0" xfId="0" applyFont="1">
      <alignment vertical="center"/>
    </xf>
    <xf numFmtId="176" fontId="13" fillId="0" borderId="6" xfId="2" applyNumberFormat="1" applyFont="1" applyBorder="1" applyAlignment="1">
      <alignment vertical="center" wrapText="1"/>
    </xf>
    <xf numFmtId="0" fontId="13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25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2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2" fillId="0" borderId="182" xfId="2" applyNumberFormat="1" applyFont="1" applyBorder="1">
      <alignment vertical="center"/>
    </xf>
    <xf numFmtId="0" fontId="72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0" fontId="72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0" fontId="72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0" fontId="72" fillId="0" borderId="136" xfId="0" applyFont="1" applyBorder="1" applyAlignment="1">
      <alignment horizontal="center" vertical="center" wrapText="1" readingOrder="1"/>
    </xf>
    <xf numFmtId="0" fontId="46" fillId="0" borderId="136" xfId="0" applyFont="1" applyBorder="1" applyAlignment="1">
      <alignment horizontal="center" vertical="center" wrapText="1" readingOrder="1"/>
    </xf>
    <xf numFmtId="0" fontId="72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72" fillId="5" borderId="196" xfId="0" applyFont="1" applyFill="1" applyBorder="1" applyAlignment="1">
      <alignment horizontal="center" vertical="center" wrapText="1"/>
    </xf>
    <xf numFmtId="0" fontId="46" fillId="5" borderId="196" xfId="0" applyFont="1" applyFill="1" applyBorder="1" applyAlignment="1">
      <alignment horizontal="center" vertical="center" wrapText="1"/>
    </xf>
    <xf numFmtId="0" fontId="72" fillId="5" borderId="6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 wrapText="1"/>
    </xf>
    <xf numFmtId="0" fontId="72" fillId="0" borderId="196" xfId="0" applyFont="1" applyBorder="1" applyAlignment="1">
      <alignment horizontal="center" vertical="center"/>
    </xf>
    <xf numFmtId="0" fontId="46" fillId="0" borderId="196" xfId="0" applyFont="1" applyBorder="1" applyAlignment="1">
      <alignment horizontal="center" vertical="center"/>
    </xf>
    <xf numFmtId="0" fontId="55" fillId="0" borderId="151" xfId="0" applyFont="1" applyBorder="1" applyAlignment="1">
      <alignment horizontal="center" vertical="center"/>
    </xf>
    <xf numFmtId="176" fontId="9" fillId="0" borderId="0" xfId="9" applyNumberFormat="1">
      <alignment vertical="center"/>
    </xf>
    <xf numFmtId="0" fontId="24" fillId="0" borderId="191" xfId="0" applyFont="1" applyBorder="1" applyAlignment="1">
      <alignment horizontal="center" vertical="center" wrapText="1"/>
    </xf>
    <xf numFmtId="0" fontId="45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4" fillId="0" borderId="0" xfId="0" applyFont="1">
      <alignment vertical="center"/>
    </xf>
    <xf numFmtId="0" fontId="57" fillId="6" borderId="6" xfId="0" applyFont="1" applyFill="1" applyBorder="1" applyAlignment="1">
      <alignment horizontal="center" vertical="center"/>
    </xf>
    <xf numFmtId="0" fontId="57" fillId="6" borderId="97" xfId="0" applyFont="1" applyFill="1" applyBorder="1" applyAlignment="1">
      <alignment horizontal="center" vertical="center" wrapText="1"/>
    </xf>
    <xf numFmtId="0" fontId="56" fillId="11" borderId="6" xfId="0" applyFont="1" applyFill="1" applyBorder="1" applyAlignment="1">
      <alignment horizontal="center" vertical="center" wrapText="1"/>
    </xf>
    <xf numFmtId="0" fontId="57" fillId="6" borderId="71" xfId="0" applyFont="1" applyFill="1" applyBorder="1" applyAlignment="1">
      <alignment horizontal="center" vertical="center" wrapText="1"/>
    </xf>
    <xf numFmtId="0" fontId="56" fillId="11" borderId="71" xfId="0" applyFont="1" applyFill="1" applyBorder="1" applyAlignment="1">
      <alignment horizontal="center" vertical="center" wrapText="1"/>
    </xf>
    <xf numFmtId="0" fontId="56" fillId="7" borderId="71" xfId="0" applyFont="1" applyFill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7" fillId="0" borderId="181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 wrapText="1"/>
    </xf>
    <xf numFmtId="0" fontId="57" fillId="0" borderId="103" xfId="0" applyFont="1" applyBorder="1" applyAlignment="1">
      <alignment horizontal="center" vertical="center" wrapText="1"/>
    </xf>
    <xf numFmtId="0" fontId="55" fillId="0" borderId="103" xfId="0" applyFont="1" applyBorder="1" applyAlignment="1">
      <alignment horizontal="center" vertical="center" wrapText="1"/>
    </xf>
    <xf numFmtId="0" fontId="56" fillId="7" borderId="97" xfId="0" applyFont="1" applyFill="1" applyBorder="1" applyAlignment="1">
      <alignment horizontal="center" vertical="center" wrapText="1"/>
    </xf>
    <xf numFmtId="184" fontId="56" fillId="6" borderId="75" xfId="2" applyNumberFormat="1" applyFont="1" applyFill="1" applyBorder="1" applyAlignment="1" applyProtection="1">
      <alignment horizontal="center" vertical="center"/>
    </xf>
    <xf numFmtId="184" fontId="56" fillId="7" borderId="6" xfId="2" applyNumberFormat="1" applyFont="1" applyFill="1" applyBorder="1" applyAlignment="1" applyProtection="1">
      <alignment horizontal="center" vertical="center"/>
    </xf>
    <xf numFmtId="0" fontId="59" fillId="0" borderId="182" xfId="0" applyFont="1" applyBorder="1" applyAlignment="1">
      <alignment horizontal="center" vertical="center"/>
    </xf>
    <xf numFmtId="0" fontId="56" fillId="7" borderId="101" xfId="0" applyFont="1" applyFill="1" applyBorder="1" applyAlignment="1">
      <alignment vertical="center" wrapText="1"/>
    </xf>
    <xf numFmtId="0" fontId="57" fillId="0" borderId="212" xfId="0" applyFont="1" applyBorder="1" applyAlignment="1">
      <alignment horizontal="center" vertical="center" wrapText="1"/>
    </xf>
    <xf numFmtId="0" fontId="55" fillId="0" borderId="181" xfId="0" applyFont="1" applyBorder="1" applyAlignment="1">
      <alignment horizontal="center" vertical="center" wrapText="1"/>
    </xf>
    <xf numFmtId="0" fontId="55" fillId="0" borderId="212" xfId="0" applyFont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 wrapText="1"/>
    </xf>
    <xf numFmtId="0" fontId="57" fillId="0" borderId="212" xfId="0" applyFont="1" applyBorder="1" applyAlignment="1">
      <alignment horizontal="center" vertical="center"/>
    </xf>
    <xf numFmtId="0" fontId="57" fillId="0" borderId="213" xfId="0" applyFont="1" applyBorder="1" applyAlignment="1">
      <alignment horizontal="center" vertical="center" wrapText="1"/>
    </xf>
    <xf numFmtId="0" fontId="57" fillId="0" borderId="214" xfId="0" applyFont="1" applyBorder="1" applyAlignment="1">
      <alignment horizontal="center" vertical="center" wrapText="1"/>
    </xf>
    <xf numFmtId="0" fontId="55" fillId="0" borderId="182" xfId="0" applyFont="1" applyBorder="1" applyAlignment="1">
      <alignment horizontal="center" vertical="center" wrapText="1"/>
    </xf>
    <xf numFmtId="0" fontId="61" fillId="0" borderId="182" xfId="0" applyFont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55" fillId="0" borderId="183" xfId="0" applyFont="1" applyBorder="1" applyAlignment="1">
      <alignment horizontal="center" vertical="center" wrapText="1"/>
    </xf>
    <xf numFmtId="0" fontId="57" fillId="6" borderId="182" xfId="0" applyFont="1" applyFill="1" applyBorder="1" applyAlignment="1">
      <alignment horizontal="center" vertical="center" wrapText="1"/>
    </xf>
    <xf numFmtId="0" fontId="56" fillId="7" borderId="182" xfId="0" applyFont="1" applyFill="1" applyBorder="1" applyAlignment="1">
      <alignment horizontal="center" vertical="center" wrapText="1"/>
    </xf>
    <xf numFmtId="0" fontId="55" fillId="0" borderId="212" xfId="0" applyFont="1" applyBorder="1" applyAlignment="1">
      <alignment horizontal="center" vertical="center"/>
    </xf>
    <xf numFmtId="0" fontId="55" fillId="0" borderId="182" xfId="0" applyFont="1" applyBorder="1" applyAlignment="1">
      <alignment horizontal="center" vertical="center"/>
    </xf>
    <xf numFmtId="0" fontId="54" fillId="0" borderId="0" xfId="0" applyFont="1" applyAlignment="1">
      <alignment vertical="center" wrapText="1"/>
    </xf>
    <xf numFmtId="0" fontId="55" fillId="0" borderId="0" xfId="0" applyFont="1" applyAlignment="1">
      <alignment horizontal="center" vertical="center" wrapText="1"/>
    </xf>
    <xf numFmtId="0" fontId="59" fillId="0" borderId="182" xfId="0" applyFont="1" applyBorder="1" applyAlignment="1">
      <alignment horizontal="center" vertical="center" wrapText="1"/>
    </xf>
    <xf numFmtId="184" fontId="57" fillId="7" borderId="216" xfId="2" applyNumberFormat="1" applyFont="1" applyFill="1" applyBorder="1" applyAlignment="1" applyProtection="1">
      <alignment horizontal="center" vertical="center"/>
    </xf>
    <xf numFmtId="184" fontId="57" fillId="6" borderId="75" xfId="2" applyNumberFormat="1" applyFont="1" applyFill="1" applyBorder="1" applyAlignment="1" applyProtection="1">
      <alignment horizontal="center" vertical="center"/>
    </xf>
    <xf numFmtId="0" fontId="57" fillId="6" borderId="182" xfId="0" applyFont="1" applyFill="1" applyBorder="1" applyAlignment="1">
      <alignment horizontal="center" vertical="center"/>
    </xf>
    <xf numFmtId="184" fontId="57" fillId="6" borderId="182" xfId="2" applyNumberFormat="1" applyFont="1" applyFill="1" applyBorder="1" applyAlignment="1" applyProtection="1">
      <alignment horizontal="center" vertical="center"/>
    </xf>
    <xf numFmtId="184" fontId="57" fillId="6" borderId="182" xfId="2" applyNumberFormat="1" applyFont="1" applyFill="1" applyBorder="1" applyAlignment="1" applyProtection="1">
      <alignment horizontal="center" vertical="center" wrapText="1"/>
    </xf>
    <xf numFmtId="184" fontId="57" fillId="6" borderId="212" xfId="2" applyNumberFormat="1" applyFont="1" applyFill="1" applyBorder="1" applyAlignment="1" applyProtection="1">
      <alignment horizontal="center" vertical="center"/>
    </xf>
    <xf numFmtId="184" fontId="55" fillId="6" borderId="181" xfId="2" applyNumberFormat="1" applyFont="1" applyFill="1" applyBorder="1" applyAlignment="1" applyProtection="1">
      <alignment horizontal="center" vertical="center"/>
    </xf>
    <xf numFmtId="184" fontId="56" fillId="7" borderId="71" xfId="2" applyNumberFormat="1" applyFont="1" applyFill="1" applyBorder="1" applyAlignment="1" applyProtection="1">
      <alignment horizontal="center" vertical="center"/>
    </xf>
    <xf numFmtId="184" fontId="56" fillId="7" borderId="182" xfId="2" applyNumberFormat="1" applyFont="1" applyFill="1" applyBorder="1" applyAlignment="1" applyProtection="1">
      <alignment horizontal="center" vertical="center"/>
    </xf>
    <xf numFmtId="184" fontId="57" fillId="7" borderId="182" xfId="2" applyNumberFormat="1" applyFont="1" applyFill="1" applyBorder="1" applyAlignment="1" applyProtection="1">
      <alignment horizontal="center" vertical="center"/>
    </xf>
    <xf numFmtId="184" fontId="56" fillId="7" borderId="97" xfId="2" applyNumberFormat="1" applyFont="1" applyFill="1" applyBorder="1" applyAlignment="1" applyProtection="1">
      <alignment horizontal="center" vertical="center"/>
    </xf>
    <xf numFmtId="184" fontId="59" fillId="7" borderId="6" xfId="2" applyNumberFormat="1" applyFont="1" applyFill="1" applyBorder="1" applyAlignment="1" applyProtection="1">
      <alignment horizontal="center" vertical="center"/>
    </xf>
    <xf numFmtId="184" fontId="55" fillId="6" borderId="182" xfId="2" applyNumberFormat="1" applyFont="1" applyFill="1" applyBorder="1" applyAlignment="1" applyProtection="1">
      <alignment horizontal="center" vertical="center"/>
    </xf>
    <xf numFmtId="184" fontId="61" fillId="6" borderId="182" xfId="2" applyNumberFormat="1" applyFont="1" applyFill="1" applyBorder="1" applyAlignment="1" applyProtection="1">
      <alignment horizontal="center" vertical="center"/>
    </xf>
    <xf numFmtId="184" fontId="56" fillId="7" borderId="181" xfId="2" applyNumberFormat="1" applyFont="1" applyFill="1" applyBorder="1" applyAlignment="1" applyProtection="1">
      <alignment horizontal="center" vertical="center"/>
    </xf>
    <xf numFmtId="184" fontId="57" fillId="6" borderId="181" xfId="2" applyNumberFormat="1" applyFont="1" applyFill="1" applyBorder="1" applyAlignment="1" applyProtection="1">
      <alignment horizontal="center" vertical="center"/>
    </xf>
    <xf numFmtId="184" fontId="55" fillId="6" borderId="212" xfId="2" applyNumberFormat="1" applyFont="1" applyFill="1" applyBorder="1" applyAlignment="1" applyProtection="1">
      <alignment horizontal="center" vertical="center"/>
    </xf>
    <xf numFmtId="0" fontId="74" fillId="0" borderId="0" xfId="0" applyFont="1">
      <alignment vertical="center"/>
    </xf>
    <xf numFmtId="0" fontId="57" fillId="12" borderId="6" xfId="0" applyFont="1" applyFill="1" applyBorder="1" applyAlignment="1">
      <alignment horizontal="center" vertical="center" wrapText="1"/>
    </xf>
    <xf numFmtId="0" fontId="57" fillId="12" borderId="6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 wrapText="1"/>
    </xf>
    <xf numFmtId="0" fontId="57" fillId="12" borderId="77" xfId="0" applyFont="1" applyFill="1" applyBorder="1" applyAlignment="1">
      <alignment horizontal="center" vertical="center"/>
    </xf>
    <xf numFmtId="0" fontId="56" fillId="12" borderId="6" xfId="0" applyFont="1" applyFill="1" applyBorder="1" applyAlignment="1">
      <alignment horizontal="center" vertical="center" wrapText="1"/>
    </xf>
    <xf numFmtId="0" fontId="57" fillId="12" borderId="71" xfId="0" applyFont="1" applyFill="1" applyBorder="1" applyAlignment="1">
      <alignment horizontal="center" vertical="center" wrapText="1"/>
    </xf>
    <xf numFmtId="0" fontId="64" fillId="7" borderId="219" xfId="0" applyFont="1" applyFill="1" applyBorder="1" applyAlignment="1">
      <alignment horizontal="center" vertical="center" wrapText="1"/>
    </xf>
    <xf numFmtId="184" fontId="57" fillId="0" borderId="212" xfId="2" applyNumberFormat="1" applyFont="1" applyFill="1" applyBorder="1" applyAlignment="1" applyProtection="1">
      <alignment horizontal="center" vertical="center"/>
    </xf>
    <xf numFmtId="184" fontId="57" fillId="0" borderId="223" xfId="2" applyNumberFormat="1" applyFont="1" applyFill="1" applyBorder="1" applyAlignment="1" applyProtection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0" fontId="56" fillId="0" borderId="182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vertical="center" wrapText="1"/>
    </xf>
    <xf numFmtId="0" fontId="57" fillId="0" borderId="197" xfId="0" applyFont="1" applyBorder="1" applyAlignment="1">
      <alignment horizontal="center" vertical="center" wrapText="1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5" fillId="0" borderId="182" xfId="2" applyNumberFormat="1" applyFont="1" applyFill="1" applyBorder="1" applyAlignment="1" applyProtection="1">
      <alignment horizontal="center" vertical="center"/>
    </xf>
    <xf numFmtId="184" fontId="55" fillId="0" borderId="224" xfId="2" applyNumberFormat="1" applyFont="1" applyFill="1" applyBorder="1" applyAlignment="1" applyProtection="1">
      <alignment horizontal="center" vertical="center"/>
    </xf>
    <xf numFmtId="0" fontId="55" fillId="12" borderId="6" xfId="0" applyFont="1" applyFill="1" applyBorder="1" applyAlignment="1">
      <alignment horizontal="center" vertical="center"/>
    </xf>
    <xf numFmtId="0" fontId="55" fillId="0" borderId="83" xfId="0" applyFont="1" applyBorder="1" applyAlignment="1">
      <alignment horizontal="left" vertical="center"/>
    </xf>
    <xf numFmtId="0" fontId="14" fillId="4" borderId="152" xfId="0" applyFont="1" applyFill="1" applyBorder="1" applyAlignment="1">
      <alignment horizontal="center" vertical="center" wrapText="1"/>
    </xf>
    <xf numFmtId="0" fontId="14" fillId="4" borderId="147" xfId="0" applyFont="1" applyFill="1" applyBorder="1" applyAlignment="1">
      <alignment horizontal="center" vertical="center" wrapText="1"/>
    </xf>
    <xf numFmtId="183" fontId="14" fillId="4" borderId="148" xfId="0" applyNumberFormat="1" applyFont="1" applyFill="1" applyBorder="1" applyAlignment="1">
      <alignment horizontal="center" vertical="center" wrapText="1"/>
    </xf>
    <xf numFmtId="0" fontId="14" fillId="4" borderId="152" xfId="0" applyFont="1" applyFill="1" applyBorder="1" applyAlignment="1">
      <alignment horizontal="center" vertical="center"/>
    </xf>
    <xf numFmtId="0" fontId="14" fillId="4" borderId="147" xfId="0" applyFont="1" applyFill="1" applyBorder="1" applyAlignment="1">
      <alignment horizontal="center" vertical="center"/>
    </xf>
    <xf numFmtId="183" fontId="14" fillId="4" borderId="148" xfId="0" applyNumberFormat="1" applyFont="1" applyFill="1" applyBorder="1" applyAlignment="1">
      <alignment horizontal="center" vertical="center"/>
    </xf>
    <xf numFmtId="0" fontId="13" fillId="4" borderId="13" xfId="9" applyFont="1" applyFill="1" applyBorder="1" applyAlignment="1">
      <alignment horizontal="center" vertical="center" wrapText="1"/>
    </xf>
    <xf numFmtId="0" fontId="13" fillId="4" borderId="14" xfId="9" applyFont="1" applyFill="1" applyBorder="1" applyAlignment="1">
      <alignment horizontal="center" vertical="center" wrapText="1"/>
    </xf>
    <xf numFmtId="0" fontId="13" fillId="4" borderId="46" xfId="9" applyFont="1" applyFill="1" applyBorder="1" applyAlignment="1">
      <alignment horizontal="center" vertical="center" wrapText="1"/>
    </xf>
    <xf numFmtId="0" fontId="55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2" fillId="0" borderId="135" xfId="0" applyFont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0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9" fillId="4" borderId="0" xfId="9" applyNumberFormat="1" applyFill="1">
      <alignment vertical="center"/>
    </xf>
    <xf numFmtId="10" fontId="24" fillId="0" borderId="0" xfId="12" applyNumberFormat="1" applyFont="1" applyAlignment="1">
      <alignment vertical="center"/>
    </xf>
    <xf numFmtId="10" fontId="76" fillId="0" borderId="0" xfId="9" applyNumberFormat="1" applyFont="1">
      <alignment vertical="center"/>
    </xf>
    <xf numFmtId="0" fontId="12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3" fillId="0" borderId="182" xfId="2" applyNumberFormat="1" applyFont="1" applyFill="1" applyBorder="1">
      <alignment vertical="center"/>
    </xf>
    <xf numFmtId="0" fontId="11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3" fillId="0" borderId="0" xfId="0" applyFont="1" applyAlignment="1">
      <alignment horizontal="right" vertical="center" wrapText="1"/>
    </xf>
    <xf numFmtId="0" fontId="14" fillId="4" borderId="6" xfId="0" applyFont="1" applyFill="1" applyBorder="1" applyAlignment="1">
      <alignment horizontal="center" vertical="center" wrapText="1"/>
    </xf>
    <xf numFmtId="181" fontId="23" fillId="7" borderId="40" xfId="0" applyNumberFormat="1" applyFont="1" applyFill="1" applyBorder="1" applyAlignment="1">
      <alignment horizontal="center" vertical="center"/>
    </xf>
    <xf numFmtId="181" fontId="23" fillId="9" borderId="17" xfId="0" applyNumberFormat="1" applyFont="1" applyFill="1" applyBorder="1" applyAlignment="1">
      <alignment horizontal="center" vertical="center"/>
    </xf>
    <xf numFmtId="181" fontId="23" fillId="6" borderId="58" xfId="0" applyNumberFormat="1" applyFont="1" applyFill="1" applyBorder="1" applyAlignment="1">
      <alignment horizontal="center" vertical="center"/>
    </xf>
    <xf numFmtId="0" fontId="41" fillId="0" borderId="34" xfId="0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 wrapText="1"/>
    </xf>
    <xf numFmtId="0" fontId="41" fillId="0" borderId="37" xfId="0" applyFont="1" applyBorder="1" applyAlignment="1">
      <alignment horizontal="center" vertical="center"/>
    </xf>
    <xf numFmtId="0" fontId="14" fillId="0" borderId="38" xfId="0" applyFont="1" applyBorder="1" applyAlignment="1">
      <alignment horizontal="center" vertical="center"/>
    </xf>
    <xf numFmtId="0" fontId="14" fillId="0" borderId="38" xfId="0" applyFont="1" applyBorder="1" applyAlignment="1">
      <alignment horizontal="center" vertical="center" wrapText="1"/>
    </xf>
    <xf numFmtId="0" fontId="14" fillId="0" borderId="34" xfId="0" applyFont="1" applyBorder="1" applyAlignment="1">
      <alignment horizontal="center" vertical="center"/>
    </xf>
    <xf numFmtId="0" fontId="41" fillId="0" borderId="37" xfId="0" quotePrefix="1" applyFont="1" applyBorder="1" applyAlignment="1">
      <alignment horizontal="center" vertical="center"/>
    </xf>
    <xf numFmtId="0" fontId="14" fillId="0" borderId="38" xfId="0" quotePrefix="1" applyFont="1" applyBorder="1" applyAlignment="1">
      <alignment horizontal="center" vertical="center"/>
    </xf>
    <xf numFmtId="0" fontId="14" fillId="0" borderId="37" xfId="0" quotePrefix="1" applyFont="1" applyBorder="1" applyAlignment="1">
      <alignment horizontal="center" vertical="center"/>
    </xf>
    <xf numFmtId="0" fontId="14" fillId="0" borderId="35" xfId="0" applyFont="1" applyBorder="1" applyAlignment="1">
      <alignment horizontal="center" vertical="center"/>
    </xf>
    <xf numFmtId="0" fontId="14" fillId="0" borderId="37" xfId="0" applyFont="1" applyBorder="1" applyAlignment="1">
      <alignment horizontal="center" vertical="center"/>
    </xf>
    <xf numFmtId="0" fontId="14" fillId="0" borderId="55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14" fillId="0" borderId="45" xfId="0" applyFont="1" applyBorder="1" applyAlignment="1">
      <alignment horizontal="center" vertical="center"/>
    </xf>
    <xf numFmtId="0" fontId="41" fillId="0" borderId="38" xfId="0" quotePrefix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/>
    </xf>
    <xf numFmtId="0" fontId="14" fillId="0" borderId="43" xfId="0" applyFont="1" applyBorder="1" applyAlignment="1">
      <alignment horizontal="center" vertical="center"/>
    </xf>
    <xf numFmtId="0" fontId="14" fillId="0" borderId="54" xfId="0" applyFont="1" applyBorder="1" applyAlignment="1">
      <alignment horizontal="center" vertical="center"/>
    </xf>
    <xf numFmtId="0" fontId="41" fillId="0" borderId="45" xfId="0" applyFont="1" applyBorder="1" applyAlignment="1">
      <alignment horizontal="center" vertical="center"/>
    </xf>
    <xf numFmtId="0" fontId="77" fillId="0" borderId="34" xfId="9" applyFont="1" applyBorder="1" applyAlignment="1">
      <alignment horizontal="center" vertical="center"/>
    </xf>
    <xf numFmtId="0" fontId="77" fillId="0" borderId="35" xfId="9" applyFont="1" applyBorder="1" applyAlignment="1">
      <alignment horizontal="center" vertical="center"/>
    </xf>
    <xf numFmtId="0" fontId="14" fillId="0" borderId="37" xfId="9" applyFont="1" applyBorder="1" applyAlignment="1">
      <alignment horizontal="center" vertical="center"/>
    </xf>
    <xf numFmtId="0" fontId="14" fillId="0" borderId="38" xfId="9" applyFont="1" applyBorder="1" applyAlignment="1">
      <alignment horizontal="center" vertical="center"/>
    </xf>
    <xf numFmtId="0" fontId="14" fillId="0" borderId="37" xfId="9" quotePrefix="1" applyFont="1" applyBorder="1" applyAlignment="1">
      <alignment horizontal="center" vertical="center"/>
    </xf>
    <xf numFmtId="0" fontId="14" fillId="0" borderId="38" xfId="9" quotePrefix="1" applyFont="1" applyBorder="1" applyAlignment="1">
      <alignment horizontal="center" vertical="center"/>
    </xf>
    <xf numFmtId="0" fontId="14" fillId="0" borderId="49" xfId="9" quotePrefix="1" applyFont="1" applyBorder="1" applyAlignment="1">
      <alignment horizontal="center" vertical="center"/>
    </xf>
    <xf numFmtId="0" fontId="14" fillId="0" borderId="34" xfId="9" quotePrefix="1" applyFont="1" applyBorder="1" applyAlignment="1">
      <alignment horizontal="center" vertical="center"/>
    </xf>
    <xf numFmtId="0" fontId="14" fillId="0" borderId="35" xfId="9" quotePrefix="1" applyFont="1" applyBorder="1" applyAlignment="1">
      <alignment horizontal="center" vertical="center"/>
    </xf>
    <xf numFmtId="0" fontId="14" fillId="0" borderId="59" xfId="9" quotePrefix="1" applyFont="1" applyBorder="1" applyAlignment="1">
      <alignment horizontal="center" vertical="center"/>
    </xf>
    <xf numFmtId="0" fontId="14" fillId="0" borderId="60" xfId="9" quotePrefix="1" applyFont="1" applyBorder="1" applyAlignment="1">
      <alignment horizontal="center" vertical="center"/>
    </xf>
    <xf numFmtId="0" fontId="14" fillId="0" borderId="34" xfId="9" applyFont="1" applyBorder="1" applyAlignment="1">
      <alignment horizontal="center" vertical="center"/>
    </xf>
    <xf numFmtId="0" fontId="14" fillId="0" borderId="35" xfId="9" applyFont="1" applyBorder="1" applyAlignment="1">
      <alignment horizontal="center" vertical="center"/>
    </xf>
    <xf numFmtId="0" fontId="41" fillId="0" borderId="37" xfId="9" applyFont="1" applyBorder="1" applyAlignment="1">
      <alignment horizontal="center" vertical="center"/>
    </xf>
    <xf numFmtId="0" fontId="14" fillId="0" borderId="54" xfId="9" applyFont="1" applyBorder="1" applyAlignment="1">
      <alignment horizontal="center" vertical="center"/>
    </xf>
    <xf numFmtId="0" fontId="14" fillId="0" borderId="55" xfId="9" applyFont="1" applyBorder="1" applyAlignment="1">
      <alignment horizontal="center" vertical="center"/>
    </xf>
    <xf numFmtId="0" fontId="14" fillId="0" borderId="51" xfId="9" applyFont="1" applyBorder="1" applyAlignment="1">
      <alignment horizontal="center" vertical="center"/>
    </xf>
    <xf numFmtId="0" fontId="14" fillId="0" borderId="45" xfId="9" applyFont="1" applyBorder="1" applyAlignment="1">
      <alignment horizontal="center" vertical="center"/>
    </xf>
    <xf numFmtId="0" fontId="41" fillId="0" borderId="38" xfId="9" quotePrefix="1" applyFont="1" applyBorder="1" applyAlignment="1">
      <alignment horizontal="center" vertical="center"/>
    </xf>
    <xf numFmtId="0" fontId="14" fillId="0" borderId="42" xfId="9" applyFont="1" applyBorder="1" applyAlignment="1">
      <alignment horizontal="center" vertical="center"/>
    </xf>
    <xf numFmtId="0" fontId="14" fillId="0" borderId="43" xfId="9" applyFont="1" applyBorder="1" applyAlignment="1">
      <alignment horizontal="center" vertical="center"/>
    </xf>
    <xf numFmtId="0" fontId="14" fillId="0" borderId="59" xfId="9" applyFont="1" applyBorder="1" applyAlignment="1">
      <alignment horizontal="center" vertical="center"/>
    </xf>
    <xf numFmtId="0" fontId="14" fillId="0" borderId="60" xfId="9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222" xfId="0" applyFont="1" applyBorder="1" applyAlignment="1">
      <alignment horizontal="center" vertical="center"/>
    </xf>
    <xf numFmtId="0" fontId="24" fillId="0" borderId="101" xfId="0" applyFont="1" applyBorder="1" applyAlignment="1">
      <alignment horizontal="center" vertical="center"/>
    </xf>
    <xf numFmtId="0" fontId="45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4" fontId="57" fillId="6" borderId="77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 wrapText="1"/>
    </xf>
    <xf numFmtId="184" fontId="57" fillId="7" borderId="197" xfId="2" applyNumberFormat="1" applyFont="1" applyFill="1" applyBorder="1" applyAlignment="1" applyProtection="1">
      <alignment horizontal="center" vertical="center"/>
    </xf>
    <xf numFmtId="0" fontId="56" fillId="7" borderId="6" xfId="0" applyFont="1" applyFill="1" applyBorder="1" applyAlignment="1">
      <alignment vertical="center" wrapText="1"/>
    </xf>
    <xf numFmtId="0" fontId="55" fillId="0" borderId="181" xfId="0" applyFont="1" applyBorder="1" applyAlignment="1">
      <alignment horizontal="center" vertical="center"/>
    </xf>
    <xf numFmtId="0" fontId="56" fillId="0" borderId="181" xfId="0" applyFont="1" applyBorder="1" applyAlignment="1">
      <alignment horizontal="center" vertical="center" wrapText="1"/>
    </xf>
    <xf numFmtId="0" fontId="57" fillId="0" borderId="178" xfId="0" applyFont="1" applyBorder="1" applyAlignment="1">
      <alignment horizontal="center" vertical="center"/>
    </xf>
    <xf numFmtId="184" fontId="56" fillId="7" borderId="82" xfId="2" applyNumberFormat="1" applyFont="1" applyFill="1" applyBorder="1" applyAlignment="1" applyProtection="1">
      <alignment horizontal="center" vertical="center"/>
    </xf>
    <xf numFmtId="184" fontId="57" fillId="6" borderId="82" xfId="2" applyNumberFormat="1" applyFont="1" applyFill="1" applyBorder="1" applyAlignment="1" applyProtection="1">
      <alignment horizontal="center" vertical="center"/>
    </xf>
    <xf numFmtId="184" fontId="57" fillId="7" borderId="72" xfId="2" applyNumberFormat="1" applyFont="1" applyFill="1" applyBorder="1" applyAlignment="1" applyProtection="1">
      <alignment horizontal="center" vertical="center"/>
    </xf>
    <xf numFmtId="0" fontId="57" fillId="0" borderId="22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/>
    </xf>
    <xf numFmtId="0" fontId="57" fillId="0" borderId="80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0" borderId="101" xfId="0" applyFont="1" applyBorder="1" applyAlignment="1">
      <alignment horizontal="center" vertical="center" wrapText="1"/>
    </xf>
    <xf numFmtId="0" fontId="57" fillId="0" borderId="214" xfId="0" applyFont="1" applyBorder="1" applyAlignment="1">
      <alignment horizontal="center" vertical="center"/>
    </xf>
    <xf numFmtId="184" fontId="56" fillId="7" borderId="228" xfId="2" applyNumberFormat="1" applyFont="1" applyFill="1" applyBorder="1" applyAlignment="1" applyProtection="1">
      <alignment horizontal="center" vertical="center"/>
    </xf>
    <xf numFmtId="0" fontId="55" fillId="0" borderId="197" xfId="0" applyFont="1" applyBorder="1" applyAlignment="1">
      <alignment horizontal="center" vertical="center"/>
    </xf>
    <xf numFmtId="0" fontId="56" fillId="0" borderId="197" xfId="0" applyFont="1" applyBorder="1" applyAlignment="1">
      <alignment horizontal="center" vertical="center" wrapText="1"/>
    </xf>
    <xf numFmtId="184" fontId="55" fillId="7" borderId="230" xfId="2" applyNumberFormat="1" applyFont="1" applyFill="1" applyBorder="1" applyAlignment="1" applyProtection="1">
      <alignment horizontal="center" vertical="center"/>
    </xf>
    <xf numFmtId="184" fontId="57" fillId="6" borderId="101" xfId="2" applyNumberFormat="1" applyFont="1" applyFill="1" applyBorder="1" applyAlignment="1" applyProtection="1">
      <alignment horizontal="center" vertical="center"/>
    </xf>
    <xf numFmtId="0" fontId="57" fillId="0" borderId="183" xfId="0" applyFont="1" applyBorder="1" applyAlignment="1">
      <alignment horizontal="center" vertical="center" wrapText="1"/>
    </xf>
    <xf numFmtId="184" fontId="57" fillId="7" borderId="230" xfId="2" applyNumberFormat="1" applyFont="1" applyFill="1" applyBorder="1" applyAlignment="1" applyProtection="1">
      <alignment horizontal="center" vertical="center"/>
    </xf>
    <xf numFmtId="184" fontId="56" fillId="0" borderId="225" xfId="2" applyNumberFormat="1" applyFont="1" applyFill="1" applyBorder="1" applyAlignment="1" applyProtection="1">
      <alignment horizontal="center" vertical="center"/>
    </xf>
    <xf numFmtId="184" fontId="56" fillId="0" borderId="197" xfId="2" applyNumberFormat="1" applyFont="1" applyFill="1" applyBorder="1" applyAlignment="1" applyProtection="1">
      <alignment horizontal="center" vertical="center"/>
    </xf>
    <xf numFmtId="184" fontId="57" fillId="0" borderId="229" xfId="2" applyNumberFormat="1" applyFont="1" applyFill="1" applyBorder="1" applyAlignment="1" applyProtection="1">
      <alignment horizontal="center" vertical="center"/>
    </xf>
    <xf numFmtId="0" fontId="56" fillId="0" borderId="181" xfId="0" applyFont="1" applyBorder="1" applyAlignment="1">
      <alignment horizontal="center" vertical="center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5" fillId="0" borderId="212" xfId="2" applyNumberFormat="1" applyFont="1" applyFill="1" applyBorder="1" applyAlignment="1" applyProtection="1">
      <alignment horizontal="center" vertical="center"/>
    </xf>
    <xf numFmtId="184" fontId="55" fillId="0" borderId="223" xfId="2" applyNumberFormat="1" applyFont="1" applyFill="1" applyBorder="1" applyAlignment="1" applyProtection="1">
      <alignment horizontal="center" vertical="center"/>
    </xf>
    <xf numFmtId="184" fontId="57" fillId="0" borderId="197" xfId="2" applyNumberFormat="1" applyFont="1" applyFill="1" applyBorder="1" applyAlignment="1" applyProtection="1">
      <alignment horizontal="center" vertical="center"/>
    </xf>
    <xf numFmtId="184" fontId="56" fillId="0" borderId="231" xfId="2" applyNumberFormat="1" applyFont="1" applyFill="1" applyBorder="1" applyAlignment="1" applyProtection="1">
      <alignment horizontal="center" vertical="center"/>
    </xf>
    <xf numFmtId="184" fontId="55" fillId="0" borderId="181" xfId="2" applyNumberFormat="1" applyFont="1" applyFill="1" applyBorder="1" applyAlignment="1" applyProtection="1">
      <alignment horizontal="center" vertical="center"/>
    </xf>
    <xf numFmtId="184" fontId="55" fillId="0" borderId="217" xfId="2" applyNumberFormat="1" applyFont="1" applyFill="1" applyBorder="1" applyAlignment="1" applyProtection="1">
      <alignment horizontal="center" vertical="center"/>
    </xf>
    <xf numFmtId="184" fontId="55" fillId="0" borderId="216" xfId="2" applyNumberFormat="1" applyFont="1" applyFill="1" applyBorder="1" applyAlignment="1" applyProtection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192" xfId="0" applyFont="1" applyBorder="1" applyAlignment="1">
      <alignment horizontal="center" vertical="center"/>
    </xf>
    <xf numFmtId="0" fontId="40" fillId="0" borderId="205" xfId="0" applyFont="1" applyBorder="1" applyAlignment="1">
      <alignment horizontal="center" vertical="center"/>
    </xf>
    <xf numFmtId="0" fontId="40" fillId="0" borderId="206" xfId="0" applyFont="1" applyBorder="1" applyAlignment="1">
      <alignment horizontal="center" vertical="center"/>
    </xf>
    <xf numFmtId="0" fontId="40" fillId="0" borderId="207" xfId="0" applyFont="1" applyBorder="1" applyAlignment="1">
      <alignment horizontal="center" vertical="center"/>
    </xf>
    <xf numFmtId="0" fontId="24" fillId="4" borderId="6" xfId="0" applyFont="1" applyFill="1" applyBorder="1" applyAlignment="1">
      <alignment horizontal="center" vertical="center"/>
    </xf>
    <xf numFmtId="0" fontId="24" fillId="0" borderId="182" xfId="0" applyFont="1" applyBorder="1">
      <alignment vertical="center"/>
    </xf>
    <xf numFmtId="0" fontId="45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3" fillId="0" borderId="236" xfId="2" applyNumberFormat="1" applyFont="1" applyFill="1" applyBorder="1">
      <alignment vertical="center"/>
    </xf>
    <xf numFmtId="176" fontId="13" fillId="0" borderId="237" xfId="2" applyNumberFormat="1" applyFont="1" applyFill="1" applyBorder="1">
      <alignment vertical="center"/>
    </xf>
    <xf numFmtId="0" fontId="40" fillId="0" borderId="193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136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6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3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0" fillId="5" borderId="182" xfId="0" applyFill="1" applyBorder="1" applyAlignment="1">
      <alignment horizontal="center" vertical="center" wrapText="1"/>
    </xf>
    <xf numFmtId="0" fontId="72" fillId="5" borderId="182" xfId="0" applyFont="1" applyFill="1" applyBorder="1" applyAlignment="1">
      <alignment horizontal="center" vertical="center" wrapText="1"/>
    </xf>
    <xf numFmtId="0" fontId="46" fillId="5" borderId="182" xfId="0" applyFont="1" applyFill="1" applyBorder="1" applyAlignment="1">
      <alignment horizontal="center" vertical="center" wrapText="1"/>
    </xf>
    <xf numFmtId="0" fontId="72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0" fontId="24" fillId="5" borderId="182" xfId="0" applyFont="1" applyFill="1" applyBorder="1" applyAlignment="1">
      <alignment horizontal="center" vertical="center"/>
    </xf>
    <xf numFmtId="0" fontId="45" fillId="5" borderId="182" xfId="0" applyFont="1" applyFill="1" applyBorder="1" applyAlignment="1">
      <alignment horizontal="center" vertical="center"/>
    </xf>
    <xf numFmtId="176" fontId="13" fillId="5" borderId="182" xfId="2" applyNumberFormat="1" applyFont="1" applyFill="1" applyBorder="1">
      <alignment vertical="center"/>
    </xf>
    <xf numFmtId="0" fontId="72" fillId="5" borderId="136" xfId="0" applyFont="1" applyFill="1" applyBorder="1" applyAlignment="1">
      <alignment horizontal="center" vertical="center" wrapText="1"/>
    </xf>
    <xf numFmtId="0" fontId="46" fillId="5" borderId="136" xfId="0" applyFont="1" applyFill="1" applyBorder="1" applyAlignment="1">
      <alignment horizontal="center" vertical="center" wrapText="1"/>
    </xf>
    <xf numFmtId="176" fontId="13" fillId="0" borderId="135" xfId="10" applyNumberFormat="1" applyFont="1" applyBorder="1">
      <alignment vertical="center"/>
    </xf>
    <xf numFmtId="0" fontId="46" fillId="0" borderId="136" xfId="9" applyFont="1" applyBorder="1" applyAlignment="1">
      <alignment horizontal="center" vertical="center" wrapText="1"/>
    </xf>
    <xf numFmtId="176" fontId="13" fillId="0" borderId="136" xfId="10" applyNumberFormat="1" applyFont="1" applyBorder="1">
      <alignment vertical="center"/>
    </xf>
    <xf numFmtId="0" fontId="9" fillId="0" borderId="135" xfId="9" applyBorder="1" applyAlignment="1">
      <alignment horizontal="center" vertical="center" wrapText="1"/>
    </xf>
    <xf numFmtId="0" fontId="35" fillId="0" borderId="135" xfId="9" applyFont="1" applyBorder="1" applyAlignment="1">
      <alignment horizontal="center" vertical="center" wrapText="1"/>
    </xf>
    <xf numFmtId="0" fontId="72" fillId="0" borderId="135" xfId="9" applyFont="1" applyBorder="1" applyAlignment="1">
      <alignment horizontal="center" vertical="center"/>
    </xf>
    <xf numFmtId="0" fontId="46" fillId="0" borderId="135" xfId="9" applyFont="1" applyBorder="1" applyAlignment="1">
      <alignment horizontal="center" vertical="center"/>
    </xf>
    <xf numFmtId="0" fontId="40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2" fillId="0" borderId="239" xfId="0" applyFont="1" applyBorder="1" applyAlignment="1">
      <alignment horizontal="center" vertical="center" wrapText="1"/>
    </xf>
    <xf numFmtId="0" fontId="45" fillId="0" borderId="238" xfId="0" applyFont="1" applyBorder="1" applyAlignment="1">
      <alignment horizontal="center" vertical="center" wrapText="1"/>
    </xf>
    <xf numFmtId="176" fontId="13" fillId="0" borderId="238" xfId="2" applyNumberFormat="1" applyFont="1" applyBorder="1">
      <alignment vertical="center"/>
    </xf>
    <xf numFmtId="0" fontId="23" fillId="6" borderId="136" xfId="0" applyFont="1" applyFill="1" applyBorder="1" applyAlignment="1">
      <alignment horizontal="center" vertical="center"/>
    </xf>
    <xf numFmtId="0" fontId="40" fillId="6" borderId="136" xfId="0" applyFont="1" applyFill="1" applyBorder="1" applyAlignment="1">
      <alignment horizontal="center" vertical="center"/>
    </xf>
    <xf numFmtId="176" fontId="40" fillId="6" borderId="136" xfId="2" applyNumberFormat="1" applyFont="1" applyFill="1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/>
    </xf>
    <xf numFmtId="0" fontId="0" fillId="4" borderId="6" xfId="0" quotePrefix="1" applyFill="1" applyBorder="1" applyAlignment="1">
      <alignment horizontal="center" vertical="center"/>
    </xf>
    <xf numFmtId="0" fontId="14" fillId="4" borderId="193" xfId="0" applyFont="1" applyFill="1" applyBorder="1" applyAlignment="1">
      <alignment horizontal="center" vertical="center" wrapText="1"/>
    </xf>
    <xf numFmtId="0" fontId="14" fillId="0" borderId="207" xfId="0" applyFont="1" applyBorder="1" applyAlignment="1">
      <alignment horizontal="center" vertical="center" wrapText="1"/>
    </xf>
    <xf numFmtId="0" fontId="14" fillId="0" borderId="136" xfId="0" applyFont="1" applyBorder="1" applyAlignment="1">
      <alignment horizontal="center" vertical="center" wrapText="1"/>
    </xf>
    <xf numFmtId="176" fontId="42" fillId="0" borderId="136" xfId="2" applyNumberFormat="1" applyFont="1" applyFill="1" applyBorder="1">
      <alignment vertical="center"/>
    </xf>
    <xf numFmtId="0" fontId="40" fillId="0" borderId="137" xfId="0" applyFont="1" applyBorder="1" applyAlignment="1">
      <alignment horizontal="center" vertical="center"/>
    </xf>
    <xf numFmtId="0" fontId="40" fillId="0" borderId="136" xfId="0" applyFont="1" applyBorder="1" applyAlignment="1">
      <alignment horizontal="center" vertical="center"/>
    </xf>
    <xf numFmtId="0" fontId="40" fillId="0" borderId="135" xfId="0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12" fillId="9" borderId="136" xfId="0" applyFont="1" applyFill="1" applyBorder="1" applyAlignment="1">
      <alignment horizontal="center" vertical="center"/>
    </xf>
    <xf numFmtId="0" fontId="23" fillId="0" borderId="136" xfId="0" applyFont="1" applyBorder="1" applyAlignment="1">
      <alignment horizontal="center" vertical="center"/>
    </xf>
    <xf numFmtId="0" fontId="80" fillId="4" borderId="135" xfId="0" applyFont="1" applyFill="1" applyBorder="1" applyAlignment="1">
      <alignment horizontal="center" vertical="center" wrapText="1"/>
    </xf>
    <xf numFmtId="0" fontId="80" fillId="4" borderId="6" xfId="0" applyFont="1" applyFill="1" applyBorder="1" applyAlignment="1">
      <alignment horizontal="center" vertical="center" wrapText="1"/>
    </xf>
    <xf numFmtId="0" fontId="44" fillId="4" borderId="6" xfId="0" applyFont="1" applyFill="1" applyBorder="1" applyAlignment="1">
      <alignment horizontal="center" vertical="center" wrapText="1"/>
    </xf>
    <xf numFmtId="0" fontId="44" fillId="0" borderId="136" xfId="0" applyFont="1" applyBorder="1" applyAlignment="1">
      <alignment horizontal="center" vertical="center" wrapText="1"/>
    </xf>
    <xf numFmtId="0" fontId="81" fillId="0" borderId="135" xfId="0" applyFont="1" applyBorder="1" applyAlignment="1">
      <alignment horizontal="center" vertical="center" wrapText="1"/>
    </xf>
    <xf numFmtId="0" fontId="81" fillId="0" borderId="6" xfId="0" applyFont="1" applyBorder="1" applyAlignment="1">
      <alignment horizontal="center" vertical="center" wrapText="1"/>
    </xf>
    <xf numFmtId="0" fontId="81" fillId="0" borderId="136" xfId="0" applyFont="1" applyBorder="1" applyAlignment="1">
      <alignment horizontal="center" vertical="center" wrapText="1"/>
    </xf>
    <xf numFmtId="0" fontId="81" fillId="0" borderId="77" xfId="0" applyFont="1" applyBorder="1" applyAlignment="1">
      <alignment horizontal="center" vertical="center" wrapText="1"/>
    </xf>
    <xf numFmtId="0" fontId="81" fillId="0" borderId="137" xfId="0" applyFont="1" applyBorder="1" applyAlignment="1">
      <alignment horizontal="center" vertical="center" wrapText="1"/>
    </xf>
    <xf numFmtId="0" fontId="81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5" fillId="12" borderId="15" xfId="0" applyNumberFormat="1" applyFont="1" applyFill="1" applyBorder="1" applyAlignment="1">
      <alignment horizontal="center" vertical="center"/>
    </xf>
    <xf numFmtId="181" fontId="25" fillId="12" borderId="18" xfId="0" applyNumberFormat="1" applyFont="1" applyFill="1" applyBorder="1" applyAlignment="1">
      <alignment horizontal="center" vertical="center"/>
    </xf>
    <xf numFmtId="183" fontId="47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1" fillId="0" borderId="25" xfId="0" applyNumberFormat="1" applyFont="1" applyBorder="1" applyAlignment="1">
      <alignment horizontal="center" vertical="center"/>
    </xf>
    <xf numFmtId="0" fontId="55" fillId="8" borderId="6" xfId="0" applyFont="1" applyFill="1" applyBorder="1" applyAlignment="1">
      <alignment horizontal="center" vertical="center"/>
    </xf>
    <xf numFmtId="0" fontId="55" fillId="23" borderId="97" xfId="0" applyFont="1" applyFill="1" applyBorder="1" applyAlignment="1">
      <alignment horizontal="center" vertical="center"/>
    </xf>
    <xf numFmtId="0" fontId="55" fillId="23" borderId="6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vertical="center" wrapText="1"/>
    </xf>
    <xf numFmtId="0" fontId="55" fillId="0" borderId="82" xfId="0" applyFont="1" applyBorder="1" applyAlignment="1">
      <alignment vertical="center" wrapText="1"/>
    </xf>
    <xf numFmtId="0" fontId="55" fillId="0" borderId="82" xfId="0" applyFont="1" applyBorder="1">
      <alignment vertical="center"/>
    </xf>
    <xf numFmtId="0" fontId="55" fillId="0" borderId="82" xfId="0" quotePrefix="1" applyFont="1" applyBorder="1">
      <alignment vertical="center"/>
    </xf>
    <xf numFmtId="184" fontId="56" fillId="0" borderId="216" xfId="2" applyNumberFormat="1" applyFont="1" applyFill="1" applyBorder="1" applyAlignment="1" applyProtection="1">
      <alignment horizontal="center" vertical="center"/>
    </xf>
    <xf numFmtId="0" fontId="55" fillId="0" borderId="216" xfId="0" applyFont="1" applyBorder="1" applyAlignment="1">
      <alignment vertical="center" wrapText="1"/>
    </xf>
    <xf numFmtId="0" fontId="55" fillId="0" borderId="216" xfId="0" applyFont="1" applyBorder="1">
      <alignment vertical="center"/>
    </xf>
    <xf numFmtId="0" fontId="58" fillId="23" borderId="101" xfId="0" applyFont="1" applyFill="1" applyBorder="1" applyAlignment="1">
      <alignment horizontal="center" vertical="center"/>
    </xf>
    <xf numFmtId="0" fontId="56" fillId="0" borderId="212" xfId="0" applyFont="1" applyBorder="1" applyAlignment="1">
      <alignment horizontal="center" vertical="center" wrapText="1"/>
    </xf>
    <xf numFmtId="0" fontId="56" fillId="0" borderId="18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0" fontId="56" fillId="0" borderId="212" xfId="0" applyFont="1" applyBorder="1" applyAlignment="1">
      <alignment vertical="center" wrapText="1"/>
    </xf>
    <xf numFmtId="184" fontId="56" fillId="0" borderId="230" xfId="2" applyNumberFormat="1" applyFont="1" applyFill="1" applyBorder="1" applyAlignment="1" applyProtection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56" fillId="0" borderId="182" xfId="0" applyFont="1" applyBorder="1">
      <alignment vertical="center"/>
    </xf>
    <xf numFmtId="184" fontId="56" fillId="7" borderId="224" xfId="2" applyNumberFormat="1" applyFont="1" applyFill="1" applyBorder="1" applyAlignment="1" applyProtection="1">
      <alignment horizontal="center" vertical="center"/>
    </xf>
    <xf numFmtId="184" fontId="57" fillId="6" borderId="224" xfId="2" applyNumberFormat="1" applyFont="1" applyFill="1" applyBorder="1" applyAlignment="1" applyProtection="1">
      <alignment horizontal="center" vertical="center"/>
    </xf>
    <xf numFmtId="0" fontId="56" fillId="7" borderId="182" xfId="0" applyFont="1" applyFill="1" applyBorder="1" applyAlignment="1">
      <alignment vertical="center" wrapText="1"/>
    </xf>
    <xf numFmtId="0" fontId="57" fillId="6" borderId="182" xfId="0" applyFont="1" applyFill="1" applyBorder="1" applyAlignment="1">
      <alignment vertical="center" wrapText="1"/>
    </xf>
    <xf numFmtId="0" fontId="57" fillId="12" borderId="182" xfId="0" applyFont="1" applyFill="1" applyBorder="1" applyAlignment="1">
      <alignment horizontal="center" vertical="center"/>
    </xf>
    <xf numFmtId="0" fontId="57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9" fillId="4" borderId="30" xfId="9" applyFill="1" applyBorder="1" applyAlignment="1">
      <alignment horizontal="center" vertical="center"/>
    </xf>
    <xf numFmtId="0" fontId="10" fillId="4" borderId="30" xfId="9" quotePrefix="1" applyFont="1" applyFill="1" applyBorder="1" applyAlignment="1">
      <alignment horizontal="center" vertical="center"/>
    </xf>
    <xf numFmtId="0" fontId="9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9" fillId="4" borderId="165" xfId="9" applyFill="1" applyBorder="1" applyAlignment="1">
      <alignment horizontal="center" vertical="center"/>
    </xf>
    <xf numFmtId="0" fontId="9" fillId="4" borderId="166" xfId="9" applyFill="1" applyBorder="1" applyAlignment="1">
      <alignment horizontal="center" vertical="center"/>
    </xf>
    <xf numFmtId="0" fontId="9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7" fillId="0" borderId="6" xfId="2" applyNumberFormat="1" applyFont="1" applyFill="1" applyBorder="1" applyAlignment="1" applyProtection="1">
      <alignment horizontal="center" vertical="center"/>
    </xf>
    <xf numFmtId="0" fontId="43" fillId="0" borderId="147" xfId="0" applyFont="1" applyBorder="1" applyAlignment="1">
      <alignment horizontal="center" vertical="center"/>
    </xf>
    <xf numFmtId="0" fontId="43" fillId="0" borderId="153" xfId="0" applyFont="1" applyBorder="1" applyAlignment="1">
      <alignment horizontal="center" vertical="center"/>
    </xf>
    <xf numFmtId="184" fontId="56" fillId="0" borderId="82" xfId="2" applyNumberFormat="1" applyFont="1" applyFill="1" applyBorder="1" applyAlignment="1" applyProtection="1">
      <alignment horizontal="center" vertical="center"/>
    </xf>
    <xf numFmtId="0" fontId="55" fillId="12" borderId="82" xfId="0" applyFont="1" applyFill="1" applyBorder="1">
      <alignment vertical="center"/>
    </xf>
    <xf numFmtId="181" fontId="77" fillId="0" borderId="38" xfId="0" quotePrefix="1" applyNumberFormat="1" applyFont="1" applyBorder="1" applyAlignment="1">
      <alignment horizontal="center" vertical="center" wrapText="1"/>
    </xf>
    <xf numFmtId="181" fontId="77" fillId="0" borderId="49" xfId="0" quotePrefix="1" applyNumberFormat="1" applyFont="1" applyBorder="1" applyAlignment="1">
      <alignment horizontal="center" vertical="center" wrapText="1"/>
    </xf>
    <xf numFmtId="181" fontId="11" fillId="0" borderId="16" xfId="0" applyNumberFormat="1" applyFont="1" applyBorder="1" applyAlignment="1">
      <alignment horizontal="center" vertical="center" wrapText="1"/>
    </xf>
    <xf numFmtId="181" fontId="11" fillId="0" borderId="50" xfId="0" applyNumberFormat="1" applyFont="1" applyBorder="1" applyAlignment="1">
      <alignment horizontal="center" vertical="center" wrapText="1"/>
    </xf>
    <xf numFmtId="0" fontId="14" fillId="0" borderId="42" xfId="9" quotePrefix="1" applyFont="1" applyBorder="1" applyAlignment="1">
      <alignment horizontal="center" vertical="center"/>
    </xf>
    <xf numFmtId="0" fontId="14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82" fillId="0" borderId="36" xfId="9" applyFont="1" applyBorder="1" applyAlignment="1">
      <alignment horizontal="center" vertical="center"/>
    </xf>
    <xf numFmtId="0" fontId="70" fillId="0" borderId="15" xfId="9" applyFont="1" applyBorder="1" applyAlignment="1">
      <alignment horizontal="center" vertical="center"/>
    </xf>
    <xf numFmtId="0" fontId="83" fillId="0" borderId="15" xfId="9" applyFont="1" applyBorder="1" applyAlignment="1">
      <alignment horizontal="center" vertical="center"/>
    </xf>
    <xf numFmtId="179" fontId="73" fillId="6" borderId="0" xfId="9" applyNumberFormat="1" applyFont="1" applyFill="1">
      <alignment vertical="center"/>
    </xf>
    <xf numFmtId="0" fontId="73" fillId="6" borderId="0" xfId="9" applyFont="1" applyFill="1">
      <alignment vertical="center"/>
    </xf>
    <xf numFmtId="180" fontId="73" fillId="6" borderId="0" xfId="9" applyNumberFormat="1" applyFont="1" applyFill="1">
      <alignment vertical="center"/>
    </xf>
    <xf numFmtId="10" fontId="45" fillId="6" borderId="0" xfId="12" applyNumberFormat="1" applyFont="1" applyFill="1" applyAlignment="1">
      <alignment vertical="center"/>
    </xf>
    <xf numFmtId="0" fontId="84" fillId="0" borderId="135" xfId="9" applyFont="1" applyBorder="1" applyAlignment="1">
      <alignment horizontal="center" vertical="center" wrapText="1"/>
    </xf>
    <xf numFmtId="0" fontId="85" fillId="0" borderId="135" xfId="0" applyFont="1" applyBorder="1" applyAlignment="1">
      <alignment horizontal="center" vertical="center" wrapText="1"/>
    </xf>
    <xf numFmtId="0" fontId="35" fillId="0" borderId="245" xfId="9" applyFont="1" applyBorder="1" applyAlignment="1">
      <alignment horizontal="center" vertical="center" wrapText="1"/>
    </xf>
    <xf numFmtId="0" fontId="72" fillId="0" borderId="245" xfId="9" applyFont="1" applyBorder="1" applyAlignment="1">
      <alignment horizontal="center" vertical="center" wrapText="1"/>
    </xf>
    <xf numFmtId="0" fontId="46" fillId="0" borderId="245" xfId="9" applyFont="1" applyBorder="1" applyAlignment="1">
      <alignment horizontal="center" vertical="center" wrapText="1"/>
    </xf>
    <xf numFmtId="0" fontId="72" fillId="0" borderId="245" xfId="9" applyFont="1" applyBorder="1" applyAlignment="1">
      <alignment horizontal="center" vertical="center"/>
    </xf>
    <xf numFmtId="0" fontId="46" fillId="0" borderId="245" xfId="9" applyFont="1" applyBorder="1" applyAlignment="1">
      <alignment horizontal="center" vertical="center"/>
    </xf>
    <xf numFmtId="0" fontId="84" fillId="0" borderId="245" xfId="9" applyFont="1" applyBorder="1" applyAlignment="1">
      <alignment horizontal="center" vertical="center" wrapText="1"/>
    </xf>
    <xf numFmtId="0" fontId="85" fillId="0" borderId="245" xfId="0" applyFont="1" applyBorder="1" applyAlignment="1">
      <alignment horizontal="center" vertical="center" wrapText="1"/>
    </xf>
    <xf numFmtId="176" fontId="13" fillId="0" borderId="245" xfId="10" applyNumberFormat="1" applyFont="1" applyBorder="1">
      <alignment vertical="center"/>
    </xf>
    <xf numFmtId="0" fontId="72" fillId="0" borderId="246" xfId="9" applyFont="1" applyBorder="1" applyAlignment="1">
      <alignment horizontal="center" vertical="center" wrapText="1"/>
    </xf>
    <xf numFmtId="0" fontId="46" fillId="0" borderId="246" xfId="9" applyFont="1" applyBorder="1" applyAlignment="1">
      <alignment horizontal="center" vertical="center" wrapText="1"/>
    </xf>
    <xf numFmtId="0" fontId="72" fillId="0" borderId="246" xfId="9" applyFont="1" applyBorder="1" applyAlignment="1">
      <alignment horizontal="center" vertical="center"/>
    </xf>
    <xf numFmtId="0" fontId="46" fillId="0" borderId="246" xfId="9" applyFont="1" applyBorder="1" applyAlignment="1">
      <alignment horizontal="center" vertical="center"/>
    </xf>
    <xf numFmtId="0" fontId="84" fillId="0" borderId="246" xfId="9" applyFont="1" applyBorder="1" applyAlignment="1">
      <alignment horizontal="center" vertical="center" wrapText="1"/>
    </xf>
    <xf numFmtId="0" fontId="85" fillId="0" borderId="246" xfId="9" applyFont="1" applyBorder="1" applyAlignment="1">
      <alignment horizontal="center" vertical="center" wrapText="1"/>
    </xf>
    <xf numFmtId="176" fontId="13" fillId="0" borderId="246" xfId="10" applyNumberFormat="1" applyFont="1" applyBorder="1">
      <alignment vertical="center"/>
    </xf>
    <xf numFmtId="0" fontId="35" fillId="0" borderId="247" xfId="9" applyFont="1" applyBorder="1" applyAlignment="1">
      <alignment horizontal="center" vertical="center" wrapText="1"/>
    </xf>
    <xf numFmtId="0" fontId="72" fillId="0" borderId="247" xfId="9" applyFont="1" applyBorder="1" applyAlignment="1">
      <alignment horizontal="center" vertical="center" wrapText="1"/>
    </xf>
    <xf numFmtId="0" fontId="46" fillId="0" borderId="247" xfId="9" applyFont="1" applyBorder="1" applyAlignment="1">
      <alignment horizontal="center" vertical="center" wrapText="1"/>
    </xf>
    <xf numFmtId="0" fontId="72" fillId="0" borderId="247" xfId="9" applyFont="1" applyBorder="1" applyAlignment="1">
      <alignment horizontal="center" vertical="center"/>
    </xf>
    <xf numFmtId="0" fontId="46" fillId="0" borderId="247" xfId="9" applyFont="1" applyBorder="1" applyAlignment="1">
      <alignment horizontal="center" vertical="center"/>
    </xf>
    <xf numFmtId="0" fontId="84" fillId="0" borderId="247" xfId="9" applyFont="1" applyBorder="1" applyAlignment="1">
      <alignment horizontal="center" vertical="center" wrapText="1"/>
    </xf>
    <xf numFmtId="0" fontId="85" fillId="0" borderId="247" xfId="0" applyFont="1" applyBorder="1" applyAlignment="1">
      <alignment horizontal="center" vertical="center" wrapText="1"/>
    </xf>
    <xf numFmtId="176" fontId="13" fillId="0" borderId="247" xfId="10" applyNumberFormat="1" applyFont="1" applyBorder="1">
      <alignment vertical="center"/>
    </xf>
    <xf numFmtId="0" fontId="72" fillId="0" borderId="248" xfId="9" applyFont="1" applyBorder="1" applyAlignment="1">
      <alignment horizontal="center" vertical="center" wrapText="1"/>
    </xf>
    <xf numFmtId="0" fontId="46" fillId="0" borderId="248" xfId="9" applyFont="1" applyBorder="1" applyAlignment="1">
      <alignment horizontal="center" vertical="center" wrapText="1"/>
    </xf>
    <xf numFmtId="0" fontId="72" fillId="0" borderId="248" xfId="9" applyFont="1" applyBorder="1" applyAlignment="1">
      <alignment horizontal="center" vertical="center"/>
    </xf>
    <xf numFmtId="0" fontId="46" fillId="0" borderId="248" xfId="9" applyFont="1" applyBorder="1" applyAlignment="1">
      <alignment horizontal="center" vertical="center"/>
    </xf>
    <xf numFmtId="0" fontId="84" fillId="0" borderId="248" xfId="9" applyFont="1" applyBorder="1" applyAlignment="1">
      <alignment horizontal="center" vertical="center" wrapText="1"/>
    </xf>
    <xf numFmtId="0" fontId="85" fillId="0" borderId="248" xfId="9" applyFont="1" applyBorder="1" applyAlignment="1">
      <alignment horizontal="center" vertical="center" wrapText="1"/>
    </xf>
    <xf numFmtId="176" fontId="13" fillId="0" borderId="248" xfId="10" applyNumberFormat="1" applyFont="1" applyBorder="1">
      <alignment vertical="center"/>
    </xf>
    <xf numFmtId="0" fontId="35" fillId="0" borderId="249" xfId="9" applyFont="1" applyBorder="1" applyAlignment="1">
      <alignment horizontal="center" vertical="center" wrapText="1"/>
    </xf>
    <xf numFmtId="0" fontId="72" fillId="0" borderId="249" xfId="9" applyFont="1" applyBorder="1" applyAlignment="1">
      <alignment horizontal="center" vertical="center" wrapText="1"/>
    </xf>
    <xf numFmtId="0" fontId="46" fillId="0" borderId="249" xfId="9" applyFont="1" applyBorder="1" applyAlignment="1">
      <alignment horizontal="center" vertical="center" wrapText="1"/>
    </xf>
    <xf numFmtId="0" fontId="72" fillId="0" borderId="249" xfId="9" applyFont="1" applyBorder="1" applyAlignment="1">
      <alignment horizontal="center" vertical="center"/>
    </xf>
    <xf numFmtId="0" fontId="46" fillId="0" borderId="249" xfId="9" applyFont="1" applyBorder="1" applyAlignment="1">
      <alignment horizontal="center" vertical="center"/>
    </xf>
    <xf numFmtId="0" fontId="84" fillId="0" borderId="249" xfId="9" applyFont="1" applyBorder="1" applyAlignment="1">
      <alignment horizontal="center" vertical="center" wrapText="1"/>
    </xf>
    <xf numFmtId="0" fontId="85" fillId="0" borderId="249" xfId="0" applyFont="1" applyBorder="1" applyAlignment="1">
      <alignment horizontal="center" vertical="center" wrapText="1"/>
    </xf>
    <xf numFmtId="176" fontId="13" fillId="0" borderId="249" xfId="10" applyNumberFormat="1" applyFont="1" applyBorder="1">
      <alignment vertical="center"/>
    </xf>
    <xf numFmtId="0" fontId="72" fillId="0" borderId="250" xfId="9" applyFont="1" applyBorder="1" applyAlignment="1">
      <alignment horizontal="center" vertical="center" wrapText="1"/>
    </xf>
    <xf numFmtId="0" fontId="46" fillId="0" borderId="250" xfId="9" applyFont="1" applyBorder="1" applyAlignment="1">
      <alignment horizontal="center" vertical="center" wrapText="1"/>
    </xf>
    <xf numFmtId="0" fontId="72" fillId="0" borderId="250" xfId="9" applyFont="1" applyBorder="1" applyAlignment="1">
      <alignment horizontal="center" vertical="center"/>
    </xf>
    <xf numFmtId="0" fontId="46" fillId="0" borderId="250" xfId="9" applyFont="1" applyBorder="1" applyAlignment="1">
      <alignment horizontal="center" vertical="center"/>
    </xf>
    <xf numFmtId="0" fontId="84" fillId="0" borderId="250" xfId="9" applyFont="1" applyBorder="1" applyAlignment="1">
      <alignment horizontal="center" vertical="center" wrapText="1"/>
    </xf>
    <xf numFmtId="0" fontId="85" fillId="0" borderId="250" xfId="9" applyFont="1" applyBorder="1" applyAlignment="1">
      <alignment horizontal="center" vertical="center" wrapText="1"/>
    </xf>
    <xf numFmtId="176" fontId="13" fillId="0" borderId="250" xfId="10" applyNumberFormat="1" applyFont="1" applyBorder="1">
      <alignment vertical="center"/>
    </xf>
    <xf numFmtId="0" fontId="72" fillId="0" borderId="135" xfId="9" applyFont="1" applyBorder="1" applyAlignment="1">
      <alignment horizontal="center" vertical="center" wrapText="1"/>
    </xf>
    <xf numFmtId="0" fontId="46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0" fillId="0" borderId="251" xfId="0" applyNumberFormat="1" applyFont="1" applyBorder="1" applyAlignment="1">
      <alignment horizontal="center" vertical="center"/>
    </xf>
    <xf numFmtId="181" fontId="25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3" fillId="0" borderId="254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180" fontId="13" fillId="0" borderId="0" xfId="0" applyNumberFormat="1" applyFont="1" applyAlignment="1">
      <alignment horizontal="center" vertical="center"/>
    </xf>
    <xf numFmtId="180" fontId="13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3" fillId="0" borderId="0" xfId="0" applyFont="1" applyAlignment="1">
      <alignment horizontal="left" vertical="center" wrapText="1"/>
    </xf>
    <xf numFmtId="0" fontId="12" fillId="2" borderId="255" xfId="9" applyFont="1" applyFill="1" applyBorder="1" applyAlignment="1">
      <alignment horizontal="center" vertical="center"/>
    </xf>
    <xf numFmtId="49" fontId="13" fillId="0" borderId="67" xfId="9" applyNumberFormat="1" applyFont="1" applyBorder="1" applyAlignment="1">
      <alignment horizontal="center" vertical="center"/>
    </xf>
    <xf numFmtId="0" fontId="13" fillId="0" borderId="57" xfId="9" applyFont="1" applyBorder="1" applyAlignment="1">
      <alignment horizontal="center" vertical="center"/>
    </xf>
    <xf numFmtId="0" fontId="13" fillId="4" borderId="57" xfId="9" applyFont="1" applyFill="1" applyBorder="1" applyAlignment="1">
      <alignment horizontal="center" vertical="center" wrapText="1"/>
    </xf>
    <xf numFmtId="0" fontId="13" fillId="4" borderId="65" xfId="9" applyFont="1" applyFill="1" applyBorder="1" applyAlignment="1">
      <alignment horizontal="center" vertical="center" wrapText="1"/>
    </xf>
    <xf numFmtId="0" fontId="13" fillId="0" borderId="56" xfId="9" applyFont="1" applyBorder="1" applyAlignment="1">
      <alignment horizontal="center" vertical="center" wrapText="1"/>
    </xf>
    <xf numFmtId="0" fontId="13" fillId="0" borderId="256" xfId="9" applyFont="1" applyBorder="1" applyAlignment="1">
      <alignment horizontal="center" vertical="center" wrapText="1"/>
    </xf>
    <xf numFmtId="0" fontId="13" fillId="0" borderId="256" xfId="9" applyFont="1" applyBorder="1" applyAlignment="1">
      <alignment horizontal="center" vertical="center"/>
    </xf>
    <xf numFmtId="0" fontId="13" fillId="0" borderId="257" xfId="9" applyFont="1" applyBorder="1" applyAlignment="1">
      <alignment horizontal="center" vertical="center" wrapText="1"/>
    </xf>
    <xf numFmtId="177" fontId="13" fillId="0" borderId="18" xfId="9" applyNumberFormat="1" applyFont="1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0" fontId="14" fillId="0" borderId="54" xfId="9" quotePrefix="1" applyFont="1" applyBorder="1" applyAlignment="1">
      <alignment horizontal="center" vertical="center"/>
    </xf>
    <xf numFmtId="0" fontId="14" fillId="0" borderId="55" xfId="9" quotePrefix="1" applyFont="1" applyBorder="1" applyAlignment="1">
      <alignment horizontal="center" vertical="center"/>
    </xf>
    <xf numFmtId="0" fontId="86" fillId="0" borderId="15" xfId="9" applyFont="1" applyBorder="1" applyAlignment="1">
      <alignment horizontal="center" vertical="center"/>
    </xf>
    <xf numFmtId="0" fontId="86" fillId="0" borderId="30" xfId="9" applyFont="1" applyBorder="1" applyAlignment="1">
      <alignment horizontal="center" vertical="center"/>
    </xf>
    <xf numFmtId="0" fontId="86" fillId="0" borderId="18" xfId="9" applyFont="1" applyBorder="1" applyAlignment="1">
      <alignment horizontal="center" vertical="center"/>
    </xf>
    <xf numFmtId="0" fontId="14" fillId="6" borderId="38" xfId="9" applyFont="1" applyFill="1" applyBorder="1" applyAlignment="1">
      <alignment horizontal="center" vertical="center"/>
    </xf>
    <xf numFmtId="0" fontId="13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4" fillId="0" borderId="17" xfId="0" applyNumberFormat="1" applyFont="1" applyBorder="1" applyAlignment="1">
      <alignment horizontal="center" vertical="center" wrapText="1"/>
    </xf>
    <xf numFmtId="0" fontId="64" fillId="4" borderId="2" xfId="0" applyFont="1" applyFill="1" applyBorder="1" applyAlignment="1">
      <alignment horizontal="center" vertical="center" wrapText="1"/>
    </xf>
    <xf numFmtId="186" fontId="55" fillId="23" borderId="258" xfId="2" applyNumberFormat="1" applyFont="1" applyFill="1" applyBorder="1" applyAlignment="1" applyProtection="1">
      <alignment horizontal="center" vertical="center"/>
    </xf>
    <xf numFmtId="186" fontId="55" fillId="23" borderId="261" xfId="2" applyNumberFormat="1" applyFont="1" applyFill="1" applyBorder="1" applyAlignment="1" applyProtection="1">
      <alignment horizontal="center" vertical="center"/>
    </xf>
    <xf numFmtId="0" fontId="56" fillId="11" borderId="77" xfId="0" applyFont="1" applyFill="1" applyBorder="1" applyAlignment="1">
      <alignment horizontal="center" vertical="center" wrapText="1"/>
    </xf>
    <xf numFmtId="184" fontId="56" fillId="6" borderId="77" xfId="2" applyNumberFormat="1" applyFont="1" applyFill="1" applyBorder="1" applyAlignment="1" applyProtection="1">
      <alignment horizontal="center" vertical="center"/>
    </xf>
    <xf numFmtId="184" fontId="56" fillId="7" borderId="92" xfId="2" applyNumberFormat="1" applyFont="1" applyFill="1" applyBorder="1" applyAlignment="1" applyProtection="1">
      <alignment horizontal="center" vertical="center"/>
    </xf>
    <xf numFmtId="0" fontId="71" fillId="16" borderId="71" xfId="0" applyFont="1" applyFill="1" applyBorder="1" applyAlignment="1">
      <alignment horizontal="center" vertical="center"/>
    </xf>
    <xf numFmtId="0" fontId="71" fillId="22" borderId="71" xfId="0" applyFont="1" applyFill="1" applyBorder="1" applyAlignment="1">
      <alignment horizontal="center" vertical="center"/>
    </xf>
    <xf numFmtId="0" fontId="71" fillId="16" borderId="71" xfId="0" applyFont="1" applyFill="1" applyBorder="1" applyAlignment="1">
      <alignment horizontal="center" vertical="center" wrapText="1"/>
    </xf>
    <xf numFmtId="0" fontId="71" fillId="22" borderId="71" xfId="0" applyFont="1" applyFill="1" applyBorder="1" applyAlignment="1">
      <alignment horizontal="center" vertical="center" wrapText="1"/>
    </xf>
    <xf numFmtId="185" fontId="55" fillId="23" borderId="262" xfId="2" applyNumberFormat="1" applyFont="1" applyFill="1" applyBorder="1" applyAlignment="1" applyProtection="1">
      <alignment horizontal="center" vertical="center"/>
    </xf>
    <xf numFmtId="186" fontId="55" fillId="0" borderId="263" xfId="2" applyNumberFormat="1" applyFont="1" applyFill="1" applyBorder="1" applyAlignment="1" applyProtection="1">
      <alignment horizontal="center" vertical="center"/>
    </xf>
    <xf numFmtId="186" fontId="55" fillId="0" borderId="264" xfId="2" applyNumberFormat="1" applyFont="1" applyFill="1" applyBorder="1" applyAlignment="1" applyProtection="1">
      <alignment horizontal="center" vertical="center"/>
    </xf>
    <xf numFmtId="185" fontId="55" fillId="0" borderId="264" xfId="2" applyNumberFormat="1" applyFont="1" applyFill="1" applyBorder="1" applyAlignment="1" applyProtection="1">
      <alignment horizontal="center" vertical="center"/>
    </xf>
    <xf numFmtId="186" fontId="55" fillId="0" borderId="265" xfId="2" applyNumberFormat="1" applyFont="1" applyFill="1" applyBorder="1" applyAlignment="1" applyProtection="1">
      <alignment horizontal="center" vertical="center"/>
    </xf>
    <xf numFmtId="184" fontId="55" fillId="0" borderId="264" xfId="2" applyNumberFormat="1" applyFont="1" applyFill="1" applyBorder="1" applyAlignment="1" applyProtection="1">
      <alignment horizontal="center" vertical="center"/>
    </xf>
    <xf numFmtId="185" fontId="55" fillId="0" borderId="265" xfId="2" applyNumberFormat="1" applyFont="1" applyFill="1" applyBorder="1" applyAlignment="1" applyProtection="1">
      <alignment horizontal="center" vertical="center"/>
    </xf>
    <xf numFmtId="185" fontId="55" fillId="23" borderId="261" xfId="2" applyNumberFormat="1" applyFont="1" applyFill="1" applyBorder="1" applyAlignment="1" applyProtection="1">
      <alignment horizontal="center" vertical="center"/>
    </xf>
    <xf numFmtId="185" fontId="55" fillId="23" borderId="264" xfId="2" applyNumberFormat="1" applyFont="1" applyFill="1" applyBorder="1" applyAlignment="1" applyProtection="1">
      <alignment horizontal="center" vertical="center"/>
    </xf>
    <xf numFmtId="186" fontId="55" fillId="23" borderId="264" xfId="2" applyNumberFormat="1" applyFont="1" applyFill="1" applyBorder="1" applyAlignment="1" applyProtection="1">
      <alignment horizontal="center" vertical="center"/>
    </xf>
    <xf numFmtId="186" fontId="55" fillId="23" borderId="265" xfId="2" applyNumberFormat="1" applyFont="1" applyFill="1" applyBorder="1" applyAlignment="1" applyProtection="1">
      <alignment horizontal="center" vertical="center"/>
    </xf>
    <xf numFmtId="186" fontId="55" fillId="0" borderId="266" xfId="2" applyNumberFormat="1" applyFont="1" applyFill="1" applyBorder="1" applyAlignment="1" applyProtection="1">
      <alignment horizontal="center" vertical="center"/>
    </xf>
    <xf numFmtId="184" fontId="55" fillId="23" borderId="265" xfId="2" applyNumberFormat="1" applyFont="1" applyFill="1" applyBorder="1" applyAlignment="1" applyProtection="1">
      <alignment horizontal="center" vertical="center"/>
    </xf>
    <xf numFmtId="184" fontId="55" fillId="0" borderId="263" xfId="2" applyNumberFormat="1" applyFont="1" applyFill="1" applyBorder="1" applyAlignment="1" applyProtection="1">
      <alignment horizontal="center" vertical="center"/>
    </xf>
    <xf numFmtId="184" fontId="55" fillId="0" borderId="265" xfId="2" applyNumberFormat="1" applyFont="1" applyFill="1" applyBorder="1" applyAlignment="1" applyProtection="1">
      <alignment horizontal="center" vertical="center"/>
    </xf>
    <xf numFmtId="186" fontId="55" fillId="23" borderId="262" xfId="2" applyNumberFormat="1" applyFont="1" applyFill="1" applyBorder="1" applyAlignment="1" applyProtection="1">
      <alignment horizontal="center" vertical="center"/>
    </xf>
    <xf numFmtId="186" fontId="55" fillId="23" borderId="92" xfId="2" applyNumberFormat="1" applyFont="1" applyFill="1" applyBorder="1" applyAlignment="1" applyProtection="1">
      <alignment horizontal="center" vertical="center"/>
    </xf>
    <xf numFmtId="186" fontId="55" fillId="23" borderId="75" xfId="2" applyNumberFormat="1" applyFont="1" applyFill="1" applyBorder="1" applyAlignment="1" applyProtection="1">
      <alignment horizontal="center" vertical="center"/>
    </xf>
    <xf numFmtId="186" fontId="55" fillId="23" borderId="90" xfId="2" applyNumberFormat="1" applyFont="1" applyFill="1" applyBorder="1" applyAlignment="1" applyProtection="1">
      <alignment horizontal="center" vertical="center"/>
    </xf>
    <xf numFmtId="186" fontId="55" fillId="23" borderId="150" xfId="2" applyNumberFormat="1" applyFont="1" applyFill="1" applyBorder="1" applyAlignment="1" applyProtection="1">
      <alignment horizontal="center" vertical="center"/>
    </xf>
    <xf numFmtId="186" fontId="60" fillId="23" borderId="75" xfId="2" applyNumberFormat="1" applyFont="1" applyFill="1" applyBorder="1" applyAlignment="1" applyProtection="1">
      <alignment horizontal="center" vertical="center"/>
    </xf>
    <xf numFmtId="0" fontId="55" fillId="0" borderId="244" xfId="0" applyFont="1" applyBorder="1" applyAlignment="1">
      <alignment horizontal="center" vertical="center"/>
    </xf>
    <xf numFmtId="0" fontId="55" fillId="6" borderId="83" xfId="0" applyFont="1" applyFill="1" applyBorder="1" applyAlignment="1">
      <alignment horizontal="center" vertical="center"/>
    </xf>
    <xf numFmtId="0" fontId="55" fillId="6" borderId="151" xfId="0" applyFont="1" applyFill="1" applyBorder="1" applyAlignment="1">
      <alignment horizontal="center" vertical="center"/>
    </xf>
    <xf numFmtId="0" fontId="60" fillId="0" borderId="83" xfId="0" applyFont="1" applyBorder="1" applyAlignment="1">
      <alignment horizontal="center" vertical="center"/>
    </xf>
    <xf numFmtId="0" fontId="55" fillId="6" borderId="73" xfId="0" applyFont="1" applyFill="1" applyBorder="1" applyAlignment="1">
      <alignment horizontal="center" vertical="center"/>
    </xf>
    <xf numFmtId="184" fontId="55" fillId="6" borderId="103" xfId="2" applyNumberFormat="1" applyFont="1" applyFill="1" applyBorder="1" applyAlignment="1" applyProtection="1">
      <alignment horizontal="center" vertical="center"/>
    </xf>
    <xf numFmtId="184" fontId="55" fillId="7" borderId="268" xfId="2" applyNumberFormat="1" applyFont="1" applyFill="1" applyBorder="1" applyAlignment="1" applyProtection="1">
      <alignment horizontal="center" vertical="center"/>
    </xf>
    <xf numFmtId="184" fontId="55" fillId="23" borderId="269" xfId="2" applyNumberFormat="1" applyFont="1" applyFill="1" applyBorder="1" applyAlignment="1" applyProtection="1">
      <alignment horizontal="center" vertical="center"/>
    </xf>
    <xf numFmtId="184" fontId="55" fillId="6" borderId="183" xfId="2" applyNumberFormat="1" applyFont="1" applyFill="1" applyBorder="1" applyAlignment="1" applyProtection="1">
      <alignment horizontal="center" vertical="center"/>
    </xf>
    <xf numFmtId="184" fontId="55" fillId="7" borderId="267" xfId="2" applyNumberFormat="1" applyFont="1" applyFill="1" applyBorder="1" applyAlignment="1" applyProtection="1">
      <alignment horizontal="center" vertical="center"/>
    </xf>
    <xf numFmtId="184" fontId="55" fillId="23" borderId="270" xfId="2" applyNumberFormat="1" applyFont="1" applyFill="1" applyBorder="1" applyAlignment="1" applyProtection="1">
      <alignment horizontal="center" vertical="center"/>
    </xf>
    <xf numFmtId="189" fontId="13" fillId="8" borderId="0" xfId="0" applyNumberFormat="1" applyFont="1" applyFill="1">
      <alignment vertical="center"/>
    </xf>
    <xf numFmtId="190" fontId="13" fillId="8" borderId="0" xfId="0" applyNumberFormat="1" applyFont="1" applyFill="1">
      <alignment vertical="center"/>
    </xf>
    <xf numFmtId="191" fontId="13" fillId="8" borderId="0" xfId="0" applyNumberFormat="1" applyFont="1" applyFill="1">
      <alignment vertical="center"/>
    </xf>
    <xf numFmtId="181" fontId="80" fillId="0" borderId="0" xfId="0" applyNumberFormat="1" applyFont="1" applyAlignment="1">
      <alignment horizontal="right" vertical="center" wrapText="1"/>
    </xf>
    <xf numFmtId="178" fontId="20" fillId="0" borderId="108" xfId="9" applyNumberFormat="1" applyFont="1" applyBorder="1" applyAlignment="1">
      <alignment vertical="center" wrapText="1"/>
    </xf>
    <xf numFmtId="181" fontId="21" fillId="0" borderId="0" xfId="0" applyNumberFormat="1" applyFont="1" applyAlignment="1">
      <alignment horizontal="right" vertical="center" wrapText="1"/>
    </xf>
    <xf numFmtId="189" fontId="21" fillId="8" borderId="0" xfId="0" applyNumberFormat="1" applyFont="1" applyFill="1">
      <alignment vertical="center"/>
    </xf>
    <xf numFmtId="190" fontId="21" fillId="8" borderId="0" xfId="0" applyNumberFormat="1" applyFont="1" applyFill="1">
      <alignment vertical="center"/>
    </xf>
    <xf numFmtId="191" fontId="21" fillId="8" borderId="0" xfId="0" applyNumberFormat="1" applyFont="1" applyFill="1">
      <alignment vertical="center"/>
    </xf>
    <xf numFmtId="181" fontId="21" fillId="0" borderId="0" xfId="0" applyNumberFormat="1" applyFont="1">
      <alignment vertical="center"/>
    </xf>
    <xf numFmtId="181" fontId="11" fillId="0" borderId="39" xfId="0" applyNumberFormat="1" applyFont="1" applyBorder="1" applyAlignment="1">
      <alignment horizontal="center" vertical="center" wrapText="1"/>
    </xf>
    <xf numFmtId="184" fontId="75" fillId="7" borderId="150" xfId="2" applyNumberFormat="1" applyFont="1" applyFill="1" applyBorder="1" applyAlignment="1" applyProtection="1">
      <alignment horizontal="center" vertical="center"/>
    </xf>
    <xf numFmtId="0" fontId="0" fillId="0" borderId="271" xfId="0" applyBorder="1" applyAlignment="1">
      <alignment horizontal="center" vertical="center"/>
    </xf>
    <xf numFmtId="0" fontId="0" fillId="0" borderId="272" xfId="0" applyBorder="1" applyAlignment="1">
      <alignment horizontal="center" vertical="center"/>
    </xf>
    <xf numFmtId="42" fontId="0" fillId="0" borderId="103" xfId="0" applyNumberFormat="1" applyBorder="1" applyAlignment="1">
      <alignment horizontal="center" vertical="center"/>
    </xf>
    <xf numFmtId="42" fontId="24" fillId="0" borderId="103" xfId="0" applyNumberFormat="1" applyFont="1" applyBorder="1" applyAlignment="1">
      <alignment horizontal="center" vertical="center"/>
    </xf>
    <xf numFmtId="42" fontId="45" fillId="0" borderId="103" xfId="0" applyNumberFormat="1" applyFont="1" applyBorder="1" applyAlignment="1">
      <alignment horizontal="center" vertical="center"/>
    </xf>
    <xf numFmtId="0" fontId="0" fillId="0" borderId="273" xfId="0" applyBorder="1" applyAlignment="1">
      <alignment horizontal="center" vertical="center"/>
    </xf>
    <xf numFmtId="0" fontId="0" fillId="0" borderId="274" xfId="0" applyBorder="1" applyAlignment="1">
      <alignment horizontal="center" vertical="center"/>
    </xf>
    <xf numFmtId="0" fontId="0" fillId="0" borderId="275" xfId="0" applyBorder="1" applyAlignment="1">
      <alignment horizontal="center" vertical="center"/>
    </xf>
    <xf numFmtId="0" fontId="24" fillId="0" borderId="275" xfId="0" applyFont="1" applyBorder="1" applyAlignment="1">
      <alignment horizontal="center" vertical="center"/>
    </xf>
    <xf numFmtId="0" fontId="45" fillId="0" borderId="275" xfId="0" applyFont="1" applyBorder="1" applyAlignment="1">
      <alignment horizontal="center" vertical="center"/>
    </xf>
    <xf numFmtId="176" fontId="13" fillId="0" borderId="275" xfId="2" applyNumberFormat="1" applyFont="1" applyBorder="1">
      <alignment vertical="center"/>
    </xf>
    <xf numFmtId="0" fontId="40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5" fillId="0" borderId="0" xfId="0" applyNumberFormat="1" applyFont="1" applyAlignment="1">
      <alignment horizontal="center" vertical="center"/>
    </xf>
    <xf numFmtId="192" fontId="13" fillId="0" borderId="0" xfId="2" applyNumberFormat="1" applyFont="1">
      <alignment vertical="center"/>
    </xf>
    <xf numFmtId="192" fontId="0" fillId="0" borderId="0" xfId="0" applyNumberFormat="1">
      <alignment vertical="center"/>
    </xf>
    <xf numFmtId="0" fontId="88" fillId="0" borderId="135" xfId="0" applyFont="1" applyBorder="1" applyAlignment="1">
      <alignment horizontal="center" vertical="center" wrapText="1"/>
    </xf>
    <xf numFmtId="181" fontId="14" fillId="0" borderId="38" xfId="0" quotePrefix="1" applyNumberFormat="1" applyFont="1" applyBorder="1" applyAlignment="1">
      <alignment horizontal="center" vertical="center" wrapText="1"/>
    </xf>
    <xf numFmtId="0" fontId="89" fillId="0" borderId="6" xfId="0" applyFont="1" applyBorder="1" applyAlignment="1">
      <alignment horizontal="center" vertical="center" wrapText="1"/>
    </xf>
    <xf numFmtId="0" fontId="58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3" fillId="0" borderId="140" xfId="2" applyNumberFormat="1" applyFont="1" applyFill="1" applyBorder="1">
      <alignment vertical="center"/>
    </xf>
    <xf numFmtId="176" fontId="13" fillId="0" borderId="101" xfId="10" applyNumberFormat="1" applyFont="1" applyBorder="1">
      <alignment vertical="center"/>
    </xf>
    <xf numFmtId="176" fontId="29" fillId="0" borderId="6" xfId="2" applyNumberFormat="1" applyFont="1" applyBorder="1" applyAlignment="1">
      <alignment horizontal="center" vertical="center" wrapText="1"/>
    </xf>
    <xf numFmtId="176" fontId="29" fillId="0" borderId="136" xfId="2" applyNumberFormat="1" applyFont="1" applyBorder="1" applyAlignment="1">
      <alignment horizontal="center" vertical="center" wrapText="1"/>
    </xf>
    <xf numFmtId="176" fontId="13" fillId="0" borderId="6" xfId="10" applyNumberFormat="1" applyFont="1" applyBorder="1">
      <alignment vertical="center"/>
    </xf>
    <xf numFmtId="176" fontId="13" fillId="0" borderId="103" xfId="10" applyNumberFormat="1" applyFont="1" applyBorder="1">
      <alignment vertical="center"/>
    </xf>
    <xf numFmtId="176" fontId="13" fillId="0" borderId="275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0" fillId="4" borderId="140" xfId="0" applyFill="1" applyBorder="1" applyAlignment="1">
      <alignment horizontal="center" vertical="center" wrapText="1"/>
    </xf>
    <xf numFmtId="0" fontId="72" fillId="0" borderId="140" xfId="0" applyFont="1" applyBorder="1" applyAlignment="1">
      <alignment horizontal="center" vertical="center" wrapText="1"/>
    </xf>
    <xf numFmtId="179" fontId="90" fillId="0" borderId="135" xfId="9" applyNumberFormat="1" applyFont="1" applyBorder="1" applyAlignment="1">
      <alignment horizontal="center" vertical="center" wrapText="1"/>
    </xf>
    <xf numFmtId="0" fontId="90" fillId="0" borderId="135" xfId="9" applyFont="1" applyBorder="1" applyAlignment="1">
      <alignment horizontal="center" vertical="center"/>
    </xf>
    <xf numFmtId="0" fontId="85" fillId="0" borderId="135" xfId="9" applyFont="1" applyBorder="1" applyAlignment="1">
      <alignment horizontal="center" vertical="center" wrapText="1"/>
    </xf>
    <xf numFmtId="0" fontId="84" fillId="0" borderId="191" xfId="0" applyFont="1" applyBorder="1" applyAlignment="1">
      <alignment horizontal="center" vertical="center" wrapText="1"/>
    </xf>
    <xf numFmtId="179" fontId="90" fillId="0" borderId="101" xfId="9" applyNumberFormat="1" applyFont="1" applyBorder="1" applyAlignment="1">
      <alignment horizontal="center" vertical="center" wrapText="1"/>
    </xf>
    <xf numFmtId="0" fontId="90" fillId="0" borderId="101" xfId="9" applyFont="1" applyBorder="1" applyAlignment="1">
      <alignment horizontal="center" vertical="center"/>
    </xf>
    <xf numFmtId="0" fontId="84" fillId="0" borderId="214" xfId="0" applyFont="1" applyBorder="1" applyAlignment="1">
      <alignment horizontal="center" vertical="center" wrapText="1"/>
    </xf>
    <xf numFmtId="0" fontId="85" fillId="0" borderId="101" xfId="0" applyFont="1" applyBorder="1" applyAlignment="1">
      <alignment horizontal="center" vertical="center" wrapText="1"/>
    </xf>
    <xf numFmtId="179" fontId="90" fillId="0" borderId="6" xfId="9" applyNumberFormat="1" applyFont="1" applyBorder="1" applyAlignment="1">
      <alignment horizontal="center" vertical="center" wrapText="1"/>
    </xf>
    <xf numFmtId="0" fontId="90" fillId="0" borderId="6" xfId="9" applyFont="1" applyBorder="1" applyAlignment="1">
      <alignment horizontal="center" vertical="center" wrapText="1"/>
    </xf>
    <xf numFmtId="0" fontId="84" fillId="0" borderId="6" xfId="9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0" fontId="84" fillId="0" borderId="182" xfId="0" applyFont="1" applyBorder="1" applyAlignment="1">
      <alignment horizontal="center" vertical="center" wrapText="1"/>
    </xf>
    <xf numFmtId="179" fontId="90" fillId="0" borderId="136" xfId="9" applyNumberFormat="1" applyFont="1" applyBorder="1" applyAlignment="1">
      <alignment horizontal="center" vertical="center" wrapText="1"/>
    </xf>
    <xf numFmtId="0" fontId="84" fillId="0" borderId="196" xfId="0" applyFont="1" applyBorder="1" applyAlignment="1">
      <alignment horizontal="center" vertical="center" wrapText="1"/>
    </xf>
    <xf numFmtId="0" fontId="90" fillId="0" borderId="136" xfId="9" applyFont="1" applyBorder="1" applyAlignment="1">
      <alignment horizontal="center" vertical="center" wrapText="1"/>
    </xf>
    <xf numFmtId="0" fontId="9" fillId="0" borderId="6" xfId="9" applyBorder="1" applyAlignment="1">
      <alignment horizontal="center" vertical="center" wrapText="1"/>
    </xf>
    <xf numFmtId="0" fontId="72" fillId="0" borderId="6" xfId="9" applyFont="1" applyBorder="1" applyAlignment="1">
      <alignment horizontal="center" vertical="center"/>
    </xf>
    <xf numFmtId="0" fontId="46" fillId="0" borderId="6" xfId="9" applyFont="1" applyBorder="1" applyAlignment="1">
      <alignment horizontal="center" vertical="center"/>
    </xf>
    <xf numFmtId="0" fontId="46" fillId="0" borderId="182" xfId="9" applyFont="1" applyBorder="1" applyAlignment="1">
      <alignment horizontal="center" vertical="center" wrapText="1"/>
    </xf>
    <xf numFmtId="0" fontId="46" fillId="0" borderId="182" xfId="9" applyFont="1" applyBorder="1" applyAlignment="1">
      <alignment horizontal="center" vertical="center"/>
    </xf>
    <xf numFmtId="0" fontId="9" fillId="0" borderId="182" xfId="9" applyBorder="1" applyAlignment="1">
      <alignment horizontal="center" vertical="center" wrapText="1"/>
    </xf>
    <xf numFmtId="0" fontId="72" fillId="0" borderId="182" xfId="9" applyFont="1" applyBorder="1" applyAlignment="1">
      <alignment horizontal="center" vertical="center" wrapText="1"/>
    </xf>
    <xf numFmtId="0" fontId="72" fillId="0" borderId="182" xfId="9" applyFont="1" applyBorder="1" applyAlignment="1">
      <alignment horizontal="center" vertical="center"/>
    </xf>
    <xf numFmtId="0" fontId="72" fillId="0" borderId="196" xfId="9" applyFont="1" applyBorder="1" applyAlignment="1">
      <alignment horizontal="center" vertical="center" wrapText="1"/>
    </xf>
    <xf numFmtId="0" fontId="72" fillId="0" borderId="196" xfId="9" applyFont="1" applyBorder="1" applyAlignment="1">
      <alignment horizontal="center" vertical="center"/>
    </xf>
    <xf numFmtId="176" fontId="13" fillId="0" borderId="103" xfId="2" applyNumberFormat="1" applyFont="1" applyFill="1" applyBorder="1">
      <alignment vertical="center"/>
    </xf>
    <xf numFmtId="176" fontId="29" fillId="0" borderId="6" xfId="2" applyNumberFormat="1" applyFont="1" applyFill="1" applyBorder="1">
      <alignment vertical="center"/>
    </xf>
    <xf numFmtId="176" fontId="13" fillId="0" borderId="198" xfId="2" applyNumberFormat="1" applyFont="1" applyFill="1" applyBorder="1">
      <alignment vertical="center"/>
    </xf>
    <xf numFmtId="0" fontId="26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3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9" fillId="12" borderId="30" xfId="9" applyFill="1" applyBorder="1" applyAlignment="1">
      <alignment horizontal="center" vertical="center"/>
    </xf>
    <xf numFmtId="0" fontId="10" fillId="12" borderId="30" xfId="9" quotePrefix="1" applyFont="1" applyFill="1" applyBorder="1" applyAlignment="1">
      <alignment horizontal="center" vertical="center"/>
    </xf>
    <xf numFmtId="0" fontId="9" fillId="12" borderId="167" xfId="9" applyFill="1" applyBorder="1" applyAlignment="1">
      <alignment horizontal="center" vertical="center"/>
    </xf>
    <xf numFmtId="0" fontId="10" fillId="12" borderId="166" xfId="9" applyFont="1" applyFill="1" applyBorder="1" applyAlignment="1">
      <alignment horizontal="center" vertical="center"/>
    </xf>
    <xf numFmtId="0" fontId="10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0" fillId="12" borderId="168" xfId="9" quotePrefix="1" applyFont="1" applyFill="1" applyBorder="1" applyAlignment="1">
      <alignment horizontal="center" vertical="center"/>
    </xf>
    <xf numFmtId="181" fontId="12" fillId="12" borderId="127" xfId="0" applyNumberFormat="1" applyFont="1" applyFill="1" applyBorder="1" applyAlignment="1">
      <alignment horizontal="center" vertical="center"/>
    </xf>
    <xf numFmtId="181" fontId="12" fillId="12" borderId="128" xfId="0" applyNumberFormat="1" applyFont="1" applyFill="1" applyBorder="1" applyAlignment="1">
      <alignment horizontal="center" vertical="center"/>
    </xf>
    <xf numFmtId="181" fontId="12" fillId="12" borderId="38" xfId="0" quotePrefix="1" applyNumberFormat="1" applyFont="1" applyFill="1" applyBorder="1" applyAlignment="1">
      <alignment horizontal="center" vertical="center"/>
    </xf>
    <xf numFmtId="181" fontId="12" fillId="12" borderId="49" xfId="0" quotePrefix="1" applyNumberFormat="1" applyFont="1" applyFill="1" applyBorder="1" applyAlignment="1">
      <alignment horizontal="center" vertical="center"/>
    </xf>
    <xf numFmtId="181" fontId="12" fillId="12" borderId="45" xfId="0" quotePrefix="1" applyNumberFormat="1" applyFont="1" applyFill="1" applyBorder="1" applyAlignment="1">
      <alignment horizontal="center" vertical="center"/>
    </xf>
    <xf numFmtId="181" fontId="12" fillId="12" borderId="38" xfId="0" applyNumberFormat="1" applyFont="1" applyFill="1" applyBorder="1" applyAlignment="1">
      <alignment horizontal="center" vertical="center"/>
    </xf>
    <xf numFmtId="181" fontId="12" fillId="12" borderId="131" xfId="0" quotePrefix="1" applyNumberFormat="1" applyFont="1" applyFill="1" applyBorder="1" applyAlignment="1">
      <alignment horizontal="center" vertical="center"/>
    </xf>
    <xf numFmtId="181" fontId="12" fillId="12" borderId="37" xfId="0" applyNumberFormat="1" applyFont="1" applyFill="1" applyBorder="1" applyAlignment="1">
      <alignment horizontal="center" vertical="center"/>
    </xf>
    <xf numFmtId="181" fontId="12" fillId="12" borderId="129" xfId="0" applyNumberFormat="1" applyFont="1" applyFill="1" applyBorder="1" applyAlignment="1">
      <alignment horizontal="center" vertical="center"/>
    </xf>
    <xf numFmtId="181" fontId="12" fillId="12" borderId="51" xfId="0" applyNumberFormat="1" applyFont="1" applyFill="1" applyBorder="1" applyAlignment="1">
      <alignment horizontal="center" vertical="center"/>
    </xf>
    <xf numFmtId="181" fontId="12" fillId="12" borderId="130" xfId="0" applyNumberFormat="1" applyFont="1" applyFill="1" applyBorder="1" applyAlignment="1">
      <alignment horizontal="center" vertical="center"/>
    </xf>
    <xf numFmtId="181" fontId="12" fillId="12" borderId="34" xfId="0" applyNumberFormat="1" applyFont="1" applyFill="1" applyBorder="1" applyAlignment="1">
      <alignment horizontal="center" vertical="center"/>
    </xf>
    <xf numFmtId="181" fontId="12" fillId="12" borderId="51" xfId="0" quotePrefix="1" applyNumberFormat="1" applyFont="1" applyFill="1" applyBorder="1" applyAlignment="1">
      <alignment horizontal="center" vertical="center"/>
    </xf>
    <xf numFmtId="181" fontId="12" fillId="12" borderId="37" xfId="0" quotePrefix="1" applyNumberFormat="1" applyFont="1" applyFill="1" applyBorder="1" applyAlignment="1">
      <alignment horizontal="center" vertical="center"/>
    </xf>
    <xf numFmtId="181" fontId="12" fillId="12" borderId="42" xfId="0" quotePrefix="1" applyNumberFormat="1" applyFont="1" applyFill="1" applyBorder="1" applyAlignment="1">
      <alignment horizontal="center" vertical="center"/>
    </xf>
    <xf numFmtId="181" fontId="12" fillId="12" borderId="43" xfId="0" applyNumberFormat="1" applyFont="1" applyFill="1" applyBorder="1" applyAlignment="1">
      <alignment horizontal="center" vertical="center"/>
    </xf>
    <xf numFmtId="181" fontId="12" fillId="12" borderId="45" xfId="0" applyNumberFormat="1" applyFont="1" applyFill="1" applyBorder="1" applyAlignment="1">
      <alignment horizontal="center" vertical="center"/>
    </xf>
    <xf numFmtId="181" fontId="12" fillId="12" borderId="48" xfId="0" applyNumberFormat="1" applyFont="1" applyFill="1" applyBorder="1" applyAlignment="1">
      <alignment horizontal="center" vertical="center"/>
    </xf>
    <xf numFmtId="181" fontId="12" fillId="12" borderId="35" xfId="0" applyNumberFormat="1" applyFont="1" applyFill="1" applyBorder="1" applyAlignment="1">
      <alignment horizontal="center" vertical="center"/>
    </xf>
    <xf numFmtId="181" fontId="12" fillId="12" borderId="49" xfId="0" applyNumberFormat="1" applyFont="1" applyFill="1" applyBorder="1" applyAlignment="1">
      <alignment horizontal="center" vertical="center"/>
    </xf>
    <xf numFmtId="181" fontId="12" fillId="12" borderId="54" xfId="0" quotePrefix="1" applyNumberFormat="1" applyFont="1" applyFill="1" applyBorder="1" applyAlignment="1">
      <alignment horizontal="center" vertical="center"/>
    </xf>
    <xf numFmtId="181" fontId="12" fillId="12" borderId="34" xfId="0" quotePrefix="1" applyNumberFormat="1" applyFont="1" applyFill="1" applyBorder="1" applyAlignment="1">
      <alignment horizontal="center" vertical="center"/>
    </xf>
    <xf numFmtId="181" fontId="12" fillId="12" borderId="42" xfId="0" applyNumberFormat="1" applyFont="1" applyFill="1" applyBorder="1" applyAlignment="1">
      <alignment horizontal="center" vertical="center"/>
    </xf>
    <xf numFmtId="181" fontId="12" fillId="12" borderId="35" xfId="0" quotePrefix="1" applyNumberFormat="1" applyFont="1" applyFill="1" applyBorder="1" applyAlignment="1">
      <alignment horizontal="center" vertical="center"/>
    </xf>
    <xf numFmtId="181" fontId="12" fillId="12" borderId="43" xfId="0" quotePrefix="1" applyNumberFormat="1" applyFont="1" applyFill="1" applyBorder="1" applyAlignment="1">
      <alignment horizontal="center" vertical="center"/>
    </xf>
    <xf numFmtId="181" fontId="12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1" fillId="16" borderId="277" xfId="0" applyFont="1" applyFill="1" applyBorder="1" applyAlignment="1">
      <alignment horizontal="center" vertical="center"/>
    </xf>
    <xf numFmtId="0" fontId="71" fillId="22" borderId="278" xfId="0" applyFont="1" applyFill="1" applyBorder="1" applyAlignment="1">
      <alignment horizontal="center" vertical="center"/>
    </xf>
    <xf numFmtId="194" fontId="24" fillId="0" borderId="279" xfId="2" applyNumberFormat="1" applyFont="1" applyBorder="1" applyAlignment="1">
      <alignment horizontal="center" vertical="center"/>
    </xf>
    <xf numFmtId="195" fontId="24" fillId="0" borderId="135" xfId="2" applyNumberFormat="1" applyFont="1" applyBorder="1" applyAlignment="1">
      <alignment horizontal="center" vertical="center"/>
    </xf>
    <xf numFmtId="193" fontId="24" fillId="0" borderId="280" xfId="0" applyNumberFormat="1" applyFont="1" applyBorder="1" applyAlignment="1">
      <alignment horizontal="center" vertical="center"/>
    </xf>
    <xf numFmtId="194" fontId="45" fillId="0" borderId="190" xfId="2" applyNumberFormat="1" applyFont="1" applyBorder="1" applyAlignment="1">
      <alignment horizontal="center" vertical="center"/>
    </xf>
    <xf numFmtId="195" fontId="45" fillId="0" borderId="135" xfId="2" applyNumberFormat="1" applyFont="1" applyBorder="1" applyAlignment="1">
      <alignment horizontal="center" vertical="center"/>
    </xf>
    <xf numFmtId="193" fontId="45" fillId="0" borderId="280" xfId="0" applyNumberFormat="1" applyFont="1" applyBorder="1" applyAlignment="1">
      <alignment horizontal="center" vertical="center"/>
    </xf>
    <xf numFmtId="194" fontId="24" fillId="0" borderId="69" xfId="2" applyNumberFormat="1" applyFont="1" applyBorder="1" applyAlignment="1">
      <alignment horizontal="center" vertical="center"/>
    </xf>
    <xf numFmtId="195" fontId="24" fillId="0" borderId="6" xfId="2" applyNumberFormat="1" applyFont="1" applyBorder="1" applyAlignment="1">
      <alignment horizontal="center" vertical="center"/>
    </xf>
    <xf numFmtId="193" fontId="24" fillId="0" borderId="81" xfId="0" applyNumberFormat="1" applyFont="1" applyBorder="1" applyAlignment="1">
      <alignment horizontal="center" vertical="center"/>
    </xf>
    <xf numFmtId="194" fontId="45" fillId="0" borderId="83" xfId="2" applyNumberFormat="1" applyFont="1" applyBorder="1" applyAlignment="1">
      <alignment horizontal="center" vertical="center"/>
    </xf>
    <xf numFmtId="195" fontId="45" fillId="0" borderId="6" xfId="2" applyNumberFormat="1" applyFont="1" applyBorder="1" applyAlignment="1">
      <alignment horizontal="center" vertical="center"/>
    </xf>
    <xf numFmtId="193" fontId="45" fillId="0" borderId="81" xfId="0" applyNumberFormat="1" applyFont="1" applyBorder="1" applyAlignment="1">
      <alignment horizontal="center" vertical="center"/>
    </xf>
    <xf numFmtId="194" fontId="24" fillId="0" borderId="277" xfId="2" applyNumberFormat="1" applyFont="1" applyBorder="1" applyAlignment="1">
      <alignment horizontal="center" vertical="center"/>
    </xf>
    <xf numFmtId="195" fontId="24" fillId="0" borderId="136" xfId="2" applyNumberFormat="1" applyFont="1" applyBorder="1" applyAlignment="1">
      <alignment horizontal="center" vertical="center"/>
    </xf>
    <xf numFmtId="193" fontId="24" fillId="0" borderId="278" xfId="0" applyNumberFormat="1" applyFont="1" applyBorder="1" applyAlignment="1">
      <alignment horizontal="center" vertical="center"/>
    </xf>
    <xf numFmtId="194" fontId="45" fillId="0" borderId="195" xfId="2" applyNumberFormat="1" applyFont="1" applyBorder="1" applyAlignment="1">
      <alignment horizontal="center" vertical="center"/>
    </xf>
    <xf numFmtId="195" fontId="45" fillId="0" borderId="136" xfId="2" applyNumberFormat="1" applyFont="1" applyBorder="1" applyAlignment="1">
      <alignment horizontal="center" vertical="center"/>
    </xf>
    <xf numFmtId="193" fontId="45" fillId="0" borderId="278" xfId="0" applyNumberFormat="1" applyFont="1" applyBorder="1" applyAlignment="1">
      <alignment horizontal="center" vertical="center"/>
    </xf>
    <xf numFmtId="194" fontId="24" fillId="0" borderId="281" xfId="2" applyNumberFormat="1" applyFont="1" applyBorder="1" applyAlignment="1">
      <alignment horizontal="center" vertical="center"/>
    </xf>
    <xf numFmtId="195" fontId="24" fillId="0" borderId="103" xfId="2" applyNumberFormat="1" applyFont="1" applyBorder="1" applyAlignment="1">
      <alignment horizontal="center" vertical="center"/>
    </xf>
    <xf numFmtId="193" fontId="24" fillId="0" borderId="282" xfId="0" applyNumberFormat="1" applyFont="1" applyBorder="1" applyAlignment="1">
      <alignment horizontal="center" vertical="center"/>
    </xf>
    <xf numFmtId="194" fontId="45" fillId="0" borderId="272" xfId="2" applyNumberFormat="1" applyFont="1" applyBorder="1" applyAlignment="1">
      <alignment horizontal="center" vertical="center"/>
    </xf>
    <xf numFmtId="195" fontId="45" fillId="0" borderId="103" xfId="2" applyNumberFormat="1" applyFont="1" applyBorder="1" applyAlignment="1">
      <alignment horizontal="center" vertical="center"/>
    </xf>
    <xf numFmtId="193" fontId="45" fillId="0" borderId="282" xfId="0" applyNumberFormat="1" applyFont="1" applyBorder="1" applyAlignment="1">
      <alignment horizontal="center" vertical="center"/>
    </xf>
    <xf numFmtId="194" fontId="24" fillId="0" borderId="283" xfId="2" applyNumberFormat="1" applyFont="1" applyBorder="1" applyAlignment="1">
      <alignment horizontal="center" vertical="center"/>
    </xf>
    <xf numFmtId="195" fontId="24" fillId="0" borderId="275" xfId="2" applyNumberFormat="1" applyFont="1" applyBorder="1" applyAlignment="1">
      <alignment horizontal="center" vertical="center"/>
    </xf>
    <xf numFmtId="193" fontId="24" fillId="0" borderId="284" xfId="0" applyNumberFormat="1" applyFont="1" applyBorder="1" applyAlignment="1">
      <alignment horizontal="center" vertical="center"/>
    </xf>
    <xf numFmtId="194" fontId="45" fillId="0" borderId="274" xfId="2" applyNumberFormat="1" applyFont="1" applyBorder="1" applyAlignment="1">
      <alignment horizontal="center" vertical="center"/>
    </xf>
    <xf numFmtId="195" fontId="45" fillId="0" borderId="275" xfId="2" applyNumberFormat="1" applyFont="1" applyBorder="1" applyAlignment="1">
      <alignment horizontal="center" vertical="center"/>
    </xf>
    <xf numFmtId="193" fontId="45" fillId="0" borderId="284" xfId="0" applyNumberFormat="1" applyFont="1" applyBorder="1" applyAlignment="1">
      <alignment horizontal="center" vertical="center"/>
    </xf>
    <xf numFmtId="194" fontId="24" fillId="0" borderId="285" xfId="2" applyNumberFormat="1" applyFont="1" applyBorder="1" applyAlignment="1">
      <alignment horizontal="center" vertical="center"/>
    </xf>
    <xf numFmtId="195" fontId="24" fillId="0" borderId="101" xfId="2" applyNumberFormat="1" applyFont="1" applyBorder="1" applyAlignment="1">
      <alignment horizontal="center" vertical="center"/>
    </xf>
    <xf numFmtId="193" fontId="24" fillId="0" borderId="286" xfId="0" applyNumberFormat="1" applyFont="1" applyBorder="1" applyAlignment="1">
      <alignment horizontal="center" vertical="center"/>
    </xf>
    <xf numFmtId="194" fontId="45" fillId="0" borderId="178" xfId="2" applyNumberFormat="1" applyFont="1" applyBorder="1" applyAlignment="1">
      <alignment horizontal="center" vertical="center"/>
    </xf>
    <xf numFmtId="195" fontId="45" fillId="0" borderId="101" xfId="2" applyNumberFormat="1" applyFont="1" applyBorder="1" applyAlignment="1">
      <alignment horizontal="center" vertical="center"/>
    </xf>
    <xf numFmtId="193" fontId="45" fillId="0" borderId="286" xfId="0" applyNumberFormat="1" applyFont="1" applyBorder="1" applyAlignment="1">
      <alignment horizontal="center" vertical="center"/>
    </xf>
    <xf numFmtId="194" fontId="24" fillId="0" borderId="287" xfId="2" applyNumberFormat="1" applyFont="1" applyBorder="1" applyAlignment="1">
      <alignment horizontal="center" vertical="center" wrapText="1"/>
    </xf>
    <xf numFmtId="196" fontId="24" fillId="0" borderId="191" xfId="2" applyNumberFormat="1" applyFont="1" applyBorder="1" applyAlignment="1">
      <alignment horizontal="center" vertical="center" wrapText="1"/>
    </xf>
    <xf numFmtId="193" fontId="24" fillId="0" borderId="288" xfId="0" applyNumberFormat="1" applyFont="1" applyBorder="1" applyAlignment="1">
      <alignment horizontal="center" vertical="center" wrapText="1"/>
    </xf>
    <xf numFmtId="194" fontId="45" fillId="0" borderId="289" xfId="2" applyNumberFormat="1" applyFont="1" applyBorder="1" applyAlignment="1">
      <alignment horizontal="center" vertical="center" wrapText="1"/>
    </xf>
    <xf numFmtId="196" fontId="45" fillId="0" borderId="191" xfId="2" applyNumberFormat="1" applyFont="1" applyBorder="1" applyAlignment="1">
      <alignment horizontal="center" vertical="center" wrapText="1"/>
    </xf>
    <xf numFmtId="193" fontId="45" fillId="0" borderId="288" xfId="0" applyNumberFormat="1" applyFont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5" fillId="23" borderId="81" xfId="0" applyFont="1" applyFill="1" applyBorder="1" applyAlignment="1">
      <alignment horizontal="center" vertical="center" wrapText="1"/>
    </xf>
    <xf numFmtId="194" fontId="24" fillId="0" borderId="69" xfId="2" applyNumberFormat="1" applyFont="1" applyBorder="1" applyAlignment="1">
      <alignment horizontal="center" vertical="center" wrapText="1"/>
    </xf>
    <xf numFmtId="196" fontId="24" fillId="0" borderId="6" xfId="2" applyNumberFormat="1" applyFont="1" applyBorder="1" applyAlignment="1">
      <alignment horizontal="center" vertical="center" wrapText="1"/>
    </xf>
    <xf numFmtId="193" fontId="24" fillId="0" borderId="81" xfId="0" applyNumberFormat="1" applyFont="1" applyBorder="1" applyAlignment="1">
      <alignment horizontal="center" vertical="center" wrapText="1"/>
    </xf>
    <xf numFmtId="194" fontId="45" fillId="0" borderId="83" xfId="2" applyNumberFormat="1" applyFont="1" applyBorder="1" applyAlignment="1">
      <alignment horizontal="center" vertical="center" wrapText="1"/>
    </xf>
    <xf numFmtId="196" fontId="45" fillId="0" borderId="6" xfId="2" applyNumberFormat="1" applyFont="1" applyBorder="1" applyAlignment="1">
      <alignment horizontal="center" vertical="center" wrapText="1"/>
    </xf>
    <xf numFmtId="193" fontId="45" fillId="0" borderId="81" xfId="0" applyNumberFormat="1" applyFont="1" applyBorder="1" applyAlignment="1">
      <alignment horizontal="center" vertical="center" wrapText="1"/>
    </xf>
    <xf numFmtId="194" fontId="45" fillId="0" borderId="83" xfId="2" applyNumberFormat="1" applyFont="1" applyFill="1" applyBorder="1" applyAlignment="1">
      <alignment horizontal="center" vertical="center" wrapText="1"/>
    </xf>
    <xf numFmtId="196" fontId="45" fillId="0" borderId="6" xfId="2" applyNumberFormat="1" applyFont="1" applyFill="1" applyBorder="1" applyAlignment="1">
      <alignment horizontal="center" vertical="center" wrapText="1"/>
    </xf>
    <xf numFmtId="194" fontId="24" fillId="0" borderId="277" xfId="2" applyNumberFormat="1" applyFont="1" applyBorder="1" applyAlignment="1">
      <alignment horizontal="center" vertical="center" wrapText="1"/>
    </xf>
    <xf numFmtId="196" fontId="24" fillId="0" borderId="136" xfId="2" applyNumberFormat="1" applyFont="1" applyBorder="1" applyAlignment="1">
      <alignment horizontal="center" vertical="center" wrapText="1"/>
    </xf>
    <xf numFmtId="193" fontId="24" fillId="0" borderId="278" xfId="0" applyNumberFormat="1" applyFont="1" applyBorder="1" applyAlignment="1">
      <alignment horizontal="center" vertical="center" wrapText="1"/>
    </xf>
    <xf numFmtId="194" fontId="45" fillId="0" borderId="195" xfId="2" applyNumberFormat="1" applyFont="1" applyBorder="1" applyAlignment="1">
      <alignment horizontal="center" vertical="center" wrapText="1"/>
    </xf>
    <xf numFmtId="196" fontId="45" fillId="0" borderId="136" xfId="2" applyNumberFormat="1" applyFont="1" applyBorder="1" applyAlignment="1">
      <alignment horizontal="center" vertical="center" wrapText="1"/>
    </xf>
    <xf numFmtId="193" fontId="45" fillId="0" borderId="278" xfId="0" applyNumberFormat="1" applyFont="1" applyBorder="1" applyAlignment="1">
      <alignment horizontal="center" vertical="center" wrapText="1"/>
    </xf>
    <xf numFmtId="194" fontId="24" fillId="0" borderId="69" xfId="2" applyNumberFormat="1" applyFont="1" applyFill="1" applyBorder="1" applyAlignment="1">
      <alignment horizontal="center" vertical="center" wrapText="1"/>
    </xf>
    <xf numFmtId="196" fontId="24" fillId="0" borderId="6" xfId="2" applyNumberFormat="1" applyFont="1" applyFill="1" applyBorder="1" applyAlignment="1">
      <alignment horizontal="center" vertical="center" wrapText="1"/>
    </xf>
    <xf numFmtId="194" fontId="24" fillId="0" borderId="83" xfId="2" applyNumberFormat="1" applyFont="1" applyBorder="1" applyAlignment="1">
      <alignment horizontal="center" vertical="center" wrapText="1"/>
    </xf>
    <xf numFmtId="194" fontId="24" fillId="0" borderId="290" xfId="2" applyNumberFormat="1" applyFont="1" applyBorder="1" applyAlignment="1">
      <alignment horizontal="center" vertical="center" wrapText="1"/>
    </xf>
    <xf numFmtId="196" fontId="24" fillId="0" borderId="196" xfId="2" applyNumberFormat="1" applyFont="1" applyBorder="1" applyAlignment="1">
      <alignment horizontal="center" vertical="center" wrapText="1"/>
    </xf>
    <xf numFmtId="193" fontId="24" fillId="0" borderId="291" xfId="0" applyNumberFormat="1" applyFont="1" applyBorder="1" applyAlignment="1">
      <alignment horizontal="center" vertical="center" wrapText="1"/>
    </xf>
    <xf numFmtId="194" fontId="45" fillId="0" borderId="292" xfId="2" applyNumberFormat="1" applyFont="1" applyBorder="1" applyAlignment="1">
      <alignment horizontal="center" vertical="center" wrapText="1"/>
    </xf>
    <xf numFmtId="196" fontId="45" fillId="0" borderId="196" xfId="2" applyNumberFormat="1" applyFont="1" applyBorder="1" applyAlignment="1">
      <alignment horizontal="center" vertical="center" wrapText="1"/>
    </xf>
    <xf numFmtId="193" fontId="45" fillId="0" borderId="291" xfId="0" applyNumberFormat="1" applyFont="1" applyBorder="1" applyAlignment="1">
      <alignment horizontal="center" vertical="center" wrapText="1"/>
    </xf>
    <xf numFmtId="194" fontId="24" fillId="0" borderId="279" xfId="2" applyNumberFormat="1" applyFont="1" applyBorder="1" applyAlignment="1">
      <alignment horizontal="center" vertical="center" wrapText="1"/>
    </xf>
    <xf numFmtId="196" fontId="24" fillId="0" borderId="135" xfId="2" applyNumberFormat="1" applyFont="1" applyBorder="1" applyAlignment="1">
      <alignment horizontal="center" vertical="center" wrapText="1"/>
    </xf>
    <xf numFmtId="193" fontId="24" fillId="0" borderId="280" xfId="0" applyNumberFormat="1" applyFont="1" applyBorder="1" applyAlignment="1">
      <alignment horizontal="center" vertical="center" wrapText="1"/>
    </xf>
    <xf numFmtId="194" fontId="45" fillId="0" borderId="190" xfId="2" applyNumberFormat="1" applyFont="1" applyBorder="1" applyAlignment="1">
      <alignment horizontal="center" vertical="center" wrapText="1"/>
    </xf>
    <xf numFmtId="196" fontId="45" fillId="0" borderId="135" xfId="2" applyNumberFormat="1" applyFont="1" applyBorder="1" applyAlignment="1">
      <alignment horizontal="center" vertical="center" wrapText="1"/>
    </xf>
    <xf numFmtId="193" fontId="45" fillId="0" borderId="280" xfId="0" applyNumberFormat="1" applyFont="1" applyBorder="1" applyAlignment="1">
      <alignment horizontal="center" vertical="center" wrapText="1"/>
    </xf>
    <xf numFmtId="194" fontId="24" fillId="0" borderId="293" xfId="2" applyNumberFormat="1" applyFont="1" applyBorder="1" applyAlignment="1">
      <alignment horizontal="center" vertical="center" wrapText="1"/>
    </xf>
    <xf numFmtId="196" fontId="24" fillId="0" borderId="182" xfId="2" applyNumberFormat="1" applyFont="1" applyBorder="1" applyAlignment="1">
      <alignment horizontal="center" vertical="center" wrapText="1"/>
    </xf>
    <xf numFmtId="193" fontId="24" fillId="0" borderId="294" xfId="0" applyNumberFormat="1" applyFont="1" applyBorder="1" applyAlignment="1">
      <alignment horizontal="center" vertical="center" wrapText="1"/>
    </xf>
    <xf numFmtId="194" fontId="45" fillId="0" borderId="244" xfId="2" applyNumberFormat="1" applyFont="1" applyBorder="1" applyAlignment="1">
      <alignment horizontal="center" vertical="center" wrapText="1"/>
    </xf>
    <xf numFmtId="196" fontId="45" fillId="0" borderId="182" xfId="2" applyNumberFormat="1" applyFont="1" applyBorder="1" applyAlignment="1">
      <alignment horizontal="center" vertical="center" wrapText="1"/>
    </xf>
    <xf numFmtId="193" fontId="45" fillId="0" borderId="294" xfId="0" applyNumberFormat="1" applyFont="1" applyBorder="1" applyAlignment="1">
      <alignment horizontal="center" vertical="center" wrapText="1"/>
    </xf>
    <xf numFmtId="194" fontId="24" fillId="0" borderId="277" xfId="2" applyNumberFormat="1" applyFont="1" applyFill="1" applyBorder="1" applyAlignment="1">
      <alignment horizontal="center" vertical="center" wrapText="1"/>
    </xf>
    <xf numFmtId="196" fontId="24" fillId="0" borderId="136" xfId="2" applyNumberFormat="1" applyFont="1" applyFill="1" applyBorder="1" applyAlignment="1">
      <alignment horizontal="center" vertical="center" wrapText="1"/>
    </xf>
    <xf numFmtId="194" fontId="45" fillId="0" borderId="195" xfId="2" applyNumberFormat="1" applyFont="1" applyFill="1" applyBorder="1" applyAlignment="1">
      <alignment horizontal="center" vertical="center" wrapText="1"/>
    </xf>
    <xf numFmtId="196" fontId="45" fillId="0" borderId="136" xfId="2" applyNumberFormat="1" applyFont="1" applyFill="1" applyBorder="1" applyAlignment="1">
      <alignment horizontal="center" vertical="center" wrapText="1"/>
    </xf>
    <xf numFmtId="194" fontId="24" fillId="0" borderId="287" xfId="2" applyNumberFormat="1" applyFont="1" applyFill="1" applyBorder="1" applyAlignment="1">
      <alignment horizontal="center" vertical="center" wrapText="1"/>
    </xf>
    <xf numFmtId="196" fontId="24" fillId="0" borderId="191" xfId="2" applyNumberFormat="1" applyFont="1" applyFill="1" applyBorder="1" applyAlignment="1">
      <alignment horizontal="center" vertical="center" wrapText="1"/>
    </xf>
    <xf numFmtId="194" fontId="45" fillId="0" borderId="289" xfId="2" applyNumberFormat="1" applyFont="1" applyFill="1" applyBorder="1" applyAlignment="1">
      <alignment horizontal="center" vertical="center" wrapText="1"/>
    </xf>
    <xf numFmtId="196" fontId="45" fillId="0" borderId="191" xfId="2" applyNumberFormat="1" applyFont="1" applyFill="1" applyBorder="1" applyAlignment="1">
      <alignment horizontal="center" vertical="center" wrapText="1"/>
    </xf>
    <xf numFmtId="194" fontId="24" fillId="0" borderId="279" xfId="2" applyNumberFormat="1" applyFont="1" applyFill="1" applyBorder="1" applyAlignment="1">
      <alignment horizontal="center" vertical="center" wrapText="1"/>
    </xf>
    <xf numFmtId="196" fontId="24" fillId="0" borderId="135" xfId="2" applyNumberFormat="1" applyFont="1" applyFill="1" applyBorder="1" applyAlignment="1">
      <alignment horizontal="center" vertical="center" wrapText="1"/>
    </xf>
    <xf numFmtId="194" fontId="45" fillId="0" borderId="190" xfId="2" applyNumberFormat="1" applyFont="1" applyFill="1" applyBorder="1" applyAlignment="1">
      <alignment horizontal="center" vertical="center" wrapText="1"/>
    </xf>
    <xf numFmtId="196" fontId="45" fillId="0" borderId="135" xfId="2" applyNumberFormat="1" applyFont="1" applyFill="1" applyBorder="1" applyAlignment="1">
      <alignment horizontal="center" vertical="center" wrapText="1"/>
    </xf>
    <xf numFmtId="194" fontId="45" fillId="0" borderId="296" xfId="2" applyNumberFormat="1" applyFont="1" applyBorder="1" applyAlignment="1">
      <alignment horizontal="center" vertical="center" wrapText="1"/>
    </xf>
    <xf numFmtId="196" fontId="45" fillId="0" borderId="198" xfId="2" applyNumberFormat="1" applyFont="1" applyBorder="1" applyAlignment="1">
      <alignment horizontal="center" vertical="center" wrapText="1"/>
    </xf>
    <xf numFmtId="193" fontId="45" fillId="0" borderId="295" xfId="0" applyNumberFormat="1" applyFont="1" applyBorder="1" applyAlignment="1">
      <alignment horizontal="center" vertical="center" wrapText="1"/>
    </xf>
    <xf numFmtId="194" fontId="45" fillId="0" borderId="272" xfId="2" applyNumberFormat="1" applyFont="1" applyBorder="1" applyAlignment="1">
      <alignment horizontal="center" vertical="center" wrapText="1"/>
    </xf>
    <xf numFmtId="196" fontId="45" fillId="0" borderId="103" xfId="2" applyNumberFormat="1" applyFont="1" applyBorder="1" applyAlignment="1">
      <alignment horizontal="center" vertical="center" wrapText="1"/>
    </xf>
    <xf numFmtId="193" fontId="45" fillId="0" borderId="282" xfId="0" applyNumberFormat="1" applyFont="1" applyBorder="1" applyAlignment="1">
      <alignment horizontal="center" vertical="center" wrapText="1"/>
    </xf>
    <xf numFmtId="194" fontId="24" fillId="0" borderId="281" xfId="2" applyNumberFormat="1" applyFont="1" applyBorder="1" applyAlignment="1">
      <alignment horizontal="center" vertical="center" wrapText="1"/>
    </xf>
    <xf numFmtId="196" fontId="24" fillId="0" borderId="103" xfId="2" applyNumberFormat="1" applyFont="1" applyBorder="1" applyAlignment="1">
      <alignment horizontal="center" vertical="center" wrapText="1"/>
    </xf>
    <xf numFmtId="193" fontId="24" fillId="0" borderId="282" xfId="0" applyNumberFormat="1" applyFont="1" applyBorder="1" applyAlignment="1">
      <alignment horizontal="center" vertical="center" wrapText="1"/>
    </xf>
    <xf numFmtId="194" fontId="24" fillId="0" borderId="283" xfId="2" applyNumberFormat="1" applyFont="1" applyBorder="1" applyAlignment="1">
      <alignment horizontal="center" vertical="center" wrapText="1"/>
    </xf>
    <xf numFmtId="196" fontId="24" fillId="0" borderId="275" xfId="2" applyNumberFormat="1" applyFont="1" applyBorder="1" applyAlignment="1">
      <alignment horizontal="center" vertical="center" wrapText="1"/>
    </xf>
    <xf numFmtId="193" fontId="24" fillId="0" borderId="284" xfId="0" applyNumberFormat="1" applyFont="1" applyBorder="1" applyAlignment="1">
      <alignment horizontal="center" vertical="center" wrapText="1"/>
    </xf>
    <xf numFmtId="193" fontId="0" fillId="0" borderId="288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6" fontId="0" fillId="0" borderId="182" xfId="2" applyNumberFormat="1" applyFont="1" applyFill="1" applyBorder="1" applyAlignment="1">
      <alignment horizontal="center" vertical="center" wrapText="1"/>
    </xf>
    <xf numFmtId="193" fontId="0" fillId="0" borderId="294" xfId="0" applyNumberFormat="1" applyBorder="1" applyAlignment="1">
      <alignment horizontal="center" vertical="center" wrapText="1"/>
    </xf>
    <xf numFmtId="194" fontId="24" fillId="0" borderId="84" xfId="2" applyNumberFormat="1" applyFont="1" applyBorder="1" applyAlignment="1">
      <alignment horizontal="center" vertical="center" wrapText="1"/>
    </xf>
    <xf numFmtId="196" fontId="24" fillId="0" borderId="86" xfId="2" applyNumberFormat="1" applyFont="1" applyBorder="1" applyAlignment="1">
      <alignment horizontal="center" vertical="center" wrapText="1"/>
    </xf>
    <xf numFmtId="193" fontId="24" fillId="0" borderId="87" xfId="0" applyNumberFormat="1" applyFont="1" applyBorder="1" applyAlignment="1">
      <alignment horizontal="center" vertical="center" wrapText="1"/>
    </xf>
    <xf numFmtId="194" fontId="0" fillId="0" borderId="298" xfId="2" applyNumberFormat="1" applyFont="1" applyFill="1" applyBorder="1" applyAlignment="1">
      <alignment horizontal="center" vertical="center" wrapText="1"/>
    </xf>
    <xf numFmtId="196" fontId="0" fillId="0" borderId="299" xfId="2" applyNumberFormat="1" applyFont="1" applyFill="1" applyBorder="1" applyAlignment="1">
      <alignment horizontal="center" vertical="center" wrapText="1"/>
    </xf>
    <xf numFmtId="0" fontId="0" fillId="0" borderId="299" xfId="0" applyBorder="1" applyAlignment="1">
      <alignment horizontal="center" vertical="center" wrapText="1"/>
    </xf>
    <xf numFmtId="193" fontId="0" fillId="0" borderId="297" xfId="0" applyNumberFormat="1" applyBorder="1" applyAlignment="1">
      <alignment horizontal="center" vertical="center" wrapText="1"/>
    </xf>
    <xf numFmtId="0" fontId="23" fillId="23" borderId="277" xfId="0" applyFont="1" applyFill="1" applyBorder="1" applyAlignment="1">
      <alignment horizontal="center" vertical="center"/>
    </xf>
    <xf numFmtId="0" fontId="40" fillId="23" borderId="278" xfId="0" applyFont="1" applyFill="1" applyBorder="1" applyAlignment="1">
      <alignment horizontal="center" vertical="center"/>
    </xf>
    <xf numFmtId="194" fontId="72" fillId="0" borderId="279" xfId="2" applyNumberFormat="1" applyFont="1" applyBorder="1" applyAlignment="1">
      <alignment horizontal="center" vertical="center" wrapText="1" readingOrder="1"/>
    </xf>
    <xf numFmtId="196" fontId="72" fillId="0" borderId="135" xfId="2" applyNumberFormat="1" applyFont="1" applyBorder="1" applyAlignment="1">
      <alignment horizontal="center" vertical="center" wrapText="1" readingOrder="1"/>
    </xf>
    <xf numFmtId="193" fontId="72" fillId="0" borderId="280" xfId="0" applyNumberFormat="1" applyFont="1" applyBorder="1" applyAlignment="1">
      <alignment horizontal="center" vertical="center" wrapText="1" readingOrder="1"/>
    </xf>
    <xf numFmtId="194" fontId="46" fillId="0" borderId="190" xfId="2" applyNumberFormat="1" applyFont="1" applyBorder="1" applyAlignment="1">
      <alignment horizontal="center" vertical="center" wrapText="1" readingOrder="1"/>
    </xf>
    <xf numFmtId="196" fontId="46" fillId="0" borderId="135" xfId="2" applyNumberFormat="1" applyFont="1" applyBorder="1" applyAlignment="1">
      <alignment horizontal="center" vertical="center" wrapText="1" readingOrder="1"/>
    </xf>
    <xf numFmtId="193" fontId="46" fillId="0" borderId="280" xfId="0" applyNumberFormat="1" applyFont="1" applyBorder="1" applyAlignment="1">
      <alignment horizontal="center" vertical="center" wrapText="1" readingOrder="1"/>
    </xf>
    <xf numFmtId="194" fontId="72" fillId="0" borderId="69" xfId="2" applyNumberFormat="1" applyFont="1" applyBorder="1" applyAlignment="1">
      <alignment horizontal="center" vertical="center" wrapText="1" readingOrder="1"/>
    </xf>
    <xf numFmtId="196" fontId="72" fillId="0" borderId="6" xfId="2" applyNumberFormat="1" applyFont="1" applyBorder="1" applyAlignment="1">
      <alignment horizontal="center" vertical="center" wrapText="1" readingOrder="1"/>
    </xf>
    <xf numFmtId="193" fontId="72" fillId="0" borderId="81" xfId="0" applyNumberFormat="1" applyFont="1" applyBorder="1" applyAlignment="1">
      <alignment horizontal="center" vertical="center" wrapText="1" readingOrder="1"/>
    </xf>
    <xf numFmtId="194" fontId="46" fillId="0" borderId="83" xfId="2" applyNumberFormat="1" applyFont="1" applyBorder="1" applyAlignment="1">
      <alignment horizontal="center" vertical="center" wrapText="1" readingOrder="1"/>
    </xf>
    <xf numFmtId="196" fontId="46" fillId="0" borderId="6" xfId="2" applyNumberFormat="1" applyFont="1" applyBorder="1" applyAlignment="1">
      <alignment horizontal="center" vertical="center" wrapText="1" readingOrder="1"/>
    </xf>
    <xf numFmtId="193" fontId="46" fillId="0" borderId="81" xfId="0" applyNumberFormat="1" applyFont="1" applyBorder="1" applyAlignment="1">
      <alignment horizontal="center" vertical="center" wrapText="1" readingOrder="1"/>
    </xf>
    <xf numFmtId="194" fontId="72" fillId="0" borderId="69" xfId="2" applyNumberFormat="1" applyFont="1" applyFill="1" applyBorder="1" applyAlignment="1">
      <alignment horizontal="center" vertical="center" wrapText="1" readingOrder="1"/>
    </xf>
    <xf numFmtId="196" fontId="72" fillId="0" borderId="6" xfId="2" applyNumberFormat="1" applyFont="1" applyFill="1" applyBorder="1" applyAlignment="1">
      <alignment horizontal="center" vertical="center" wrapText="1" readingOrder="1"/>
    </xf>
    <xf numFmtId="194" fontId="72" fillId="0" borderId="277" xfId="2" applyNumberFormat="1" applyFont="1" applyBorder="1" applyAlignment="1">
      <alignment horizontal="center" vertical="center" wrapText="1" readingOrder="1"/>
    </xf>
    <xf numFmtId="196" fontId="72" fillId="0" borderId="136" xfId="2" applyNumberFormat="1" applyFont="1" applyBorder="1" applyAlignment="1">
      <alignment horizontal="center" vertical="center" wrapText="1" readingOrder="1"/>
    </xf>
    <xf numFmtId="193" fontId="72" fillId="0" borderId="278" xfId="0" applyNumberFormat="1" applyFont="1" applyBorder="1" applyAlignment="1">
      <alignment horizontal="center" vertical="center" wrapText="1" readingOrder="1"/>
    </xf>
    <xf numFmtId="194" fontId="46" fillId="0" borderId="195" xfId="2" applyNumberFormat="1" applyFont="1" applyBorder="1" applyAlignment="1">
      <alignment horizontal="center" vertical="center" wrapText="1" readingOrder="1"/>
    </xf>
    <xf numFmtId="196" fontId="46" fillId="0" borderId="136" xfId="2" applyNumberFormat="1" applyFont="1" applyBorder="1" applyAlignment="1">
      <alignment horizontal="center" vertical="center" wrapText="1" readingOrder="1"/>
    </xf>
    <xf numFmtId="193" fontId="46" fillId="0" borderId="278" xfId="0" applyNumberFormat="1" applyFont="1" applyBorder="1" applyAlignment="1">
      <alignment horizontal="center" vertical="center" wrapText="1" readingOrder="1"/>
    </xf>
    <xf numFmtId="194" fontId="72" fillId="0" borderId="279" xfId="2" applyNumberFormat="1" applyFont="1" applyBorder="1" applyAlignment="1">
      <alignment horizontal="center" vertical="center" wrapText="1"/>
    </xf>
    <xf numFmtId="196" fontId="72" fillId="0" borderId="135" xfId="2" applyNumberFormat="1" applyFont="1" applyBorder="1" applyAlignment="1">
      <alignment horizontal="center" vertical="center" wrapText="1"/>
    </xf>
    <xf numFmtId="193" fontId="72" fillId="0" borderId="280" xfId="0" applyNumberFormat="1" applyFont="1" applyBorder="1" applyAlignment="1">
      <alignment horizontal="center" vertical="center" wrapText="1"/>
    </xf>
    <xf numFmtId="194" fontId="46" fillId="0" borderId="190" xfId="2" applyNumberFormat="1" applyFont="1" applyBorder="1" applyAlignment="1">
      <alignment horizontal="center" vertical="center" wrapText="1"/>
    </xf>
    <xf numFmtId="196" fontId="46" fillId="0" borderId="135" xfId="2" applyNumberFormat="1" applyFont="1" applyBorder="1" applyAlignment="1">
      <alignment horizontal="center" vertical="center" wrapText="1"/>
    </xf>
    <xf numFmtId="193" fontId="46" fillId="0" borderId="280" xfId="0" applyNumberFormat="1" applyFont="1" applyBorder="1" applyAlignment="1">
      <alignment horizontal="center" vertical="center" wrapText="1"/>
    </xf>
    <xf numFmtId="194" fontId="72" fillId="0" borderId="69" xfId="2" applyNumberFormat="1" applyFont="1" applyBorder="1" applyAlignment="1">
      <alignment horizontal="center" vertical="center" wrapText="1"/>
    </xf>
    <xf numFmtId="196" fontId="72" fillId="0" borderId="6" xfId="2" applyNumberFormat="1" applyFont="1" applyBorder="1" applyAlignment="1">
      <alignment horizontal="center" vertical="center" wrapText="1"/>
    </xf>
    <xf numFmtId="193" fontId="72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Border="1" applyAlignment="1">
      <alignment horizontal="center" vertical="center" wrapText="1"/>
    </xf>
    <xf numFmtId="196" fontId="46" fillId="0" borderId="6" xfId="2" applyNumberFormat="1" applyFont="1" applyBorder="1" applyAlignment="1">
      <alignment horizontal="center" vertical="center" wrapText="1"/>
    </xf>
    <xf numFmtId="193" fontId="46" fillId="0" borderId="81" xfId="0" applyNumberFormat="1" applyFont="1" applyBorder="1" applyAlignment="1">
      <alignment horizontal="center" vertical="center" wrapText="1"/>
    </xf>
    <xf numFmtId="194" fontId="72" fillId="0" borderId="69" xfId="2" applyNumberFormat="1" applyFont="1" applyFill="1" applyBorder="1" applyAlignment="1">
      <alignment horizontal="center" vertical="center" wrapText="1"/>
    </xf>
    <xf numFmtId="196" fontId="72" fillId="0" borderId="6" xfId="2" applyNumberFormat="1" applyFont="1" applyFill="1" applyBorder="1" applyAlignment="1">
      <alignment horizontal="center" vertical="center" wrapText="1"/>
    </xf>
    <xf numFmtId="194" fontId="46" fillId="0" borderId="83" xfId="2" applyNumberFormat="1" applyFont="1" applyFill="1" applyBorder="1" applyAlignment="1">
      <alignment horizontal="center" vertical="center" wrapText="1"/>
    </xf>
    <xf numFmtId="196" fontId="46" fillId="0" borderId="6" xfId="2" applyNumberFormat="1" applyFont="1" applyFill="1" applyBorder="1" applyAlignment="1">
      <alignment horizontal="center" vertical="center" wrapText="1"/>
    </xf>
    <xf numFmtId="194" fontId="72" fillId="0" borderId="277" xfId="2" applyNumberFormat="1" applyFont="1" applyBorder="1" applyAlignment="1">
      <alignment horizontal="center" vertical="center" wrapText="1"/>
    </xf>
    <xf numFmtId="196" fontId="72" fillId="0" borderId="136" xfId="2" applyNumberFormat="1" applyFont="1" applyBorder="1" applyAlignment="1">
      <alignment horizontal="center" vertical="center" wrapText="1"/>
    </xf>
    <xf numFmtId="193" fontId="72" fillId="0" borderId="278" xfId="0" applyNumberFormat="1" applyFont="1" applyBorder="1" applyAlignment="1">
      <alignment horizontal="center" vertical="center" wrapText="1"/>
    </xf>
    <xf numFmtId="194" fontId="46" fillId="0" borderId="195" xfId="2" applyNumberFormat="1" applyFont="1" applyBorder="1" applyAlignment="1">
      <alignment horizontal="center" vertical="center" wrapText="1"/>
    </xf>
    <xf numFmtId="196" fontId="46" fillId="0" borderId="136" xfId="2" applyNumberFormat="1" applyFont="1" applyBorder="1" applyAlignment="1">
      <alignment horizontal="center" vertical="center" wrapText="1"/>
    </xf>
    <xf numFmtId="193" fontId="46" fillId="0" borderId="278" xfId="0" applyNumberFormat="1" applyFont="1" applyBorder="1" applyAlignment="1">
      <alignment horizontal="center" vertical="center" wrapText="1"/>
    </xf>
    <xf numFmtId="0" fontId="72" fillId="23" borderId="287" xfId="0" applyFont="1" applyFill="1" applyBorder="1" applyAlignment="1">
      <alignment horizontal="center" vertical="center" wrapText="1"/>
    </xf>
    <xf numFmtId="0" fontId="46" fillId="23" borderId="288" xfId="0" applyFont="1" applyFill="1" applyBorder="1" applyAlignment="1">
      <alignment horizontal="center" vertical="center" wrapText="1"/>
    </xf>
    <xf numFmtId="194" fontId="72" fillId="0" borderId="287" xfId="2" applyNumberFormat="1" applyFont="1" applyFill="1" applyBorder="1" applyAlignment="1">
      <alignment horizontal="center" vertical="center" wrapText="1"/>
    </xf>
    <xf numFmtId="196" fontId="72" fillId="0" borderId="191" xfId="2" applyNumberFormat="1" applyFont="1" applyFill="1" applyBorder="1" applyAlignment="1">
      <alignment horizontal="center" vertical="center" wrapText="1"/>
    </xf>
    <xf numFmtId="193" fontId="72" fillId="0" borderId="288" xfId="0" applyNumberFormat="1" applyFont="1" applyBorder="1" applyAlignment="1">
      <alignment horizontal="center" vertical="center" wrapText="1"/>
    </xf>
    <xf numFmtId="194" fontId="46" fillId="0" borderId="289" xfId="2" applyNumberFormat="1" applyFont="1" applyFill="1" applyBorder="1" applyAlignment="1">
      <alignment horizontal="center" vertical="center" wrapText="1"/>
    </xf>
    <xf numFmtId="196" fontId="46" fillId="0" borderId="191" xfId="2" applyNumberFormat="1" applyFont="1" applyFill="1" applyBorder="1" applyAlignment="1">
      <alignment horizontal="center" vertical="center" wrapText="1"/>
    </xf>
    <xf numFmtId="193" fontId="46" fillId="0" borderId="288" xfId="0" applyNumberFormat="1" applyFont="1" applyBorder="1" applyAlignment="1">
      <alignment horizontal="center" vertical="center" wrapText="1"/>
    </xf>
    <xf numFmtId="0" fontId="46" fillId="23" borderId="294" xfId="0" applyFont="1" applyFill="1" applyBorder="1" applyAlignment="1">
      <alignment horizontal="center" vertical="center" wrapText="1"/>
    </xf>
    <xf numFmtId="0" fontId="46" fillId="0" borderId="244" xfId="0" applyFont="1" applyBorder="1" applyAlignment="1">
      <alignment horizontal="center" vertical="center" wrapText="1"/>
    </xf>
    <xf numFmtId="196" fontId="46" fillId="0" borderId="182" xfId="2" applyNumberFormat="1" applyFont="1" applyBorder="1" applyAlignment="1">
      <alignment horizontal="center" vertical="center" wrapText="1"/>
    </xf>
    <xf numFmtId="193" fontId="46" fillId="0" borderId="294" xfId="0" applyNumberFormat="1" applyFont="1" applyBorder="1" applyAlignment="1">
      <alignment horizontal="center" vertical="center" wrapText="1"/>
    </xf>
    <xf numFmtId="194" fontId="72" fillId="0" borderId="287" xfId="2" applyNumberFormat="1" applyFont="1" applyBorder="1" applyAlignment="1">
      <alignment horizontal="center" vertical="center" wrapText="1"/>
    </xf>
    <xf numFmtId="196" fontId="72" fillId="0" borderId="191" xfId="2" applyNumberFormat="1" applyFont="1" applyBorder="1" applyAlignment="1">
      <alignment horizontal="center" vertical="center" wrapText="1"/>
    </xf>
    <xf numFmtId="194" fontId="46" fillId="0" borderId="289" xfId="2" applyNumberFormat="1" applyFont="1" applyBorder="1" applyAlignment="1">
      <alignment horizontal="center" vertical="center" wrapText="1"/>
    </xf>
    <xf numFmtId="196" fontId="46" fillId="0" borderId="191" xfId="2" applyNumberFormat="1" applyFont="1" applyBorder="1" applyAlignment="1">
      <alignment horizontal="center" vertical="center" wrapText="1"/>
    </xf>
    <xf numFmtId="0" fontId="72" fillId="23" borderId="293" xfId="0" applyFont="1" applyFill="1" applyBorder="1" applyAlignment="1">
      <alignment horizontal="center" vertical="center" wrapText="1"/>
    </xf>
    <xf numFmtId="194" fontId="72" fillId="0" borderId="293" xfId="2" applyNumberFormat="1" applyFont="1" applyBorder="1" applyAlignment="1">
      <alignment horizontal="center" vertical="center" wrapText="1"/>
    </xf>
    <xf numFmtId="196" fontId="72" fillId="0" borderId="182" xfId="2" applyNumberFormat="1" applyFont="1" applyBorder="1" applyAlignment="1">
      <alignment horizontal="center" vertical="center" wrapText="1"/>
    </xf>
    <xf numFmtId="193" fontId="72" fillId="0" borderId="294" xfId="0" applyNumberFormat="1" applyFont="1" applyBorder="1" applyAlignment="1">
      <alignment horizontal="center" vertical="center" wrapText="1"/>
    </xf>
    <xf numFmtId="194" fontId="46" fillId="0" borderId="244" xfId="2" applyNumberFormat="1" applyFont="1" applyBorder="1" applyAlignment="1">
      <alignment horizontal="center" vertical="center" wrapText="1"/>
    </xf>
    <xf numFmtId="0" fontId="72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0" fontId="72" fillId="23" borderId="277" xfId="0" applyFont="1" applyFill="1" applyBorder="1" applyAlignment="1">
      <alignment horizontal="center" vertical="center" wrapText="1"/>
    </xf>
    <xf numFmtId="0" fontId="46" fillId="23" borderId="278" xfId="0" applyFont="1" applyFill="1" applyBorder="1" applyAlignment="1">
      <alignment horizontal="center" vertical="center" wrapText="1"/>
    </xf>
    <xf numFmtId="0" fontId="72" fillId="23" borderId="300" xfId="0" applyFont="1" applyFill="1" applyBorder="1" applyAlignment="1">
      <alignment horizontal="center" vertical="center" wrapText="1"/>
    </xf>
    <xf numFmtId="0" fontId="46" fillId="23" borderId="301" xfId="0" applyFont="1" applyFill="1" applyBorder="1" applyAlignment="1">
      <alignment horizontal="center" vertical="center" wrapText="1"/>
    </xf>
    <xf numFmtId="194" fontId="72" fillId="0" borderId="300" xfId="2" applyNumberFormat="1" applyFont="1" applyBorder="1" applyAlignment="1">
      <alignment horizontal="center" vertical="center" wrapText="1"/>
    </xf>
    <xf numFmtId="196" fontId="72" fillId="0" borderId="140" xfId="2" applyNumberFormat="1" applyFont="1" applyBorder="1" applyAlignment="1">
      <alignment horizontal="center" vertical="center" wrapText="1"/>
    </xf>
    <xf numFmtId="193" fontId="72" fillId="0" borderId="301" xfId="0" applyNumberFormat="1" applyFont="1" applyBorder="1" applyAlignment="1">
      <alignment horizontal="center" vertical="center" wrapText="1"/>
    </xf>
    <xf numFmtId="194" fontId="46" fillId="0" borderId="203" xfId="2" applyNumberFormat="1" applyFont="1" applyBorder="1" applyAlignment="1">
      <alignment horizontal="center" vertical="center" wrapText="1"/>
    </xf>
    <xf numFmtId="196" fontId="46" fillId="0" borderId="140" xfId="2" applyNumberFormat="1" applyFont="1" applyBorder="1" applyAlignment="1">
      <alignment horizontal="center" vertical="center" wrapText="1"/>
    </xf>
    <xf numFmtId="193" fontId="46" fillId="0" borderId="301" xfId="0" applyNumberFormat="1" applyFont="1" applyBorder="1" applyAlignment="1">
      <alignment horizontal="center" vertical="center" wrapText="1"/>
    </xf>
    <xf numFmtId="0" fontId="72" fillId="23" borderId="279" xfId="0" applyFont="1" applyFill="1" applyBorder="1" applyAlignment="1">
      <alignment horizontal="center" vertical="center" wrapText="1"/>
    </xf>
    <xf numFmtId="0" fontId="46" fillId="23" borderId="280" xfId="0" applyFont="1" applyFill="1" applyBorder="1" applyAlignment="1">
      <alignment horizontal="center" vertical="center" wrapText="1"/>
    </xf>
    <xf numFmtId="0" fontId="72" fillId="23" borderId="290" xfId="0" applyFont="1" applyFill="1" applyBorder="1" applyAlignment="1">
      <alignment horizontal="center" vertical="center" wrapText="1"/>
    </xf>
    <xf numFmtId="0" fontId="46" fillId="23" borderId="291" xfId="0" applyFont="1" applyFill="1" applyBorder="1" applyAlignment="1">
      <alignment horizontal="center" vertical="center" wrapText="1"/>
    </xf>
    <xf numFmtId="194" fontId="72" fillId="5" borderId="290" xfId="2" applyNumberFormat="1" applyFont="1" applyFill="1" applyBorder="1" applyAlignment="1">
      <alignment horizontal="center" vertical="center" wrapText="1"/>
    </xf>
    <xf numFmtId="196" fontId="72" fillId="5" borderId="196" xfId="2" applyNumberFormat="1" applyFont="1" applyFill="1" applyBorder="1" applyAlignment="1">
      <alignment horizontal="center" vertical="center" wrapText="1"/>
    </xf>
    <xf numFmtId="193" fontId="72" fillId="5" borderId="291" xfId="0" applyNumberFormat="1" applyFont="1" applyFill="1" applyBorder="1" applyAlignment="1">
      <alignment horizontal="center" vertical="center" wrapText="1"/>
    </xf>
    <xf numFmtId="194" fontId="46" fillId="5" borderId="292" xfId="2" applyNumberFormat="1" applyFont="1" applyFill="1" applyBorder="1" applyAlignment="1">
      <alignment horizontal="center" vertical="center" wrapText="1"/>
    </xf>
    <xf numFmtId="196" fontId="46" fillId="5" borderId="196" xfId="2" applyNumberFormat="1" applyFont="1" applyFill="1" applyBorder="1" applyAlignment="1">
      <alignment horizontal="center" vertical="center" wrapText="1"/>
    </xf>
    <xf numFmtId="193" fontId="46" fillId="5" borderId="291" xfId="0" applyNumberFormat="1" applyFont="1" applyFill="1" applyBorder="1" applyAlignment="1">
      <alignment horizontal="center" vertical="center" wrapText="1"/>
    </xf>
    <xf numFmtId="194" fontId="72" fillId="5" borderId="293" xfId="2" applyNumberFormat="1" applyFont="1" applyFill="1" applyBorder="1" applyAlignment="1">
      <alignment horizontal="center" vertical="center" wrapText="1"/>
    </xf>
    <xf numFmtId="196" fontId="72" fillId="5" borderId="182" xfId="2" applyNumberFormat="1" applyFont="1" applyFill="1" applyBorder="1" applyAlignment="1">
      <alignment horizontal="center" vertical="center" wrapText="1"/>
    </xf>
    <xf numFmtId="193" fontId="72" fillId="5" borderId="294" xfId="0" applyNumberFormat="1" applyFont="1" applyFill="1" applyBorder="1" applyAlignment="1">
      <alignment horizontal="center" vertical="center" wrapText="1"/>
    </xf>
    <xf numFmtId="194" fontId="46" fillId="5" borderId="244" xfId="2" applyNumberFormat="1" applyFont="1" applyFill="1" applyBorder="1" applyAlignment="1">
      <alignment horizontal="center" vertical="center" wrapText="1"/>
    </xf>
    <xf numFmtId="196" fontId="46" fillId="5" borderId="182" xfId="2" applyNumberFormat="1" applyFont="1" applyFill="1" applyBorder="1" applyAlignment="1">
      <alignment horizontal="center" vertical="center" wrapText="1"/>
    </xf>
    <xf numFmtId="193" fontId="46" fillId="5" borderId="294" xfId="0" applyNumberFormat="1" applyFont="1" applyFill="1" applyBorder="1" applyAlignment="1">
      <alignment horizontal="center" vertical="center" wrapText="1"/>
    </xf>
    <xf numFmtId="194" fontId="72" fillId="0" borderId="290" xfId="2" applyNumberFormat="1" applyFont="1" applyBorder="1" applyAlignment="1">
      <alignment horizontal="center" vertical="center" wrapText="1"/>
    </xf>
    <xf numFmtId="196" fontId="72" fillId="0" borderId="196" xfId="2" applyNumberFormat="1" applyFont="1" applyBorder="1" applyAlignment="1">
      <alignment horizontal="center" vertical="center" wrapText="1"/>
    </xf>
    <xf numFmtId="193" fontId="72" fillId="0" borderId="291" xfId="0" applyNumberFormat="1" applyFont="1" applyBorder="1" applyAlignment="1">
      <alignment horizontal="center" vertical="center" wrapText="1"/>
    </xf>
    <xf numFmtId="194" fontId="46" fillId="0" borderId="292" xfId="2" applyNumberFormat="1" applyFont="1" applyBorder="1" applyAlignment="1">
      <alignment horizontal="center" vertical="center" wrapText="1"/>
    </xf>
    <xf numFmtId="196" fontId="46" fillId="0" borderId="196" xfId="2" applyNumberFormat="1" applyFont="1" applyBorder="1" applyAlignment="1">
      <alignment horizontal="center" vertical="center" wrapText="1"/>
    </xf>
    <xf numFmtId="193" fontId="46" fillId="0" borderId="291" xfId="0" applyNumberFormat="1" applyFont="1" applyBorder="1" applyAlignment="1">
      <alignment horizontal="center" vertical="center" wrapText="1"/>
    </xf>
    <xf numFmtId="194" fontId="72" fillId="5" borderId="279" xfId="2" applyNumberFormat="1" applyFont="1" applyFill="1" applyBorder="1" applyAlignment="1">
      <alignment horizontal="center" vertical="center" wrapText="1"/>
    </xf>
    <xf numFmtId="196" fontId="72" fillId="5" borderId="135" xfId="2" applyNumberFormat="1" applyFont="1" applyFill="1" applyBorder="1" applyAlignment="1">
      <alignment horizontal="center" vertical="center" wrapText="1"/>
    </xf>
    <xf numFmtId="193" fontId="72" fillId="5" borderId="280" xfId="0" applyNumberFormat="1" applyFont="1" applyFill="1" applyBorder="1" applyAlignment="1">
      <alignment horizontal="center" vertical="center" wrapText="1"/>
    </xf>
    <xf numFmtId="194" fontId="46" fillId="5" borderId="190" xfId="2" applyNumberFormat="1" applyFont="1" applyFill="1" applyBorder="1" applyAlignment="1">
      <alignment horizontal="center" vertical="center" wrapText="1"/>
    </xf>
    <xf numFmtId="196" fontId="46" fillId="5" borderId="135" xfId="2" applyNumberFormat="1" applyFont="1" applyFill="1" applyBorder="1" applyAlignment="1">
      <alignment horizontal="center" vertical="center" wrapText="1"/>
    </xf>
    <xf numFmtId="193" fontId="46" fillId="5" borderId="280" xfId="0" applyNumberFormat="1" applyFont="1" applyFill="1" applyBorder="1" applyAlignment="1">
      <alignment horizontal="center" vertical="center" wrapText="1"/>
    </xf>
    <xf numFmtId="194" fontId="72" fillId="5" borderId="69" xfId="2" applyNumberFormat="1" applyFont="1" applyFill="1" applyBorder="1" applyAlignment="1">
      <alignment horizontal="center" vertical="center" wrapText="1"/>
    </xf>
    <xf numFmtId="196" fontId="72" fillId="5" borderId="6" xfId="2" applyNumberFormat="1" applyFont="1" applyFill="1" applyBorder="1" applyAlignment="1">
      <alignment horizontal="center" vertical="center" wrapText="1"/>
    </xf>
    <xf numFmtId="193" fontId="72" fillId="5" borderId="81" xfId="0" applyNumberFormat="1" applyFont="1" applyFill="1" applyBorder="1" applyAlignment="1">
      <alignment horizontal="center" vertical="center" wrapText="1"/>
    </xf>
    <xf numFmtId="194" fontId="46" fillId="5" borderId="83" xfId="2" applyNumberFormat="1" applyFont="1" applyFill="1" applyBorder="1" applyAlignment="1">
      <alignment horizontal="center" vertical="center" wrapText="1"/>
    </xf>
    <xf numFmtId="196" fontId="46" fillId="5" borderId="6" xfId="2" applyNumberFormat="1" applyFont="1" applyFill="1" applyBorder="1" applyAlignment="1">
      <alignment horizontal="center" vertical="center" wrapText="1"/>
    </xf>
    <xf numFmtId="193" fontId="46" fillId="5" borderId="81" xfId="0" applyNumberFormat="1" applyFont="1" applyFill="1" applyBorder="1" applyAlignment="1">
      <alignment horizontal="center" vertical="center" wrapText="1"/>
    </xf>
    <xf numFmtId="194" fontId="72" fillId="5" borderId="277" xfId="2" applyNumberFormat="1" applyFont="1" applyFill="1" applyBorder="1" applyAlignment="1">
      <alignment horizontal="center" vertical="center" wrapText="1"/>
    </xf>
    <xf numFmtId="196" fontId="72" fillId="5" borderId="136" xfId="2" applyNumberFormat="1" applyFont="1" applyFill="1" applyBorder="1" applyAlignment="1">
      <alignment horizontal="center" vertical="center" wrapText="1"/>
    </xf>
    <xf numFmtId="193" fontId="72" fillId="5" borderId="278" xfId="0" applyNumberFormat="1" applyFont="1" applyFill="1" applyBorder="1" applyAlignment="1">
      <alignment horizontal="center" vertical="center" wrapText="1"/>
    </xf>
    <xf numFmtId="194" fontId="46" fillId="5" borderId="195" xfId="2" applyNumberFormat="1" applyFont="1" applyFill="1" applyBorder="1" applyAlignment="1">
      <alignment horizontal="center" vertical="center" wrapText="1"/>
    </xf>
    <xf numFmtId="196" fontId="46" fillId="5" borderId="136" xfId="2" applyNumberFormat="1" applyFont="1" applyFill="1" applyBorder="1" applyAlignment="1">
      <alignment horizontal="center" vertical="center" wrapText="1"/>
    </xf>
    <xf numFmtId="193" fontId="46" fillId="5" borderId="278" xfId="0" applyNumberFormat="1" applyFont="1" applyFill="1" applyBorder="1" applyAlignment="1">
      <alignment horizontal="center" vertical="center" wrapText="1"/>
    </xf>
    <xf numFmtId="194" fontId="72" fillId="0" borderId="279" xfId="2" applyNumberFormat="1" applyFont="1" applyFill="1" applyBorder="1" applyAlignment="1">
      <alignment horizontal="center" vertical="center" wrapText="1"/>
    </xf>
    <xf numFmtId="196" fontId="72" fillId="0" borderId="135" xfId="2" applyNumberFormat="1" applyFont="1" applyFill="1" applyBorder="1" applyAlignment="1">
      <alignment horizontal="center" vertical="center" wrapText="1"/>
    </xf>
    <xf numFmtId="194" fontId="46" fillId="0" borderId="190" xfId="2" applyNumberFormat="1" applyFont="1" applyFill="1" applyBorder="1" applyAlignment="1">
      <alignment horizontal="center" vertical="center" wrapText="1"/>
    </xf>
    <xf numFmtId="196" fontId="46" fillId="0" borderId="135" xfId="2" applyNumberFormat="1" applyFont="1" applyFill="1" applyBorder="1" applyAlignment="1">
      <alignment horizontal="center" vertical="center" wrapText="1"/>
    </xf>
    <xf numFmtId="194" fontId="72" fillId="0" borderId="277" xfId="2" applyNumberFormat="1" applyFont="1" applyFill="1" applyBorder="1" applyAlignment="1">
      <alignment horizontal="center" vertical="center" wrapText="1"/>
    </xf>
    <xf numFmtId="196" fontId="72" fillId="0" borderId="136" xfId="2" applyNumberFormat="1" applyFont="1" applyFill="1" applyBorder="1" applyAlignment="1">
      <alignment horizontal="center" vertical="center" wrapText="1"/>
    </xf>
    <xf numFmtId="194" fontId="46" fillId="0" borderId="195" xfId="2" applyNumberFormat="1" applyFont="1" applyFill="1" applyBorder="1" applyAlignment="1">
      <alignment horizontal="center" vertical="center" wrapText="1"/>
    </xf>
    <xf numFmtId="196" fontId="46" fillId="0" borderId="136" xfId="2" applyNumberFormat="1" applyFont="1" applyFill="1" applyBorder="1" applyAlignment="1">
      <alignment horizontal="center" vertical="center" wrapText="1"/>
    </xf>
    <xf numFmtId="0" fontId="0" fillId="23" borderId="288" xfId="0" applyFill="1" applyBorder="1" applyAlignment="1">
      <alignment horizontal="center" vertical="center"/>
    </xf>
    <xf numFmtId="194" fontId="24" fillId="0" borderId="279" xfId="2" applyNumberFormat="1" applyFont="1" applyFill="1" applyBorder="1" applyAlignment="1">
      <alignment horizontal="center" vertical="center"/>
    </xf>
    <xf numFmtId="196" fontId="24" fillId="0" borderId="135" xfId="2" applyNumberFormat="1" applyFont="1" applyFill="1" applyBorder="1" applyAlignment="1">
      <alignment horizontal="center" vertical="center"/>
    </xf>
    <xf numFmtId="0" fontId="0" fillId="0" borderId="289" xfId="0" applyBorder="1" applyAlignment="1">
      <alignment horizontal="center" vertical="center"/>
    </xf>
    <xf numFmtId="196" fontId="0" fillId="0" borderId="191" xfId="2" applyNumberFormat="1" applyFont="1" applyFill="1" applyBorder="1" applyAlignment="1">
      <alignment horizontal="center" vertical="center"/>
    </xf>
    <xf numFmtId="193" fontId="0" fillId="0" borderId="288" xfId="0" applyNumberFormat="1" applyBorder="1" applyAlignment="1">
      <alignment horizontal="center" vertical="center"/>
    </xf>
    <xf numFmtId="0" fontId="0" fillId="23" borderId="294" xfId="0" applyFill="1" applyBorder="1" applyAlignment="1">
      <alignment horizontal="center" vertical="center"/>
    </xf>
    <xf numFmtId="194" fontId="24" fillId="0" borderId="69" xfId="2" applyNumberFormat="1" applyFont="1" applyFill="1" applyBorder="1" applyAlignment="1">
      <alignment horizontal="center" vertical="center"/>
    </xf>
    <xf numFmtId="196" fontId="24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6" fontId="0" fillId="0" borderId="182" xfId="2" applyNumberFormat="1" applyFont="1" applyFill="1" applyBorder="1" applyAlignment="1">
      <alignment horizontal="center" vertical="center"/>
    </xf>
    <xf numFmtId="193" fontId="0" fillId="0" borderId="294" xfId="0" applyNumberFormat="1" applyBorder="1" applyAlignment="1">
      <alignment horizontal="center" vertical="center"/>
    </xf>
    <xf numFmtId="0" fontId="72" fillId="23" borderId="290" xfId="0" applyFont="1" applyFill="1" applyBorder="1" applyAlignment="1">
      <alignment horizontal="center" vertical="center"/>
    </xf>
    <xf numFmtId="0" fontId="72" fillId="0" borderId="290" xfId="0" applyFont="1" applyBorder="1" applyAlignment="1">
      <alignment horizontal="center" vertical="center"/>
    </xf>
    <xf numFmtId="196" fontId="72" fillId="0" borderId="196" xfId="2" applyNumberFormat="1" applyFont="1" applyFill="1" applyBorder="1" applyAlignment="1">
      <alignment horizontal="center" vertical="center"/>
    </xf>
    <xf numFmtId="193" fontId="72" fillId="0" borderId="291" xfId="0" applyNumberFormat="1" applyFont="1" applyBorder="1" applyAlignment="1">
      <alignment horizontal="center" vertical="center"/>
    </xf>
    <xf numFmtId="194" fontId="46" fillId="0" borderId="195" xfId="2" applyNumberFormat="1" applyFont="1" applyFill="1" applyBorder="1" applyAlignment="1">
      <alignment horizontal="center" vertical="center"/>
    </xf>
    <xf numFmtId="196" fontId="46" fillId="0" borderId="136" xfId="2" applyNumberFormat="1" applyFont="1" applyFill="1" applyBorder="1" applyAlignment="1">
      <alignment horizontal="center" vertical="center"/>
    </xf>
    <xf numFmtId="194" fontId="72" fillId="4" borderId="69" xfId="2" applyNumberFormat="1" applyFont="1" applyFill="1" applyBorder="1" applyAlignment="1">
      <alignment horizontal="center" vertical="center" wrapText="1"/>
    </xf>
    <xf numFmtId="194" fontId="46" fillId="4" borderId="83" xfId="2" applyNumberFormat="1" applyFont="1" applyFill="1" applyBorder="1" applyAlignment="1">
      <alignment horizontal="center" vertical="center" wrapText="1"/>
    </xf>
    <xf numFmtId="194" fontId="46" fillId="5" borderId="69" xfId="2" applyNumberFormat="1" applyFont="1" applyFill="1" applyBorder="1" applyAlignment="1">
      <alignment horizontal="center" vertical="center" wrapText="1"/>
    </xf>
    <xf numFmtId="0" fontId="72" fillId="23" borderId="302" xfId="0" applyFont="1" applyFill="1" applyBorder="1" applyAlignment="1">
      <alignment horizontal="center" vertical="center" wrapText="1"/>
    </xf>
    <xf numFmtId="0" fontId="46" fillId="23" borderId="303" xfId="0" applyFont="1" applyFill="1" applyBorder="1" applyAlignment="1">
      <alignment horizontal="center" vertical="center" wrapText="1"/>
    </xf>
    <xf numFmtId="194" fontId="72" fillId="0" borderId="304" xfId="2" applyNumberFormat="1" applyFont="1" applyBorder="1" applyAlignment="1">
      <alignment horizontal="center" vertical="center" wrapText="1"/>
    </xf>
    <xf numFmtId="196" fontId="72" fillId="0" borderId="305" xfId="2" applyNumberFormat="1" applyFont="1" applyBorder="1" applyAlignment="1">
      <alignment horizontal="center" vertical="center" wrapText="1"/>
    </xf>
    <xf numFmtId="193" fontId="72" fillId="0" borderId="306" xfId="0" applyNumberFormat="1" applyFont="1" applyBorder="1" applyAlignment="1">
      <alignment horizontal="center" vertical="center" wrapText="1"/>
    </xf>
    <xf numFmtId="194" fontId="46" fillId="0" borderId="307" xfId="2" applyNumberFormat="1" applyFont="1" applyBorder="1" applyAlignment="1">
      <alignment horizontal="center" vertical="center" wrapText="1"/>
    </xf>
    <xf numFmtId="196" fontId="46" fillId="0" borderId="238" xfId="2" applyNumberFormat="1" applyFont="1" applyBorder="1" applyAlignment="1">
      <alignment horizontal="center" vertical="center" wrapText="1"/>
    </xf>
    <xf numFmtId="193" fontId="46" fillId="0" borderId="303" xfId="0" applyNumberFormat="1" applyFont="1" applyBorder="1" applyAlignment="1">
      <alignment horizontal="center" vertical="center" wrapText="1"/>
    </xf>
    <xf numFmtId="0" fontId="84" fillId="23" borderId="279" xfId="9" applyFont="1" applyFill="1" applyBorder="1" applyAlignment="1">
      <alignment horizontal="center" vertical="center" wrapText="1"/>
    </xf>
    <xf numFmtId="0" fontId="85" fillId="23" borderId="280" xfId="9" applyFont="1" applyFill="1" applyBorder="1" applyAlignment="1">
      <alignment horizontal="center" vertical="center" wrapText="1"/>
    </xf>
    <xf numFmtId="194" fontId="84" fillId="0" borderId="279" xfId="2" applyNumberFormat="1" applyFont="1" applyBorder="1" applyAlignment="1">
      <alignment horizontal="center" vertical="center" wrapText="1"/>
    </xf>
    <xf numFmtId="196" fontId="84" fillId="0" borderId="135" xfId="2" applyNumberFormat="1" applyFont="1" applyBorder="1" applyAlignment="1">
      <alignment horizontal="center" vertical="center" wrapText="1"/>
    </xf>
    <xf numFmtId="193" fontId="84" fillId="0" borderId="280" xfId="9" applyNumberFormat="1" applyFont="1" applyBorder="1" applyAlignment="1">
      <alignment horizontal="center" vertical="center" wrapText="1"/>
    </xf>
    <xf numFmtId="194" fontId="85" fillId="0" borderId="190" xfId="2" applyNumberFormat="1" applyFont="1" applyBorder="1" applyAlignment="1">
      <alignment horizontal="center" vertical="center" wrapText="1"/>
    </xf>
    <xf numFmtId="196" fontId="85" fillId="0" borderId="135" xfId="2" applyNumberFormat="1" applyFont="1" applyBorder="1" applyAlignment="1">
      <alignment horizontal="center" vertical="center" wrapText="1"/>
    </xf>
    <xf numFmtId="193" fontId="85" fillId="0" borderId="280" xfId="9" applyNumberFormat="1" applyFont="1" applyBorder="1" applyAlignment="1">
      <alignment horizontal="center" vertical="center" wrapText="1"/>
    </xf>
    <xf numFmtId="0" fontId="84" fillId="23" borderId="285" xfId="9" applyFont="1" applyFill="1" applyBorder="1" applyAlignment="1">
      <alignment horizontal="center" vertical="center" wrapText="1"/>
    </xf>
    <xf numFmtId="0" fontId="85" fillId="23" borderId="286" xfId="9" applyFont="1" applyFill="1" applyBorder="1" applyAlignment="1">
      <alignment horizontal="center" vertical="center" wrapText="1"/>
    </xf>
    <xf numFmtId="194" fontId="84" fillId="0" borderId="285" xfId="2" applyNumberFormat="1" applyFont="1" applyBorder="1" applyAlignment="1">
      <alignment horizontal="center" vertical="center" wrapText="1"/>
    </xf>
    <xf numFmtId="196" fontId="84" fillId="0" borderId="101" xfId="2" applyNumberFormat="1" applyFont="1" applyBorder="1" applyAlignment="1">
      <alignment horizontal="center" vertical="center" wrapText="1"/>
    </xf>
    <xf numFmtId="193" fontId="84" fillId="0" borderId="286" xfId="9" applyNumberFormat="1" applyFont="1" applyBorder="1" applyAlignment="1">
      <alignment horizontal="center" vertical="center" wrapText="1"/>
    </xf>
    <xf numFmtId="194" fontId="85" fillId="0" borderId="178" xfId="2" applyNumberFormat="1" applyFont="1" applyBorder="1" applyAlignment="1">
      <alignment horizontal="center" vertical="center" wrapText="1"/>
    </xf>
    <xf numFmtId="196" fontId="85" fillId="0" borderId="101" xfId="2" applyNumberFormat="1" applyFont="1" applyBorder="1" applyAlignment="1">
      <alignment horizontal="center" vertical="center" wrapText="1"/>
    </xf>
    <xf numFmtId="193" fontId="85" fillId="0" borderId="286" xfId="9" applyNumberFormat="1" applyFont="1" applyBorder="1" applyAlignment="1">
      <alignment horizontal="center" vertical="center" wrapText="1"/>
    </xf>
    <xf numFmtId="0" fontId="84" fillId="23" borderId="69" xfId="9" applyFont="1" applyFill="1" applyBorder="1" applyAlignment="1">
      <alignment horizontal="center" vertical="center" wrapText="1"/>
    </xf>
    <xf numFmtId="0" fontId="85" fillId="23" borderId="81" xfId="9" applyFont="1" applyFill="1" applyBorder="1" applyAlignment="1">
      <alignment horizontal="center" vertical="center" wrapText="1"/>
    </xf>
    <xf numFmtId="194" fontId="84" fillId="0" borderId="69" xfId="2" applyNumberFormat="1" applyFont="1" applyBorder="1" applyAlignment="1">
      <alignment horizontal="center" vertical="center" wrapText="1"/>
    </xf>
    <xf numFmtId="196" fontId="84" fillId="0" borderId="6" xfId="2" applyNumberFormat="1" applyFont="1" applyBorder="1" applyAlignment="1">
      <alignment horizontal="center" vertical="center" wrapText="1"/>
    </xf>
    <xf numFmtId="193" fontId="84" fillId="0" borderId="81" xfId="9" applyNumberFormat="1" applyFont="1" applyBorder="1" applyAlignment="1">
      <alignment horizontal="center" vertical="center" wrapText="1"/>
    </xf>
    <xf numFmtId="194" fontId="85" fillId="0" borderId="83" xfId="2" applyNumberFormat="1" applyFont="1" applyBorder="1" applyAlignment="1">
      <alignment horizontal="center" vertical="center" wrapText="1"/>
    </xf>
    <xf numFmtId="196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0" fontId="85" fillId="23" borderId="294" xfId="0" applyFont="1" applyFill="1" applyBorder="1" applyAlignment="1">
      <alignment horizontal="center" vertical="center" wrapText="1"/>
    </xf>
    <xf numFmtId="0" fontId="85" fillId="0" borderId="244" xfId="0" applyFont="1" applyBorder="1" applyAlignment="1">
      <alignment horizontal="center" vertical="center" wrapText="1"/>
    </xf>
    <xf numFmtId="196" fontId="85" fillId="0" borderId="182" xfId="2" applyNumberFormat="1" applyFont="1" applyBorder="1" applyAlignment="1">
      <alignment horizontal="center" vertical="center" wrapText="1"/>
    </xf>
    <xf numFmtId="193" fontId="85" fillId="0" borderId="294" xfId="0" applyNumberFormat="1" applyFont="1" applyBorder="1" applyAlignment="1">
      <alignment horizontal="center" vertical="center" wrapText="1"/>
    </xf>
    <xf numFmtId="0" fontId="84" fillId="23" borderId="293" xfId="0" applyFont="1" applyFill="1" applyBorder="1" applyAlignment="1">
      <alignment horizontal="center" vertical="center" wrapText="1"/>
    </xf>
    <xf numFmtId="0" fontId="84" fillId="0" borderId="293" xfId="0" applyFont="1" applyBorder="1" applyAlignment="1">
      <alignment horizontal="center" vertical="center" wrapText="1"/>
    </xf>
    <xf numFmtId="196" fontId="84" fillId="0" borderId="182" xfId="2" applyNumberFormat="1" applyFont="1" applyBorder="1" applyAlignment="1">
      <alignment horizontal="center" vertical="center" wrapText="1"/>
    </xf>
    <xf numFmtId="193" fontId="84" fillId="0" borderId="294" xfId="0" applyNumberFormat="1" applyFont="1" applyBorder="1" applyAlignment="1">
      <alignment horizontal="center" vertical="center" wrapText="1"/>
    </xf>
    <xf numFmtId="0" fontId="84" fillId="23" borderId="290" xfId="0" applyFont="1" applyFill="1" applyBorder="1" applyAlignment="1">
      <alignment horizontal="center" vertical="center" wrapText="1"/>
    </xf>
    <xf numFmtId="0" fontId="85" fillId="23" borderId="278" xfId="9" applyFont="1" applyFill="1" applyBorder="1" applyAlignment="1">
      <alignment horizontal="center" vertical="center" wrapText="1"/>
    </xf>
    <xf numFmtId="0" fontId="84" fillId="0" borderId="290" xfId="0" applyFont="1" applyBorder="1" applyAlignment="1">
      <alignment horizontal="center" vertical="center" wrapText="1"/>
    </xf>
    <xf numFmtId="196" fontId="84" fillId="0" borderId="196" xfId="2" applyNumberFormat="1" applyFont="1" applyBorder="1" applyAlignment="1">
      <alignment horizontal="center" vertical="center" wrapText="1"/>
    </xf>
    <xf numFmtId="193" fontId="84" fillId="0" borderId="291" xfId="0" applyNumberFormat="1" applyFont="1" applyBorder="1" applyAlignment="1">
      <alignment horizontal="center" vertical="center" wrapText="1"/>
    </xf>
    <xf numFmtId="194" fontId="85" fillId="0" borderId="195" xfId="2" applyNumberFormat="1" applyFont="1" applyBorder="1" applyAlignment="1">
      <alignment horizontal="center" vertical="center" wrapText="1"/>
    </xf>
    <xf numFmtId="196" fontId="85" fillId="0" borderId="136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0" fontId="72" fillId="23" borderId="279" xfId="9" applyFont="1" applyFill="1" applyBorder="1" applyAlignment="1">
      <alignment horizontal="center" vertical="center" wrapText="1"/>
    </xf>
    <xf numFmtId="0" fontId="46" fillId="23" borderId="280" xfId="9" applyFont="1" applyFill="1" applyBorder="1" applyAlignment="1">
      <alignment horizontal="center" vertical="center" wrapText="1"/>
    </xf>
    <xf numFmtId="193" fontId="72" fillId="0" borderId="280" xfId="9" applyNumberFormat="1" applyFont="1" applyBorder="1" applyAlignment="1">
      <alignment horizontal="center" vertical="center" wrapText="1"/>
    </xf>
    <xf numFmtId="194" fontId="46" fillId="4" borderId="190" xfId="2" applyNumberFormat="1" applyFont="1" applyFill="1" applyBorder="1" applyAlignment="1">
      <alignment horizontal="center" vertical="center" wrapText="1"/>
    </xf>
    <xf numFmtId="193" fontId="46" fillId="0" borderId="280" xfId="9" applyNumberFormat="1" applyFont="1" applyBorder="1" applyAlignment="1">
      <alignment horizontal="center" vertical="center" wrapText="1"/>
    </xf>
    <xf numFmtId="0" fontId="72" fillId="23" borderId="69" xfId="9" applyFont="1" applyFill="1" applyBorder="1" applyAlignment="1">
      <alignment horizontal="center" vertical="center" wrapText="1"/>
    </xf>
    <xf numFmtId="0" fontId="46" fillId="23" borderId="81" xfId="9" applyFont="1" applyFill="1" applyBorder="1" applyAlignment="1">
      <alignment horizontal="center" vertical="center" wrapText="1"/>
    </xf>
    <xf numFmtId="193" fontId="72" fillId="0" borderId="81" xfId="9" applyNumberFormat="1" applyFont="1" applyBorder="1" applyAlignment="1">
      <alignment horizontal="center" vertical="center" wrapText="1"/>
    </xf>
    <xf numFmtId="193" fontId="46" fillId="0" borderId="81" xfId="9" applyNumberFormat="1" applyFont="1" applyBorder="1" applyAlignment="1">
      <alignment horizontal="center" vertical="center" wrapText="1"/>
    </xf>
    <xf numFmtId="0" fontId="46" fillId="23" borderId="294" xfId="9" applyFont="1" applyFill="1" applyBorder="1" applyAlignment="1">
      <alignment horizontal="center" vertical="center" wrapText="1"/>
    </xf>
    <xf numFmtId="0" fontId="46" fillId="0" borderId="244" xfId="9" applyFont="1" applyBorder="1" applyAlignment="1">
      <alignment horizontal="center" vertical="center" wrapText="1"/>
    </xf>
    <xf numFmtId="193" fontId="46" fillId="0" borderId="294" xfId="9" applyNumberFormat="1" applyFont="1" applyBorder="1" applyAlignment="1">
      <alignment horizontal="center" vertical="center" wrapText="1"/>
    </xf>
    <xf numFmtId="0" fontId="72" fillId="23" borderId="293" xfId="9" applyFont="1" applyFill="1" applyBorder="1" applyAlignment="1">
      <alignment horizontal="center" vertical="center" wrapText="1"/>
    </xf>
    <xf numFmtId="0" fontId="72" fillId="0" borderId="293" xfId="9" applyFont="1" applyBorder="1" applyAlignment="1">
      <alignment horizontal="center" vertical="center" wrapText="1"/>
    </xf>
    <xf numFmtId="193" fontId="72" fillId="0" borderId="294" xfId="9" applyNumberFormat="1" applyFont="1" applyBorder="1" applyAlignment="1">
      <alignment horizontal="center" vertical="center" wrapText="1"/>
    </xf>
    <xf numFmtId="0" fontId="72" fillId="23" borderId="290" xfId="9" applyFont="1" applyFill="1" applyBorder="1" applyAlignment="1">
      <alignment horizontal="center" vertical="center" wrapText="1"/>
    </xf>
    <xf numFmtId="0" fontId="46" fillId="23" borderId="278" xfId="9" applyFont="1" applyFill="1" applyBorder="1" applyAlignment="1">
      <alignment horizontal="center" vertical="center" wrapText="1"/>
    </xf>
    <xf numFmtId="0" fontId="72" fillId="0" borderId="290" xfId="9" applyFont="1" applyBorder="1" applyAlignment="1">
      <alignment horizontal="center" vertical="center" wrapText="1"/>
    </xf>
    <xf numFmtId="193" fontId="72" fillId="0" borderId="291" xfId="9" applyNumberFormat="1" applyFont="1" applyBorder="1" applyAlignment="1">
      <alignment horizontal="center" vertical="center" wrapText="1"/>
    </xf>
    <xf numFmtId="194" fontId="46" fillId="4" borderId="195" xfId="2" applyNumberFormat="1" applyFont="1" applyFill="1" applyBorder="1" applyAlignment="1">
      <alignment horizontal="center" vertical="center" wrapText="1"/>
    </xf>
    <xf numFmtId="193" fontId="46" fillId="0" borderId="278" xfId="9" applyNumberFormat="1" applyFont="1" applyBorder="1" applyAlignment="1">
      <alignment horizontal="center" vertical="center" wrapText="1"/>
    </xf>
    <xf numFmtId="0" fontId="72" fillId="23" borderId="308" xfId="9" applyFont="1" applyFill="1" applyBorder="1" applyAlignment="1">
      <alignment horizontal="center" vertical="center" wrapText="1"/>
    </xf>
    <xf numFmtId="0" fontId="46" fillId="23" borderId="309" xfId="9" applyFont="1" applyFill="1" applyBorder="1" applyAlignment="1">
      <alignment horizontal="center" vertical="center" wrapText="1"/>
    </xf>
    <xf numFmtId="194" fontId="72" fillId="0" borderId="308" xfId="2" applyNumberFormat="1" applyFont="1" applyBorder="1" applyAlignment="1">
      <alignment horizontal="center" vertical="center" wrapText="1"/>
    </xf>
    <xf numFmtId="196" fontId="72" fillId="0" borderId="245" xfId="2" applyNumberFormat="1" applyFont="1" applyBorder="1" applyAlignment="1">
      <alignment horizontal="center" vertical="center" wrapText="1"/>
    </xf>
    <xf numFmtId="193" fontId="72" fillId="0" borderId="309" xfId="9" applyNumberFormat="1" applyFont="1" applyBorder="1" applyAlignment="1">
      <alignment horizontal="center" vertical="center" wrapText="1"/>
    </xf>
    <xf numFmtId="194" fontId="46" fillId="0" borderId="310" xfId="2" applyNumberFormat="1" applyFont="1" applyBorder="1" applyAlignment="1">
      <alignment horizontal="center" vertical="center" wrapText="1"/>
    </xf>
    <xf numFmtId="196" fontId="46" fillId="0" borderId="245" xfId="2" applyNumberFormat="1" applyFont="1" applyBorder="1" applyAlignment="1">
      <alignment horizontal="center" vertical="center" wrapText="1"/>
    </xf>
    <xf numFmtId="193" fontId="46" fillId="0" borderId="309" xfId="9" applyNumberFormat="1" applyFont="1" applyBorder="1" applyAlignment="1">
      <alignment horizontal="center" vertical="center" wrapText="1"/>
    </xf>
    <xf numFmtId="0" fontId="72" fillId="23" borderId="311" xfId="9" applyFont="1" applyFill="1" applyBorder="1" applyAlignment="1">
      <alignment horizontal="center" vertical="center" wrapText="1"/>
    </xf>
    <xf numFmtId="0" fontId="46" fillId="23" borderId="312" xfId="9" applyFont="1" applyFill="1" applyBorder="1" applyAlignment="1">
      <alignment horizontal="center" vertical="center" wrapText="1"/>
    </xf>
    <xf numFmtId="194" fontId="72" fillId="0" borderId="313" xfId="2" applyNumberFormat="1" applyFont="1" applyBorder="1" applyAlignment="1">
      <alignment horizontal="center" vertical="center" wrapText="1"/>
    </xf>
    <xf numFmtId="196" fontId="72" fillId="0" borderId="250" xfId="2" applyNumberFormat="1" applyFont="1" applyBorder="1" applyAlignment="1">
      <alignment horizontal="center" vertical="center" wrapText="1"/>
    </xf>
    <xf numFmtId="193" fontId="72" fillId="0" borderId="314" xfId="9" applyNumberFormat="1" applyFont="1" applyBorder="1" applyAlignment="1">
      <alignment horizontal="center" vertical="center" wrapText="1"/>
    </xf>
    <xf numFmtId="194" fontId="46" fillId="0" borderId="315" xfId="2" applyNumberFormat="1" applyFont="1" applyBorder="1" applyAlignment="1">
      <alignment horizontal="center" vertical="center" wrapText="1"/>
    </xf>
    <xf numFmtId="196" fontId="46" fillId="0" borderId="250" xfId="2" applyNumberFormat="1" applyFont="1" applyBorder="1" applyAlignment="1">
      <alignment horizontal="center" vertical="center" wrapText="1"/>
    </xf>
    <xf numFmtId="193" fontId="46" fillId="0" borderId="312" xfId="9" applyNumberFormat="1" applyFont="1" applyBorder="1" applyAlignment="1">
      <alignment horizontal="center" vertical="center" wrapText="1"/>
    </xf>
    <xf numFmtId="0" fontId="72" fillId="23" borderId="316" xfId="9" applyFont="1" applyFill="1" applyBorder="1" applyAlignment="1">
      <alignment horizontal="center" vertical="center" wrapText="1"/>
    </xf>
    <xf numFmtId="0" fontId="46" fillId="23" borderId="317" xfId="9" applyFont="1" applyFill="1" applyBorder="1" applyAlignment="1">
      <alignment horizontal="center" vertical="center" wrapText="1"/>
    </xf>
    <xf numFmtId="194" fontId="72" fillId="0" borderId="316" xfId="2" applyNumberFormat="1" applyFont="1" applyBorder="1" applyAlignment="1">
      <alignment horizontal="center" vertical="center" wrapText="1"/>
    </xf>
    <xf numFmtId="196" fontId="72" fillId="0" borderId="247" xfId="2" applyNumberFormat="1" applyFont="1" applyBorder="1" applyAlignment="1">
      <alignment horizontal="center" vertical="center" wrapText="1"/>
    </xf>
    <xf numFmtId="193" fontId="72" fillId="0" borderId="317" xfId="9" applyNumberFormat="1" applyFont="1" applyBorder="1" applyAlignment="1">
      <alignment horizontal="center" vertical="center" wrapText="1"/>
    </xf>
    <xf numFmtId="194" fontId="46" fillId="0" borderId="318" xfId="2" applyNumberFormat="1" applyFont="1" applyBorder="1" applyAlignment="1">
      <alignment horizontal="center" vertical="center" wrapText="1"/>
    </xf>
    <xf numFmtId="196" fontId="46" fillId="0" borderId="247" xfId="2" applyNumberFormat="1" applyFont="1" applyBorder="1" applyAlignment="1">
      <alignment horizontal="center" vertical="center" wrapText="1"/>
    </xf>
    <xf numFmtId="193" fontId="46" fillId="0" borderId="317" xfId="9" applyNumberFormat="1" applyFont="1" applyBorder="1" applyAlignment="1">
      <alignment horizontal="center" vertical="center" wrapText="1"/>
    </xf>
    <xf numFmtId="0" fontId="46" fillId="23" borderId="314" xfId="9" applyFont="1" applyFill="1" applyBorder="1" applyAlignment="1">
      <alignment horizontal="center" vertical="center" wrapText="1"/>
    </xf>
    <xf numFmtId="194" fontId="72" fillId="0" borderId="311" xfId="2" applyNumberFormat="1" applyFont="1" applyBorder="1" applyAlignment="1">
      <alignment horizontal="center" vertical="center" wrapText="1"/>
    </xf>
    <xf numFmtId="196" fontId="72" fillId="0" borderId="246" xfId="2" applyNumberFormat="1" applyFont="1" applyBorder="1" applyAlignment="1">
      <alignment horizontal="center" vertical="center" wrapText="1"/>
    </xf>
    <xf numFmtId="194" fontId="46" fillId="0" borderId="319" xfId="2" applyNumberFormat="1" applyFont="1" applyBorder="1" applyAlignment="1">
      <alignment horizontal="center" vertical="center" wrapText="1"/>
    </xf>
    <xf numFmtId="196" fontId="46" fillId="0" borderId="246" xfId="2" applyNumberFormat="1" applyFont="1" applyBorder="1" applyAlignment="1">
      <alignment horizontal="center" vertical="center" wrapText="1"/>
    </xf>
    <xf numFmtId="193" fontId="46" fillId="0" borderId="314" xfId="9" applyNumberFormat="1" applyFont="1" applyBorder="1" applyAlignment="1">
      <alignment horizontal="center" vertical="center" wrapText="1"/>
    </xf>
    <xf numFmtId="0" fontId="72" fillId="23" borderId="320" xfId="9" applyFont="1" applyFill="1" applyBorder="1" applyAlignment="1">
      <alignment horizontal="center" vertical="center" wrapText="1"/>
    </xf>
    <xf numFmtId="0" fontId="46" fillId="23" borderId="321" xfId="9" applyFont="1" applyFill="1" applyBorder="1" applyAlignment="1">
      <alignment horizontal="center" vertical="center" wrapText="1"/>
    </xf>
    <xf numFmtId="194" fontId="72" fillId="0" borderId="320" xfId="2" applyNumberFormat="1" applyFont="1" applyBorder="1" applyAlignment="1">
      <alignment horizontal="center" vertical="center" wrapText="1"/>
    </xf>
    <xf numFmtId="196" fontId="72" fillId="0" borderId="249" xfId="2" applyNumberFormat="1" applyFont="1" applyBorder="1" applyAlignment="1">
      <alignment horizontal="center" vertical="center" wrapText="1"/>
    </xf>
    <xf numFmtId="193" fontId="72" fillId="0" borderId="321" xfId="9" applyNumberFormat="1" applyFont="1" applyBorder="1" applyAlignment="1">
      <alignment horizontal="center" vertical="center" wrapText="1"/>
    </xf>
    <xf numFmtId="194" fontId="46" fillId="0" borderId="322" xfId="2" applyNumberFormat="1" applyFont="1" applyBorder="1" applyAlignment="1">
      <alignment horizontal="center" vertical="center" wrapText="1"/>
    </xf>
    <xf numFmtId="196" fontId="46" fillId="0" borderId="249" xfId="2" applyNumberFormat="1" applyFont="1" applyBorder="1" applyAlignment="1">
      <alignment horizontal="center" vertical="center" wrapText="1"/>
    </xf>
    <xf numFmtId="193" fontId="46" fillId="0" borderId="321" xfId="9" applyNumberFormat="1" applyFont="1" applyBorder="1" applyAlignment="1">
      <alignment horizontal="center" vertical="center" wrapText="1"/>
    </xf>
    <xf numFmtId="0" fontId="72" fillId="23" borderId="313" xfId="9" applyFont="1" applyFill="1" applyBorder="1" applyAlignment="1">
      <alignment horizontal="center" vertical="center" wrapText="1"/>
    </xf>
    <xf numFmtId="193" fontId="72" fillId="0" borderId="312" xfId="9" applyNumberFormat="1" applyFont="1" applyBorder="1" applyAlignment="1">
      <alignment horizontal="center" vertical="center" wrapText="1"/>
    </xf>
    <xf numFmtId="0" fontId="72" fillId="23" borderId="323" xfId="9" applyFont="1" applyFill="1" applyBorder="1" applyAlignment="1">
      <alignment horizontal="center" vertical="center" wrapText="1"/>
    </xf>
    <xf numFmtId="0" fontId="46" fillId="23" borderId="324" xfId="9" applyFont="1" applyFill="1" applyBorder="1" applyAlignment="1">
      <alignment horizontal="center" vertical="center" wrapText="1"/>
    </xf>
    <xf numFmtId="194" fontId="72" fillId="0" borderId="323" xfId="2" applyNumberFormat="1" applyFont="1" applyBorder="1" applyAlignment="1">
      <alignment horizontal="center" vertical="center" wrapText="1"/>
    </xf>
    <xf numFmtId="196" fontId="72" fillId="0" borderId="325" xfId="2" applyNumberFormat="1" applyFont="1" applyBorder="1" applyAlignment="1">
      <alignment horizontal="center" vertical="center" wrapText="1"/>
    </xf>
    <xf numFmtId="193" fontId="72" fillId="0" borderId="324" xfId="9" applyNumberFormat="1" applyFont="1" applyBorder="1" applyAlignment="1">
      <alignment horizontal="center" vertical="center" wrapText="1"/>
    </xf>
    <xf numFmtId="194" fontId="46" fillId="0" borderId="326" xfId="2" applyNumberFormat="1" applyFont="1" applyBorder="1" applyAlignment="1">
      <alignment horizontal="center" vertical="center" wrapText="1"/>
    </xf>
    <xf numFmtId="196" fontId="46" fillId="0" borderId="325" xfId="2" applyNumberFormat="1" applyFont="1" applyBorder="1" applyAlignment="1">
      <alignment horizontal="center" vertical="center" wrapText="1"/>
    </xf>
    <xf numFmtId="193" fontId="46" fillId="0" borderId="324" xfId="9" applyNumberFormat="1" applyFont="1" applyBorder="1" applyAlignment="1">
      <alignment horizontal="center" vertical="center" wrapText="1"/>
    </xf>
    <xf numFmtId="0" fontId="23" fillId="6" borderId="136" xfId="0" applyFont="1" applyFill="1" applyBorder="1" applyAlignment="1">
      <alignment horizontal="center" vertical="center" wrapText="1"/>
    </xf>
    <xf numFmtId="0" fontId="40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6" fontId="24" fillId="0" borderId="182" xfId="2" applyNumberFormat="1" applyFont="1" applyBorder="1" applyAlignment="1">
      <alignment horizontal="center" vertical="center"/>
    </xf>
    <xf numFmtId="193" fontId="24" fillId="0" borderId="294" xfId="0" applyNumberFormat="1" applyFont="1" applyBorder="1" applyAlignment="1">
      <alignment horizontal="center" vertical="center"/>
    </xf>
    <xf numFmtId="196" fontId="45" fillId="0" borderId="6" xfId="2" applyNumberFormat="1" applyFont="1" applyBorder="1" applyAlignment="1">
      <alignment horizontal="center" vertical="center"/>
    </xf>
    <xf numFmtId="196" fontId="24" fillId="0" borderId="6" xfId="2" applyNumberFormat="1" applyFont="1" applyBorder="1" applyAlignment="1">
      <alignment horizontal="center" vertical="center"/>
    </xf>
    <xf numFmtId="196" fontId="45" fillId="0" borderId="182" xfId="2" applyNumberFormat="1" applyFont="1" applyBorder="1" applyAlignment="1">
      <alignment horizontal="center" vertical="center"/>
    </xf>
    <xf numFmtId="193" fontId="45" fillId="0" borderId="294" xfId="0" applyNumberFormat="1" applyFont="1" applyBorder="1" applyAlignment="1">
      <alignment horizontal="center" vertical="center"/>
    </xf>
    <xf numFmtId="196" fontId="24" fillId="0" borderId="136" xfId="2" applyNumberFormat="1" applyFont="1" applyBorder="1" applyAlignment="1">
      <alignment horizontal="center" vertical="center"/>
    </xf>
    <xf numFmtId="196" fontId="45" fillId="0" borderId="136" xfId="2" applyNumberFormat="1" applyFont="1" applyBorder="1" applyAlignment="1">
      <alignment horizontal="center" vertical="center"/>
    </xf>
    <xf numFmtId="193" fontId="54" fillId="0" borderId="0" xfId="0" applyNumberFormat="1" applyFont="1">
      <alignment vertical="center"/>
    </xf>
    <xf numFmtId="193" fontId="55" fillId="0" borderId="0" xfId="0" applyNumberFormat="1" applyFont="1" applyAlignment="1">
      <alignment horizontal="center" vertical="center"/>
    </xf>
    <xf numFmtId="0" fontId="71" fillId="16" borderId="70" xfId="0" applyFont="1" applyFill="1" applyBorder="1" applyAlignment="1">
      <alignment horizontal="center" vertical="center"/>
    </xf>
    <xf numFmtId="0" fontId="71" fillId="22" borderId="74" xfId="0" applyFont="1" applyFill="1" applyBorder="1" applyAlignment="1">
      <alignment horizontal="center" vertical="center"/>
    </xf>
    <xf numFmtId="0" fontId="57" fillId="6" borderId="76" xfId="0" applyFont="1" applyFill="1" applyBorder="1" applyAlignment="1">
      <alignment horizontal="center" vertical="center" wrapText="1"/>
    </xf>
    <xf numFmtId="0" fontId="56" fillId="11" borderId="78" xfId="0" applyFont="1" applyFill="1" applyBorder="1" applyAlignment="1">
      <alignment horizontal="center" vertical="center" wrapText="1"/>
    </xf>
    <xf numFmtId="194" fontId="57" fillId="6" borderId="76" xfId="2" applyNumberFormat="1" applyFont="1" applyFill="1" applyBorder="1" applyAlignment="1">
      <alignment horizontal="center" vertical="center" wrapText="1"/>
    </xf>
    <xf numFmtId="197" fontId="57" fillId="6" borderId="77" xfId="2" applyNumberFormat="1" applyFont="1" applyFill="1" applyBorder="1" applyAlignment="1">
      <alignment horizontal="center" vertical="center" wrapText="1"/>
    </xf>
    <xf numFmtId="193" fontId="57" fillId="6" borderId="78" xfId="0" applyNumberFormat="1" applyFont="1" applyFill="1" applyBorder="1" applyAlignment="1">
      <alignment horizontal="center" vertical="center" wrapText="1"/>
    </xf>
    <xf numFmtId="194" fontId="56" fillId="11" borderId="80" xfId="2" applyNumberFormat="1" applyFont="1" applyFill="1" applyBorder="1" applyAlignment="1">
      <alignment horizontal="center" vertical="center" wrapText="1"/>
    </xf>
    <xf numFmtId="197" fontId="56" fillId="11" borderId="77" xfId="2" applyNumberFormat="1" applyFont="1" applyFill="1" applyBorder="1" applyAlignment="1">
      <alignment horizontal="center" vertical="center" wrapText="1"/>
    </xf>
    <xf numFmtId="193" fontId="56" fillId="11" borderId="78" xfId="0" applyNumberFormat="1" applyFont="1" applyFill="1" applyBorder="1" applyAlignment="1">
      <alignment horizontal="center" vertical="center" wrapText="1"/>
    </xf>
    <xf numFmtId="0" fontId="57" fillId="6" borderId="69" xfId="0" applyFont="1" applyFill="1" applyBorder="1" applyAlignment="1">
      <alignment horizontal="center" vertical="center" wrapText="1"/>
    </xf>
    <xf numFmtId="0" fontId="56" fillId="11" borderId="81" xfId="0" applyFont="1" applyFill="1" applyBorder="1" applyAlignment="1">
      <alignment horizontal="center" vertical="center" wrapText="1"/>
    </xf>
    <xf numFmtId="194" fontId="57" fillId="6" borderId="69" xfId="2" applyNumberFormat="1" applyFont="1" applyFill="1" applyBorder="1" applyAlignment="1">
      <alignment horizontal="center" vertical="center" wrapText="1"/>
    </xf>
    <xf numFmtId="197" fontId="57" fillId="6" borderId="6" xfId="2" applyNumberFormat="1" applyFont="1" applyFill="1" applyBorder="1" applyAlignment="1">
      <alignment horizontal="center" vertical="center" wrapText="1"/>
    </xf>
    <xf numFmtId="193" fontId="57" fillId="6" borderId="81" xfId="0" applyNumberFormat="1" applyFont="1" applyFill="1" applyBorder="1" applyAlignment="1">
      <alignment horizontal="center" vertical="center" wrapText="1"/>
    </xf>
    <xf numFmtId="194" fontId="56" fillId="11" borderId="83" xfId="2" applyNumberFormat="1" applyFont="1" applyFill="1" applyBorder="1" applyAlignment="1">
      <alignment horizontal="center" vertical="center" wrapText="1"/>
    </xf>
    <xf numFmtId="197" fontId="56" fillId="11" borderId="6" xfId="2" applyNumberFormat="1" applyFont="1" applyFill="1" applyBorder="1" applyAlignment="1">
      <alignment horizontal="center" vertical="center" wrapText="1"/>
    </xf>
    <xf numFmtId="193" fontId="56" fillId="11" borderId="81" xfId="0" applyNumberFormat="1" applyFont="1" applyFill="1" applyBorder="1" applyAlignment="1">
      <alignment horizontal="center" vertical="center" wrapText="1"/>
    </xf>
    <xf numFmtId="0" fontId="57" fillId="6" borderId="70" xfId="0" applyFont="1" applyFill="1" applyBorder="1" applyAlignment="1">
      <alignment horizontal="center" vertical="center" wrapText="1"/>
    </xf>
    <xf numFmtId="0" fontId="56" fillId="11" borderId="74" xfId="0" applyFont="1" applyFill="1" applyBorder="1" applyAlignment="1">
      <alignment horizontal="center" vertical="center" wrapText="1"/>
    </xf>
    <xf numFmtId="194" fontId="57" fillId="6" borderId="70" xfId="2" applyNumberFormat="1" applyFont="1" applyFill="1" applyBorder="1" applyAlignment="1">
      <alignment horizontal="center" vertical="center" wrapText="1"/>
    </xf>
    <xf numFmtId="197" fontId="57" fillId="6" borderId="71" xfId="2" applyNumberFormat="1" applyFont="1" applyFill="1" applyBorder="1" applyAlignment="1">
      <alignment horizontal="center" vertical="center" wrapText="1"/>
    </xf>
    <xf numFmtId="193" fontId="57" fillId="6" borderId="74" xfId="0" applyNumberFormat="1" applyFont="1" applyFill="1" applyBorder="1" applyAlignment="1">
      <alignment horizontal="center" vertical="center" wrapText="1"/>
    </xf>
    <xf numFmtId="194" fontId="56" fillId="11" borderId="73" xfId="2" applyNumberFormat="1" applyFont="1" applyFill="1" applyBorder="1" applyAlignment="1">
      <alignment horizontal="center" vertical="center" wrapText="1"/>
    </xf>
    <xf numFmtId="197" fontId="56" fillId="11" borderId="71" xfId="2" applyNumberFormat="1" applyFont="1" applyFill="1" applyBorder="1" applyAlignment="1">
      <alignment horizontal="center" vertical="center" wrapText="1"/>
    </xf>
    <xf numFmtId="193" fontId="56" fillId="11" borderId="74" xfId="0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4" fontId="57" fillId="0" borderId="339" xfId="2" applyNumberFormat="1" applyFont="1" applyFill="1" applyBorder="1" applyAlignment="1">
      <alignment horizontal="center" vertical="center" wrapText="1"/>
    </xf>
    <xf numFmtId="196" fontId="57" fillId="0" borderId="181" xfId="2" applyNumberFormat="1" applyFont="1" applyFill="1" applyBorder="1" applyAlignment="1">
      <alignment horizontal="center" vertical="center" wrapText="1"/>
    </xf>
    <xf numFmtId="193" fontId="57" fillId="0" borderId="340" xfId="0" applyNumberFormat="1" applyFont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0" fontId="89" fillId="0" borderId="81" xfId="0" applyFont="1" applyBorder="1" applyAlignment="1">
      <alignment horizontal="center" vertical="center" wrapText="1"/>
    </xf>
    <xf numFmtId="194" fontId="57" fillId="0" borderId="69" xfId="2" applyNumberFormat="1" applyFont="1" applyFill="1" applyBorder="1" applyAlignment="1">
      <alignment horizontal="center" vertical="center" wrapText="1"/>
    </xf>
    <xf numFmtId="196" fontId="57" fillId="0" borderId="6" xfId="2" applyNumberFormat="1" applyFont="1" applyFill="1" applyBorder="1" applyAlignment="1">
      <alignment horizontal="center" vertical="center" wrapText="1"/>
    </xf>
    <xf numFmtId="193" fontId="57" fillId="0" borderId="81" xfId="0" applyNumberFormat="1" applyFont="1" applyBorder="1" applyAlignment="1">
      <alignment horizontal="center" vertical="center" wrapText="1"/>
    </xf>
    <xf numFmtId="194" fontId="89" fillId="0" borderId="83" xfId="2" applyNumberFormat="1" applyFont="1" applyFill="1" applyBorder="1" applyAlignment="1">
      <alignment horizontal="center" vertical="center" wrapText="1"/>
    </xf>
    <xf numFmtId="196" fontId="89" fillId="0" borderId="6" xfId="2" applyNumberFormat="1" applyFont="1" applyFill="1" applyBorder="1" applyAlignment="1">
      <alignment horizontal="center" vertical="center" wrapText="1"/>
    </xf>
    <xf numFmtId="193" fontId="89" fillId="0" borderId="81" xfId="0" applyNumberFormat="1" applyFont="1" applyBorder="1" applyAlignment="1">
      <alignment horizontal="center" vertical="center" wrapText="1"/>
    </xf>
    <xf numFmtId="0" fontId="56" fillId="0" borderId="81" xfId="0" applyFont="1" applyBorder="1" applyAlignment="1">
      <alignment horizontal="center" vertical="center" wrapText="1"/>
    </xf>
    <xf numFmtId="194" fontId="56" fillId="0" borderId="83" xfId="2" applyNumberFormat="1" applyFont="1" applyFill="1" applyBorder="1" applyAlignment="1">
      <alignment horizontal="center" vertical="center" wrapText="1"/>
    </xf>
    <xf numFmtId="196" fontId="56" fillId="0" borderId="6" xfId="2" applyNumberFormat="1" applyFont="1" applyFill="1" applyBorder="1" applyAlignment="1">
      <alignment horizontal="center" vertical="center" wrapText="1"/>
    </xf>
    <xf numFmtId="193" fontId="56" fillId="0" borderId="81" xfId="0" applyNumberFormat="1" applyFont="1" applyBorder="1" applyAlignment="1">
      <alignment horizontal="center" vertical="center" wrapText="1"/>
    </xf>
    <xf numFmtId="0" fontId="56" fillId="7" borderId="81" xfId="0" applyFont="1" applyFill="1" applyBorder="1" applyAlignment="1">
      <alignment horizontal="center" vertical="center" wrapText="1"/>
    </xf>
    <xf numFmtId="193" fontId="56" fillId="7" borderId="81" xfId="0" applyNumberFormat="1" applyFont="1" applyFill="1" applyBorder="1" applyAlignment="1">
      <alignment horizontal="center" vertical="center" wrapText="1"/>
    </xf>
    <xf numFmtId="0" fontId="57" fillId="0" borderId="293" xfId="0" applyFont="1" applyBorder="1" applyAlignment="1">
      <alignment horizontal="center" vertical="center" wrapText="1"/>
    </xf>
    <xf numFmtId="0" fontId="56" fillId="0" borderId="294" xfId="0" applyFont="1" applyBorder="1" applyAlignment="1">
      <alignment horizontal="center" vertical="center" wrapText="1"/>
    </xf>
    <xf numFmtId="194" fontId="57" fillId="0" borderId="293" xfId="2" applyNumberFormat="1" applyFont="1" applyFill="1" applyBorder="1" applyAlignment="1">
      <alignment horizontal="center" vertical="center" wrapText="1"/>
    </xf>
    <xf numFmtId="196" fontId="57" fillId="0" borderId="182" xfId="2" applyNumberFormat="1" applyFont="1" applyFill="1" applyBorder="1" applyAlignment="1">
      <alignment horizontal="center" vertical="center" wrapText="1"/>
    </xf>
    <xf numFmtId="193" fontId="57" fillId="0" borderId="294" xfId="0" applyNumberFormat="1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196" fontId="56" fillId="0" borderId="182" xfId="2" applyNumberFormat="1" applyFont="1" applyFill="1" applyBorder="1" applyAlignment="1">
      <alignment horizontal="center" vertical="center" wrapText="1"/>
    </xf>
    <xf numFmtId="193" fontId="56" fillId="0" borderId="294" xfId="0" applyNumberFormat="1" applyFont="1" applyBorder="1" applyAlignment="1">
      <alignment horizontal="center" vertical="center" wrapText="1"/>
    </xf>
    <xf numFmtId="194" fontId="56" fillId="7" borderId="83" xfId="2" applyNumberFormat="1" applyFont="1" applyFill="1" applyBorder="1" applyAlignment="1">
      <alignment horizontal="center" vertical="center" wrapText="1"/>
    </xf>
    <xf numFmtId="197" fontId="56" fillId="7" borderId="6" xfId="2" applyNumberFormat="1" applyFont="1" applyFill="1" applyBorder="1" applyAlignment="1">
      <alignment horizontal="center" vertical="center" wrapText="1"/>
    </xf>
    <xf numFmtId="0" fontId="56" fillId="7" borderId="74" xfId="0" applyFont="1" applyFill="1" applyBorder="1" applyAlignment="1">
      <alignment horizontal="center" vertical="center" wrapText="1"/>
    </xf>
    <xf numFmtId="193" fontId="56" fillId="7" borderId="74" xfId="0" applyNumberFormat="1" applyFont="1" applyFill="1" applyBorder="1" applyAlignment="1">
      <alignment horizontal="center" vertical="center" wrapText="1"/>
    </xf>
    <xf numFmtId="0" fontId="57" fillId="0" borderId="294" xfId="0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0" fontId="57" fillId="0" borderId="293" xfId="0" applyFont="1" applyBorder="1" applyAlignment="1">
      <alignment horizontal="center" vertical="center"/>
    </xf>
    <xf numFmtId="194" fontId="57" fillId="0" borderId="293" xfId="2" applyNumberFormat="1" applyFont="1" applyFill="1" applyBorder="1" applyAlignment="1">
      <alignment horizontal="center" vertical="center"/>
    </xf>
    <xf numFmtId="196" fontId="57" fillId="0" borderId="182" xfId="2" applyNumberFormat="1" applyFont="1" applyFill="1" applyBorder="1" applyAlignment="1">
      <alignment horizontal="center" vertical="center"/>
    </xf>
    <xf numFmtId="193" fontId="57" fillId="0" borderId="294" xfId="0" applyNumberFormat="1" applyFont="1" applyBorder="1" applyAlignment="1">
      <alignment horizontal="center" vertical="center"/>
    </xf>
    <xf numFmtId="0" fontId="57" fillId="12" borderId="69" xfId="0" applyFont="1" applyFill="1" applyBorder="1" applyAlignment="1">
      <alignment horizontal="center" vertical="center" wrapText="1"/>
    </xf>
    <xf numFmtId="194" fontId="57" fillId="12" borderId="69" xfId="2" applyNumberFormat="1" applyFont="1" applyFill="1" applyBorder="1" applyAlignment="1">
      <alignment horizontal="center" vertical="center" wrapText="1"/>
    </xf>
    <xf numFmtId="193" fontId="57" fillId="12" borderId="81" xfId="0" applyNumberFormat="1" applyFont="1" applyFill="1" applyBorder="1" applyAlignment="1">
      <alignment horizontal="center" vertical="center" wrapText="1"/>
    </xf>
    <xf numFmtId="0" fontId="56" fillId="7" borderId="69" xfId="0" applyFont="1" applyFill="1" applyBorder="1" applyAlignment="1">
      <alignment horizontal="center" vertical="center" wrapText="1"/>
    </xf>
    <xf numFmtId="0" fontId="57" fillId="6" borderId="81" xfId="0" applyFont="1" applyFill="1" applyBorder="1" applyAlignment="1">
      <alignment horizontal="center" vertical="center" wrapText="1"/>
    </xf>
    <xf numFmtId="194" fontId="56" fillId="7" borderId="69" xfId="2" applyNumberFormat="1" applyFont="1" applyFill="1" applyBorder="1" applyAlignment="1">
      <alignment horizontal="center" vertical="center" wrapText="1"/>
    </xf>
    <xf numFmtId="194" fontId="57" fillId="6" borderId="83" xfId="2" applyNumberFormat="1" applyFont="1" applyFill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4" fontId="57" fillId="0" borderId="83" xfId="2" applyNumberFormat="1" applyFont="1" applyFill="1" applyBorder="1" applyAlignment="1">
      <alignment horizontal="center" vertical="center" wrapText="1"/>
    </xf>
    <xf numFmtId="0" fontId="56" fillId="0" borderId="69" xfId="0" applyFont="1" applyBorder="1" applyAlignment="1">
      <alignment horizontal="center" vertical="center" wrapText="1"/>
    </xf>
    <xf numFmtId="194" fontId="56" fillId="0" borderId="69" xfId="2" applyNumberFormat="1" applyFont="1" applyFill="1" applyBorder="1" applyAlignment="1">
      <alignment horizontal="center" vertical="center" wrapText="1"/>
    </xf>
    <xf numFmtId="0" fontId="57" fillId="12" borderId="70" xfId="0" applyFont="1" applyFill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4" fontId="57" fillId="12" borderId="70" xfId="2" applyNumberFormat="1" applyFont="1" applyFill="1" applyBorder="1" applyAlignment="1">
      <alignment horizontal="center" vertical="center" wrapText="1"/>
    </xf>
    <xf numFmtId="193" fontId="57" fillId="12" borderId="74" xfId="0" applyNumberFormat="1" applyFont="1" applyFill="1" applyBorder="1" applyAlignment="1">
      <alignment horizontal="center" vertical="center" wrapText="1"/>
    </xf>
    <xf numFmtId="194" fontId="57" fillId="0" borderId="343" xfId="2" applyNumberFormat="1" applyFont="1" applyFill="1" applyBorder="1" applyAlignment="1">
      <alignment horizontal="center" vertical="center" wrapText="1"/>
    </xf>
    <xf numFmtId="196" fontId="57" fillId="0" borderId="212" xfId="2" applyNumberFormat="1" applyFont="1" applyFill="1" applyBorder="1" applyAlignment="1">
      <alignment horizontal="center" vertical="center" wrapText="1"/>
    </xf>
    <xf numFmtId="193" fontId="57" fillId="0" borderId="342" xfId="0" applyNumberFormat="1" applyFont="1" applyBorder="1" applyAlignment="1">
      <alignment horizontal="center" vertical="center" wrapText="1"/>
    </xf>
    <xf numFmtId="0" fontId="57" fillId="12" borderId="78" xfId="0" applyFont="1" applyFill="1" applyBorder="1" applyAlignment="1">
      <alignment horizontal="center" vertical="center" wrapText="1"/>
    </xf>
    <xf numFmtId="194" fontId="57" fillId="12" borderId="80" xfId="2" applyNumberFormat="1" applyFont="1" applyFill="1" applyBorder="1" applyAlignment="1">
      <alignment horizontal="center" vertical="center" wrapText="1"/>
    </xf>
    <xf numFmtId="196" fontId="57" fillId="12" borderId="77" xfId="2" applyNumberFormat="1" applyFont="1" applyFill="1" applyBorder="1" applyAlignment="1">
      <alignment horizontal="center" vertical="center" wrapText="1"/>
    </xf>
    <xf numFmtId="193" fontId="57" fillId="12" borderId="78" xfId="0" applyNumberFormat="1" applyFont="1" applyFill="1" applyBorder="1" applyAlignment="1">
      <alignment horizontal="center" vertical="center" wrapText="1"/>
    </xf>
    <xf numFmtId="0" fontId="57" fillId="0" borderId="344" xfId="0" applyFont="1" applyBorder="1" applyAlignment="1">
      <alignment horizontal="center" vertical="center" wrapText="1"/>
    </xf>
    <xf numFmtId="194" fontId="57" fillId="0" borderId="344" xfId="2" applyNumberFormat="1" applyFont="1" applyFill="1" applyBorder="1" applyAlignment="1">
      <alignment horizontal="center" vertical="center" wrapText="1"/>
    </xf>
    <xf numFmtId="193" fontId="57" fillId="0" borderId="345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4" fontId="57" fillId="12" borderId="83" xfId="2" applyNumberFormat="1" applyFont="1" applyFill="1" applyBorder="1" applyAlignment="1">
      <alignment horizontal="center" vertical="center" wrapText="1"/>
    </xf>
    <xf numFmtId="196" fontId="57" fillId="12" borderId="6" xfId="2" applyNumberFormat="1" applyFont="1" applyFill="1" applyBorder="1" applyAlignment="1">
      <alignment horizontal="center" vertical="center" wrapText="1"/>
    </xf>
    <xf numFmtId="0" fontId="55" fillId="0" borderId="293" xfId="0" applyFont="1" applyBorder="1" applyAlignment="1">
      <alignment horizontal="center" vertical="center" wrapText="1"/>
    </xf>
    <xf numFmtId="0" fontId="55" fillId="0" borderId="294" xfId="0" applyFont="1" applyBorder="1" applyAlignment="1">
      <alignment horizontal="center" vertical="center" wrapText="1"/>
    </xf>
    <xf numFmtId="194" fontId="55" fillId="0" borderId="293" xfId="2" applyNumberFormat="1" applyFont="1" applyFill="1" applyBorder="1" applyAlignment="1">
      <alignment horizontal="center" vertical="center" wrapText="1"/>
    </xf>
    <xf numFmtId="193" fontId="55" fillId="0" borderId="294" xfId="0" applyNumberFormat="1" applyFont="1" applyBorder="1" applyAlignment="1">
      <alignment horizontal="center" vertical="center" wrapText="1"/>
    </xf>
    <xf numFmtId="194" fontId="55" fillId="0" borderId="244" xfId="2" applyNumberFormat="1" applyFont="1" applyFill="1" applyBorder="1" applyAlignment="1">
      <alignment horizontal="center" vertical="center" wrapText="1"/>
    </xf>
    <xf numFmtId="196" fontId="55" fillId="0" borderId="182" xfId="2" applyNumberFormat="1" applyFont="1" applyFill="1" applyBorder="1" applyAlignment="1">
      <alignment horizontal="center" vertical="center" wrapText="1"/>
    </xf>
    <xf numFmtId="194" fontId="57" fillId="12" borderId="17" xfId="2" applyNumberFormat="1" applyFont="1" applyFill="1" applyBorder="1" applyAlignment="1">
      <alignment vertical="center" wrapText="1"/>
    </xf>
    <xf numFmtId="0" fontId="57" fillId="12" borderId="30" xfId="0" applyFont="1" applyFill="1" applyBorder="1" applyAlignment="1">
      <alignment vertical="center" wrapText="1"/>
    </xf>
    <xf numFmtId="193" fontId="57" fillId="12" borderId="16" xfId="0" applyNumberFormat="1" applyFont="1" applyFill="1" applyBorder="1" applyAlignment="1">
      <alignment vertical="center" wrapText="1"/>
    </xf>
    <xf numFmtId="194" fontId="57" fillId="12" borderId="30" xfId="2" applyNumberFormat="1" applyFont="1" applyFill="1" applyBorder="1" applyAlignment="1">
      <alignment vertical="center" wrapText="1"/>
    </xf>
    <xf numFmtId="196" fontId="57" fillId="12" borderId="30" xfId="2" applyNumberFormat="1" applyFont="1" applyFill="1" applyBorder="1" applyAlignment="1">
      <alignment vertical="center" wrapText="1"/>
    </xf>
    <xf numFmtId="0" fontId="57" fillId="0" borderId="346" xfId="0" applyFont="1" applyBorder="1" applyAlignment="1">
      <alignment horizontal="center" vertical="center" wrapText="1"/>
    </xf>
    <xf numFmtId="0" fontId="56" fillId="0" borderId="342" xfId="0" applyFont="1" applyBorder="1" applyAlignment="1">
      <alignment horizontal="center" vertical="center" wrapText="1"/>
    </xf>
    <xf numFmtId="194" fontId="57" fillId="0" borderId="346" xfId="2" applyNumberFormat="1" applyFont="1" applyFill="1" applyBorder="1" applyAlignment="1">
      <alignment horizontal="center" vertical="center" wrapText="1"/>
    </xf>
    <xf numFmtId="194" fontId="56" fillId="0" borderId="343" xfId="2" applyNumberFormat="1" applyFont="1" applyFill="1" applyBorder="1" applyAlignment="1">
      <alignment horizontal="center" vertical="center" wrapText="1"/>
    </xf>
    <xf numFmtId="196" fontId="56" fillId="0" borderId="212" xfId="2" applyNumberFormat="1" applyFont="1" applyFill="1" applyBorder="1" applyAlignment="1">
      <alignment horizontal="center" vertical="center" wrapText="1"/>
    </xf>
    <xf numFmtId="193" fontId="56" fillId="0" borderId="342" xfId="0" applyNumberFormat="1" applyFont="1" applyBorder="1" applyAlignment="1">
      <alignment horizontal="center" vertical="center" wrapText="1"/>
    </xf>
    <xf numFmtId="0" fontId="57" fillId="6" borderId="347" xfId="0" applyFont="1" applyFill="1" applyBorder="1" applyAlignment="1">
      <alignment horizontal="center" vertical="center" wrapText="1"/>
    </xf>
    <xf numFmtId="0" fontId="56" fillId="7" borderId="348" xfId="0" applyFont="1" applyFill="1" applyBorder="1" applyAlignment="1">
      <alignment horizontal="center" vertical="center" wrapText="1"/>
    </xf>
    <xf numFmtId="194" fontId="57" fillId="6" borderId="347" xfId="2" applyNumberFormat="1" applyFont="1" applyFill="1" applyBorder="1" applyAlignment="1">
      <alignment horizontal="center" vertical="center" wrapText="1"/>
    </xf>
    <xf numFmtId="193" fontId="57" fillId="6" borderId="348" xfId="0" applyNumberFormat="1" applyFont="1" applyFill="1" applyBorder="1" applyAlignment="1">
      <alignment horizontal="center" vertical="center" wrapText="1"/>
    </xf>
    <xf numFmtId="194" fontId="56" fillId="7" borderId="151" xfId="2" applyNumberFormat="1" applyFont="1" applyFill="1" applyBorder="1" applyAlignment="1">
      <alignment horizontal="center" vertical="center" wrapText="1"/>
    </xf>
    <xf numFmtId="193" fontId="56" fillId="7" borderId="348" xfId="0" applyNumberFormat="1" applyFont="1" applyFill="1" applyBorder="1" applyAlignment="1">
      <alignment horizontal="center" vertical="center" wrapText="1"/>
    </xf>
    <xf numFmtId="0" fontId="59" fillId="0" borderId="293" xfId="0" applyFont="1" applyBorder="1" applyAlignment="1">
      <alignment horizontal="center" vertical="center"/>
    </xf>
    <xf numFmtId="0" fontId="59" fillId="0" borderId="294" xfId="0" applyFont="1" applyBorder="1" applyAlignment="1">
      <alignment horizontal="center" vertical="center" wrapText="1"/>
    </xf>
    <xf numFmtId="194" fontId="59" fillId="0" borderId="293" xfId="2" applyNumberFormat="1" applyFont="1" applyFill="1" applyBorder="1" applyAlignment="1">
      <alignment horizontal="center" vertical="center"/>
    </xf>
    <xf numFmtId="193" fontId="59" fillId="0" borderId="294" xfId="0" applyNumberFormat="1" applyFont="1" applyBorder="1" applyAlignment="1">
      <alignment horizontal="center" vertical="center"/>
    </xf>
    <xf numFmtId="194" fontId="59" fillId="0" borderId="244" xfId="2" applyNumberFormat="1" applyFont="1" applyFill="1" applyBorder="1" applyAlignment="1">
      <alignment horizontal="center" vertical="center" wrapText="1"/>
    </xf>
    <xf numFmtId="196" fontId="59" fillId="0" borderId="182" xfId="2" applyNumberFormat="1" applyFont="1" applyFill="1" applyBorder="1" applyAlignment="1">
      <alignment horizontal="center" vertical="center" wrapText="1"/>
    </xf>
    <xf numFmtId="193" fontId="59" fillId="0" borderId="294" xfId="0" applyNumberFormat="1" applyFont="1" applyBorder="1" applyAlignment="1">
      <alignment horizontal="center" vertical="center" wrapText="1"/>
    </xf>
    <xf numFmtId="0" fontId="56" fillId="12" borderId="81" xfId="0" applyFont="1" applyFill="1" applyBorder="1" applyAlignment="1">
      <alignment horizontal="center" vertical="center" wrapText="1"/>
    </xf>
    <xf numFmtId="194" fontId="56" fillId="12" borderId="83" xfId="2" applyNumberFormat="1" applyFont="1" applyFill="1" applyBorder="1" applyAlignment="1">
      <alignment horizontal="center" vertical="center" wrapText="1"/>
    </xf>
    <xf numFmtId="196" fontId="56" fillId="12" borderId="6" xfId="2" applyNumberFormat="1" applyFont="1" applyFill="1" applyBorder="1" applyAlignment="1">
      <alignment horizontal="center" vertical="center" wrapText="1"/>
    </xf>
    <xf numFmtId="193" fontId="56" fillId="12" borderId="81" xfId="0" applyNumberFormat="1" applyFont="1" applyFill="1" applyBorder="1" applyAlignment="1">
      <alignment horizontal="center" vertical="center" wrapText="1"/>
    </xf>
    <xf numFmtId="194" fontId="56" fillId="7" borderId="73" xfId="2" applyNumberFormat="1" applyFont="1" applyFill="1" applyBorder="1" applyAlignment="1">
      <alignment horizontal="center" vertical="center" wrapText="1"/>
    </xf>
    <xf numFmtId="197" fontId="57" fillId="6" borderId="97" xfId="2" applyNumberFormat="1" applyFont="1" applyFill="1" applyBorder="1" applyAlignment="1">
      <alignment horizontal="center" vertical="center" wrapText="1"/>
    </xf>
    <xf numFmtId="0" fontId="57" fillId="0" borderId="285" xfId="0" applyFont="1" applyBorder="1" applyAlignment="1">
      <alignment horizontal="center" vertical="center" wrapText="1"/>
    </xf>
    <xf numFmtId="0" fontId="56" fillId="0" borderId="286" xfId="0" applyFont="1" applyBorder="1" applyAlignment="1">
      <alignment horizontal="center" vertical="center" wrapText="1"/>
    </xf>
    <xf numFmtId="194" fontId="57" fillId="0" borderId="84" xfId="2" applyNumberFormat="1" applyFont="1" applyFill="1" applyBorder="1" applyAlignment="1">
      <alignment horizontal="center" vertical="center" wrapText="1"/>
    </xf>
    <xf numFmtId="196" fontId="57" fillId="0" borderId="86" xfId="2" applyNumberFormat="1" applyFont="1" applyFill="1" applyBorder="1" applyAlignment="1">
      <alignment horizontal="center" vertical="center" wrapText="1"/>
    </xf>
    <xf numFmtId="193" fontId="57" fillId="0" borderId="87" xfId="0" applyNumberFormat="1" applyFont="1" applyBorder="1" applyAlignment="1">
      <alignment horizontal="center" vertical="center" wrapText="1"/>
    </xf>
    <xf numFmtId="194" fontId="56" fillId="0" borderId="89" xfId="2" applyNumberFormat="1" applyFont="1" applyFill="1" applyBorder="1" applyAlignment="1">
      <alignment horizontal="center" vertical="center" wrapText="1"/>
    </xf>
    <xf numFmtId="196" fontId="56" fillId="0" borderId="101" xfId="2" applyNumberFormat="1" applyFont="1" applyFill="1" applyBorder="1" applyAlignment="1">
      <alignment horizontal="center" vertical="center" wrapText="1"/>
    </xf>
    <xf numFmtId="193" fontId="56" fillId="0" borderId="286" xfId="0" applyNumberFormat="1" applyFont="1" applyBorder="1" applyAlignment="1">
      <alignment horizontal="center" vertical="center" wrapText="1"/>
    </xf>
    <xf numFmtId="0" fontId="57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4" fontId="57" fillId="0" borderId="76" xfId="2" applyNumberFormat="1" applyFont="1" applyFill="1" applyBorder="1" applyAlignment="1">
      <alignment horizontal="center" vertical="center" wrapText="1"/>
    </xf>
    <xf numFmtId="196" fontId="57" fillId="0" borderId="77" xfId="2" applyNumberFormat="1" applyFont="1" applyFill="1" applyBorder="1" applyAlignment="1">
      <alignment horizontal="center" vertical="center" wrapText="1"/>
    </xf>
    <xf numFmtId="193" fontId="57" fillId="0" borderId="78" xfId="0" applyNumberFormat="1" applyFont="1" applyBorder="1" applyAlignment="1">
      <alignment horizontal="center" vertical="center" wrapText="1"/>
    </xf>
    <xf numFmtId="194" fontId="56" fillId="0" borderId="80" xfId="2" applyNumberFormat="1" applyFont="1" applyFill="1" applyBorder="1" applyAlignment="1">
      <alignment horizontal="center" vertical="center" wrapText="1"/>
    </xf>
    <xf numFmtId="196" fontId="56" fillId="0" borderId="97" xfId="2" applyNumberFormat="1" applyFont="1" applyFill="1" applyBorder="1" applyAlignment="1">
      <alignment horizontal="center" vertical="center" wrapText="1"/>
    </xf>
    <xf numFmtId="193" fontId="56" fillId="0" borderId="348" xfId="0" applyNumberFormat="1" applyFont="1" applyBorder="1" applyAlignment="1">
      <alignment horizontal="center" vertical="center" wrapText="1"/>
    </xf>
    <xf numFmtId="0" fontId="57" fillId="6" borderId="293" xfId="0" applyFont="1" applyFill="1" applyBorder="1" applyAlignment="1">
      <alignment horizontal="center" vertical="center" wrapText="1"/>
    </xf>
    <xf numFmtId="0" fontId="56" fillId="7" borderId="294" xfId="0" applyFont="1" applyFill="1" applyBorder="1" applyAlignment="1">
      <alignment horizontal="center" vertical="center" wrapText="1"/>
    </xf>
    <xf numFmtId="194" fontId="57" fillId="6" borderId="293" xfId="2" applyNumberFormat="1" applyFont="1" applyFill="1" applyBorder="1" applyAlignment="1">
      <alignment horizontal="center" vertical="center" wrapText="1"/>
    </xf>
    <xf numFmtId="193" fontId="57" fillId="6" borderId="294" xfId="0" applyNumberFormat="1" applyFont="1" applyFill="1" applyBorder="1" applyAlignment="1">
      <alignment horizontal="center" vertical="center" wrapText="1"/>
    </xf>
    <xf numFmtId="194" fontId="56" fillId="7" borderId="244" xfId="2" applyNumberFormat="1" applyFont="1" applyFill="1" applyBorder="1" applyAlignment="1">
      <alignment horizontal="center" vertical="center" wrapText="1"/>
    </xf>
    <xf numFmtId="193" fontId="56" fillId="7" borderId="294" xfId="0" applyNumberFormat="1" applyFont="1" applyFill="1" applyBorder="1" applyAlignment="1">
      <alignment horizontal="center" vertical="center" wrapText="1"/>
    </xf>
    <xf numFmtId="197" fontId="57" fillId="6" borderId="182" xfId="2" applyNumberFormat="1" applyFont="1" applyFill="1" applyBorder="1" applyAlignment="1">
      <alignment horizontal="center" vertical="center" wrapText="1"/>
    </xf>
    <xf numFmtId="197" fontId="56" fillId="7" borderId="182" xfId="2" applyNumberFormat="1" applyFont="1" applyFill="1" applyBorder="1" applyAlignment="1">
      <alignment horizontal="center" vertical="center" wrapText="1"/>
    </xf>
    <xf numFmtId="0" fontId="56" fillId="0" borderId="293" xfId="0" applyFont="1" applyBorder="1" applyAlignment="1">
      <alignment horizontal="center" vertical="center" wrapText="1"/>
    </xf>
    <xf numFmtId="194" fontId="56" fillId="0" borderId="293" xfId="2" applyNumberFormat="1" applyFont="1" applyFill="1" applyBorder="1" applyAlignment="1">
      <alignment horizontal="center" vertical="center" wrapText="1"/>
    </xf>
    <xf numFmtId="0" fontId="56" fillId="0" borderId="345" xfId="0" applyFont="1" applyBorder="1" applyAlignment="1">
      <alignment horizontal="center" vertical="center" wrapText="1"/>
    </xf>
    <xf numFmtId="196" fontId="57" fillId="0" borderId="197" xfId="2" applyNumberFormat="1" applyFont="1" applyFill="1" applyBorder="1" applyAlignment="1">
      <alignment horizontal="center" vertical="center" wrapText="1"/>
    </xf>
    <xf numFmtId="194" fontId="56" fillId="0" borderId="349" xfId="2" applyNumberFormat="1" applyFont="1" applyFill="1" applyBorder="1" applyAlignment="1">
      <alignment horizontal="center" vertical="center" wrapText="1"/>
    </xf>
    <xf numFmtId="196" fontId="56" fillId="0" borderId="197" xfId="2" applyNumberFormat="1" applyFont="1" applyFill="1" applyBorder="1" applyAlignment="1">
      <alignment horizontal="center" vertical="center" wrapText="1"/>
    </xf>
    <xf numFmtId="193" fontId="56" fillId="0" borderId="345" xfId="0" applyNumberFormat="1" applyFont="1" applyBorder="1" applyAlignment="1">
      <alignment horizontal="center" vertical="center" wrapText="1"/>
    </xf>
    <xf numFmtId="197" fontId="56" fillId="7" borderId="71" xfId="2" applyNumberFormat="1" applyFont="1" applyFill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194" fontId="56" fillId="0" borderId="341" xfId="2" applyNumberFormat="1" applyFont="1" applyFill="1" applyBorder="1" applyAlignment="1">
      <alignment horizontal="center" vertical="center" wrapText="1"/>
    </xf>
    <xf numFmtId="196" fontId="56" fillId="0" borderId="181" xfId="2" applyNumberFormat="1" applyFont="1" applyFill="1" applyBorder="1" applyAlignment="1">
      <alignment horizontal="center" vertical="center" wrapText="1"/>
    </xf>
    <xf numFmtId="193" fontId="56" fillId="0" borderId="340" xfId="0" applyNumberFormat="1" applyFont="1" applyBorder="1" applyAlignment="1">
      <alignment horizontal="center" vertical="center" wrapText="1"/>
    </xf>
    <xf numFmtId="0" fontId="57" fillId="0" borderId="282" xfId="0" applyFont="1" applyBorder="1" applyAlignment="1">
      <alignment horizontal="center" vertical="center" wrapText="1"/>
    </xf>
    <xf numFmtId="194" fontId="57" fillId="0" borderId="272" xfId="2" applyNumberFormat="1" applyFont="1" applyFill="1" applyBorder="1" applyAlignment="1">
      <alignment horizontal="center" vertical="center" wrapText="1"/>
    </xf>
    <xf numFmtId="196" fontId="57" fillId="0" borderId="103" xfId="2" applyNumberFormat="1" applyFont="1" applyFill="1" applyBorder="1" applyAlignment="1">
      <alignment horizontal="center" vertical="center" wrapText="1"/>
    </xf>
    <xf numFmtId="193" fontId="57" fillId="0" borderId="282" xfId="0" applyNumberFormat="1" applyFont="1" applyBorder="1" applyAlignment="1">
      <alignment horizontal="center" vertical="center" wrapText="1"/>
    </xf>
    <xf numFmtId="0" fontId="55" fillId="0" borderId="346" xfId="0" applyFont="1" applyBorder="1" applyAlignment="1">
      <alignment horizontal="center" vertical="center" wrapText="1"/>
    </xf>
    <xf numFmtId="0" fontId="55" fillId="0" borderId="342" xfId="0" applyFont="1" applyBorder="1" applyAlignment="1">
      <alignment horizontal="center" vertical="center" wrapText="1"/>
    </xf>
    <xf numFmtId="194" fontId="55" fillId="0" borderId="346" xfId="2" applyNumberFormat="1" applyFont="1" applyFill="1" applyBorder="1" applyAlignment="1">
      <alignment horizontal="center" vertical="center" wrapText="1"/>
    </xf>
    <xf numFmtId="196" fontId="55" fillId="0" borderId="212" xfId="2" applyNumberFormat="1" applyFont="1" applyFill="1" applyBorder="1" applyAlignment="1">
      <alignment horizontal="center" vertical="center" wrapText="1"/>
    </xf>
    <xf numFmtId="193" fontId="55" fillId="0" borderId="342" xfId="0" applyNumberFormat="1" applyFont="1" applyBorder="1" applyAlignment="1">
      <alignment horizontal="center" vertical="center" wrapText="1"/>
    </xf>
    <xf numFmtId="194" fontId="55" fillId="0" borderId="343" xfId="2" applyNumberFormat="1" applyFont="1" applyFill="1" applyBorder="1" applyAlignment="1">
      <alignment horizontal="center" vertical="center" wrapText="1"/>
    </xf>
    <xf numFmtId="0" fontId="56" fillId="0" borderId="344" xfId="0" applyFont="1" applyBorder="1" applyAlignment="1">
      <alignment horizontal="center" vertical="center" wrapText="1"/>
    </xf>
    <xf numFmtId="0" fontId="57" fillId="0" borderId="345" xfId="0" applyFont="1" applyBorder="1" applyAlignment="1">
      <alignment horizontal="center" vertical="center" wrapText="1"/>
    </xf>
    <xf numFmtId="194" fontId="56" fillId="0" borderId="344" xfId="2" applyNumberFormat="1" applyFont="1" applyFill="1" applyBorder="1" applyAlignment="1">
      <alignment horizontal="center" vertical="center" wrapText="1"/>
    </xf>
    <xf numFmtId="194" fontId="57" fillId="0" borderId="349" xfId="2" applyNumberFormat="1" applyFont="1" applyFill="1" applyBorder="1" applyAlignment="1">
      <alignment horizontal="center" vertical="center" wrapText="1"/>
    </xf>
    <xf numFmtId="0" fontId="55" fillId="0" borderId="281" xfId="0" applyFont="1" applyBorder="1" applyAlignment="1">
      <alignment horizontal="center" vertical="center" wrapText="1"/>
    </xf>
    <xf numFmtId="194" fontId="55" fillId="0" borderId="281" xfId="2" applyNumberFormat="1" applyFont="1" applyFill="1" applyBorder="1" applyAlignment="1">
      <alignment horizontal="center" vertical="center" wrapText="1"/>
    </xf>
    <xf numFmtId="196" fontId="55" fillId="0" borderId="103" xfId="2" applyNumberFormat="1" applyFont="1" applyFill="1" applyBorder="1" applyAlignment="1">
      <alignment horizontal="center" vertical="center" wrapText="1"/>
    </xf>
    <xf numFmtId="193" fontId="55" fillId="0" borderId="282" xfId="0" applyNumberFormat="1" applyFont="1" applyBorder="1" applyAlignment="1">
      <alignment horizontal="center" vertical="center" wrapText="1"/>
    </xf>
    <xf numFmtId="194" fontId="57" fillId="12" borderId="350" xfId="2" applyNumberFormat="1" applyFont="1" applyFill="1" applyBorder="1" applyAlignment="1">
      <alignment vertical="center" wrapText="1"/>
    </xf>
    <xf numFmtId="196" fontId="57" fillId="12" borderId="352" xfId="2" applyNumberFormat="1" applyFont="1" applyFill="1" applyBorder="1" applyAlignment="1">
      <alignment vertical="center" wrapText="1"/>
    </xf>
    <xf numFmtId="0" fontId="57" fillId="12" borderId="352" xfId="0" applyFont="1" applyFill="1" applyBorder="1" applyAlignment="1">
      <alignment vertical="center" wrapText="1"/>
    </xf>
    <xf numFmtId="193" fontId="57" fillId="12" borderId="351" xfId="0" applyNumberFormat="1" applyFont="1" applyFill="1" applyBorder="1" applyAlignment="1">
      <alignment vertical="center" wrapText="1"/>
    </xf>
    <xf numFmtId="194" fontId="57" fillId="12" borderId="352" xfId="2" applyNumberFormat="1" applyFont="1" applyFill="1" applyBorder="1" applyAlignment="1">
      <alignment vertical="center" wrapText="1"/>
    </xf>
    <xf numFmtId="0" fontId="55" fillId="0" borderId="282" xfId="0" applyFont="1" applyBorder="1" applyAlignment="1">
      <alignment horizontal="center" vertical="center" wrapText="1"/>
    </xf>
    <xf numFmtId="194" fontId="55" fillId="0" borderId="272" xfId="2" applyNumberFormat="1" applyFont="1" applyFill="1" applyBorder="1" applyAlignment="1">
      <alignment horizontal="center" vertical="center" wrapText="1"/>
    </xf>
    <xf numFmtId="0" fontId="55" fillId="0" borderId="353" xfId="0" applyFont="1" applyBorder="1" applyAlignment="1">
      <alignment horizontal="center" vertical="center" wrapText="1"/>
    </xf>
    <xf numFmtId="0" fontId="55" fillId="0" borderId="354" xfId="0" applyFont="1" applyBorder="1" applyAlignment="1">
      <alignment horizontal="center" vertical="center" wrapText="1"/>
    </xf>
    <xf numFmtId="194" fontId="55" fillId="0" borderId="353" xfId="2" applyNumberFormat="1" applyFont="1" applyFill="1" applyBorder="1" applyAlignment="1">
      <alignment horizontal="center" vertical="center" wrapText="1"/>
    </xf>
    <xf numFmtId="196" fontId="55" fillId="0" borderId="183" xfId="2" applyNumberFormat="1" applyFont="1" applyFill="1" applyBorder="1" applyAlignment="1">
      <alignment horizontal="center" vertical="center" wrapText="1"/>
    </xf>
    <xf numFmtId="193" fontId="55" fillId="0" borderId="354" xfId="0" applyNumberFormat="1" applyFont="1" applyBorder="1" applyAlignment="1">
      <alignment horizontal="center" vertical="center" wrapText="1"/>
    </xf>
    <xf numFmtId="194" fontId="55" fillId="0" borderId="355" xfId="2" applyNumberFormat="1" applyFont="1" applyFill="1" applyBorder="1" applyAlignment="1">
      <alignment horizontal="center" vertical="center" wrapText="1"/>
    </xf>
    <xf numFmtId="0" fontId="55" fillId="0" borderId="339" xfId="0" applyFont="1" applyBorder="1" applyAlignment="1">
      <alignment horizontal="center" vertical="center" wrapText="1"/>
    </xf>
    <xf numFmtId="0" fontId="55" fillId="0" borderId="340" xfId="0" applyFont="1" applyBorder="1" applyAlignment="1">
      <alignment horizontal="center" vertical="center" wrapText="1"/>
    </xf>
    <xf numFmtId="194" fontId="55" fillId="0" borderId="339" xfId="2" applyNumberFormat="1" applyFont="1" applyFill="1" applyBorder="1" applyAlignment="1">
      <alignment horizontal="center" vertical="center" wrapText="1"/>
    </xf>
    <xf numFmtId="196" fontId="55" fillId="0" borderId="181" xfId="2" applyNumberFormat="1" applyFont="1" applyFill="1" applyBorder="1" applyAlignment="1">
      <alignment horizontal="center" vertical="center" wrapText="1"/>
    </xf>
    <xf numFmtId="193" fontId="55" fillId="0" borderId="340" xfId="0" applyNumberFormat="1" applyFont="1" applyBorder="1" applyAlignment="1">
      <alignment horizontal="center" vertical="center" wrapText="1"/>
    </xf>
    <xf numFmtId="194" fontId="55" fillId="0" borderId="341" xfId="2" applyNumberFormat="1" applyFont="1" applyFill="1" applyBorder="1" applyAlignment="1">
      <alignment horizontal="center" vertical="center" wrapText="1"/>
    </xf>
    <xf numFmtId="0" fontId="57" fillId="0" borderId="70" xfId="0" applyFont="1" applyBorder="1" applyAlignment="1">
      <alignment horizontal="center" vertical="center" wrapText="1"/>
    </xf>
    <xf numFmtId="0" fontId="56" fillId="0" borderId="74" xfId="0" applyFont="1" applyBorder="1" applyAlignment="1">
      <alignment horizontal="center" vertical="center" wrapText="1"/>
    </xf>
    <xf numFmtId="194" fontId="57" fillId="0" borderId="70" xfId="2" applyNumberFormat="1" applyFont="1" applyFill="1" applyBorder="1" applyAlignment="1">
      <alignment horizontal="center" vertical="center" wrapText="1"/>
    </xf>
    <xf numFmtId="196" fontId="57" fillId="0" borderId="71" xfId="2" applyNumberFormat="1" applyFont="1" applyFill="1" applyBorder="1" applyAlignment="1">
      <alignment horizontal="center" vertical="center" wrapText="1"/>
    </xf>
    <xf numFmtId="193" fontId="57" fillId="0" borderId="74" xfId="0" applyNumberFormat="1" applyFont="1" applyBorder="1" applyAlignment="1">
      <alignment horizontal="center" vertical="center" wrapText="1"/>
    </xf>
    <xf numFmtId="194" fontId="56" fillId="0" borderId="73" xfId="2" applyNumberFormat="1" applyFont="1" applyFill="1" applyBorder="1" applyAlignment="1">
      <alignment horizontal="center" vertical="center" wrapText="1"/>
    </xf>
    <xf numFmtId="196" fontId="56" fillId="0" borderId="71" xfId="2" applyNumberFormat="1" applyFont="1" applyFill="1" applyBorder="1" applyAlignment="1">
      <alignment horizontal="center" vertical="center" wrapText="1"/>
    </xf>
    <xf numFmtId="193" fontId="56" fillId="0" borderId="74" xfId="0" applyNumberFormat="1" applyFont="1" applyBorder="1" applyAlignment="1">
      <alignment horizontal="center" vertical="center" wrapText="1"/>
    </xf>
    <xf numFmtId="0" fontId="56" fillId="0" borderId="339" xfId="0" applyFont="1" applyBorder="1" applyAlignment="1">
      <alignment horizontal="center" vertical="center" wrapText="1"/>
    </xf>
    <xf numFmtId="194" fontId="56" fillId="0" borderId="339" xfId="2" applyNumberFormat="1" applyFont="1" applyFill="1" applyBorder="1" applyAlignment="1">
      <alignment horizontal="center" vertical="center" wrapText="1"/>
    </xf>
    <xf numFmtId="0" fontId="57" fillId="0" borderId="76" xfId="0" applyFont="1" applyBorder="1" applyAlignment="1">
      <alignment horizontal="center" vertical="center" wrapText="1"/>
    </xf>
    <xf numFmtId="194" fontId="56" fillId="0" borderId="151" xfId="2" applyNumberFormat="1" applyFont="1" applyFill="1" applyBorder="1" applyAlignment="1">
      <alignment horizontal="center" vertical="center" wrapText="1"/>
    </xf>
    <xf numFmtId="194" fontId="57" fillId="0" borderId="347" xfId="2" applyNumberFormat="1" applyFont="1" applyFill="1" applyBorder="1" applyAlignment="1">
      <alignment horizontal="center" vertical="center" wrapText="1"/>
    </xf>
    <xf numFmtId="196" fontId="57" fillId="0" borderId="97" xfId="2" applyNumberFormat="1" applyFont="1" applyFill="1" applyBorder="1" applyAlignment="1">
      <alignment horizontal="center" vertical="center" wrapText="1"/>
    </xf>
    <xf numFmtId="193" fontId="57" fillId="0" borderId="348" xfId="0" applyNumberFormat="1" applyFont="1" applyBorder="1" applyAlignment="1">
      <alignment horizontal="center" vertical="center" wrapText="1"/>
    </xf>
    <xf numFmtId="0" fontId="61" fillId="0" borderId="293" xfId="0" applyFont="1" applyBorder="1" applyAlignment="1">
      <alignment horizontal="center" vertical="center" wrapText="1"/>
    </xf>
    <xf numFmtId="0" fontId="59" fillId="0" borderId="81" xfId="0" applyFont="1" applyBorder="1" applyAlignment="1">
      <alignment horizontal="center" vertical="center" wrapText="1"/>
    </xf>
    <xf numFmtId="194" fontId="61" fillId="0" borderId="293" xfId="2" applyNumberFormat="1" applyFont="1" applyFill="1" applyBorder="1" applyAlignment="1">
      <alignment horizontal="center" vertical="center" wrapText="1"/>
    </xf>
    <xf numFmtId="196" fontId="61" fillId="0" borderId="182" xfId="2" applyNumberFormat="1" applyFont="1" applyFill="1" applyBorder="1" applyAlignment="1">
      <alignment horizontal="center" vertical="center" wrapText="1"/>
    </xf>
    <xf numFmtId="193" fontId="61" fillId="0" borderId="294" xfId="0" applyNumberFormat="1" applyFont="1" applyBorder="1" applyAlignment="1">
      <alignment horizontal="center" vertical="center" wrapText="1"/>
    </xf>
    <xf numFmtId="194" fontId="59" fillId="0" borderId="83" xfId="2" applyNumberFormat="1" applyFont="1" applyFill="1" applyBorder="1" applyAlignment="1">
      <alignment horizontal="center" vertical="center" wrapText="1"/>
    </xf>
    <xf numFmtId="196" fontId="59" fillId="0" borderId="6" xfId="2" applyNumberFormat="1" applyFont="1" applyFill="1" applyBorder="1" applyAlignment="1">
      <alignment horizontal="center" vertical="center" wrapText="1"/>
    </xf>
    <xf numFmtId="193" fontId="59" fillId="0" borderId="81" xfId="0" applyNumberFormat="1" applyFont="1" applyBorder="1" applyAlignment="1">
      <alignment horizontal="center" vertical="center" wrapText="1"/>
    </xf>
    <xf numFmtId="0" fontId="57" fillId="0" borderId="356" xfId="0" applyFont="1" applyBorder="1" applyAlignment="1">
      <alignment horizontal="center" vertical="center" wrapText="1"/>
    </xf>
    <xf numFmtId="0" fontId="56" fillId="0" borderId="87" xfId="0" applyFont="1" applyBorder="1" applyAlignment="1">
      <alignment horizontal="center" vertical="center" wrapText="1"/>
    </xf>
    <xf numFmtId="194" fontId="57" fillId="0" borderId="356" xfId="2" applyNumberFormat="1" applyFont="1" applyFill="1" applyBorder="1" applyAlignment="1">
      <alignment horizontal="center" vertical="center" wrapText="1"/>
    </xf>
    <xf numFmtId="196" fontId="57" fillId="0" borderId="299" xfId="2" applyNumberFormat="1" applyFont="1" applyFill="1" applyBorder="1" applyAlignment="1">
      <alignment horizontal="center" vertical="center" wrapText="1"/>
    </xf>
    <xf numFmtId="0" fontId="57" fillId="0" borderId="299" xfId="0" applyFont="1" applyBorder="1" applyAlignment="1">
      <alignment horizontal="center" vertical="center" wrapText="1"/>
    </xf>
    <xf numFmtId="193" fontId="57" fillId="0" borderId="297" xfId="0" applyNumberFormat="1" applyFont="1" applyBorder="1" applyAlignment="1">
      <alignment horizontal="center" vertical="center" wrapText="1"/>
    </xf>
    <xf numFmtId="196" fontId="56" fillId="0" borderId="86" xfId="2" applyNumberFormat="1" applyFont="1" applyFill="1" applyBorder="1" applyAlignment="1">
      <alignment horizontal="center" vertical="center" wrapText="1"/>
    </xf>
    <xf numFmtId="193" fontId="56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3" fillId="23" borderId="40" xfId="0" applyFont="1" applyFill="1" applyBorder="1" applyAlignment="1">
      <alignment horizontal="center" vertical="center"/>
    </xf>
    <xf numFmtId="0" fontId="13" fillId="23" borderId="17" xfId="0" applyFont="1" applyFill="1" applyBorder="1" applyAlignment="1">
      <alignment horizontal="center" vertical="center"/>
    </xf>
    <xf numFmtId="0" fontId="78" fillId="23" borderId="15" xfId="0" applyFont="1" applyFill="1" applyBorder="1" applyAlignment="1">
      <alignment horizontal="center" vertical="center"/>
    </xf>
    <xf numFmtId="0" fontId="45" fillId="0" borderId="81" xfId="0" applyFont="1" applyBorder="1" applyAlignment="1">
      <alignment horizontal="center" vertical="center" wrapText="1"/>
    </xf>
    <xf numFmtId="181" fontId="24" fillId="0" borderId="16" xfId="0" applyNumberFormat="1" applyFont="1" applyBorder="1" applyAlignment="1">
      <alignment horizontal="center" vertical="center" wrapText="1"/>
    </xf>
    <xf numFmtId="0" fontId="13" fillId="0" borderId="182" xfId="0" applyFont="1" applyBorder="1" applyAlignment="1">
      <alignment horizontal="center" vertical="center"/>
    </xf>
    <xf numFmtId="196" fontId="45" fillId="0" borderId="135" xfId="2" applyNumberFormat="1" applyFont="1" applyBorder="1" applyAlignment="1">
      <alignment horizontal="center" vertical="center"/>
    </xf>
    <xf numFmtId="0" fontId="12" fillId="0" borderId="0" xfId="0" applyFont="1">
      <alignment vertical="center"/>
    </xf>
    <xf numFmtId="0" fontId="23" fillId="0" borderId="191" xfId="0" applyFont="1" applyBorder="1" applyAlignment="1">
      <alignment horizontal="center" vertical="center"/>
    </xf>
    <xf numFmtId="0" fontId="23" fillId="0" borderId="182" xfId="0" applyFont="1" applyBorder="1" applyAlignment="1">
      <alignment horizontal="center" vertical="center"/>
    </xf>
    <xf numFmtId="0" fontId="23" fillId="0" borderId="196" xfId="0" applyFont="1" applyBorder="1" applyAlignment="1">
      <alignment horizontal="center" vertical="center"/>
    </xf>
    <xf numFmtId="0" fontId="24" fillId="23" borderId="288" xfId="0" applyFont="1" applyFill="1" applyBorder="1" applyAlignment="1">
      <alignment horizontal="center" vertical="center"/>
    </xf>
    <xf numFmtId="194" fontId="24" fillId="0" borderId="289" xfId="2" applyNumberFormat="1" applyFont="1" applyBorder="1" applyAlignment="1">
      <alignment horizontal="center" vertical="center"/>
    </xf>
    <xf numFmtId="196" fontId="24" fillId="0" borderId="191" xfId="2" applyNumberFormat="1" applyFont="1" applyBorder="1" applyAlignment="1">
      <alignment horizontal="center" vertical="center"/>
    </xf>
    <xf numFmtId="193" fontId="24" fillId="0" borderId="288" xfId="0" applyNumberFormat="1" applyFont="1" applyBorder="1" applyAlignment="1">
      <alignment horizontal="center" vertical="center"/>
    </xf>
    <xf numFmtId="0" fontId="24" fillId="23" borderId="81" xfId="0" applyFont="1" applyFill="1" applyBorder="1" applyAlignment="1">
      <alignment horizontal="center" vertical="center"/>
    </xf>
    <xf numFmtId="194" fontId="24" fillId="4" borderId="83" xfId="2" applyNumberFormat="1" applyFont="1" applyFill="1" applyBorder="1" applyAlignment="1">
      <alignment horizontal="center" vertical="center"/>
    </xf>
    <xf numFmtId="0" fontId="24" fillId="23" borderId="294" xfId="0" applyFont="1" applyFill="1" applyBorder="1" applyAlignment="1">
      <alignment horizontal="center" vertical="center"/>
    </xf>
    <xf numFmtId="194" fontId="24" fillId="0" borderId="244" xfId="2" applyNumberFormat="1" applyFont="1" applyBorder="1" applyAlignment="1">
      <alignment horizontal="center" vertical="center"/>
    </xf>
    <xf numFmtId="194" fontId="24" fillId="0" borderId="83" xfId="2" applyNumberFormat="1" applyFont="1" applyBorder="1" applyAlignment="1">
      <alignment horizontal="center" vertical="center"/>
    </xf>
    <xf numFmtId="0" fontId="24" fillId="23" borderId="278" xfId="0" applyFont="1" applyFill="1" applyBorder="1" applyAlignment="1">
      <alignment horizontal="center" vertical="center"/>
    </xf>
    <xf numFmtId="194" fontId="24" fillId="0" borderId="195" xfId="2" applyNumberFormat="1" applyFont="1" applyBorder="1" applyAlignment="1">
      <alignment horizontal="center" vertical="center"/>
    </xf>
    <xf numFmtId="194" fontId="45" fillId="4" borderId="279" xfId="2" applyNumberFormat="1" applyFont="1" applyFill="1" applyBorder="1" applyAlignment="1">
      <alignment horizontal="center" vertical="center"/>
    </xf>
    <xf numFmtId="194" fontId="45" fillId="0" borderId="293" xfId="2" applyNumberFormat="1" applyFont="1" applyBorder="1" applyAlignment="1">
      <alignment horizontal="center" vertical="center"/>
    </xf>
    <xf numFmtId="194" fontId="45" fillId="4" borderId="69" xfId="2" applyNumberFormat="1" applyFont="1" applyFill="1" applyBorder="1" applyAlignment="1">
      <alignment horizontal="center" vertical="center"/>
    </xf>
    <xf numFmtId="194" fontId="45" fillId="0" borderId="69" xfId="2" applyNumberFormat="1" applyFont="1" applyBorder="1" applyAlignment="1">
      <alignment horizontal="center" vertical="center"/>
    </xf>
    <xf numFmtId="194" fontId="45" fillId="0" borderId="277" xfId="2" applyNumberFormat="1" applyFont="1" applyBorder="1" applyAlignment="1">
      <alignment horizontal="center" vertical="center"/>
    </xf>
    <xf numFmtId="0" fontId="45" fillId="23" borderId="279" xfId="0" applyFont="1" applyFill="1" applyBorder="1" applyAlignment="1">
      <alignment horizontal="center" vertical="center"/>
    </xf>
    <xf numFmtId="0" fontId="45" fillId="23" borderId="293" xfId="0" applyFont="1" applyFill="1" applyBorder="1" applyAlignment="1">
      <alignment horizontal="center" vertical="center"/>
    </xf>
    <xf numFmtId="0" fontId="45" fillId="23" borderId="69" xfId="0" applyFont="1" applyFill="1" applyBorder="1" applyAlignment="1">
      <alignment horizontal="center" vertical="center"/>
    </xf>
    <xf numFmtId="0" fontId="45" fillId="23" borderId="277" xfId="0" applyFont="1" applyFill="1" applyBorder="1" applyAlignment="1">
      <alignment horizontal="center" vertical="center"/>
    </xf>
    <xf numFmtId="0" fontId="40" fillId="23" borderId="277" xfId="0" applyFont="1" applyFill="1" applyBorder="1" applyAlignment="1">
      <alignment horizontal="center" vertical="center"/>
    </xf>
    <xf numFmtId="0" fontId="23" fillId="23" borderId="278" xfId="0" applyFont="1" applyFill="1" applyBorder="1" applyAlignment="1">
      <alignment horizontal="center" vertical="center"/>
    </xf>
    <xf numFmtId="176" fontId="23" fillId="6" borderId="136" xfId="2" applyNumberFormat="1" applyFont="1" applyFill="1" applyBorder="1" applyAlignment="1">
      <alignment horizontal="center" vertical="center"/>
    </xf>
    <xf numFmtId="0" fontId="45" fillId="0" borderId="0" xfId="0" applyFont="1">
      <alignment vertical="center"/>
    </xf>
    <xf numFmtId="176" fontId="45" fillId="0" borderId="0" xfId="2" applyNumberFormat="1" applyFont="1">
      <alignment vertical="center"/>
    </xf>
    <xf numFmtId="176" fontId="42" fillId="0" borderId="135" xfId="2" applyNumberFormat="1" applyFont="1" applyBorder="1">
      <alignment vertical="center"/>
    </xf>
    <xf numFmtId="0" fontId="24" fillId="0" borderId="0" xfId="0" applyFont="1">
      <alignment vertical="center"/>
    </xf>
    <xf numFmtId="176" fontId="24" fillId="0" borderId="0" xfId="2" applyNumberFormat="1" applyFont="1">
      <alignment vertical="center"/>
    </xf>
    <xf numFmtId="176" fontId="29" fillId="0" borderId="191" xfId="2" applyNumberFormat="1" applyFont="1" applyBorder="1">
      <alignment vertical="center"/>
    </xf>
    <xf numFmtId="176" fontId="29" fillId="0" borderId="182" xfId="2" applyNumberFormat="1" applyFont="1" applyBorder="1">
      <alignment vertical="center"/>
    </xf>
    <xf numFmtId="176" fontId="29" fillId="0" borderId="136" xfId="2" applyNumberFormat="1" applyFont="1" applyFill="1" applyBorder="1">
      <alignment vertical="center"/>
    </xf>
    <xf numFmtId="0" fontId="57" fillId="0" borderId="178" xfId="0" applyFont="1" applyBorder="1" applyAlignment="1">
      <alignment horizontal="left" vertical="center"/>
    </xf>
    <xf numFmtId="0" fontId="55" fillId="0" borderId="6" xfId="0" applyFont="1" applyBorder="1" applyAlignment="1">
      <alignment horizontal="center" vertical="center" wrapText="1"/>
    </xf>
    <xf numFmtId="0" fontId="13" fillId="0" borderId="57" xfId="0" applyFont="1" applyBorder="1" applyAlignment="1">
      <alignment horizontal="center" vertical="center"/>
    </xf>
    <xf numFmtId="0" fontId="12" fillId="0" borderId="59" xfId="0" applyFont="1" applyBorder="1" applyAlignment="1">
      <alignment horizontal="center" vertical="center"/>
    </xf>
    <xf numFmtId="0" fontId="12" fillId="0" borderId="60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181" fontId="40" fillId="0" borderId="6" xfId="0" applyNumberFormat="1" applyFont="1" applyBorder="1" applyAlignment="1">
      <alignment horizontal="center" vertical="center"/>
    </xf>
    <xf numFmtId="181" fontId="15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5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6" xfId="0" applyBorder="1">
      <alignment vertical="center"/>
    </xf>
    <xf numFmtId="0" fontId="40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7" xfId="0" applyBorder="1">
      <alignment vertical="center"/>
    </xf>
    <xf numFmtId="198" fontId="0" fillId="0" borderId="77" xfId="2" applyNumberFormat="1" applyFont="1" applyBorder="1">
      <alignment vertical="center"/>
    </xf>
    <xf numFmtId="198" fontId="0" fillId="0" borderId="6" xfId="2" applyNumberFormat="1" applyFont="1" applyBorder="1">
      <alignment vertical="center"/>
    </xf>
    <xf numFmtId="0" fontId="12" fillId="6" borderId="86" xfId="0" applyFont="1" applyFill="1" applyBorder="1" applyAlignment="1">
      <alignment horizontal="center" vertical="center"/>
    </xf>
    <xf numFmtId="0" fontId="12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2" fillId="6" borderId="86" xfId="0" applyNumberFormat="1" applyFont="1" applyFill="1" applyBorder="1">
      <alignment vertical="center"/>
    </xf>
    <xf numFmtId="198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8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3" fillId="6" borderId="86" xfId="0" applyNumberFormat="1" applyFont="1" applyFill="1" applyBorder="1">
      <alignment vertical="center"/>
    </xf>
    <xf numFmtId="0" fontId="56" fillId="0" borderId="16" xfId="0" applyFont="1" applyBorder="1" applyAlignment="1">
      <alignment horizontal="center" vertical="center" wrapText="1"/>
    </xf>
    <xf numFmtId="0" fontId="55" fillId="0" borderId="39" xfId="0" applyFont="1" applyBorder="1" applyAlignment="1">
      <alignment horizontal="center" vertical="center"/>
    </xf>
    <xf numFmtId="0" fontId="57" fillId="0" borderId="80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7" fillId="0" borderId="16" xfId="0" applyFont="1" applyBorder="1" applyAlignment="1">
      <alignment horizontal="center" vertical="center" wrapText="1"/>
    </xf>
    <xf numFmtId="0" fontId="56" fillId="0" borderId="83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6" fillId="0" borderId="80" xfId="0" applyFont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 wrapText="1"/>
    </xf>
    <xf numFmtId="184" fontId="56" fillId="0" borderId="75" xfId="2" applyNumberFormat="1" applyFont="1" applyFill="1" applyBorder="1" applyAlignment="1" applyProtection="1">
      <alignment horizontal="center" vertical="center"/>
    </xf>
    <xf numFmtId="0" fontId="45" fillId="4" borderId="6" xfId="0" applyFont="1" applyFill="1" applyBorder="1" applyAlignment="1">
      <alignment horizontal="center" vertical="center"/>
    </xf>
    <xf numFmtId="0" fontId="91" fillId="0" borderId="14" xfId="0" applyFont="1" applyBorder="1" applyAlignment="1">
      <alignment horizontal="center" vertical="center"/>
    </xf>
    <xf numFmtId="0" fontId="91" fillId="0" borderId="24" xfId="0" applyFont="1" applyBorder="1" applyAlignment="1">
      <alignment horizontal="center" vertical="center"/>
    </xf>
    <xf numFmtId="0" fontId="45" fillId="0" borderId="280" xfId="0" applyFont="1" applyBorder="1" applyAlignment="1">
      <alignment horizontal="center" vertical="center" wrapText="1"/>
    </xf>
    <xf numFmtId="193" fontId="45" fillId="0" borderId="286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3" fillId="0" borderId="279" xfId="0" applyFont="1" applyBorder="1" applyAlignment="1">
      <alignment horizontal="center" vertical="center"/>
    </xf>
    <xf numFmtId="0" fontId="40" fillId="0" borderId="280" xfId="0" applyFont="1" applyBorder="1" applyAlignment="1">
      <alignment horizontal="center" vertical="center"/>
    </xf>
    <xf numFmtId="0" fontId="23" fillId="0" borderId="69" xfId="0" applyFont="1" applyBorder="1" applyAlignment="1">
      <alignment horizontal="center" vertical="center"/>
    </xf>
    <xf numFmtId="0" fontId="40" fillId="0" borderId="81" xfId="0" applyFont="1" applyBorder="1" applyAlignment="1">
      <alignment horizontal="center" vertical="center"/>
    </xf>
    <xf numFmtId="0" fontId="23" fillId="0" borderId="277" xfId="0" applyFont="1" applyBorder="1" applyAlignment="1">
      <alignment horizontal="center" vertical="center"/>
    </xf>
    <xf numFmtId="0" fontId="40" fillId="0" borderId="278" xfId="0" applyFont="1" applyBorder="1" applyAlignment="1">
      <alignment horizontal="center" vertical="center"/>
    </xf>
    <xf numFmtId="42" fontId="23" fillId="0" borderId="281" xfId="0" applyNumberFormat="1" applyFont="1" applyBorder="1" applyAlignment="1">
      <alignment horizontal="center" vertical="center"/>
    </xf>
    <xf numFmtId="42" fontId="40" fillId="0" borderId="282" xfId="0" applyNumberFormat="1" applyFont="1" applyBorder="1" applyAlignment="1">
      <alignment horizontal="center" vertical="center"/>
    </xf>
    <xf numFmtId="42" fontId="23" fillId="0" borderId="69" xfId="0" applyNumberFormat="1" applyFont="1" applyBorder="1" applyAlignment="1">
      <alignment horizontal="center" vertical="center"/>
    </xf>
    <xf numFmtId="42" fontId="40" fillId="0" borderId="81" xfId="0" applyNumberFormat="1" applyFont="1" applyBorder="1" applyAlignment="1">
      <alignment horizontal="center" vertical="center"/>
    </xf>
    <xf numFmtId="42" fontId="23" fillId="0" borderId="277" xfId="0" applyNumberFormat="1" applyFont="1" applyBorder="1" applyAlignment="1">
      <alignment horizontal="center" vertical="center"/>
    </xf>
    <xf numFmtId="42" fontId="40" fillId="0" borderId="278" xfId="0" applyNumberFormat="1" applyFont="1" applyBorder="1" applyAlignment="1">
      <alignment horizontal="center" vertical="center"/>
    </xf>
    <xf numFmtId="0" fontId="23" fillId="0" borderId="283" xfId="0" applyFont="1" applyBorder="1" applyAlignment="1">
      <alignment horizontal="center" vertical="center"/>
    </xf>
    <xf numFmtId="0" fontId="40" fillId="0" borderId="284" xfId="0" applyFont="1" applyBorder="1" applyAlignment="1">
      <alignment horizontal="center" vertical="center"/>
    </xf>
    <xf numFmtId="0" fontId="23" fillId="0" borderId="285" xfId="0" applyFont="1" applyBorder="1" applyAlignment="1">
      <alignment horizontal="center" vertical="center"/>
    </xf>
    <xf numFmtId="0" fontId="40" fillId="0" borderId="286" xfId="0" applyFont="1" applyBorder="1" applyAlignment="1">
      <alignment horizontal="center" vertical="center"/>
    </xf>
    <xf numFmtId="0" fontId="23" fillId="23" borderId="287" xfId="0" applyFont="1" applyFill="1" applyBorder="1" applyAlignment="1">
      <alignment horizontal="center" vertical="center" wrapText="1"/>
    </xf>
    <xf numFmtId="0" fontId="40" fillId="23" borderId="288" xfId="0" applyFont="1" applyFill="1" applyBorder="1" applyAlignment="1">
      <alignment horizontal="center" vertical="center" wrapText="1"/>
    </xf>
    <xf numFmtId="0" fontId="23" fillId="23" borderId="69" xfId="0" applyFont="1" applyFill="1" applyBorder="1" applyAlignment="1">
      <alignment horizontal="center" vertical="center" wrapText="1"/>
    </xf>
    <xf numFmtId="0" fontId="40" fillId="23" borderId="81" xfId="0" applyFont="1" applyFill="1" applyBorder="1" applyAlignment="1">
      <alignment horizontal="center" vertical="center" wrapText="1"/>
    </xf>
    <xf numFmtId="0" fontId="23" fillId="23" borderId="277" xfId="0" applyFont="1" applyFill="1" applyBorder="1" applyAlignment="1">
      <alignment horizontal="center" vertical="center" wrapText="1"/>
    </xf>
    <xf numFmtId="0" fontId="40" fillId="23" borderId="278" xfId="0" applyFont="1" applyFill="1" applyBorder="1" applyAlignment="1">
      <alignment horizontal="center" vertical="center" wrapText="1"/>
    </xf>
    <xf numFmtId="0" fontId="23" fillId="23" borderId="81" xfId="0" applyFont="1" applyFill="1" applyBorder="1" applyAlignment="1">
      <alignment horizontal="center" vertical="center" wrapText="1"/>
    </xf>
    <xf numFmtId="0" fontId="23" fillId="23" borderId="290" xfId="0" applyFont="1" applyFill="1" applyBorder="1" applyAlignment="1">
      <alignment horizontal="center" vertical="center" wrapText="1"/>
    </xf>
    <xf numFmtId="0" fontId="40" fillId="23" borderId="291" xfId="0" applyFont="1" applyFill="1" applyBorder="1" applyAlignment="1">
      <alignment horizontal="center" vertical="center" wrapText="1"/>
    </xf>
    <xf numFmtId="0" fontId="23" fillId="23" borderId="279" xfId="0" applyFont="1" applyFill="1" applyBorder="1" applyAlignment="1">
      <alignment horizontal="center" vertical="center" wrapText="1"/>
    </xf>
    <xf numFmtId="0" fontId="40" fillId="23" borderId="280" xfId="0" applyFont="1" applyFill="1" applyBorder="1" applyAlignment="1">
      <alignment horizontal="center" vertical="center" wrapText="1"/>
    </xf>
    <xf numFmtId="0" fontId="23" fillId="23" borderId="293" xfId="0" applyFont="1" applyFill="1" applyBorder="1" applyAlignment="1">
      <alignment horizontal="center" vertical="center" wrapText="1"/>
    </xf>
    <xf numFmtId="0" fontId="40" fillId="23" borderId="294" xfId="0" applyFont="1" applyFill="1" applyBorder="1" applyAlignment="1">
      <alignment horizontal="center" vertical="center" wrapText="1"/>
    </xf>
    <xf numFmtId="0" fontId="40" fillId="23" borderId="295" xfId="0" applyFont="1" applyFill="1" applyBorder="1" applyAlignment="1">
      <alignment horizontal="center" vertical="center" wrapText="1"/>
    </xf>
    <xf numFmtId="0" fontId="40" fillId="23" borderId="282" xfId="0" applyFont="1" applyFill="1" applyBorder="1" applyAlignment="1">
      <alignment horizontal="center" vertical="center" wrapText="1"/>
    </xf>
    <xf numFmtId="0" fontId="23" fillId="23" borderId="281" xfId="0" applyFont="1" applyFill="1" applyBorder="1" applyAlignment="1">
      <alignment horizontal="center" vertical="center" wrapText="1"/>
    </xf>
    <xf numFmtId="0" fontId="23" fillId="23" borderId="283" xfId="0" applyFont="1" applyFill="1" applyBorder="1" applyAlignment="1">
      <alignment horizontal="center" vertical="center" wrapText="1"/>
    </xf>
    <xf numFmtId="0" fontId="12" fillId="23" borderId="287" xfId="0" applyFont="1" applyFill="1" applyBorder="1" applyAlignment="1">
      <alignment horizontal="center" vertical="center" wrapText="1"/>
    </xf>
    <xf numFmtId="0" fontId="12" fillId="23" borderId="294" xfId="0" applyFont="1" applyFill="1" applyBorder="1" applyAlignment="1">
      <alignment horizontal="center" vertical="center" wrapText="1"/>
    </xf>
    <xf numFmtId="0" fontId="23" fillId="23" borderId="84" xfId="0" applyFont="1" applyFill="1" applyBorder="1" applyAlignment="1">
      <alignment horizontal="center" vertical="center" wrapText="1"/>
    </xf>
    <xf numFmtId="0" fontId="12" fillId="23" borderId="297" xfId="0" applyFont="1" applyFill="1" applyBorder="1" applyAlignment="1">
      <alignment horizontal="center" vertical="center" wrapText="1"/>
    </xf>
    <xf numFmtId="0" fontId="55" fillId="7" borderId="6" xfId="0" applyFont="1" applyFill="1" applyBorder="1" applyAlignment="1">
      <alignment horizontal="center" vertical="center"/>
    </xf>
    <xf numFmtId="0" fontId="55" fillId="7" borderId="71" xfId="0" applyFont="1" applyFill="1" applyBorder="1" applyAlignment="1">
      <alignment horizontal="center" vertical="center"/>
    </xf>
    <xf numFmtId="0" fontId="55" fillId="4" borderId="6" xfId="0" applyFont="1" applyFill="1" applyBorder="1" applyAlignment="1">
      <alignment horizontal="center" vertical="center"/>
    </xf>
    <xf numFmtId="0" fontId="55" fillId="4" borderId="97" xfId="0" applyFont="1" applyFill="1" applyBorder="1" applyAlignment="1">
      <alignment horizontal="center" vertical="center"/>
    </xf>
    <xf numFmtId="0" fontId="55" fillId="4" borderId="80" xfId="0" applyFont="1" applyFill="1" applyBorder="1" applyAlignment="1">
      <alignment horizontal="center" vertical="center"/>
    </xf>
    <xf numFmtId="0" fontId="57" fillId="6" borderId="101" xfId="0" applyFont="1" applyFill="1" applyBorder="1" applyAlignment="1">
      <alignment vertical="center" wrapText="1"/>
    </xf>
    <xf numFmtId="0" fontId="57" fillId="0" borderId="101" xfId="0" applyFont="1" applyBorder="1" applyAlignment="1">
      <alignment horizontal="center" vertical="center"/>
    </xf>
    <xf numFmtId="0" fontId="55" fillId="7" borderId="97" xfId="0" applyFont="1" applyFill="1" applyBorder="1" applyAlignment="1">
      <alignment horizontal="center" vertical="center"/>
    </xf>
    <xf numFmtId="0" fontId="81" fillId="0" borderId="37" xfId="0" applyFont="1" applyBorder="1" applyAlignment="1">
      <alignment horizontal="center" vertical="center"/>
    </xf>
    <xf numFmtId="0" fontId="81" fillId="0" borderId="42" xfId="0" quotePrefix="1" applyFont="1" applyBorder="1" applyAlignment="1">
      <alignment horizontal="center" vertical="center"/>
    </xf>
    <xf numFmtId="0" fontId="81" fillId="5" borderId="38" xfId="0" quotePrefix="1" applyFont="1" applyFill="1" applyBorder="1" applyAlignment="1">
      <alignment horizontal="center" vertical="center"/>
    </xf>
    <xf numFmtId="0" fontId="81" fillId="5" borderId="49" xfId="0" quotePrefix="1" applyFont="1" applyFill="1" applyBorder="1" applyAlignment="1">
      <alignment horizontal="center" vertical="center"/>
    </xf>
    <xf numFmtId="0" fontId="42" fillId="0" borderId="26" xfId="0" applyFont="1" applyBorder="1" applyAlignment="1">
      <alignment horizontal="center" vertical="center" wrapText="1"/>
    </xf>
    <xf numFmtId="0" fontId="40" fillId="7" borderId="192" xfId="0" applyFont="1" applyFill="1" applyBorder="1" applyAlignment="1">
      <alignment horizontal="center" vertical="center" wrapText="1"/>
    </xf>
    <xf numFmtId="0" fontId="40" fillId="7" borderId="193" xfId="0" applyFont="1" applyFill="1" applyBorder="1" applyAlignment="1">
      <alignment horizontal="center" vertical="center" wrapText="1"/>
    </xf>
    <xf numFmtId="0" fontId="40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2" fillId="0" borderId="247" xfId="0" applyFont="1" applyBorder="1" applyAlignment="1">
      <alignment horizontal="center" vertical="center" wrapText="1"/>
    </xf>
    <xf numFmtId="0" fontId="46" fillId="0" borderId="247" xfId="0" applyFont="1" applyBorder="1" applyAlignment="1">
      <alignment horizontal="center" vertical="center" wrapText="1"/>
    </xf>
    <xf numFmtId="0" fontId="72" fillId="23" borderId="316" xfId="0" applyFont="1" applyFill="1" applyBorder="1" applyAlignment="1">
      <alignment horizontal="center" vertical="center" wrapText="1"/>
    </xf>
    <xf numFmtId="0" fontId="46" fillId="23" borderId="317" xfId="0" applyFont="1" applyFill="1" applyBorder="1" applyAlignment="1">
      <alignment horizontal="center" vertical="center" wrapText="1"/>
    </xf>
    <xf numFmtId="193" fontId="72" fillId="0" borderId="317" xfId="0" applyNumberFormat="1" applyFont="1" applyBorder="1" applyAlignment="1">
      <alignment horizontal="center" vertical="center" wrapText="1"/>
    </xf>
    <xf numFmtId="193" fontId="46" fillId="0" borderId="317" xfId="0" applyNumberFormat="1" applyFont="1" applyBorder="1" applyAlignment="1">
      <alignment horizontal="center" vertical="center" wrapText="1"/>
    </xf>
    <xf numFmtId="0" fontId="0" fillId="0" borderId="359" xfId="0" applyBorder="1" applyAlignment="1">
      <alignment horizontal="center" vertical="center"/>
    </xf>
    <xf numFmtId="0" fontId="72" fillId="0" borderId="359" xfId="0" applyFont="1" applyBorder="1" applyAlignment="1">
      <alignment horizontal="center" vertical="center" wrapText="1"/>
    </xf>
    <xf numFmtId="0" fontId="46" fillId="0" borderId="359" xfId="0" applyFont="1" applyBorder="1" applyAlignment="1">
      <alignment horizontal="center" vertical="center" wrapText="1"/>
    </xf>
    <xf numFmtId="0" fontId="72" fillId="23" borderId="360" xfId="0" applyFont="1" applyFill="1" applyBorder="1" applyAlignment="1">
      <alignment horizontal="center" vertical="center" wrapText="1"/>
    </xf>
    <xf numFmtId="0" fontId="46" fillId="23" borderId="361" xfId="0" applyFont="1" applyFill="1" applyBorder="1" applyAlignment="1">
      <alignment horizontal="center" vertical="center" wrapText="1"/>
    </xf>
    <xf numFmtId="194" fontId="72" fillId="0" borderId="360" xfId="2" applyNumberFormat="1" applyFont="1" applyBorder="1" applyAlignment="1">
      <alignment horizontal="center" vertical="center" wrapText="1"/>
    </xf>
    <xf numFmtId="196" fontId="72" fillId="0" borderId="359" xfId="2" applyNumberFormat="1" applyFont="1" applyBorder="1" applyAlignment="1">
      <alignment horizontal="center" vertical="center" wrapText="1"/>
    </xf>
    <xf numFmtId="193" fontId="72" fillId="0" borderId="361" xfId="0" applyNumberFormat="1" applyFont="1" applyBorder="1" applyAlignment="1">
      <alignment horizontal="center" vertical="center" wrapText="1"/>
    </xf>
    <xf numFmtId="194" fontId="46" fillId="0" borderId="362" xfId="2" applyNumberFormat="1" applyFont="1" applyBorder="1" applyAlignment="1">
      <alignment horizontal="center" vertical="center" wrapText="1"/>
    </xf>
    <xf numFmtId="196" fontId="46" fillId="0" borderId="359" xfId="2" applyNumberFormat="1" applyFont="1" applyBorder="1" applyAlignment="1">
      <alignment horizontal="center" vertical="center" wrapText="1"/>
    </xf>
    <xf numFmtId="193" fontId="46" fillId="0" borderId="361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2" fillId="0" borderId="246" xfId="0" applyFont="1" applyBorder="1" applyAlignment="1">
      <alignment horizontal="center" vertical="center" wrapText="1"/>
    </xf>
    <xf numFmtId="0" fontId="46" fillId="0" borderId="246" xfId="0" applyFont="1" applyBorder="1" applyAlignment="1">
      <alignment horizontal="center" vertical="center" wrapText="1"/>
    </xf>
    <xf numFmtId="0" fontId="72" fillId="23" borderId="311" xfId="0" applyFont="1" applyFill="1" applyBorder="1" applyAlignment="1">
      <alignment horizontal="center" vertical="center" wrapText="1"/>
    </xf>
    <xf numFmtId="0" fontId="46" fillId="23" borderId="314" xfId="0" applyFont="1" applyFill="1" applyBorder="1" applyAlignment="1">
      <alignment horizontal="center" vertical="center" wrapText="1"/>
    </xf>
    <xf numFmtId="193" fontId="72" fillId="0" borderId="314" xfId="0" applyNumberFormat="1" applyFont="1" applyBorder="1" applyAlignment="1">
      <alignment horizontal="center" vertical="center" wrapText="1"/>
    </xf>
    <xf numFmtId="193" fontId="46" fillId="0" borderId="314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2" fillId="0" borderId="248" xfId="0" applyFont="1" applyBorder="1" applyAlignment="1">
      <alignment horizontal="center" vertical="center" wrapText="1"/>
    </xf>
    <xf numFmtId="0" fontId="46" fillId="0" borderId="248" xfId="0" applyFont="1" applyBorder="1" applyAlignment="1">
      <alignment horizontal="center" vertical="center" wrapText="1"/>
    </xf>
    <xf numFmtId="0" fontId="72" fillId="23" borderId="363" xfId="0" applyFont="1" applyFill="1" applyBorder="1" applyAlignment="1">
      <alignment horizontal="center" vertical="center" wrapText="1"/>
    </xf>
    <xf numFmtId="0" fontId="46" fillId="23" borderId="364" xfId="0" applyFont="1" applyFill="1" applyBorder="1" applyAlignment="1">
      <alignment horizontal="center" vertical="center" wrapText="1"/>
    </xf>
    <xf numFmtId="194" fontId="72" fillId="0" borderId="363" xfId="2" applyNumberFormat="1" applyFont="1" applyBorder="1" applyAlignment="1">
      <alignment horizontal="center" vertical="center" wrapText="1"/>
    </xf>
    <xf numFmtId="196" fontId="72" fillId="0" borderId="248" xfId="2" applyNumberFormat="1" applyFont="1" applyBorder="1" applyAlignment="1">
      <alignment horizontal="center" vertical="center" wrapText="1"/>
    </xf>
    <xf numFmtId="193" fontId="72" fillId="0" borderId="364" xfId="0" applyNumberFormat="1" applyFont="1" applyBorder="1" applyAlignment="1">
      <alignment horizontal="center" vertical="center" wrapText="1"/>
    </xf>
    <xf numFmtId="194" fontId="46" fillId="0" borderId="365" xfId="2" applyNumberFormat="1" applyFont="1" applyBorder="1" applyAlignment="1">
      <alignment horizontal="center" vertical="center" wrapText="1"/>
    </xf>
    <xf numFmtId="196" fontId="46" fillId="0" borderId="248" xfId="2" applyNumberFormat="1" applyFont="1" applyBorder="1" applyAlignment="1">
      <alignment horizontal="center" vertical="center" wrapText="1"/>
    </xf>
    <xf numFmtId="193" fontId="46" fillId="0" borderId="364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2" fillId="0" borderId="245" xfId="0" applyFont="1" applyBorder="1" applyAlignment="1">
      <alignment horizontal="center" vertical="center" wrapText="1"/>
    </xf>
    <xf numFmtId="0" fontId="46" fillId="0" borderId="245" xfId="0" applyFont="1" applyBorder="1" applyAlignment="1">
      <alignment horizontal="center" vertical="center" wrapText="1"/>
    </xf>
    <xf numFmtId="0" fontId="72" fillId="23" borderId="308" xfId="0" applyFont="1" applyFill="1" applyBorder="1" applyAlignment="1">
      <alignment horizontal="center" vertical="center" wrapText="1"/>
    </xf>
    <xf numFmtId="0" fontId="46" fillId="23" borderId="309" xfId="0" applyFont="1" applyFill="1" applyBorder="1" applyAlignment="1">
      <alignment horizontal="center" vertical="center" wrapText="1"/>
    </xf>
    <xf numFmtId="193" fontId="72" fillId="0" borderId="309" xfId="0" applyNumberFormat="1" applyFont="1" applyBorder="1" applyAlignment="1">
      <alignment horizontal="center" vertical="center" wrapText="1"/>
    </xf>
    <xf numFmtId="193" fontId="46" fillId="0" borderId="309" xfId="0" applyNumberFormat="1" applyFont="1" applyBorder="1" applyAlignment="1">
      <alignment horizontal="center" vertical="center" wrapText="1"/>
    </xf>
    <xf numFmtId="0" fontId="72" fillId="23" borderId="76" xfId="0" applyFont="1" applyFill="1" applyBorder="1" applyAlignment="1">
      <alignment horizontal="center" vertical="center" wrapText="1"/>
    </xf>
    <xf numFmtId="0" fontId="46" fillId="23" borderId="78" xfId="0" applyFont="1" applyFill="1" applyBorder="1" applyAlignment="1">
      <alignment horizontal="center" vertical="center" wrapText="1"/>
    </xf>
    <xf numFmtId="194" fontId="72" fillId="0" borderId="76" xfId="2" applyNumberFormat="1" applyFont="1" applyBorder="1" applyAlignment="1">
      <alignment horizontal="center" vertical="center" wrapText="1"/>
    </xf>
    <xf numFmtId="196" fontId="72" fillId="0" borderId="77" xfId="2" applyNumberFormat="1" applyFont="1" applyBorder="1" applyAlignment="1">
      <alignment horizontal="center" vertical="center" wrapText="1"/>
    </xf>
    <xf numFmtId="193" fontId="72" fillId="0" borderId="78" xfId="0" applyNumberFormat="1" applyFont="1" applyBorder="1" applyAlignment="1">
      <alignment horizontal="center" vertical="center" wrapText="1"/>
    </xf>
    <xf numFmtId="194" fontId="46" fillId="0" borderId="80" xfId="2" applyNumberFormat="1" applyFont="1" applyBorder="1" applyAlignment="1">
      <alignment horizontal="center" vertical="center" wrapText="1"/>
    </xf>
    <xf numFmtId="196" fontId="46" fillId="0" borderId="77" xfId="2" applyNumberFormat="1" applyFont="1" applyBorder="1" applyAlignment="1">
      <alignment horizontal="center" vertical="center" wrapText="1"/>
    </xf>
    <xf numFmtId="193" fontId="46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2" fillId="0" borderId="71" xfId="0" applyNumberFormat="1" applyFont="1" applyBorder="1">
      <alignment vertical="center"/>
    </xf>
    <xf numFmtId="10" fontId="12" fillId="0" borderId="72" xfId="1" applyNumberFormat="1" applyFont="1" applyBorder="1">
      <alignment vertical="center"/>
    </xf>
    <xf numFmtId="179" fontId="12" fillId="0" borderId="115" xfId="0" applyNumberFormat="1" applyFont="1" applyBorder="1">
      <alignment vertical="center"/>
    </xf>
    <xf numFmtId="10" fontId="12" fillId="0" borderId="175" xfId="1" applyNumberFormat="1" applyFont="1" applyBorder="1">
      <alignment vertical="center"/>
    </xf>
    <xf numFmtId="0" fontId="24" fillId="0" borderId="279" xfId="0" applyFont="1" applyBorder="1" applyAlignment="1">
      <alignment horizontal="center" vertical="center"/>
    </xf>
    <xf numFmtId="0" fontId="24" fillId="12" borderId="6" xfId="0" applyFont="1" applyFill="1" applyBorder="1" applyAlignment="1">
      <alignment horizontal="center" vertical="center" wrapText="1"/>
    </xf>
    <xf numFmtId="0" fontId="45" fillId="12" borderId="6" xfId="0" applyFont="1" applyFill="1" applyBorder="1" applyAlignment="1">
      <alignment horizontal="center" vertical="center" wrapText="1"/>
    </xf>
    <xf numFmtId="0" fontId="24" fillId="0" borderId="0" xfId="0" quotePrefix="1" applyFont="1">
      <alignment vertical="center"/>
    </xf>
    <xf numFmtId="181" fontId="0" fillId="0" borderId="366" xfId="0" quotePrefix="1" applyNumberFormat="1" applyBorder="1" applyAlignment="1">
      <alignment horizontal="left" vertical="center"/>
    </xf>
    <xf numFmtId="185" fontId="55" fillId="23" borderId="177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>
      <alignment vertical="center"/>
    </xf>
    <xf numFmtId="0" fontId="41" fillId="0" borderId="20" xfId="0" applyFont="1" applyBorder="1" applyAlignment="1">
      <alignment horizontal="center" vertical="center" wrapText="1"/>
    </xf>
    <xf numFmtId="176" fontId="13" fillId="0" borderId="77" xfId="2" applyNumberFormat="1" applyFont="1" applyFill="1" applyBorder="1">
      <alignment vertical="center"/>
    </xf>
    <xf numFmtId="176" fontId="13" fillId="0" borderId="247" xfId="2" applyNumberFormat="1" applyFont="1" applyFill="1" applyBorder="1">
      <alignment vertical="center"/>
    </xf>
    <xf numFmtId="176" fontId="13" fillId="0" borderId="246" xfId="2" applyNumberFormat="1" applyFont="1" applyFill="1" applyBorder="1">
      <alignment vertical="center"/>
    </xf>
    <xf numFmtId="176" fontId="13" fillId="0" borderId="359" xfId="2" applyNumberFormat="1" applyFont="1" applyFill="1" applyBorder="1">
      <alignment vertical="center"/>
    </xf>
    <xf numFmtId="176" fontId="13" fillId="0" borderId="248" xfId="2" applyNumberFormat="1" applyFont="1" applyFill="1" applyBorder="1">
      <alignment vertical="center"/>
    </xf>
    <xf numFmtId="176" fontId="13" fillId="0" borderId="245" xfId="2" applyNumberFormat="1" applyFont="1" applyFill="1" applyBorder="1">
      <alignment vertical="center"/>
    </xf>
    <xf numFmtId="181" fontId="23" fillId="28" borderId="17" xfId="0" applyNumberFormat="1" applyFont="1" applyFill="1" applyBorder="1" applyAlignment="1">
      <alignment horizontal="center" vertical="center"/>
    </xf>
    <xf numFmtId="0" fontId="13" fillId="29" borderId="17" xfId="9" applyFont="1" applyFill="1" applyBorder="1" applyAlignment="1">
      <alignment horizontal="center" vertical="center" wrapText="1"/>
    </xf>
    <xf numFmtId="0" fontId="14" fillId="30" borderId="38" xfId="9" quotePrefix="1" applyFont="1" applyFill="1" applyBorder="1" applyAlignment="1">
      <alignment horizontal="center" vertical="center"/>
    </xf>
    <xf numFmtId="0" fontId="77" fillId="0" borderId="16" xfId="9" applyFont="1" applyBorder="1" applyAlignment="1">
      <alignment horizontal="center" vertical="center" wrapText="1"/>
    </xf>
    <xf numFmtId="181" fontId="40" fillId="0" borderId="39" xfId="0" applyNumberFormat="1" applyFont="1" applyBorder="1" applyAlignment="1">
      <alignment horizontal="center" vertical="center" wrapText="1"/>
    </xf>
    <xf numFmtId="181" fontId="12" fillId="30" borderId="38" xfId="0" applyNumberFormat="1" applyFont="1" applyFill="1" applyBorder="1" applyAlignment="1">
      <alignment horizontal="center" vertical="center"/>
    </xf>
    <xf numFmtId="181" fontId="77" fillId="0" borderId="17" xfId="0" applyNumberFormat="1" applyFont="1" applyBorder="1" applyAlignment="1">
      <alignment horizontal="center" vertical="center" wrapText="1"/>
    </xf>
    <xf numFmtId="181" fontId="40" fillId="30" borderId="37" xfId="0" quotePrefix="1" applyNumberFormat="1" applyFont="1" applyFill="1" applyBorder="1" applyAlignment="1">
      <alignment horizontal="center" vertical="center"/>
    </xf>
    <xf numFmtId="0" fontId="94" fillId="0" borderId="6" xfId="0" applyFont="1" applyBorder="1" applyAlignment="1">
      <alignment horizontal="center" vertical="center" wrapText="1"/>
    </xf>
    <xf numFmtId="0" fontId="94" fillId="0" borderId="77" xfId="0" applyFont="1" applyBorder="1" applyAlignment="1">
      <alignment horizontal="center" vertical="center" wrapText="1"/>
    </xf>
    <xf numFmtId="181" fontId="32" fillId="0" borderId="367" xfId="0" applyNumberFormat="1" applyFont="1" applyBorder="1" applyAlignment="1">
      <alignment horizontal="center" vertical="center"/>
    </xf>
    <xf numFmtId="181" fontId="95" fillId="0" borderId="11" xfId="0" applyNumberFormat="1" applyFont="1" applyBorder="1" applyAlignment="1">
      <alignment horizontal="center" vertical="center"/>
    </xf>
    <xf numFmtId="0" fontId="55" fillId="0" borderId="97" xfId="0" applyFont="1" applyBorder="1" applyAlignment="1">
      <alignment horizontal="center" vertical="center" wrapText="1"/>
    </xf>
    <xf numFmtId="0" fontId="64" fillId="0" borderId="97" xfId="0" applyFont="1" applyBorder="1" applyAlignment="1">
      <alignment horizontal="center" vertical="center"/>
    </xf>
    <xf numFmtId="0" fontId="89" fillId="0" borderId="348" xfId="0" applyFont="1" applyBorder="1" applyAlignment="1">
      <alignment horizontal="center" vertical="center" wrapText="1"/>
    </xf>
    <xf numFmtId="194" fontId="57" fillId="0" borderId="347" xfId="2" applyNumberFormat="1" applyFont="1" applyBorder="1" applyAlignment="1" applyProtection="1">
      <alignment horizontal="center" vertical="center" wrapText="1"/>
    </xf>
    <xf numFmtId="196" fontId="57" fillId="0" borderId="97" xfId="2" applyNumberFormat="1" applyFont="1" applyBorder="1" applyAlignment="1" applyProtection="1">
      <alignment horizontal="center" vertical="center" wrapText="1"/>
    </xf>
    <xf numFmtId="194" fontId="89" fillId="0" borderId="151" xfId="2" applyNumberFormat="1" applyFont="1" applyBorder="1" applyAlignment="1" applyProtection="1">
      <alignment horizontal="center" vertical="center" wrapText="1"/>
    </xf>
    <xf numFmtId="196" fontId="89" fillId="0" borderId="97" xfId="2" applyNumberFormat="1" applyFont="1" applyBorder="1" applyAlignment="1" applyProtection="1">
      <alignment horizontal="center" vertical="center" wrapText="1"/>
    </xf>
    <xf numFmtId="0" fontId="89" fillId="0" borderId="97" xfId="0" applyFont="1" applyBorder="1" applyAlignment="1">
      <alignment horizontal="center" vertical="center" wrapText="1"/>
    </xf>
    <xf numFmtId="193" fontId="89" fillId="0" borderId="348" xfId="0" applyNumberFormat="1" applyFont="1" applyBorder="1" applyAlignment="1">
      <alignment horizontal="center" vertical="center" wrapText="1"/>
    </xf>
    <xf numFmtId="0" fontId="97" fillId="0" borderId="97" xfId="0" applyFont="1" applyBorder="1" applyAlignment="1">
      <alignment horizontal="center" vertical="center"/>
    </xf>
    <xf numFmtId="0" fontId="55" fillId="0" borderId="71" xfId="0" applyFont="1" applyBorder="1" applyAlignment="1">
      <alignment horizontal="center" vertical="center" wrapText="1"/>
    </xf>
    <xf numFmtId="0" fontId="89" fillId="0" borderId="74" xfId="0" applyFont="1" applyBorder="1" applyAlignment="1">
      <alignment horizontal="center" vertical="center" wrapText="1"/>
    </xf>
    <xf numFmtId="194" fontId="57" fillId="0" borderId="70" xfId="2" applyNumberFormat="1" applyFont="1" applyBorder="1" applyAlignment="1" applyProtection="1">
      <alignment horizontal="center" vertical="center" wrapText="1"/>
    </xf>
    <xf numFmtId="196" fontId="57" fillId="0" borderId="71" xfId="2" applyNumberFormat="1" applyFont="1" applyBorder="1" applyAlignment="1" applyProtection="1">
      <alignment horizontal="center" vertical="center" wrapText="1"/>
    </xf>
    <xf numFmtId="194" fontId="89" fillId="0" borderId="73" xfId="2" applyNumberFormat="1" applyFont="1" applyBorder="1" applyAlignment="1" applyProtection="1">
      <alignment horizontal="center" vertical="center" wrapText="1"/>
    </xf>
    <xf numFmtId="196" fontId="89" fillId="0" borderId="71" xfId="2" applyNumberFormat="1" applyFont="1" applyBorder="1" applyAlignment="1" applyProtection="1">
      <alignment horizontal="center" vertical="center" wrapText="1"/>
    </xf>
    <xf numFmtId="0" fontId="89" fillId="0" borderId="71" xfId="0" applyFont="1" applyBorder="1" applyAlignment="1">
      <alignment horizontal="center" vertical="center" wrapText="1"/>
    </xf>
    <xf numFmtId="193" fontId="89" fillId="0" borderId="74" xfId="0" applyNumberFormat="1" applyFont="1" applyBorder="1" applyAlignment="1">
      <alignment horizontal="center" vertical="center" wrapText="1"/>
    </xf>
    <xf numFmtId="0" fontId="89" fillId="11" borderId="71" xfId="0" applyFont="1" applyFill="1" applyBorder="1" applyAlignment="1">
      <alignment horizontal="center" vertical="center" wrapText="1"/>
    </xf>
    <xf numFmtId="184" fontId="57" fillId="7" borderId="71" xfId="2" applyNumberFormat="1" applyFont="1" applyFill="1" applyBorder="1" applyAlignment="1" applyProtection="1">
      <alignment horizontal="center" vertical="center"/>
    </xf>
    <xf numFmtId="0" fontId="63" fillId="0" borderId="98" xfId="0" quotePrefix="1" applyFont="1" applyBorder="1" applyAlignment="1">
      <alignment horizontal="left" vertical="center"/>
    </xf>
    <xf numFmtId="0" fontId="55" fillId="30" borderId="97" xfId="0" applyFont="1" applyFill="1" applyBorder="1" applyAlignment="1">
      <alignment horizontal="center" vertical="center"/>
    </xf>
    <xf numFmtId="0" fontId="55" fillId="30" borderId="96" xfId="0" applyFont="1" applyFill="1" applyBorder="1" applyAlignment="1">
      <alignment horizontal="center" vertical="center"/>
    </xf>
    <xf numFmtId="0" fontId="55" fillId="30" borderId="151" xfId="0" applyFont="1" applyFill="1" applyBorder="1" applyAlignment="1">
      <alignment horizontal="center" vertical="center"/>
    </xf>
    <xf numFmtId="0" fontId="57" fillId="30" borderId="97" xfId="0" applyFont="1" applyFill="1" applyBorder="1" applyAlignment="1">
      <alignment horizontal="center" vertical="center"/>
    </xf>
    <xf numFmtId="0" fontId="57" fillId="0" borderId="368" xfId="0" applyFont="1" applyBorder="1" applyAlignment="1">
      <alignment horizontal="center" vertical="center" wrapText="1"/>
    </xf>
    <xf numFmtId="194" fontId="57" fillId="0" borderId="368" xfId="2" applyNumberFormat="1" applyFont="1" applyFill="1" applyBorder="1" applyAlignment="1">
      <alignment horizontal="center" vertical="center" wrapText="1"/>
    </xf>
    <xf numFmtId="196" fontId="57" fillId="0" borderId="369" xfId="2" applyNumberFormat="1" applyFont="1" applyFill="1" applyBorder="1" applyAlignment="1">
      <alignment horizontal="center" vertical="center" wrapText="1"/>
    </xf>
    <xf numFmtId="0" fontId="57" fillId="0" borderId="369" xfId="0" applyFont="1" applyBorder="1" applyAlignment="1">
      <alignment horizontal="center" vertical="center" wrapText="1"/>
    </xf>
    <xf numFmtId="193" fontId="57" fillId="0" borderId="370" xfId="0" applyNumberFormat="1" applyFont="1" applyBorder="1" applyAlignment="1">
      <alignment horizontal="center" vertical="center" wrapText="1"/>
    </xf>
    <xf numFmtId="0" fontId="55" fillId="0" borderId="369" xfId="0" applyFont="1" applyBorder="1" applyAlignment="1">
      <alignment horizontal="center" vertical="center" wrapText="1"/>
    </xf>
    <xf numFmtId="184" fontId="57" fillId="6" borderId="369" xfId="2" applyNumberFormat="1" applyFont="1" applyFill="1" applyBorder="1" applyAlignment="1" applyProtection="1">
      <alignment horizontal="center" vertical="center"/>
    </xf>
    <xf numFmtId="0" fontId="55" fillId="30" borderId="100" xfId="0" applyFont="1" applyFill="1" applyBorder="1" applyAlignment="1">
      <alignment horizontal="center" vertical="center"/>
    </xf>
    <xf numFmtId="0" fontId="55" fillId="30" borderId="178" xfId="0" applyFont="1" applyFill="1" applyBorder="1" applyAlignment="1">
      <alignment horizontal="center" vertical="center"/>
    </xf>
    <xf numFmtId="0" fontId="57" fillId="30" borderId="101" xfId="0" applyFont="1" applyFill="1" applyBorder="1" applyAlignment="1">
      <alignment horizontal="center" vertical="center"/>
    </xf>
    <xf numFmtId="0" fontId="57" fillId="0" borderId="281" xfId="0" applyFont="1" applyBorder="1" applyAlignment="1">
      <alignment horizontal="center" vertical="center" wrapText="1"/>
    </xf>
    <xf numFmtId="194" fontId="57" fillId="0" borderId="281" xfId="2" applyNumberFormat="1" applyFont="1" applyFill="1" applyBorder="1" applyAlignment="1">
      <alignment horizontal="center" vertical="center" wrapText="1"/>
    </xf>
    <xf numFmtId="0" fontId="57" fillId="0" borderId="215" xfId="0" applyFont="1" applyBorder="1" applyAlignment="1">
      <alignment horizontal="center" vertical="center" wrapText="1"/>
    </xf>
    <xf numFmtId="193" fontId="57" fillId="0" borderId="371" xfId="0" applyNumberFormat="1" applyFont="1" applyBorder="1" applyAlignment="1">
      <alignment horizontal="center" vertical="center" wrapText="1"/>
    </xf>
    <xf numFmtId="194" fontId="56" fillId="0" borderId="178" xfId="2" applyNumberFormat="1" applyFont="1" applyFill="1" applyBorder="1" applyAlignment="1">
      <alignment horizontal="center" vertical="center" wrapText="1"/>
    </xf>
    <xf numFmtId="184" fontId="57" fillId="6" borderId="215" xfId="2" applyNumberFormat="1" applyFont="1" applyFill="1" applyBorder="1" applyAlignment="1" applyProtection="1">
      <alignment horizontal="center" vertical="center"/>
    </xf>
    <xf numFmtId="0" fontId="55" fillId="30" borderId="91" xfId="0" applyFont="1" applyFill="1" applyBorder="1" applyAlignment="1">
      <alignment horizontal="center" vertical="center"/>
    </xf>
    <xf numFmtId="0" fontId="55" fillId="30" borderId="73" xfId="0" applyFont="1" applyFill="1" applyBorder="1" applyAlignment="1">
      <alignment horizontal="center" vertical="center"/>
    </xf>
    <xf numFmtId="0" fontId="57" fillId="30" borderId="71" xfId="0" applyFont="1" applyFill="1" applyBorder="1" applyAlignment="1">
      <alignment horizontal="center" vertical="center"/>
    </xf>
    <xf numFmtId="0" fontId="40" fillId="0" borderId="372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4" fillId="0" borderId="238" xfId="0" applyFont="1" applyBorder="1" applyAlignment="1">
      <alignment horizontal="center" vertical="center" wrapText="1"/>
    </xf>
    <xf numFmtId="0" fontId="23" fillId="23" borderId="238" xfId="0" applyFont="1" applyFill="1" applyBorder="1" applyAlignment="1">
      <alignment horizontal="center" vertical="center" wrapText="1"/>
    </xf>
    <xf numFmtId="0" fontId="12" fillId="23" borderId="239" xfId="0" applyFont="1" applyFill="1" applyBorder="1" applyAlignment="1">
      <alignment horizontal="center" vertical="center" wrapText="1"/>
    </xf>
    <xf numFmtId="194" fontId="24" fillId="0" borderId="238" xfId="2" applyNumberFormat="1" applyFont="1" applyBorder="1" applyAlignment="1">
      <alignment horizontal="center" vertical="center" wrapText="1"/>
    </xf>
    <xf numFmtId="196" fontId="24" fillId="0" borderId="238" xfId="2" applyNumberFormat="1" applyFont="1" applyBorder="1" applyAlignment="1">
      <alignment horizontal="center" vertical="center" wrapText="1"/>
    </xf>
    <xf numFmtId="193" fontId="24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6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 wrapText="1"/>
    </xf>
    <xf numFmtId="0" fontId="72" fillId="23" borderId="363" xfId="9" applyFont="1" applyFill="1" applyBorder="1" applyAlignment="1">
      <alignment horizontal="center" vertical="center" wrapText="1"/>
    </xf>
    <xf numFmtId="0" fontId="46" fillId="23" borderId="364" xfId="9" applyFont="1" applyFill="1" applyBorder="1" applyAlignment="1">
      <alignment horizontal="center" vertical="center" wrapText="1"/>
    </xf>
    <xf numFmtId="193" fontId="72" fillId="0" borderId="364" xfId="9" applyNumberFormat="1" applyFont="1" applyBorder="1" applyAlignment="1">
      <alignment horizontal="center" vertical="center" wrapText="1"/>
    </xf>
    <xf numFmtId="193" fontId="46" fillId="0" borderId="364" xfId="9" applyNumberFormat="1" applyFont="1" applyBorder="1" applyAlignment="1">
      <alignment horizontal="center" vertical="center" wrapText="1"/>
    </xf>
    <xf numFmtId="0" fontId="72" fillId="0" borderId="136" xfId="9" applyFont="1" applyBorder="1" applyAlignment="1">
      <alignment horizontal="center" vertical="center"/>
    </xf>
    <xf numFmtId="0" fontId="84" fillId="0" borderId="136" xfId="9" applyFont="1" applyBorder="1" applyAlignment="1">
      <alignment horizontal="center" vertical="center" wrapText="1"/>
    </xf>
    <xf numFmtId="0" fontId="12" fillId="0" borderId="41" xfId="0" applyFont="1" applyBorder="1" applyAlignment="1">
      <alignment horizontal="center" vertical="center"/>
    </xf>
    <xf numFmtId="0" fontId="41" fillId="0" borderId="10" xfId="9" applyFont="1" applyBorder="1" applyAlignment="1">
      <alignment horizontal="center" vertical="center" wrapText="1"/>
    </xf>
    <xf numFmtId="0" fontId="41" fillId="0" borderId="67" xfId="9" applyFont="1" applyBorder="1" applyAlignment="1">
      <alignment horizontal="center" vertical="center" wrapText="1"/>
    </xf>
    <xf numFmtId="0" fontId="0" fillId="0" borderId="374" xfId="0" applyBorder="1" applyAlignment="1">
      <alignment horizontal="center" vertical="center" wrapText="1"/>
    </xf>
    <xf numFmtId="181" fontId="12" fillId="32" borderId="34" xfId="0" applyNumberFormat="1" applyFont="1" applyFill="1" applyBorder="1" applyAlignment="1">
      <alignment horizontal="center" vertical="center"/>
    </xf>
    <xf numFmtId="181" fontId="12" fillId="32" borderId="127" xfId="0" applyNumberFormat="1" applyFont="1" applyFill="1" applyBorder="1" applyAlignment="1">
      <alignment horizontal="center" vertical="center"/>
    </xf>
    <xf numFmtId="181" fontId="12" fillId="32" borderId="37" xfId="0" applyNumberFormat="1" applyFont="1" applyFill="1" applyBorder="1" applyAlignment="1">
      <alignment horizontal="center" vertical="center"/>
    </xf>
    <xf numFmtId="181" fontId="12" fillId="32" borderId="128" xfId="0" applyNumberFormat="1" applyFont="1" applyFill="1" applyBorder="1" applyAlignment="1">
      <alignment horizontal="center" vertical="center"/>
    </xf>
    <xf numFmtId="181" fontId="12" fillId="32" borderId="38" xfId="0" quotePrefix="1" applyNumberFormat="1" applyFont="1" applyFill="1" applyBorder="1" applyAlignment="1">
      <alignment horizontal="center" vertical="center"/>
    </xf>
    <xf numFmtId="181" fontId="10" fillId="33" borderId="11" xfId="0" applyNumberFormat="1" applyFont="1" applyFill="1" applyBorder="1" applyAlignment="1">
      <alignment horizontal="center" vertical="center"/>
    </xf>
    <xf numFmtId="181" fontId="10" fillId="33" borderId="15" xfId="0" applyNumberFormat="1" applyFont="1" applyFill="1" applyBorder="1" applyAlignment="1">
      <alignment horizontal="center" vertical="center"/>
    </xf>
    <xf numFmtId="181" fontId="10" fillId="33" borderId="15" xfId="0" applyNumberFormat="1" applyFont="1" applyFill="1" applyBorder="1" applyAlignment="1">
      <alignment horizontal="center" vertical="center" wrapText="1"/>
    </xf>
    <xf numFmtId="181" fontId="13" fillId="7" borderId="377" xfId="0" applyNumberFormat="1" applyFont="1" applyFill="1" applyBorder="1" applyAlignment="1">
      <alignment horizontal="center" vertical="center"/>
    </xf>
    <xf numFmtId="181" fontId="13" fillId="7" borderId="378" xfId="0" applyNumberFormat="1" applyFont="1" applyFill="1" applyBorder="1" applyAlignment="1">
      <alignment horizontal="center" vertical="center"/>
    </xf>
    <xf numFmtId="181" fontId="13" fillId="7" borderId="379" xfId="0" applyNumberFormat="1" applyFont="1" applyFill="1" applyBorder="1" applyAlignment="1">
      <alignment horizontal="center" vertical="center"/>
    </xf>
    <xf numFmtId="181" fontId="96" fillId="7" borderId="13" xfId="0" applyNumberFormat="1" applyFont="1" applyFill="1" applyBorder="1" applyAlignment="1">
      <alignment horizontal="center" vertical="center" wrapText="1"/>
    </xf>
    <xf numFmtId="181" fontId="96" fillId="7" borderId="16" xfId="0" applyNumberFormat="1" applyFont="1" applyFill="1" applyBorder="1" applyAlignment="1">
      <alignment horizontal="center" vertical="center" wrapText="1"/>
    </xf>
    <xf numFmtId="181" fontId="93" fillId="7" borderId="13" xfId="0" applyNumberFormat="1" applyFont="1" applyFill="1" applyBorder="1" applyAlignment="1">
      <alignment horizontal="center" vertical="center" wrapText="1"/>
    </xf>
    <xf numFmtId="181" fontId="93" fillId="7" borderId="16" xfId="0" applyNumberFormat="1" applyFont="1" applyFill="1" applyBorder="1" applyAlignment="1">
      <alignment horizontal="center" vertical="center" wrapText="1"/>
    </xf>
    <xf numFmtId="0" fontId="72" fillId="0" borderId="102" xfId="9" applyFont="1" applyBorder="1" applyAlignment="1">
      <alignment horizontal="center" vertical="center" wrapText="1"/>
    </xf>
    <xf numFmtId="0" fontId="46" fillId="0" borderId="102" xfId="9" applyFont="1" applyBorder="1" applyAlignment="1">
      <alignment horizontal="center" vertical="center" wrapText="1"/>
    </xf>
    <xf numFmtId="0" fontId="72" fillId="23" borderId="329" xfId="9" applyFont="1" applyFill="1" applyBorder="1" applyAlignment="1">
      <alignment horizontal="center" vertical="center" wrapText="1"/>
    </xf>
    <xf numFmtId="0" fontId="72" fillId="0" borderId="329" xfId="9" applyFont="1" applyBorder="1" applyAlignment="1">
      <alignment horizontal="center" vertical="center" wrapText="1"/>
    </xf>
    <xf numFmtId="196" fontId="72" fillId="0" borderId="102" xfId="2" applyNumberFormat="1" applyFont="1" applyBorder="1" applyAlignment="1">
      <alignment horizontal="center" vertical="center" wrapText="1"/>
    </xf>
    <xf numFmtId="193" fontId="72" fillId="0" borderId="330" xfId="9" applyNumberFormat="1" applyFont="1" applyBorder="1" applyAlignment="1">
      <alignment horizontal="center" vertical="center" wrapText="1"/>
    </xf>
    <xf numFmtId="194" fontId="46" fillId="4" borderId="227" xfId="2" applyNumberFormat="1" applyFont="1" applyFill="1" applyBorder="1" applyAlignment="1">
      <alignment horizontal="center" vertical="center" wrapText="1"/>
    </xf>
    <xf numFmtId="196" fontId="46" fillId="0" borderId="102" xfId="2" applyNumberFormat="1" applyFont="1" applyBorder="1" applyAlignment="1">
      <alignment horizontal="center" vertical="center" wrapText="1"/>
    </xf>
    <xf numFmtId="193" fontId="46" fillId="0" borderId="330" xfId="9" applyNumberFormat="1" applyFont="1" applyBorder="1" applyAlignment="1">
      <alignment horizontal="center" vertical="center" wrapText="1"/>
    </xf>
    <xf numFmtId="0" fontId="72" fillId="0" borderId="102" xfId="9" applyFont="1" applyBorder="1" applyAlignment="1">
      <alignment horizontal="center" vertical="center"/>
    </xf>
    <xf numFmtId="0" fontId="46" fillId="0" borderId="102" xfId="9" applyFont="1" applyBorder="1" applyAlignment="1">
      <alignment horizontal="center" vertical="center"/>
    </xf>
    <xf numFmtId="0" fontId="85" fillId="0" borderId="102" xfId="9" applyFont="1" applyBorder="1" applyAlignment="1">
      <alignment horizontal="center" vertical="center" wrapText="1"/>
    </xf>
    <xf numFmtId="0" fontId="70" fillId="0" borderId="102" xfId="9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176" fontId="13" fillId="0" borderId="102" xfId="10" applyNumberFormat="1" applyFont="1" applyBorder="1">
      <alignment vertical="center"/>
    </xf>
    <xf numFmtId="181" fontId="23" fillId="0" borderId="15" xfId="0" applyNumberFormat="1" applyFont="1" applyBorder="1" applyAlignment="1">
      <alignment horizontal="center" vertical="center"/>
    </xf>
    <xf numFmtId="181" fontId="44" fillId="0" borderId="51" xfId="0" quotePrefix="1" applyNumberFormat="1" applyFont="1" applyBorder="1" applyAlignment="1">
      <alignment horizontal="center" vertical="center"/>
    </xf>
    <xf numFmtId="181" fontId="44" fillId="0" borderId="38" xfId="0" applyNumberFormat="1" applyFont="1" applyBorder="1" applyAlignment="1">
      <alignment horizontal="center" vertical="center"/>
    </xf>
    <xf numFmtId="0" fontId="3" fillId="0" borderId="0" xfId="9" applyFont="1" applyAlignment="1">
      <alignment horizontal="center" vertical="center"/>
    </xf>
    <xf numFmtId="0" fontId="3" fillId="0" borderId="170" xfId="9" applyFont="1" applyBorder="1" applyAlignment="1">
      <alignment horizontal="left" vertical="center"/>
    </xf>
    <xf numFmtId="0" fontId="3" fillId="0" borderId="30" xfId="9" applyFont="1" applyBorder="1" applyAlignment="1">
      <alignment horizontal="left" vertical="center"/>
    </xf>
    <xf numFmtId="0" fontId="3" fillId="0" borderId="0" xfId="9" applyFont="1">
      <alignment vertical="center"/>
    </xf>
    <xf numFmtId="0" fontId="3" fillId="12" borderId="170" xfId="9" applyFont="1" applyFill="1" applyBorder="1" applyAlignment="1">
      <alignment horizontal="left" vertical="center"/>
    </xf>
    <xf numFmtId="0" fontId="3" fillId="12" borderId="30" xfId="9" applyFont="1" applyFill="1" applyBorder="1" applyAlignment="1">
      <alignment horizontal="left" vertical="center"/>
    </xf>
    <xf numFmtId="0" fontId="3" fillId="0" borderId="15" xfId="9" applyFont="1" applyBorder="1" applyAlignment="1">
      <alignment horizontal="center" vertical="center"/>
    </xf>
    <xf numFmtId="0" fontId="3" fillId="0" borderId="23" xfId="9" applyFont="1" applyBorder="1">
      <alignment vertical="center"/>
    </xf>
    <xf numFmtId="0" fontId="3" fillId="0" borderId="11" xfId="9" applyFont="1" applyBorder="1" applyAlignment="1">
      <alignment horizontal="center" vertical="center"/>
    </xf>
    <xf numFmtId="0" fontId="3" fillId="0" borderId="165" xfId="9" applyFont="1" applyBorder="1" applyAlignment="1">
      <alignment horizontal="center" vertical="center"/>
    </xf>
    <xf numFmtId="0" fontId="3" fillId="0" borderId="30" xfId="9" applyFont="1" applyBorder="1" applyAlignment="1">
      <alignment horizontal="center" vertical="center"/>
    </xf>
    <xf numFmtId="0" fontId="3" fillId="0" borderId="167" xfId="9" applyFont="1" applyBorder="1" applyAlignment="1">
      <alignment horizontal="center" vertical="center"/>
    </xf>
    <xf numFmtId="0" fontId="3" fillId="0" borderId="12" xfId="9" applyFont="1" applyBorder="1" applyAlignment="1">
      <alignment horizontal="center" vertical="center"/>
    </xf>
    <xf numFmtId="0" fontId="3" fillId="0" borderId="170" xfId="9" applyFont="1" applyBorder="1" applyAlignment="1">
      <alignment horizontal="center" vertical="center"/>
    </xf>
    <xf numFmtId="0" fontId="3" fillId="0" borderId="36" xfId="9" applyFont="1" applyBorder="1" applyAlignment="1">
      <alignment horizontal="center" vertical="center"/>
    </xf>
    <xf numFmtId="179" fontId="3" fillId="0" borderId="0" xfId="9" applyNumberFormat="1" applyFont="1">
      <alignment vertical="center"/>
    </xf>
    <xf numFmtId="0" fontId="3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0" fontId="0" fillId="9" borderId="0" xfId="0" applyFill="1">
      <alignment vertical="center"/>
    </xf>
    <xf numFmtId="186" fontId="55" fillId="0" borderId="0" xfId="0" applyNumberFormat="1" applyFont="1" applyAlignment="1">
      <alignment horizontal="center" vertical="center"/>
    </xf>
    <xf numFmtId="10" fontId="13" fillId="0" borderId="0" xfId="1" applyNumberFormat="1" applyFont="1">
      <alignment vertical="center"/>
    </xf>
    <xf numFmtId="181" fontId="41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8" fontId="0" fillId="4" borderId="77" xfId="2" applyNumberFormat="1" applyFont="1" applyFill="1" applyBorder="1">
      <alignment vertical="center"/>
    </xf>
    <xf numFmtId="198" fontId="0" fillId="4" borderId="6" xfId="2" applyNumberFormat="1" applyFont="1" applyFill="1" applyBorder="1">
      <alignment vertical="center"/>
    </xf>
    <xf numFmtId="43" fontId="9" fillId="0" borderId="0" xfId="9" applyNumberFormat="1">
      <alignment vertical="center"/>
    </xf>
    <xf numFmtId="177" fontId="0" fillId="0" borderId="0" xfId="0" applyNumberFormat="1">
      <alignment vertical="center"/>
    </xf>
    <xf numFmtId="0" fontId="45" fillId="0" borderId="135" xfId="0" quotePrefix="1" applyFont="1" applyBorder="1" applyAlignment="1">
      <alignment horizontal="center" vertical="center"/>
    </xf>
    <xf numFmtId="0" fontId="45" fillId="0" borderId="6" xfId="0" quotePrefix="1" applyFont="1" applyBorder="1" applyAlignment="1">
      <alignment horizontal="center" vertical="center"/>
    </xf>
    <xf numFmtId="0" fontId="23" fillId="0" borderId="6" xfId="0" quotePrefix="1" applyFont="1" applyBorder="1" applyAlignment="1">
      <alignment horizontal="center" vertical="center"/>
    </xf>
    <xf numFmtId="0" fontId="98" fillId="0" borderId="0" xfId="0" applyFont="1">
      <alignment vertical="center"/>
    </xf>
    <xf numFmtId="0" fontId="99" fillId="23" borderId="15" xfId="0" applyFont="1" applyFill="1" applyBorder="1" applyAlignment="1">
      <alignment horizontal="center" vertical="center"/>
    </xf>
    <xf numFmtId="0" fontId="99" fillId="0" borderId="15" xfId="0" applyFont="1" applyBorder="1" applyAlignment="1">
      <alignment horizontal="center" vertical="center"/>
    </xf>
    <xf numFmtId="0" fontId="99" fillId="23" borderId="47" xfId="0" applyFont="1" applyFill="1" applyBorder="1" applyAlignment="1">
      <alignment horizontal="center" vertical="center"/>
    </xf>
    <xf numFmtId="0" fontId="99" fillId="0" borderId="41" xfId="0" applyFont="1" applyBorder="1" applyAlignment="1">
      <alignment horizontal="center" vertical="center"/>
    </xf>
    <xf numFmtId="0" fontId="99" fillId="0" borderId="25" xfId="0" applyFont="1" applyBorder="1" applyAlignment="1">
      <alignment horizontal="center" vertical="center"/>
    </xf>
    <xf numFmtId="0" fontId="99" fillId="0" borderId="47" xfId="0" applyFont="1" applyBorder="1" applyAlignment="1">
      <alignment horizontal="center" vertical="center"/>
    </xf>
    <xf numFmtId="0" fontId="72" fillId="0" borderId="140" xfId="0" quotePrefix="1" applyFont="1" applyBorder="1" applyAlignment="1">
      <alignment horizontal="center" vertical="center" wrapText="1"/>
    </xf>
    <xf numFmtId="0" fontId="72" fillId="0" borderId="135" xfId="0" quotePrefix="1" applyFont="1" applyBorder="1" applyAlignment="1">
      <alignment horizontal="center" vertical="center" wrapText="1"/>
    </xf>
    <xf numFmtId="0" fontId="72" fillId="0" borderId="6" xfId="0" quotePrefix="1" applyFont="1" applyBorder="1" applyAlignment="1">
      <alignment horizontal="center" vertical="center" wrapText="1"/>
    </xf>
    <xf numFmtId="0" fontId="72" fillId="0" borderId="136" xfId="0" quotePrefix="1" applyFont="1" applyBorder="1" applyAlignment="1">
      <alignment horizontal="center" vertical="center" wrapText="1"/>
    </xf>
    <xf numFmtId="0" fontId="72" fillId="5" borderId="135" xfId="0" quotePrefix="1" applyFont="1" applyFill="1" applyBorder="1" applyAlignment="1">
      <alignment horizontal="center" vertical="center" wrapText="1"/>
    </xf>
    <xf numFmtId="0" fontId="72" fillId="5" borderId="6" xfId="0" quotePrefix="1" applyFont="1" applyFill="1" applyBorder="1" applyAlignment="1">
      <alignment horizontal="center" vertical="center" wrapText="1"/>
    </xf>
    <xf numFmtId="0" fontId="72" fillId="5" borderId="136" xfId="0" quotePrefix="1" applyFont="1" applyFill="1" applyBorder="1" applyAlignment="1">
      <alignment horizontal="center" vertical="center" wrapText="1"/>
    </xf>
    <xf numFmtId="0" fontId="72" fillId="0" borderId="245" xfId="9" quotePrefix="1" applyFont="1" applyBorder="1" applyAlignment="1">
      <alignment horizontal="center" vertical="center" wrapText="1"/>
    </xf>
    <xf numFmtId="0" fontId="72" fillId="0" borderId="246" xfId="9" quotePrefix="1" applyFont="1" applyBorder="1" applyAlignment="1">
      <alignment horizontal="center" vertical="center" wrapText="1"/>
    </xf>
    <xf numFmtId="0" fontId="72" fillId="0" borderId="247" xfId="9" quotePrefix="1" applyFont="1" applyBorder="1" applyAlignment="1">
      <alignment horizontal="center" vertical="center" wrapText="1"/>
    </xf>
    <xf numFmtId="0" fontId="72" fillId="0" borderId="249" xfId="9" quotePrefix="1" applyFont="1" applyBorder="1" applyAlignment="1">
      <alignment horizontal="center" vertical="center" wrapText="1"/>
    </xf>
    <xf numFmtId="0" fontId="72" fillId="0" borderId="250" xfId="9" quotePrefix="1" applyFont="1" applyBorder="1" applyAlignment="1">
      <alignment horizontal="center" vertical="center" wrapText="1"/>
    </xf>
    <xf numFmtId="0" fontId="72" fillId="0" borderId="325" xfId="9" quotePrefix="1" applyFont="1" applyBorder="1" applyAlignment="1">
      <alignment horizontal="center" vertical="center" wrapText="1"/>
    </xf>
    <xf numFmtId="0" fontId="72" fillId="0" borderId="247" xfId="0" quotePrefix="1" applyFont="1" applyBorder="1" applyAlignment="1">
      <alignment horizontal="center" vertical="center" wrapText="1"/>
    </xf>
    <xf numFmtId="0" fontId="72" fillId="0" borderId="359" xfId="0" quotePrefix="1" applyFont="1" applyBorder="1" applyAlignment="1">
      <alignment horizontal="center" vertical="center" wrapText="1"/>
    </xf>
    <xf numFmtId="0" fontId="72" fillId="0" borderId="246" xfId="0" quotePrefix="1" applyFont="1" applyBorder="1" applyAlignment="1">
      <alignment horizontal="center" vertical="center" wrapText="1"/>
    </xf>
    <xf numFmtId="0" fontId="72" fillId="0" borderId="248" xfId="0" quotePrefix="1" applyFont="1" applyBorder="1" applyAlignment="1">
      <alignment horizontal="center" vertical="center" wrapText="1"/>
    </xf>
    <xf numFmtId="0" fontId="72" fillId="0" borderId="245" xfId="0" quotePrefix="1" applyFont="1" applyBorder="1" applyAlignment="1">
      <alignment horizontal="center" vertical="center" wrapText="1"/>
    </xf>
    <xf numFmtId="0" fontId="72" fillId="0" borderId="77" xfId="0" quotePrefix="1" applyFont="1" applyBorder="1" applyAlignment="1">
      <alignment horizontal="center" vertical="center" wrapText="1"/>
    </xf>
    <xf numFmtId="0" fontId="72" fillId="0" borderId="6" xfId="0" quotePrefix="1" applyFont="1" applyBorder="1" applyAlignment="1">
      <alignment horizontal="center" vertical="center" wrapText="1" readingOrder="1"/>
    </xf>
    <xf numFmtId="0" fontId="72" fillId="0" borderId="136" xfId="0" quotePrefix="1" applyFont="1" applyBorder="1" applyAlignment="1">
      <alignment horizontal="center" vertical="center" wrapText="1" readingOrder="1"/>
    </xf>
    <xf numFmtId="0" fontId="72" fillId="0" borderId="135" xfId="0" quotePrefix="1" applyFont="1" applyBorder="1" applyAlignment="1">
      <alignment horizontal="center" vertical="center" wrapText="1" readingOrder="1"/>
    </xf>
    <xf numFmtId="0" fontId="72" fillId="0" borderId="191" xfId="0" quotePrefix="1" applyFont="1" applyBorder="1" applyAlignment="1">
      <alignment horizontal="center" vertical="center" wrapText="1"/>
    </xf>
    <xf numFmtId="0" fontId="72" fillId="0" borderId="182" xfId="0" quotePrefix="1" applyFont="1" applyBorder="1" applyAlignment="1">
      <alignment horizontal="center" vertical="center" wrapText="1"/>
    </xf>
    <xf numFmtId="0" fontId="84" fillId="0" borderId="6" xfId="9" quotePrefix="1" applyFont="1" applyBorder="1" applyAlignment="1">
      <alignment horizontal="center" vertical="center" wrapText="1"/>
    </xf>
    <xf numFmtId="0" fontId="72" fillId="0" borderId="6" xfId="9" quotePrefix="1" applyFont="1" applyBorder="1" applyAlignment="1">
      <alignment horizontal="center" vertical="center" wrapText="1"/>
    </xf>
    <xf numFmtId="0" fontId="46" fillId="0" borderId="250" xfId="9" quotePrefix="1" applyFont="1" applyBorder="1" applyAlignment="1">
      <alignment horizontal="center" vertical="center" wrapText="1"/>
    </xf>
    <xf numFmtId="0" fontId="46" fillId="0" borderId="246" xfId="9" quotePrefix="1" applyFont="1" applyBorder="1" applyAlignment="1">
      <alignment horizontal="center" vertical="center" wrapText="1"/>
    </xf>
    <xf numFmtId="0" fontId="46" fillId="0" borderId="325" xfId="9" quotePrefix="1" applyFont="1" applyBorder="1" applyAlignment="1">
      <alignment horizontal="center" vertical="center" wrapText="1"/>
    </xf>
    <xf numFmtId="0" fontId="46" fillId="0" borderId="245" xfId="9" quotePrefix="1" applyFont="1" applyBorder="1" applyAlignment="1">
      <alignment horizontal="center" vertical="center" wrapText="1"/>
    </xf>
    <xf numFmtId="0" fontId="46" fillId="0" borderId="247" xfId="9" quotePrefix="1" applyFont="1" applyBorder="1" applyAlignment="1">
      <alignment horizontal="center" vertical="center" wrapText="1"/>
    </xf>
    <xf numFmtId="0" fontId="46" fillId="0" borderId="249" xfId="9" quotePrefix="1" applyFont="1" applyBorder="1" applyAlignment="1">
      <alignment horizontal="center" vertical="center" wrapText="1"/>
    </xf>
    <xf numFmtId="0" fontId="46" fillId="0" borderId="140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5" borderId="135" xfId="0" quotePrefix="1" applyFont="1" applyFill="1" applyBorder="1" applyAlignment="1">
      <alignment horizontal="center" vertical="center" wrapText="1"/>
    </xf>
    <xf numFmtId="0" fontId="46" fillId="5" borderId="6" xfId="0" quotePrefix="1" applyFont="1" applyFill="1" applyBorder="1" applyAlignment="1">
      <alignment horizontal="center" vertical="center" wrapText="1"/>
    </xf>
    <xf numFmtId="0" fontId="46" fillId="5" borderId="136" xfId="0" quotePrefix="1" applyFont="1" applyFill="1" applyBorder="1" applyAlignment="1">
      <alignment horizontal="center" vertical="center" wrapText="1"/>
    </xf>
    <xf numFmtId="0" fontId="46" fillId="0" borderId="247" xfId="0" quotePrefix="1" applyFont="1" applyBorder="1" applyAlignment="1">
      <alignment horizontal="center" vertical="center" wrapText="1"/>
    </xf>
    <xf numFmtId="0" fontId="46" fillId="0" borderId="359" xfId="0" quotePrefix="1" applyFont="1" applyBorder="1" applyAlignment="1">
      <alignment horizontal="center" vertical="center" wrapText="1"/>
    </xf>
    <xf numFmtId="0" fontId="46" fillId="0" borderId="246" xfId="0" quotePrefix="1" applyFont="1" applyBorder="1" applyAlignment="1">
      <alignment horizontal="center" vertical="center" wrapText="1"/>
    </xf>
    <xf numFmtId="0" fontId="46" fillId="0" borderId="248" xfId="0" quotePrefix="1" applyFont="1" applyBorder="1" applyAlignment="1">
      <alignment horizontal="center" vertical="center" wrapText="1"/>
    </xf>
    <xf numFmtId="0" fontId="46" fillId="0" borderId="245" xfId="0" quotePrefix="1" applyFont="1" applyBorder="1" applyAlignment="1">
      <alignment horizontal="center" vertical="center" wrapText="1"/>
    </xf>
    <xf numFmtId="0" fontId="46" fillId="0" borderId="77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 readingOrder="1"/>
    </xf>
    <xf numFmtId="0" fontId="46" fillId="0" borderId="136" xfId="0" quotePrefix="1" applyFont="1" applyBorder="1" applyAlignment="1">
      <alignment horizontal="center" vertical="center" wrapText="1" readingOrder="1"/>
    </xf>
    <xf numFmtId="0" fontId="46" fillId="0" borderId="135" xfId="0" quotePrefix="1" applyFont="1" applyBorder="1" applyAlignment="1">
      <alignment horizontal="center" vertical="center" wrapText="1" readingOrder="1"/>
    </xf>
    <xf numFmtId="0" fontId="46" fillId="0" borderId="191" xfId="0" quotePrefix="1" applyFont="1" applyBorder="1" applyAlignment="1">
      <alignment horizontal="center" vertical="center" wrapText="1"/>
    </xf>
    <xf numFmtId="0" fontId="46" fillId="0" borderId="182" xfId="0" quotePrefix="1" applyFont="1" applyBorder="1" applyAlignment="1">
      <alignment horizontal="center" vertical="center" wrapText="1"/>
    </xf>
    <xf numFmtId="0" fontId="46" fillId="0" borderId="238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85" fillId="0" borderId="136" xfId="9" quotePrefix="1" applyFont="1" applyBorder="1" applyAlignment="1">
      <alignment horizontal="center" vertical="center" wrapText="1"/>
    </xf>
    <xf numFmtId="0" fontId="46" fillId="0" borderId="6" xfId="9" quotePrefix="1" applyFont="1" applyBorder="1" applyAlignment="1">
      <alignment horizontal="center" vertical="center" wrapText="1"/>
    </xf>
    <xf numFmtId="0" fontId="46" fillId="0" borderId="136" xfId="9" quotePrefix="1" applyFont="1" applyBorder="1" applyAlignment="1">
      <alignment horizontal="center" vertical="center" wrapText="1"/>
    </xf>
    <xf numFmtId="0" fontId="46" fillId="0" borderId="102" xfId="9" quotePrefix="1" applyFont="1" applyBorder="1" applyAlignment="1">
      <alignment horizontal="center" vertical="center" wrapText="1"/>
    </xf>
    <xf numFmtId="0" fontId="46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24" fillId="0" borderId="6" xfId="0" quotePrefix="1" applyFont="1" applyBorder="1" applyAlignment="1">
      <alignment horizontal="center" vertical="center" wrapText="1"/>
    </xf>
    <xf numFmtId="0" fontId="24" fillId="0" borderId="196" xfId="0" quotePrefix="1" applyFont="1" applyBorder="1" applyAlignment="1">
      <alignment horizontal="center" vertical="center" wrapText="1"/>
    </xf>
    <xf numFmtId="0" fontId="24" fillId="0" borderId="135" xfId="0" quotePrefix="1" applyFont="1" applyBorder="1" applyAlignment="1">
      <alignment horizontal="center" vertical="center" wrapText="1"/>
    </xf>
    <xf numFmtId="0" fontId="24" fillId="0" borderId="136" xfId="0" quotePrefix="1" applyFont="1" applyBorder="1" applyAlignment="1">
      <alignment horizontal="center" vertical="center" wrapText="1"/>
    </xf>
    <xf numFmtId="0" fontId="24" fillId="0" borderId="86" xfId="0" quotePrefix="1" applyFont="1" applyBorder="1" applyAlignment="1">
      <alignment horizontal="center" vertical="center" wrapText="1"/>
    </xf>
    <xf numFmtId="0" fontId="24" fillId="0" borderId="238" xfId="0" quotePrefix="1" applyFont="1" applyBorder="1" applyAlignment="1">
      <alignment horizontal="center" vertical="center" wrapText="1"/>
    </xf>
    <xf numFmtId="0" fontId="45" fillId="0" borderId="6" xfId="0" quotePrefix="1" applyFont="1" applyBorder="1" applyAlignment="1">
      <alignment horizontal="center" vertical="center" wrapText="1"/>
    </xf>
    <xf numFmtId="0" fontId="45" fillId="0" borderId="196" xfId="0" quotePrefix="1" applyFont="1" applyBorder="1" applyAlignment="1">
      <alignment horizontal="center" vertical="center" wrapText="1"/>
    </xf>
    <xf numFmtId="0" fontId="45" fillId="0" borderId="135" xfId="0" quotePrefix="1" applyFont="1" applyBorder="1" applyAlignment="1">
      <alignment horizontal="center" vertical="center" wrapText="1"/>
    </xf>
    <xf numFmtId="0" fontId="45" fillId="0" borderId="136" xfId="0" quotePrefix="1" applyFont="1" applyBorder="1" applyAlignment="1">
      <alignment horizontal="center" vertical="center" wrapText="1"/>
    </xf>
    <xf numFmtId="0" fontId="45" fillId="0" borderId="101" xfId="0" quotePrefix="1" applyFont="1" applyBorder="1" applyAlignment="1">
      <alignment horizontal="center" vertical="center" wrapText="1"/>
    </xf>
    <xf numFmtId="181" fontId="41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80" xfId="0" applyBorder="1" applyAlignment="1">
      <alignment horizontal="center" vertical="center"/>
    </xf>
    <xf numFmtId="0" fontId="12" fillId="6" borderId="332" xfId="0" applyFont="1" applyFill="1" applyBorder="1" applyAlignment="1">
      <alignment horizontal="center" vertical="center"/>
    </xf>
    <xf numFmtId="176" fontId="13" fillId="0" borderId="389" xfId="2" applyNumberFormat="1" applyFont="1" applyBorder="1">
      <alignment vertical="center"/>
    </xf>
    <xf numFmtId="176" fontId="13" fillId="0" borderId="390" xfId="2" applyNumberFormat="1" applyFont="1" applyBorder="1">
      <alignment vertical="center"/>
    </xf>
    <xf numFmtId="176" fontId="13" fillId="0" borderId="75" xfId="2" applyNumberFormat="1" applyFont="1" applyBorder="1">
      <alignment vertical="center"/>
    </xf>
    <xf numFmtId="176" fontId="13" fillId="0" borderId="373" xfId="2" applyNumberFormat="1" applyFont="1" applyBorder="1">
      <alignment vertical="center"/>
    </xf>
    <xf numFmtId="176" fontId="13" fillId="0" borderId="391" xfId="2" applyNumberFormat="1" applyFont="1" applyBorder="1">
      <alignment vertical="center"/>
    </xf>
    <xf numFmtId="176" fontId="13" fillId="0" borderId="189" xfId="2" applyNumberFormat="1" applyFont="1" applyBorder="1">
      <alignment vertical="center"/>
    </xf>
    <xf numFmtId="176" fontId="13" fillId="0" borderId="228" xfId="2" applyNumberFormat="1" applyFont="1" applyBorder="1">
      <alignment vertical="center"/>
    </xf>
    <xf numFmtId="176" fontId="13" fillId="0" borderId="392" xfId="2" applyNumberFormat="1" applyFont="1" applyBorder="1">
      <alignment vertical="center"/>
    </xf>
    <xf numFmtId="176" fontId="13" fillId="0" borderId="393" xfId="2" applyNumberFormat="1" applyFont="1" applyBorder="1">
      <alignment vertical="center"/>
    </xf>
    <xf numFmtId="176" fontId="13" fillId="0" borderId="224" xfId="2" applyNumberFormat="1" applyFont="1" applyBorder="1">
      <alignment vertical="center"/>
    </xf>
    <xf numFmtId="176" fontId="13" fillId="0" borderId="92" xfId="2" applyNumberFormat="1" applyFont="1" applyBorder="1">
      <alignment vertical="center"/>
    </xf>
    <xf numFmtId="176" fontId="13" fillId="0" borderId="75" xfId="2" applyNumberFormat="1" applyFont="1" applyFill="1" applyBorder="1">
      <alignment vertical="center"/>
    </xf>
    <xf numFmtId="176" fontId="13" fillId="0" borderId="373" xfId="2" applyNumberFormat="1" applyFont="1" applyFill="1" applyBorder="1">
      <alignment vertical="center"/>
    </xf>
    <xf numFmtId="176" fontId="13" fillId="0" borderId="224" xfId="2" applyNumberFormat="1" applyFont="1" applyFill="1" applyBorder="1">
      <alignment vertical="center"/>
    </xf>
    <xf numFmtId="176" fontId="13" fillId="0" borderId="395" xfId="2" applyNumberFormat="1" applyFont="1" applyBorder="1">
      <alignment vertical="center"/>
    </xf>
    <xf numFmtId="176" fontId="13" fillId="0" borderId="396" xfId="2" applyNumberFormat="1" applyFont="1" applyBorder="1">
      <alignment vertical="center"/>
    </xf>
    <xf numFmtId="176" fontId="13" fillId="0" borderId="75" xfId="2" applyNumberFormat="1" applyFont="1" applyBorder="1" applyAlignment="1">
      <alignment vertical="center" wrapText="1"/>
    </xf>
    <xf numFmtId="176" fontId="13" fillId="0" borderId="397" xfId="2" applyNumberFormat="1" applyFont="1" applyBorder="1">
      <alignment vertical="center"/>
    </xf>
    <xf numFmtId="176" fontId="13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4" fillId="0" borderId="401" xfId="0" applyFont="1" applyBorder="1" applyAlignment="1">
      <alignment horizontal="center" vertical="center"/>
    </xf>
    <xf numFmtId="0" fontId="24" fillId="0" borderId="37" xfId="0" quotePrefix="1" applyFont="1" applyBorder="1">
      <alignment vertical="center"/>
    </xf>
    <xf numFmtId="0" fontId="24" fillId="0" borderId="403" xfId="0" applyFont="1" applyBorder="1" applyAlignment="1">
      <alignment horizontal="center" vertical="center"/>
    </xf>
    <xf numFmtId="0" fontId="24" fillId="0" borderId="48" xfId="0" applyFont="1" applyBorder="1" applyAlignment="1">
      <alignment horizontal="left" vertical="center"/>
    </xf>
    <xf numFmtId="0" fontId="24" fillId="0" borderId="34" xfId="0" applyFont="1" applyBorder="1" applyAlignment="1">
      <alignment horizontal="left" vertical="center"/>
    </xf>
    <xf numFmtId="0" fontId="24" fillId="0" borderId="37" xfId="0" applyFont="1" applyBorder="1" applyAlignment="1">
      <alignment horizontal="left" vertical="center"/>
    </xf>
    <xf numFmtId="0" fontId="24" fillId="0" borderId="37" xfId="0" applyFont="1" applyBorder="1" applyAlignment="1">
      <alignment horizontal="center" vertical="center" wrapText="1"/>
    </xf>
    <xf numFmtId="199" fontId="13" fillId="11" borderId="407" xfId="2" applyNumberFormat="1" applyFont="1" applyFill="1" applyBorder="1">
      <alignment vertical="center"/>
    </xf>
    <xf numFmtId="199" fontId="13" fillId="11" borderId="408" xfId="2" applyNumberFormat="1" applyFont="1" applyFill="1" applyBorder="1">
      <alignment vertical="center"/>
    </xf>
    <xf numFmtId="199" fontId="13" fillId="11" borderId="386" xfId="2" applyNumberFormat="1" applyFont="1" applyFill="1" applyBorder="1">
      <alignment vertical="center"/>
    </xf>
    <xf numFmtId="199" fontId="13" fillId="11" borderId="409" xfId="2" applyNumberFormat="1" applyFont="1" applyFill="1" applyBorder="1">
      <alignment vertical="center"/>
    </xf>
    <xf numFmtId="199" fontId="13" fillId="11" borderId="410" xfId="2" applyNumberFormat="1" applyFont="1" applyFill="1" applyBorder="1">
      <alignment vertical="center"/>
    </xf>
    <xf numFmtId="199" fontId="13" fillId="11" borderId="411" xfId="2" applyNumberFormat="1" applyFont="1" applyFill="1" applyBorder="1">
      <alignment vertical="center"/>
    </xf>
    <xf numFmtId="199" fontId="13" fillId="11" borderId="387" xfId="2" applyNumberFormat="1" applyFont="1" applyFill="1" applyBorder="1">
      <alignment vertical="center"/>
    </xf>
    <xf numFmtId="199" fontId="13" fillId="11" borderId="412" xfId="2" applyNumberFormat="1" applyFont="1" applyFill="1" applyBorder="1">
      <alignment vertical="center"/>
    </xf>
    <xf numFmtId="199" fontId="13" fillId="11" borderId="386" xfId="2" applyNumberFormat="1" applyFont="1" applyFill="1" applyBorder="1" applyAlignment="1">
      <alignment horizontal="center" vertical="center"/>
    </xf>
    <xf numFmtId="199" fontId="13" fillId="11" borderId="413" xfId="2" applyNumberFormat="1" applyFont="1" applyFill="1" applyBorder="1">
      <alignment vertical="center"/>
    </xf>
    <xf numFmtId="199" fontId="13" fillId="11" borderId="414" xfId="2" applyNumberFormat="1" applyFont="1" applyFill="1" applyBorder="1">
      <alignment vertical="center"/>
    </xf>
    <xf numFmtId="199" fontId="13" fillId="11" borderId="383" xfId="2" applyNumberFormat="1" applyFont="1" applyFill="1" applyBorder="1">
      <alignment vertical="center"/>
    </xf>
    <xf numFmtId="199" fontId="13" fillId="11" borderId="409" xfId="2" applyNumberFormat="1" applyFont="1" applyFill="1" applyBorder="1" applyAlignment="1">
      <alignment horizontal="center" vertical="center"/>
    </xf>
    <xf numFmtId="176" fontId="13" fillId="0" borderId="392" xfId="2" applyNumberFormat="1" applyFont="1" applyFill="1" applyBorder="1">
      <alignment vertical="center"/>
    </xf>
    <xf numFmtId="176" fontId="13" fillId="0" borderId="418" xfId="2" applyNumberFormat="1" applyFont="1" applyFill="1" applyBorder="1">
      <alignment vertical="center"/>
    </xf>
    <xf numFmtId="176" fontId="13" fillId="5" borderId="393" xfId="2" applyNumberFormat="1" applyFont="1" applyFill="1" applyBorder="1">
      <alignment vertical="center"/>
    </xf>
    <xf numFmtId="176" fontId="13" fillId="5" borderId="224" xfId="2" applyNumberFormat="1" applyFont="1" applyFill="1" applyBorder="1">
      <alignment vertical="center"/>
    </xf>
    <xf numFmtId="176" fontId="13" fillId="0" borderId="189" xfId="2" applyNumberFormat="1" applyFont="1" applyFill="1" applyBorder="1">
      <alignment vertical="center"/>
    </xf>
    <xf numFmtId="176" fontId="14" fillId="0" borderId="189" xfId="2" applyNumberFormat="1" applyFont="1" applyFill="1" applyBorder="1">
      <alignment vertical="center"/>
    </xf>
    <xf numFmtId="176" fontId="13" fillId="0" borderId="189" xfId="10" applyNumberFormat="1" applyFont="1" applyBorder="1">
      <alignment vertical="center"/>
    </xf>
    <xf numFmtId="176" fontId="13" fillId="0" borderId="228" xfId="10" applyNumberFormat="1" applyFont="1" applyBorder="1">
      <alignment vertical="center"/>
    </xf>
    <xf numFmtId="176" fontId="13" fillId="0" borderId="75" xfId="10" applyNumberFormat="1" applyFont="1" applyBorder="1">
      <alignment vertical="center"/>
    </xf>
    <xf numFmtId="176" fontId="13" fillId="0" borderId="373" xfId="10" applyNumberFormat="1" applyFont="1" applyBorder="1">
      <alignment vertical="center"/>
    </xf>
    <xf numFmtId="0" fontId="12" fillId="0" borderId="34" xfId="0" applyFont="1" applyBorder="1" applyAlignment="1">
      <alignment horizontal="center" vertical="center" wrapText="1"/>
    </xf>
    <xf numFmtId="0" fontId="12" fillId="0" borderId="37" xfId="0" applyFont="1" applyBorder="1" applyAlignment="1">
      <alignment horizontal="center" vertical="center" wrapText="1"/>
    </xf>
    <xf numFmtId="0" fontId="41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4" fillId="0" borderId="37" xfId="0" applyFont="1" applyBorder="1" applyAlignment="1">
      <alignment horizontal="left" vertical="center" wrapText="1"/>
    </xf>
    <xf numFmtId="0" fontId="24" fillId="0" borderId="48" xfId="0" applyFont="1" applyBorder="1" applyAlignment="1">
      <alignment horizontal="left" vertical="center" wrapText="1"/>
    </xf>
    <xf numFmtId="0" fontId="24" fillId="0" borderId="34" xfId="0" applyFont="1" applyBorder="1" applyAlignment="1">
      <alignment horizontal="center" vertical="center" wrapText="1"/>
    </xf>
    <xf numFmtId="0" fontId="80" fillId="0" borderId="34" xfId="0" applyFont="1" applyBorder="1" applyAlignment="1">
      <alignment vertical="center" wrapText="1"/>
    </xf>
    <xf numFmtId="0" fontId="80" fillId="0" borderId="37" xfId="0" applyFont="1" applyBorder="1" applyAlignment="1">
      <alignment vertical="center" wrapText="1"/>
    </xf>
    <xf numFmtId="199" fontId="13" fillId="11" borderId="385" xfId="2" applyNumberFormat="1" applyFont="1" applyFill="1" applyBorder="1">
      <alignment vertical="center"/>
    </xf>
    <xf numFmtId="0" fontId="45" fillId="0" borderId="37" xfId="0" applyFont="1" applyBorder="1">
      <alignment vertical="center"/>
    </xf>
    <xf numFmtId="0" fontId="88" fillId="0" borderId="34" xfId="0" applyFont="1" applyBorder="1">
      <alignment vertical="center"/>
    </xf>
    <xf numFmtId="0" fontId="13" fillId="0" borderId="37" xfId="0" quotePrefix="1" applyFont="1" applyBorder="1" applyAlignment="1">
      <alignment vertical="center" wrapText="1"/>
    </xf>
    <xf numFmtId="0" fontId="13" fillId="0" borderId="37" xfId="0" applyFont="1" applyBorder="1" applyAlignment="1">
      <alignment vertical="center" wrapText="1"/>
    </xf>
    <xf numFmtId="0" fontId="24" fillId="0" borderId="37" xfId="0" quotePrefix="1" applyFont="1" applyBorder="1" applyAlignment="1">
      <alignment horizontal="left" vertical="center" wrapText="1"/>
    </xf>
    <xf numFmtId="0" fontId="24" fillId="0" borderId="37" xfId="0" applyFont="1" applyBorder="1" applyAlignment="1">
      <alignment vertical="center" wrapText="1"/>
    </xf>
    <xf numFmtId="0" fontId="12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30" xfId="0" applyBorder="1">
      <alignment vertical="center"/>
    </xf>
    <xf numFmtId="0" fontId="0" fillId="0" borderId="431" xfId="0" applyBorder="1">
      <alignment vertical="center"/>
    </xf>
    <xf numFmtId="0" fontId="0" fillId="0" borderId="432" xfId="0" applyBorder="1">
      <alignment vertical="center"/>
    </xf>
    <xf numFmtId="0" fontId="0" fillId="0" borderId="433" xfId="0" applyBorder="1">
      <alignment vertical="center"/>
    </xf>
    <xf numFmtId="0" fontId="0" fillId="0" borderId="434" xfId="0" applyBorder="1">
      <alignment vertical="center"/>
    </xf>
    <xf numFmtId="0" fontId="0" fillId="0" borderId="403" xfId="0" applyBorder="1">
      <alignment vertical="center"/>
    </xf>
    <xf numFmtId="0" fontId="0" fillId="5" borderId="402" xfId="0" applyFill="1" applyBorder="1">
      <alignment vertical="center"/>
    </xf>
    <xf numFmtId="0" fontId="0" fillId="5" borderId="403" xfId="0" applyFill="1" applyBorder="1">
      <alignment vertical="center"/>
    </xf>
    <xf numFmtId="0" fontId="0" fillId="0" borderId="402" xfId="0" applyBorder="1">
      <alignment vertical="center"/>
    </xf>
    <xf numFmtId="0" fontId="12" fillId="0" borderId="34" xfId="0" applyFont="1" applyBorder="1">
      <alignment vertical="center"/>
    </xf>
    <xf numFmtId="0" fontId="12" fillId="0" borderId="37" xfId="0" applyFont="1" applyBorder="1">
      <alignment vertical="center"/>
    </xf>
    <xf numFmtId="0" fontId="0" fillId="0" borderId="401" xfId="0" applyBorder="1">
      <alignment vertical="center"/>
    </xf>
    <xf numFmtId="0" fontId="12" fillId="0" borderId="403" xfId="0" applyFont="1" applyBorder="1">
      <alignment vertical="center"/>
    </xf>
    <xf numFmtId="0" fontId="0" fillId="0" borderId="105" xfId="0" applyBorder="1">
      <alignment vertical="center"/>
    </xf>
    <xf numFmtId="0" fontId="9" fillId="0" borderId="37" xfId="9" applyBorder="1" applyAlignment="1">
      <alignment horizontal="center" vertical="center" wrapText="1"/>
    </xf>
    <xf numFmtId="0" fontId="9" fillId="0" borderId="48" xfId="9" applyBorder="1" applyAlignment="1">
      <alignment horizontal="center" vertical="center" wrapText="1"/>
    </xf>
    <xf numFmtId="199" fontId="13" fillId="11" borderId="425" xfId="2" applyNumberFormat="1" applyFont="1" applyFill="1" applyBorder="1">
      <alignment vertical="center"/>
    </xf>
    <xf numFmtId="199" fontId="13" fillId="11" borderId="437" xfId="2" applyNumberFormat="1" applyFont="1" applyFill="1" applyBorder="1">
      <alignment vertical="center"/>
    </xf>
    <xf numFmtId="199" fontId="13" fillId="11" borderId="384" xfId="2" applyNumberFormat="1" applyFont="1" applyFill="1" applyBorder="1">
      <alignment vertical="center"/>
    </xf>
    <xf numFmtId="199" fontId="13" fillId="11" borderId="388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0" fillId="4" borderId="11" xfId="0" applyNumberFormat="1" applyFont="1" applyFill="1" applyBorder="1" applyAlignment="1">
      <alignment horizontal="center" vertical="center"/>
    </xf>
    <xf numFmtId="181" fontId="10" fillId="4" borderId="15" xfId="0" applyNumberFormat="1" applyFont="1" applyFill="1" applyBorder="1" applyAlignment="1">
      <alignment horizontal="center" vertical="center"/>
    </xf>
    <xf numFmtId="181" fontId="10" fillId="4" borderId="15" xfId="0" applyNumberFormat="1" applyFont="1" applyFill="1" applyBorder="1" applyAlignment="1">
      <alignment horizontal="center" vertical="center" wrapText="1"/>
    </xf>
    <xf numFmtId="181" fontId="23" fillId="4" borderId="15" xfId="0" applyNumberFormat="1" applyFont="1" applyFill="1" applyBorder="1" applyAlignment="1">
      <alignment horizontal="center" vertical="center" wrapText="1"/>
    </xf>
    <xf numFmtId="181" fontId="10" fillId="4" borderId="41" xfId="0" applyNumberFormat="1" applyFont="1" applyFill="1" applyBorder="1" applyAlignment="1">
      <alignment horizontal="center" vertical="center" wrapText="1"/>
    </xf>
    <xf numFmtId="181" fontId="10" fillId="4" borderId="25" xfId="0" applyNumberFormat="1" applyFont="1" applyFill="1" applyBorder="1" applyAlignment="1">
      <alignment horizontal="center" vertical="center" wrapText="1"/>
    </xf>
    <xf numFmtId="181" fontId="10" fillId="4" borderId="41" xfId="0" applyNumberFormat="1" applyFont="1" applyFill="1" applyBorder="1" applyAlignment="1">
      <alignment horizontal="center" vertical="center"/>
    </xf>
    <xf numFmtId="181" fontId="10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0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0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3" fillId="4" borderId="11" xfId="0" applyNumberFormat="1" applyFont="1" applyFill="1" applyBorder="1" applyAlignment="1">
      <alignment horizontal="center" vertical="center"/>
    </xf>
    <xf numFmtId="180" fontId="13" fillId="4" borderId="15" xfId="0" applyNumberFormat="1" applyFont="1" applyFill="1" applyBorder="1" applyAlignment="1">
      <alignment horizontal="center" vertical="center"/>
    </xf>
    <xf numFmtId="180" fontId="13" fillId="4" borderId="25" xfId="0" applyNumberFormat="1" applyFont="1" applyFill="1" applyBorder="1" applyAlignment="1">
      <alignment horizontal="center" vertical="center" wrapText="1"/>
    </xf>
    <xf numFmtId="180" fontId="13" fillId="4" borderId="15" xfId="0" applyNumberFormat="1" applyFont="1" applyFill="1" applyBorder="1" applyAlignment="1">
      <alignment horizontal="center" vertical="center" wrapText="1"/>
    </xf>
    <xf numFmtId="180" fontId="13" fillId="4" borderId="18" xfId="0" applyNumberFormat="1" applyFont="1" applyFill="1" applyBorder="1" applyAlignment="1">
      <alignment horizontal="center" vertical="center" wrapText="1"/>
    </xf>
    <xf numFmtId="180" fontId="13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3" fillId="4" borderId="11" xfId="9" applyNumberFormat="1" applyFont="1" applyFill="1" applyBorder="1" applyAlignment="1">
      <alignment horizontal="center" vertical="center" wrapText="1"/>
    </xf>
    <xf numFmtId="180" fontId="13" fillId="4" borderId="15" xfId="9" applyNumberFormat="1" applyFont="1" applyFill="1" applyBorder="1" applyAlignment="1">
      <alignment horizontal="center" vertical="center" wrapText="1"/>
    </xf>
    <xf numFmtId="180" fontId="13" fillId="4" borderId="25" xfId="9" applyNumberFormat="1" applyFont="1" applyFill="1" applyBorder="1" applyAlignment="1">
      <alignment horizontal="center" vertical="center" wrapText="1"/>
    </xf>
    <xf numFmtId="180" fontId="13" fillId="4" borderId="11" xfId="9" applyNumberFormat="1" applyFont="1" applyFill="1" applyBorder="1" applyAlignment="1">
      <alignment horizontal="center" vertical="center"/>
    </xf>
    <xf numFmtId="180" fontId="13" fillId="4" borderId="15" xfId="9" applyNumberFormat="1" applyFont="1" applyFill="1" applyBorder="1" applyAlignment="1">
      <alignment horizontal="center" vertical="center"/>
    </xf>
    <xf numFmtId="180" fontId="29" fillId="4" borderId="11" xfId="9" applyNumberFormat="1" applyFont="1" applyFill="1" applyBorder="1" applyAlignment="1">
      <alignment horizontal="center" vertical="center" wrapText="1"/>
    </xf>
    <xf numFmtId="180" fontId="13" fillId="4" borderId="21" xfId="9" applyNumberFormat="1" applyFont="1" applyFill="1" applyBorder="1" applyAlignment="1">
      <alignment horizontal="center" vertical="center" wrapText="1"/>
    </xf>
    <xf numFmtId="180" fontId="13" fillId="4" borderId="47" xfId="9" applyNumberFormat="1" applyFont="1" applyFill="1" applyBorder="1" applyAlignment="1">
      <alignment horizontal="center" vertical="center" wrapText="1"/>
    </xf>
    <xf numFmtId="180" fontId="13" fillId="4" borderId="18" xfId="9" applyNumberFormat="1" applyFont="1" applyFill="1" applyBorder="1" applyAlignment="1">
      <alignment horizontal="center" vertical="center" wrapText="1"/>
    </xf>
    <xf numFmtId="180" fontId="13" fillId="4" borderId="41" xfId="9" applyNumberFormat="1" applyFont="1" applyFill="1" applyBorder="1" applyAlignment="1">
      <alignment horizontal="center" vertical="center" wrapText="1"/>
    </xf>
    <xf numFmtId="180" fontId="13" fillId="4" borderId="47" xfId="0" applyNumberFormat="1" applyFont="1" applyFill="1" applyBorder="1" applyAlignment="1">
      <alignment horizontal="center" vertical="center" wrapText="1"/>
    </xf>
    <xf numFmtId="180" fontId="13" fillId="4" borderId="41" xfId="0" applyNumberFormat="1" applyFont="1" applyFill="1" applyBorder="1" applyAlignment="1">
      <alignment horizontal="center" vertical="center" wrapText="1"/>
    </xf>
    <xf numFmtId="180" fontId="13" fillId="4" borderId="11" xfId="0" applyNumberFormat="1" applyFont="1" applyFill="1" applyBorder="1" applyAlignment="1">
      <alignment horizontal="center" vertical="center" wrapText="1"/>
    </xf>
    <xf numFmtId="181" fontId="12" fillId="2" borderId="366" xfId="0" applyNumberFormat="1" applyFont="1" applyFill="1" applyBorder="1" applyAlignment="1">
      <alignment horizontal="center" vertical="center"/>
    </xf>
    <xf numFmtId="0" fontId="24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3" fillId="5" borderId="15" xfId="0" applyNumberFormat="1" applyFont="1" applyFill="1" applyBorder="1" applyAlignment="1">
      <alignment horizontal="center" vertical="center" wrapText="1"/>
    </xf>
    <xf numFmtId="180" fontId="13" fillId="5" borderId="18" xfId="0" applyNumberFormat="1" applyFont="1" applyFill="1" applyBorder="1" applyAlignment="1">
      <alignment horizontal="center" vertical="center" wrapText="1"/>
    </xf>
    <xf numFmtId="180" fontId="13" fillId="5" borderId="21" xfId="0" applyNumberFormat="1" applyFont="1" applyFill="1" applyBorder="1" applyAlignment="1">
      <alignment horizontal="center" vertical="center" wrapText="1"/>
    </xf>
    <xf numFmtId="0" fontId="100" fillId="8" borderId="6" xfId="0" applyFont="1" applyFill="1" applyBorder="1" applyAlignment="1">
      <alignment horizontal="center" vertical="center"/>
    </xf>
    <xf numFmtId="0" fontId="57" fillId="6" borderId="101" xfId="0" applyFont="1" applyFill="1" applyBorder="1" applyAlignment="1">
      <alignment horizontal="center" vertical="center" wrapText="1"/>
    </xf>
    <xf numFmtId="0" fontId="57" fillId="6" borderId="77" xfId="0" applyFont="1" applyFill="1" applyBorder="1" applyAlignment="1">
      <alignment horizontal="center" vertical="center" wrapText="1"/>
    </xf>
    <xf numFmtId="0" fontId="56" fillId="7" borderId="101" xfId="0" applyFont="1" applyFill="1" applyBorder="1" applyAlignment="1">
      <alignment horizontal="center" vertical="center" wrapText="1"/>
    </xf>
    <xf numFmtId="0" fontId="56" fillId="7" borderId="77" xfId="0" applyFont="1" applyFill="1" applyBorder="1" applyAlignment="1">
      <alignment horizontal="center" vertical="center" wrapText="1"/>
    </xf>
    <xf numFmtId="0" fontId="57" fillId="6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5" fillId="0" borderId="6" xfId="0" applyFont="1" applyBorder="1" applyAlignment="1">
      <alignment horizontal="center" vertical="center"/>
    </xf>
    <xf numFmtId="0" fontId="57" fillId="23" borderId="6" xfId="0" applyFont="1" applyFill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5" fillId="0" borderId="173" xfId="0" applyFont="1" applyBorder="1" applyAlignment="1">
      <alignment horizontal="center" vertical="center"/>
    </xf>
    <xf numFmtId="0" fontId="55" fillId="23" borderId="101" xfId="0" applyFont="1" applyFill="1" applyBorder="1" applyAlignment="1">
      <alignment horizontal="center" vertical="center"/>
    </xf>
    <xf numFmtId="0" fontId="55" fillId="0" borderId="101" xfId="0" applyFont="1" applyBorder="1" applyAlignment="1">
      <alignment horizontal="center" vertical="center"/>
    </xf>
    <xf numFmtId="0" fontId="55" fillId="0" borderId="77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5" fillId="0" borderId="125" xfId="0" applyFont="1" applyBorder="1" applyAlignment="1">
      <alignment horizontal="center" vertical="center"/>
    </xf>
    <xf numFmtId="0" fontId="55" fillId="0" borderId="102" xfId="0" applyFont="1" applyBorder="1" applyAlignment="1">
      <alignment horizontal="center" vertical="center"/>
    </xf>
    <xf numFmtId="0" fontId="55" fillId="7" borderId="101" xfId="0" applyFont="1" applyFill="1" applyBorder="1" applyAlignment="1">
      <alignment horizontal="center" vertical="center"/>
    </xf>
    <xf numFmtId="0" fontId="55" fillId="7" borderId="77" xfId="0" applyFont="1" applyFill="1" applyBorder="1" applyAlignment="1">
      <alignment horizontal="center" vertical="center"/>
    </xf>
    <xf numFmtId="0" fontId="57" fillId="6" borderId="125" xfId="0" applyFont="1" applyFill="1" applyBorder="1" applyAlignment="1">
      <alignment horizontal="center" vertical="center" wrapText="1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186" fontId="55" fillId="23" borderId="259" xfId="2" applyNumberFormat="1" applyFont="1" applyFill="1" applyBorder="1" applyAlignment="1" applyProtection="1">
      <alignment horizontal="center" vertical="center"/>
    </xf>
    <xf numFmtId="186" fontId="55" fillId="23" borderId="260" xfId="2" applyNumberFormat="1" applyFont="1" applyFill="1" applyBorder="1" applyAlignment="1" applyProtection="1">
      <alignment horizontal="center" vertical="center"/>
    </xf>
    <xf numFmtId="0" fontId="56" fillId="7" borderId="6" xfId="0" applyFont="1" applyFill="1" applyBorder="1" applyAlignment="1">
      <alignment horizontal="center" vertical="center" wrapText="1"/>
    </xf>
    <xf numFmtId="0" fontId="55" fillId="0" borderId="125" xfId="0" applyFont="1" applyBorder="1" applyAlignment="1">
      <alignment horizontal="center" vertical="center" wrapText="1"/>
    </xf>
    <xf numFmtId="0" fontId="55" fillId="4" borderId="101" xfId="0" applyFont="1" applyFill="1" applyBorder="1" applyAlignment="1">
      <alignment horizontal="center" vertical="center"/>
    </xf>
    <xf numFmtId="0" fontId="55" fillId="0" borderId="218" xfId="0" applyFont="1" applyBorder="1" applyAlignment="1">
      <alignment horizontal="center" vertical="center"/>
    </xf>
    <xf numFmtId="0" fontId="55" fillId="0" borderId="222" xfId="0" applyFont="1" applyBorder="1" applyAlignment="1">
      <alignment horizontal="center" vertical="center"/>
    </xf>
    <xf numFmtId="0" fontId="55" fillId="0" borderId="126" xfId="0" applyFont="1" applyBorder="1" applyAlignment="1">
      <alignment horizontal="center" vertical="center"/>
    </xf>
    <xf numFmtId="0" fontId="55" fillId="0" borderId="175" xfId="0" applyFont="1" applyBorder="1" applyAlignment="1">
      <alignment horizontal="center" vertical="center"/>
    </xf>
    <xf numFmtId="0" fontId="55" fillId="0" borderId="179" xfId="0" applyFont="1" applyBorder="1" applyAlignment="1">
      <alignment horizontal="center" vertical="center"/>
    </xf>
    <xf numFmtId="0" fontId="55" fillId="0" borderId="79" xfId="0" applyFont="1" applyBorder="1" applyAlignment="1">
      <alignment horizontal="center" vertical="center"/>
    </xf>
    <xf numFmtId="0" fontId="55" fillId="0" borderId="180" xfId="0" applyFont="1" applyBorder="1" applyAlignment="1">
      <alignment horizontal="center" vertical="center"/>
    </xf>
    <xf numFmtId="0" fontId="55" fillId="0" borderId="178" xfId="0" applyFont="1" applyBorder="1" applyAlignment="1">
      <alignment horizontal="center" vertical="center"/>
    </xf>
    <xf numFmtId="0" fontId="55" fillId="0" borderId="80" xfId="0" applyFont="1" applyBorder="1" applyAlignment="1">
      <alignment horizontal="center" vertical="center"/>
    </xf>
    <xf numFmtId="176" fontId="12" fillId="24" borderId="381" xfId="2" applyNumberFormat="1" applyFont="1" applyFill="1" applyBorder="1" applyAlignment="1">
      <alignment horizontal="center" vertical="center" wrapText="1"/>
    </xf>
    <xf numFmtId="0" fontId="55" fillId="4" borderId="125" xfId="0" applyFont="1" applyFill="1" applyBorder="1" applyAlignment="1">
      <alignment horizontal="center" vertical="center" wrapText="1"/>
    </xf>
    <xf numFmtId="185" fontId="55" fillId="23" borderId="260" xfId="2" applyNumberFormat="1" applyFont="1" applyFill="1" applyBorder="1" applyAlignment="1" applyProtection="1">
      <alignment horizontal="center" vertical="center"/>
    </xf>
    <xf numFmtId="0" fontId="55" fillId="0" borderId="227" xfId="0" applyFont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6" borderId="6" xfId="0" applyFont="1" applyFill="1" applyBorder="1" applyAlignment="1">
      <alignment horizontal="center" vertical="center" wrapText="1"/>
    </xf>
    <xf numFmtId="0" fontId="55" fillId="0" borderId="71" xfId="0" applyFont="1" applyBorder="1" applyAlignment="1">
      <alignment horizontal="center" vertical="center"/>
    </xf>
    <xf numFmtId="0" fontId="57" fillId="23" borderId="71" xfId="0" applyFont="1" applyFill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55" fillId="0" borderId="83" xfId="0" applyFont="1" applyBorder="1" applyAlignment="1">
      <alignment horizontal="center" vertical="center"/>
    </xf>
    <xf numFmtId="0" fontId="55" fillId="0" borderId="73" xfId="0" applyFont="1" applyBorder="1" applyAlignment="1">
      <alignment horizontal="center" vertical="center"/>
    </xf>
    <xf numFmtId="185" fontId="55" fillId="23" borderId="258" xfId="2" applyNumberFormat="1" applyFont="1" applyFill="1" applyBorder="1" applyAlignment="1" applyProtection="1">
      <alignment horizontal="center" vertical="center"/>
    </xf>
    <xf numFmtId="0" fontId="55" fillId="0" borderId="82" xfId="0" applyFont="1" applyBorder="1" applyAlignment="1">
      <alignment horizontal="center" vertical="center"/>
    </xf>
    <xf numFmtId="0" fontId="45" fillId="0" borderId="198" xfId="0" applyFont="1" applyBorder="1" applyAlignment="1">
      <alignment horizontal="center" vertical="center" wrapText="1"/>
    </xf>
    <xf numFmtId="0" fontId="45" fillId="0" borderId="103" xfId="0" applyFont="1" applyBorder="1" applyAlignment="1">
      <alignment horizontal="center" vertical="center" wrapText="1"/>
    </xf>
    <xf numFmtId="0" fontId="24" fillId="0" borderId="103" xfId="0" applyFont="1" applyBorder="1" applyAlignment="1">
      <alignment horizontal="center" vertical="center" wrapText="1"/>
    </xf>
    <xf numFmtId="0" fontId="24" fillId="0" borderId="275" xfId="0" applyFont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45" fillId="0" borderId="101" xfId="0" applyFont="1" applyBorder="1" applyAlignment="1">
      <alignment horizontal="center" vertical="center" wrapText="1"/>
    </xf>
    <xf numFmtId="0" fontId="45" fillId="0" borderId="140" xfId="0" applyFont="1" applyBorder="1" applyAlignment="1">
      <alignment horizontal="center" vertical="center" wrapText="1"/>
    </xf>
    <xf numFmtId="0" fontId="24" fillId="0" borderId="135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45" fillId="0" borderId="135" xfId="0" applyFont="1" applyBorder="1" applyAlignment="1">
      <alignment horizontal="center" vertical="center" wrapText="1"/>
    </xf>
    <xf numFmtId="0" fontId="24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4" fillId="0" borderId="101" xfId="0" applyFont="1" applyBorder="1" applyAlignment="1">
      <alignment horizontal="center" vertical="center" wrapText="1"/>
    </xf>
    <xf numFmtId="0" fontId="24" fillId="0" borderId="140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/>
    </xf>
    <xf numFmtId="0" fontId="45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45" fillId="0" borderId="136" xfId="0" applyFont="1" applyBorder="1" applyAlignment="1">
      <alignment horizontal="center" vertical="center"/>
    </xf>
    <xf numFmtId="176" fontId="12" fillId="6" borderId="373" xfId="2" applyNumberFormat="1" applyFont="1" applyFill="1" applyBorder="1" applyAlignment="1">
      <alignment horizontal="center" vertical="center"/>
    </xf>
    <xf numFmtId="0" fontId="40" fillId="0" borderId="193" xfId="0" applyFont="1" applyBorder="1" applyAlignment="1">
      <alignment horizontal="center" vertical="center"/>
    </xf>
    <xf numFmtId="0" fontId="0" fillId="0" borderId="200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0" fillId="0" borderId="101" xfId="0" applyFont="1" applyBorder="1" applyAlignment="1">
      <alignment horizontal="center" vertical="center"/>
    </xf>
    <xf numFmtId="0" fontId="40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0" fillId="0" borderId="202" xfId="0" applyFont="1" applyBorder="1" applyAlignment="1">
      <alignment horizontal="center" vertical="center"/>
    </xf>
    <xf numFmtId="0" fontId="40" fillId="0" borderId="140" xfId="0" applyFont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40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6" fillId="0" borderId="140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4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2" fillId="0" borderId="6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0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0" fillId="7" borderId="201" xfId="0" applyFont="1" applyFill="1" applyBorder="1" applyAlignment="1">
      <alignment horizontal="center" vertical="center" wrapText="1"/>
    </xf>
    <xf numFmtId="0" fontId="79" fillId="0" borderId="193" xfId="9" applyFont="1" applyBorder="1" applyAlignment="1">
      <alignment horizontal="center" vertical="center"/>
    </xf>
    <xf numFmtId="0" fontId="79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2" fillId="0" borderId="135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72" fillId="0" borderId="214" xfId="0" applyFont="1" applyBorder="1" applyAlignment="1">
      <alignment horizontal="center" vertical="center" wrapText="1"/>
    </xf>
    <xf numFmtId="0" fontId="72" fillId="0" borderId="13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72" fillId="0" borderId="77" xfId="0" applyFont="1" applyBorder="1" applyAlignment="1">
      <alignment horizontal="center" vertical="center" wrapText="1"/>
    </xf>
    <xf numFmtId="0" fontId="72" fillId="0" borderId="6" xfId="0" applyFont="1" applyBorder="1" applyAlignment="1">
      <alignment horizontal="center" vertical="center" wrapText="1" readingOrder="1"/>
    </xf>
    <xf numFmtId="0" fontId="46" fillId="0" borderId="6" xfId="0" applyFont="1" applyBorder="1" applyAlignment="1">
      <alignment horizontal="center" vertical="center" wrapText="1" readingOrder="1"/>
    </xf>
    <xf numFmtId="0" fontId="46" fillId="0" borderId="6" xfId="0" applyFont="1" applyBorder="1" applyAlignment="1">
      <alignment horizontal="center" vertical="center" readingOrder="1"/>
    </xf>
    <xf numFmtId="0" fontId="72" fillId="0" borderId="135" xfId="0" applyFont="1" applyBorder="1" applyAlignment="1">
      <alignment horizontal="center" vertical="center" wrapText="1" readingOrder="1"/>
    </xf>
    <xf numFmtId="0" fontId="46" fillId="0" borderId="135" xfId="0" applyFont="1" applyBorder="1" applyAlignment="1">
      <alignment horizontal="center" vertical="center" wrapText="1" readingOrder="1"/>
    </xf>
    <xf numFmtId="0" fontId="12" fillId="9" borderId="135" xfId="0" applyFont="1" applyFill="1" applyBorder="1" applyAlignment="1">
      <alignment horizontal="center" vertical="center"/>
    </xf>
    <xf numFmtId="0" fontId="12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2" fillId="5" borderId="135" xfId="0" applyFont="1" applyFill="1" applyBorder="1" applyAlignment="1">
      <alignment horizontal="center" vertical="center" wrapText="1"/>
    </xf>
    <xf numFmtId="0" fontId="46" fillId="5" borderId="135" xfId="0" applyFont="1" applyFill="1" applyBorder="1" applyAlignment="1">
      <alignment horizontal="center" vertical="center" wrapText="1"/>
    </xf>
    <xf numFmtId="0" fontId="45" fillId="0" borderId="182" xfId="0" applyFont="1" applyBorder="1" applyAlignment="1">
      <alignment horizontal="center" vertical="center" wrapText="1"/>
    </xf>
    <xf numFmtId="0" fontId="45" fillId="0" borderId="196" xfId="0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5" fillId="0" borderId="136" xfId="9" applyFont="1" applyBorder="1" applyAlignment="1">
      <alignment horizontal="center" vertical="center" wrapText="1"/>
    </xf>
    <xf numFmtId="0" fontId="85" fillId="0" borderId="6" xfId="0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2" fillId="0" borderId="6" xfId="9" applyFont="1" applyBorder="1" applyAlignment="1">
      <alignment horizontal="center" vertical="center" wrapText="1"/>
    </xf>
    <xf numFmtId="0" fontId="84" fillId="0" borderId="101" xfId="9" applyFont="1" applyBorder="1" applyAlignment="1">
      <alignment horizontal="center" vertical="center" wrapText="1"/>
    </xf>
    <xf numFmtId="0" fontId="46" fillId="0" borderId="6" xfId="9" applyFont="1" applyBorder="1" applyAlignment="1">
      <alignment horizontal="center" vertical="center" wrapText="1"/>
    </xf>
    <xf numFmtId="0" fontId="46" fillId="0" borderId="136" xfId="9" applyFont="1" applyBorder="1" applyAlignment="1">
      <alignment horizontal="center" vertical="center"/>
    </xf>
    <xf numFmtId="0" fontId="85" fillId="0" borderId="101" xfId="9" applyFont="1" applyBorder="1" applyAlignment="1">
      <alignment horizontal="center" vertical="center" wrapText="1"/>
    </xf>
    <xf numFmtId="0" fontId="79" fillId="0" borderId="204" xfId="9" applyFont="1" applyBorder="1" applyAlignment="1">
      <alignment horizontal="center" vertical="center"/>
    </xf>
    <xf numFmtId="0" fontId="70" fillId="0" borderId="6" xfId="9" applyFont="1" applyBorder="1" applyAlignment="1">
      <alignment horizontal="center" vertical="center" wrapText="1"/>
    </xf>
    <xf numFmtId="0" fontId="70" fillId="0" borderId="136" xfId="9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24" fillId="0" borderId="182" xfId="0" applyFont="1" applyBorder="1" applyAlignment="1">
      <alignment horizontal="center" vertical="center" wrapText="1"/>
    </xf>
    <xf numFmtId="0" fontId="24" fillId="0" borderId="196" xfId="0" applyFont="1" applyBorder="1" applyAlignment="1">
      <alignment horizontal="center" vertical="center" wrapText="1"/>
    </xf>
    <xf numFmtId="0" fontId="72" fillId="0" borderId="182" xfId="0" applyFont="1" applyBorder="1" applyAlignment="1">
      <alignment horizontal="center" vertical="center" wrapText="1"/>
    </xf>
    <xf numFmtId="0" fontId="72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6" fontId="40" fillId="6" borderId="194" xfId="2" applyNumberFormat="1" applyFont="1" applyFill="1" applyBorder="1" applyAlignment="1">
      <alignment horizontal="center" vertical="center"/>
    </xf>
    <xf numFmtId="176" fontId="23" fillId="6" borderId="439" xfId="2" applyNumberFormat="1" applyFont="1" applyFill="1" applyBorder="1" applyAlignment="1">
      <alignment horizontal="center" vertical="center"/>
    </xf>
    <xf numFmtId="200" fontId="13" fillId="0" borderId="193" xfId="2" applyNumberFormat="1" applyFont="1" applyBorder="1">
      <alignment vertical="center"/>
    </xf>
    <xf numFmtId="200" fontId="13" fillId="0" borderId="440" xfId="2" applyNumberFormat="1" applyFont="1" applyFill="1" applyBorder="1">
      <alignment vertical="center"/>
    </xf>
    <xf numFmtId="200" fontId="13" fillId="0" borderId="206" xfId="2" applyNumberFormat="1" applyFont="1" applyBorder="1">
      <alignment vertical="center"/>
    </xf>
    <xf numFmtId="200" fontId="13" fillId="0" borderId="441" xfId="2" applyNumberFormat="1" applyFont="1" applyFill="1" applyBorder="1">
      <alignment vertical="center"/>
    </xf>
    <xf numFmtId="200" fontId="13" fillId="0" borderId="442" xfId="2" applyNumberFormat="1" applyFont="1" applyFill="1" applyBorder="1">
      <alignment vertical="center"/>
    </xf>
    <xf numFmtId="200" fontId="13" fillId="0" borderId="193" xfId="2" applyNumberFormat="1" applyFont="1" applyFill="1" applyBorder="1">
      <alignment vertical="center"/>
    </xf>
    <xf numFmtId="200" fontId="13" fillId="0" borderId="194" xfId="2" applyNumberFormat="1" applyFont="1" applyFill="1" applyBorder="1">
      <alignment vertical="center"/>
    </xf>
    <xf numFmtId="200" fontId="13" fillId="0" borderId="439" xfId="2" applyNumberFormat="1" applyFont="1" applyFill="1" applyBorder="1">
      <alignment vertical="center"/>
    </xf>
    <xf numFmtId="176" fontId="12" fillId="6" borderId="106" xfId="2" applyNumberFormat="1" applyFont="1" applyFill="1" applyBorder="1" applyAlignment="1">
      <alignment horizontal="center" vertical="center"/>
    </xf>
    <xf numFmtId="176" fontId="12" fillId="6" borderId="418" xfId="2" applyNumberFormat="1" applyFont="1" applyFill="1" applyBorder="1" applyAlignment="1">
      <alignment horizontal="center" vertical="center"/>
    </xf>
    <xf numFmtId="200" fontId="13" fillId="0" borderId="35" xfId="2" applyNumberFormat="1" applyFont="1" applyBorder="1">
      <alignment vertical="center"/>
    </xf>
    <xf numFmtId="200" fontId="13" fillId="0" borderId="189" xfId="2" applyNumberFormat="1" applyFont="1" applyBorder="1">
      <alignment vertical="center"/>
    </xf>
    <xf numFmtId="200" fontId="13" fillId="0" borderId="38" xfId="2" applyNumberFormat="1" applyFont="1" applyBorder="1">
      <alignment vertical="center"/>
    </xf>
    <xf numFmtId="200" fontId="13" fillId="0" borderId="75" xfId="2" applyNumberFormat="1" applyFont="1" applyBorder="1">
      <alignment vertical="center"/>
    </xf>
    <xf numFmtId="200" fontId="42" fillId="0" borderId="38" xfId="2" applyNumberFormat="1" applyFont="1" applyFill="1" applyBorder="1" applyAlignment="1">
      <alignment vertical="center"/>
    </xf>
    <xf numFmtId="200" fontId="42" fillId="0" borderId="75" xfId="2" applyNumberFormat="1" applyFont="1" applyFill="1" applyBorder="1" applyAlignment="1">
      <alignment vertical="center"/>
    </xf>
    <xf numFmtId="200" fontId="13" fillId="0" borderId="38" xfId="2" applyNumberFormat="1" applyFont="1" applyBorder="1" applyAlignment="1">
      <alignment vertical="center"/>
    </xf>
    <xf numFmtId="200" fontId="13" fillId="0" borderId="75" xfId="2" applyNumberFormat="1" applyFont="1" applyBorder="1" applyAlignment="1">
      <alignment vertical="center"/>
    </xf>
    <xf numFmtId="200" fontId="13" fillId="0" borderId="49" xfId="2" applyNumberFormat="1" applyFont="1" applyBorder="1">
      <alignment vertical="center"/>
    </xf>
    <xf numFmtId="200" fontId="13" fillId="0" borderId="373" xfId="2" applyNumberFormat="1" applyFont="1" applyBorder="1">
      <alignment vertical="center"/>
    </xf>
    <xf numFmtId="200" fontId="13" fillId="0" borderId="441" xfId="2" applyNumberFormat="1" applyFont="1" applyBorder="1" applyAlignment="1">
      <alignment vertical="center"/>
    </xf>
    <xf numFmtId="200" fontId="13" fillId="0" borderId="441" xfId="2" applyNumberFormat="1" applyFont="1" applyBorder="1">
      <alignment vertical="center"/>
    </xf>
    <xf numFmtId="200" fontId="13" fillId="0" borderId="38" xfId="2" applyNumberFormat="1" applyFont="1" applyFill="1" applyBorder="1" applyAlignment="1">
      <alignment vertical="center"/>
    </xf>
    <xf numFmtId="200" fontId="13" fillId="0" borderId="441" xfId="2" applyNumberFormat="1" applyFont="1" applyFill="1" applyBorder="1" applyAlignment="1">
      <alignment vertical="center"/>
    </xf>
    <xf numFmtId="200" fontId="13" fillId="0" borderId="454" xfId="2" applyNumberFormat="1" applyFont="1" applyFill="1" applyBorder="1">
      <alignment vertical="center"/>
    </xf>
    <xf numFmtId="200" fontId="13" fillId="0" borderId="392" xfId="2" applyNumberFormat="1" applyFont="1" applyFill="1" applyBorder="1">
      <alignment vertical="center"/>
    </xf>
    <xf numFmtId="200" fontId="13" fillId="0" borderId="454" xfId="2" applyNumberFormat="1" applyFont="1" applyBorder="1">
      <alignment vertical="center"/>
    </xf>
    <xf numFmtId="200" fontId="13" fillId="0" borderId="392" xfId="2" applyNumberFormat="1" applyFont="1" applyBorder="1">
      <alignment vertical="center"/>
    </xf>
    <xf numFmtId="200" fontId="13" fillId="0" borderId="38" xfId="2" applyNumberFormat="1" applyFont="1" applyFill="1" applyBorder="1">
      <alignment vertical="center"/>
    </xf>
    <xf numFmtId="200" fontId="13" fillId="0" borderId="75" xfId="2" applyNumberFormat="1" applyFont="1" applyFill="1" applyBorder="1">
      <alignment vertical="center"/>
    </xf>
    <xf numFmtId="200" fontId="13" fillId="0" borderId="455" xfId="2" applyNumberFormat="1" applyFont="1" applyBorder="1">
      <alignment vertical="center"/>
    </xf>
    <xf numFmtId="200" fontId="13" fillId="0" borderId="224" xfId="2" applyNumberFormat="1" applyFont="1" applyBorder="1">
      <alignment vertical="center"/>
    </xf>
    <xf numFmtId="200" fontId="13" fillId="0" borderId="49" xfId="2" applyNumberFormat="1" applyFont="1" applyBorder="1" applyAlignment="1">
      <alignment vertical="center"/>
    </xf>
    <xf numFmtId="200" fontId="13" fillId="0" borderId="373" xfId="2" applyNumberFormat="1" applyFont="1" applyBorder="1" applyAlignment="1">
      <alignment vertical="center"/>
    </xf>
    <xf numFmtId="200" fontId="13" fillId="0" borderId="45" xfId="2" applyNumberFormat="1" applyFont="1" applyBorder="1">
      <alignment vertical="center"/>
    </xf>
    <xf numFmtId="200" fontId="13" fillId="0" borderId="92" xfId="2" applyNumberFormat="1" applyFont="1" applyBorder="1">
      <alignment vertical="center"/>
    </xf>
    <xf numFmtId="200" fontId="13" fillId="0" borderId="55" xfId="2" applyNumberFormat="1" applyFont="1" applyBorder="1" applyAlignment="1">
      <alignment vertical="center"/>
    </xf>
    <xf numFmtId="200" fontId="13" fillId="0" borderId="228" xfId="2" applyNumberFormat="1" applyFont="1" applyBorder="1" applyAlignment="1">
      <alignment vertical="center"/>
    </xf>
    <xf numFmtId="200" fontId="13" fillId="0" borderId="199" xfId="2" applyNumberFormat="1" applyFont="1" applyBorder="1" applyAlignment="1">
      <alignment vertical="center"/>
    </xf>
    <xf numFmtId="200" fontId="13" fillId="0" borderId="394" xfId="2" applyNumberFormat="1" applyFont="1" applyBorder="1" applyAlignment="1">
      <alignment vertical="center"/>
    </xf>
    <xf numFmtId="200" fontId="13" fillId="0" borderId="45" xfId="2" applyNumberFormat="1" applyFont="1" applyBorder="1" applyAlignment="1">
      <alignment vertical="center"/>
    </xf>
    <xf numFmtId="200" fontId="13" fillId="0" borderId="92" xfId="2" applyNumberFormat="1" applyFont="1" applyBorder="1" applyAlignment="1">
      <alignment vertical="center"/>
    </xf>
    <xf numFmtId="200" fontId="13" fillId="0" borderId="106" xfId="2" applyNumberFormat="1" applyFont="1" applyBorder="1" applyAlignment="1">
      <alignment vertical="center"/>
    </xf>
    <xf numFmtId="200" fontId="13" fillId="0" borderId="418" xfId="2" applyNumberFormat="1" applyFont="1" applyBorder="1" applyAlignment="1">
      <alignment vertical="center"/>
    </xf>
    <xf numFmtId="200" fontId="13" fillId="0" borderId="456" xfId="2" applyNumberFormat="1" applyFont="1" applyBorder="1" applyAlignment="1">
      <alignment vertical="center"/>
    </xf>
    <xf numFmtId="200" fontId="13" fillId="0" borderId="419" xfId="2" applyNumberFormat="1" applyFont="1" applyBorder="1" applyAlignment="1">
      <alignment vertical="center"/>
    </xf>
    <xf numFmtId="200" fontId="13" fillId="0" borderId="106" xfId="2" applyNumberFormat="1" applyFont="1" applyFill="1" applyBorder="1">
      <alignment vertical="center"/>
    </xf>
    <xf numFmtId="200" fontId="13" fillId="0" borderId="418" xfId="2" applyNumberFormat="1" applyFont="1" applyFill="1" applyBorder="1">
      <alignment vertical="center"/>
    </xf>
    <xf numFmtId="200" fontId="13" fillId="5" borderId="457" xfId="2" applyNumberFormat="1" applyFont="1" applyFill="1" applyBorder="1">
      <alignment vertical="center"/>
    </xf>
    <xf numFmtId="200" fontId="13" fillId="5" borderId="393" xfId="2" applyNumberFormat="1" applyFont="1" applyFill="1" applyBorder="1">
      <alignment vertical="center"/>
    </xf>
    <xf numFmtId="200" fontId="13" fillId="5" borderId="455" xfId="2" applyNumberFormat="1" applyFont="1" applyFill="1" applyBorder="1">
      <alignment vertical="center"/>
    </xf>
    <xf numFmtId="200" fontId="13" fillId="5" borderId="224" xfId="2" applyNumberFormat="1" applyFont="1" applyFill="1" applyBorder="1">
      <alignment vertical="center"/>
    </xf>
    <xf numFmtId="200" fontId="13" fillId="0" borderId="457" xfId="2" applyNumberFormat="1" applyFont="1" applyBorder="1">
      <alignment vertical="center"/>
    </xf>
    <xf numFmtId="200" fontId="13" fillId="0" borderId="393" xfId="2" applyNumberFormat="1" applyFont="1" applyBorder="1">
      <alignment vertical="center"/>
    </xf>
    <xf numFmtId="0" fontId="2" fillId="0" borderId="247" xfId="9" applyFont="1" applyBorder="1" applyAlignment="1">
      <alignment horizontal="center" vertical="center" wrapText="1"/>
    </xf>
    <xf numFmtId="200" fontId="13" fillId="0" borderId="193" xfId="2" applyNumberFormat="1" applyFont="1" applyBorder="1" applyAlignment="1">
      <alignment vertical="center"/>
    </xf>
    <xf numFmtId="0" fontId="2" fillId="0" borderId="430" xfId="9" applyFont="1" applyBorder="1">
      <alignment vertical="center"/>
    </xf>
    <xf numFmtId="0" fontId="2" fillId="0" borderId="434" xfId="9" applyFont="1" applyBorder="1">
      <alignment vertical="center"/>
    </xf>
    <xf numFmtId="0" fontId="2" fillId="0" borderId="248" xfId="9" applyFont="1" applyBorder="1" applyAlignment="1">
      <alignment horizontal="center" vertical="center" wrapText="1"/>
    </xf>
    <xf numFmtId="200" fontId="13" fillId="0" borderId="194" xfId="2" applyNumberFormat="1" applyFont="1" applyBorder="1" applyAlignment="1">
      <alignment vertical="center"/>
    </xf>
    <xf numFmtId="0" fontId="2" fillId="0" borderId="433" xfId="9" applyFont="1" applyBorder="1">
      <alignment vertical="center"/>
    </xf>
    <xf numFmtId="0" fontId="2" fillId="0" borderId="432" xfId="9" applyFont="1" applyBorder="1">
      <alignment vertical="center"/>
    </xf>
    <xf numFmtId="0" fontId="2" fillId="0" borderId="246" xfId="9" applyFont="1" applyBorder="1" applyAlignment="1">
      <alignment horizontal="center" vertical="center" wrapText="1"/>
    </xf>
    <xf numFmtId="0" fontId="2" fillId="0" borderId="435" xfId="9" applyFont="1" applyBorder="1">
      <alignment vertical="center"/>
    </xf>
    <xf numFmtId="0" fontId="2" fillId="0" borderId="436" xfId="9" applyFont="1" applyBorder="1">
      <alignment vertical="center"/>
    </xf>
    <xf numFmtId="0" fontId="2" fillId="0" borderId="404" xfId="9" applyFont="1" applyBorder="1">
      <alignment vertical="center"/>
    </xf>
    <xf numFmtId="0" fontId="2" fillId="0" borderId="249" xfId="9" applyFont="1" applyBorder="1" applyAlignment="1">
      <alignment horizontal="center" vertical="center" wrapText="1"/>
    </xf>
    <xf numFmtId="0" fontId="2" fillId="0" borderId="250" xfId="9" applyFont="1" applyBorder="1" applyAlignment="1">
      <alignment horizontal="center" vertical="center" wrapText="1"/>
    </xf>
    <xf numFmtId="200" fontId="13" fillId="0" borderId="201" xfId="2" applyNumberFormat="1" applyFont="1" applyBorder="1" applyAlignment="1">
      <alignment vertical="center"/>
    </xf>
    <xf numFmtId="0" fontId="2" fillId="0" borderId="101" xfId="9" applyFont="1" applyBorder="1" applyAlignment="1">
      <alignment horizontal="center" vertical="center" wrapText="1"/>
    </xf>
    <xf numFmtId="0" fontId="72" fillId="0" borderId="101" xfId="9" applyFont="1" applyBorder="1" applyAlignment="1">
      <alignment horizontal="center" vertical="center" wrapText="1"/>
    </xf>
    <xf numFmtId="0" fontId="46" fillId="0" borderId="101" xfId="9" applyFont="1" applyBorder="1" applyAlignment="1">
      <alignment horizontal="center" vertical="center" wrapText="1"/>
    </xf>
    <xf numFmtId="0" fontId="2" fillId="0" borderId="77" xfId="9" applyFont="1" applyBorder="1" applyAlignment="1">
      <alignment horizontal="center" vertical="center" wrapText="1"/>
    </xf>
    <xf numFmtId="0" fontId="72" fillId="0" borderId="77" xfId="9" applyFont="1" applyBorder="1" applyAlignment="1">
      <alignment horizontal="center" vertical="center" wrapText="1"/>
    </xf>
    <xf numFmtId="0" fontId="46" fillId="0" borderId="77" xfId="9" applyFont="1" applyBorder="1" applyAlignment="1">
      <alignment horizontal="center" vertical="center" wrapText="1"/>
    </xf>
    <xf numFmtId="0" fontId="2" fillId="6" borderId="102" xfId="9" applyFont="1" applyFill="1" applyBorder="1" applyAlignment="1">
      <alignment horizontal="center" vertical="center" wrapText="1"/>
    </xf>
    <xf numFmtId="200" fontId="13" fillId="0" borderId="200" xfId="2" applyNumberFormat="1" applyFont="1" applyBorder="1" applyAlignment="1">
      <alignment vertical="center"/>
    </xf>
    <xf numFmtId="0" fontId="2" fillId="0" borderId="245" xfId="9" applyFont="1" applyBorder="1" applyAlignment="1">
      <alignment horizontal="center" vertical="center" wrapText="1"/>
    </xf>
    <xf numFmtId="200" fontId="13" fillId="0" borderId="192" xfId="2" applyNumberFormat="1" applyFont="1" applyBorder="1" applyAlignment="1">
      <alignment vertical="center"/>
    </xf>
    <xf numFmtId="200" fontId="13" fillId="0" borderId="189" xfId="2" applyNumberFormat="1" applyFont="1" applyBorder="1" applyAlignment="1">
      <alignment vertical="center"/>
    </xf>
    <xf numFmtId="200" fontId="13" fillId="0" borderId="35" xfId="2" applyNumberFormat="1" applyFont="1" applyFill="1" applyBorder="1">
      <alignment vertical="center"/>
    </xf>
    <xf numFmtId="200" fontId="13" fillId="0" borderId="189" xfId="2" applyNumberFormat="1" applyFont="1" applyFill="1" applyBorder="1">
      <alignment vertical="center"/>
    </xf>
    <xf numFmtId="200" fontId="13" fillId="0" borderId="49" xfId="2" applyNumberFormat="1" applyFont="1" applyFill="1" applyBorder="1">
      <alignment vertical="center"/>
    </xf>
    <xf numFmtId="200" fontId="13" fillId="0" borderId="373" xfId="2" applyNumberFormat="1" applyFont="1" applyFill="1" applyBorder="1">
      <alignment vertical="center"/>
    </xf>
    <xf numFmtId="200" fontId="13" fillId="0" borderId="75" xfId="2" applyNumberFormat="1" applyFont="1" applyFill="1" applyBorder="1" applyAlignment="1">
      <alignment vertical="center"/>
    </xf>
    <xf numFmtId="200" fontId="13" fillId="0" borderId="49" xfId="2" applyNumberFormat="1" applyFont="1" applyFill="1" applyBorder="1" applyAlignment="1">
      <alignment vertical="center"/>
    </xf>
    <xf numFmtId="200" fontId="13" fillId="0" borderId="373" xfId="2" applyNumberFormat="1" applyFont="1" applyFill="1" applyBorder="1" applyAlignment="1">
      <alignment vertical="center"/>
    </xf>
    <xf numFmtId="200" fontId="13" fillId="0" borderId="455" xfId="2" applyNumberFormat="1" applyFont="1" applyFill="1" applyBorder="1">
      <alignment vertical="center"/>
    </xf>
    <xf numFmtId="200" fontId="13" fillId="0" borderId="224" xfId="2" applyNumberFormat="1" applyFont="1" applyFill="1" applyBorder="1">
      <alignment vertical="center"/>
    </xf>
    <xf numFmtId="200" fontId="13" fillId="0" borderId="104" xfId="2" applyNumberFormat="1" applyFont="1" applyBorder="1">
      <alignment vertical="center"/>
    </xf>
    <xf numFmtId="200" fontId="13" fillId="0" borderId="397" xfId="2" applyNumberFormat="1" applyFont="1" applyBorder="1">
      <alignment vertical="center"/>
    </xf>
    <xf numFmtId="200" fontId="13" fillId="0" borderId="55" xfId="2" applyNumberFormat="1" applyFont="1" applyBorder="1">
      <alignment vertical="center"/>
    </xf>
    <xf numFmtId="200" fontId="13" fillId="0" borderId="228" xfId="2" applyNumberFormat="1" applyFont="1" applyBorder="1">
      <alignment vertical="center"/>
    </xf>
    <xf numFmtId="179" fontId="2" fillId="0" borderId="135" xfId="9" applyNumberFormat="1" applyFont="1" applyBorder="1" applyAlignment="1">
      <alignment horizontal="center" vertical="center" wrapText="1"/>
    </xf>
    <xf numFmtId="0" fontId="2" fillId="0" borderId="34" xfId="9" applyFont="1" applyBorder="1">
      <alignment vertical="center"/>
    </xf>
    <xf numFmtId="179" fontId="2" fillId="0" borderId="6" xfId="9" applyNumberFormat="1" applyFont="1" applyBorder="1" applyAlignment="1">
      <alignment horizontal="center" vertical="center" wrapText="1"/>
    </xf>
    <xf numFmtId="0" fontId="2" fillId="0" borderId="6" xfId="9" applyFont="1" applyBorder="1" applyAlignment="1">
      <alignment horizontal="center" vertical="center" wrapText="1"/>
    </xf>
    <xf numFmtId="0" fontId="2" fillId="0" borderId="37" xfId="9" applyFont="1" applyBorder="1">
      <alignment vertical="center"/>
    </xf>
    <xf numFmtId="0" fontId="2" fillId="0" borderId="182" xfId="9" applyFont="1" applyBorder="1" applyAlignment="1">
      <alignment horizontal="center" vertical="center" wrapText="1"/>
    </xf>
    <xf numFmtId="176" fontId="13" fillId="0" borderId="228" xfId="10" applyNumberFormat="1" applyFont="1" applyBorder="1" applyAlignment="1">
      <alignment vertical="center"/>
    </xf>
    <xf numFmtId="176" fontId="13" fillId="0" borderId="92" xfId="10" applyNumberFormat="1" applyFont="1" applyBorder="1" applyAlignment="1">
      <alignment vertical="center"/>
    </xf>
    <xf numFmtId="0" fontId="2" fillId="0" borderId="196" xfId="9" applyFont="1" applyBorder="1" applyAlignment="1">
      <alignment horizontal="center" vertical="center" wrapText="1"/>
    </xf>
    <xf numFmtId="0" fontId="2" fillId="0" borderId="136" xfId="9" applyFont="1" applyBorder="1" applyAlignment="1">
      <alignment horizontal="center" vertical="center" wrapText="1"/>
    </xf>
    <xf numFmtId="176" fontId="13" fillId="0" borderId="418" xfId="10" applyNumberFormat="1" applyFont="1" applyBorder="1" applyAlignment="1">
      <alignment vertical="center"/>
    </xf>
    <xf numFmtId="0" fontId="2" fillId="0" borderId="48" xfId="9" applyFont="1" applyBorder="1">
      <alignment vertical="center"/>
    </xf>
    <xf numFmtId="0" fontId="2" fillId="0" borderId="102" xfId="9" applyFont="1" applyBorder="1" applyAlignment="1">
      <alignment horizontal="center" vertical="center" wrapText="1"/>
    </xf>
    <xf numFmtId="176" fontId="12" fillId="6" borderId="202" xfId="2" applyNumberFormat="1" applyFont="1" applyFill="1" applyBorder="1" applyAlignment="1">
      <alignment horizontal="center" vertical="center"/>
    </xf>
    <xf numFmtId="176" fontId="12" fillId="6" borderId="445" xfId="2" applyNumberFormat="1" applyFont="1" applyFill="1" applyBorder="1" applyAlignment="1">
      <alignment horizontal="center" vertical="center"/>
    </xf>
    <xf numFmtId="176" fontId="13" fillId="0" borderId="460" xfId="2" applyNumberFormat="1" applyFont="1" applyBorder="1">
      <alignment vertical="center"/>
    </xf>
    <xf numFmtId="176" fontId="13" fillId="0" borderId="461" xfId="2" applyNumberFormat="1" applyFont="1" applyBorder="1">
      <alignment vertical="center"/>
    </xf>
    <xf numFmtId="0" fontId="0" fillId="0" borderId="398" xfId="0" applyBorder="1" applyAlignment="1">
      <alignment horizontal="left" vertical="center"/>
    </xf>
    <xf numFmtId="176" fontId="13" fillId="0" borderId="271" xfId="2" applyNumberFormat="1" applyFont="1" applyBorder="1">
      <alignment vertical="center"/>
    </xf>
    <xf numFmtId="176" fontId="13" fillId="0" borderId="462" xfId="2" applyNumberFormat="1" applyFont="1" applyBorder="1">
      <alignment vertical="center"/>
    </xf>
    <xf numFmtId="0" fontId="0" fillId="0" borderId="399" xfId="0" applyBorder="1" applyAlignment="1">
      <alignment horizontal="left" vertical="center"/>
    </xf>
    <xf numFmtId="176" fontId="13" fillId="0" borderId="193" xfId="2" applyNumberFormat="1" applyFont="1" applyBorder="1">
      <alignment vertical="center"/>
    </xf>
    <xf numFmtId="176" fontId="13" fillId="0" borderId="441" xfId="2" applyNumberFormat="1" applyFont="1" applyBorder="1">
      <alignment vertical="center"/>
    </xf>
    <xf numFmtId="0" fontId="0" fillId="0" borderId="37" xfId="0" applyBorder="1" applyAlignment="1">
      <alignment horizontal="left" vertical="center"/>
    </xf>
    <xf numFmtId="0" fontId="29" fillId="0" borderId="37" xfId="0" applyFont="1" applyBorder="1" applyAlignment="1">
      <alignment horizontal="left" vertical="center"/>
    </xf>
    <xf numFmtId="176" fontId="13" fillId="0" borderId="194" xfId="2" applyNumberFormat="1" applyFont="1" applyBorder="1">
      <alignment vertical="center"/>
    </xf>
    <xf numFmtId="176" fontId="13" fillId="0" borderId="439" xfId="2" applyNumberFormat="1" applyFont="1" applyBorder="1">
      <alignment vertical="center"/>
    </xf>
    <xf numFmtId="0" fontId="0" fillId="0" borderId="48" xfId="0" applyBorder="1" applyAlignment="1">
      <alignment horizontal="left" vertical="center"/>
    </xf>
    <xf numFmtId="0" fontId="29" fillId="0" borderId="48" xfId="0" applyFont="1" applyBorder="1" applyAlignment="1">
      <alignment horizontal="left" vertical="center"/>
    </xf>
    <xf numFmtId="176" fontId="13" fillId="0" borderId="273" xfId="2" applyNumberFormat="1" applyFont="1" applyBorder="1">
      <alignment vertical="center"/>
    </xf>
    <xf numFmtId="176" fontId="13" fillId="0" borderId="463" xfId="2" applyNumberFormat="1" applyFont="1" applyBorder="1">
      <alignment vertical="center"/>
    </xf>
    <xf numFmtId="0" fontId="0" fillId="0" borderId="400" xfId="0" applyBorder="1" applyAlignment="1">
      <alignment horizontal="left" vertical="center"/>
    </xf>
    <xf numFmtId="176" fontId="13" fillId="0" borderId="192" xfId="2" applyNumberFormat="1" applyFont="1" applyBorder="1">
      <alignment vertical="center"/>
    </xf>
    <xf numFmtId="176" fontId="13" fillId="0" borderId="453" xfId="2" applyNumberFormat="1" applyFont="1" applyBorder="1">
      <alignment vertical="center"/>
    </xf>
    <xf numFmtId="0" fontId="0" fillId="0" borderId="34" xfId="0" applyBorder="1" applyAlignment="1">
      <alignment horizontal="left" vertical="center"/>
    </xf>
    <xf numFmtId="176" fontId="13" fillId="0" borderId="200" xfId="2" applyNumberFormat="1" applyFont="1" applyBorder="1">
      <alignment vertical="center"/>
    </xf>
    <xf numFmtId="176" fontId="13" fillId="0" borderId="464" xfId="2" applyNumberFormat="1" applyFont="1" applyBorder="1">
      <alignment vertical="center"/>
    </xf>
    <xf numFmtId="0" fontId="0" fillId="0" borderId="54" xfId="0" applyBorder="1" applyAlignment="1">
      <alignment horizontal="left" vertical="center"/>
    </xf>
    <xf numFmtId="200" fontId="13" fillId="0" borderId="205" xfId="2" applyNumberFormat="1" applyFont="1" applyBorder="1">
      <alignment vertical="center"/>
    </xf>
    <xf numFmtId="200" fontId="13" fillId="0" borderId="440" xfId="2" applyNumberFormat="1" applyFont="1" applyBorder="1">
      <alignment vertical="center"/>
    </xf>
    <xf numFmtId="0" fontId="24" fillId="0" borderId="401" xfId="0" applyFont="1" applyBorder="1" applyAlignment="1">
      <alignment horizontal="left" vertical="center"/>
    </xf>
    <xf numFmtId="201" fontId="13" fillId="11" borderId="386" xfId="2" applyNumberFormat="1" applyFont="1" applyFill="1" applyBorder="1">
      <alignment vertical="center"/>
    </xf>
    <xf numFmtId="0" fontId="24" fillId="0" borderId="37" xfId="0" quotePrefix="1" applyFont="1" applyBorder="1" applyAlignment="1">
      <alignment horizontal="left" vertical="center"/>
    </xf>
    <xf numFmtId="0" fontId="80" fillId="0" borderId="37" xfId="0" quotePrefix="1" applyFont="1" applyBorder="1" applyAlignment="1">
      <alignment horizontal="left" vertical="center"/>
    </xf>
    <xf numFmtId="0" fontId="80" fillId="0" borderId="37" xfId="0" applyFont="1" applyBorder="1" applyAlignment="1">
      <alignment horizontal="left" vertical="center"/>
    </xf>
    <xf numFmtId="200" fontId="13" fillId="0" borderId="439" xfId="2" applyNumberFormat="1" applyFont="1" applyBorder="1">
      <alignment vertical="center"/>
    </xf>
    <xf numFmtId="201" fontId="13" fillId="11" borderId="409" xfId="2" applyNumberFormat="1" applyFont="1" applyFill="1" applyBorder="1">
      <alignment vertical="center"/>
    </xf>
    <xf numFmtId="201" fontId="13" fillId="11" borderId="412" xfId="2" applyNumberFormat="1" applyFont="1" applyFill="1" applyBorder="1">
      <alignment vertical="center"/>
    </xf>
    <xf numFmtId="200" fontId="13" fillId="0" borderId="441" xfId="2" applyNumberFormat="1" applyFont="1" applyBorder="1" applyAlignment="1">
      <alignment horizontal="center" vertical="center"/>
    </xf>
    <xf numFmtId="201" fontId="13" fillId="11" borderId="386" xfId="2" applyNumberFormat="1" applyFont="1" applyFill="1" applyBorder="1" applyAlignment="1">
      <alignment horizontal="center" vertical="center"/>
    </xf>
    <xf numFmtId="200" fontId="13" fillId="0" borderId="465" xfId="2" applyNumberFormat="1" applyFont="1" applyBorder="1">
      <alignment vertical="center"/>
    </xf>
    <xf numFmtId="200" fontId="13" fillId="0" borderId="201" xfId="2" applyNumberFormat="1" applyFont="1" applyBorder="1">
      <alignment vertical="center"/>
    </xf>
    <xf numFmtId="200" fontId="13" fillId="0" borderId="271" xfId="2" applyNumberFormat="1" applyFont="1" applyBorder="1">
      <alignment vertical="center"/>
    </xf>
    <xf numFmtId="200" fontId="13" fillId="0" borderId="193" xfId="2" applyNumberFormat="1" applyFont="1" applyBorder="1" applyAlignment="1">
      <alignment horizontal="right" vertical="center"/>
    </xf>
    <xf numFmtId="200" fontId="13" fillId="0" borderId="207" xfId="2" applyNumberFormat="1" applyFont="1" applyBorder="1">
      <alignment vertical="center"/>
    </xf>
    <xf numFmtId="200" fontId="13" fillId="0" borderId="466" xfId="2" applyNumberFormat="1" applyFont="1" applyBorder="1">
      <alignment vertical="center"/>
    </xf>
    <xf numFmtId="201" fontId="13" fillId="11" borderId="413" xfId="2" applyNumberFormat="1" applyFont="1" applyFill="1" applyBorder="1">
      <alignment vertical="center"/>
    </xf>
    <xf numFmtId="0" fontId="24" fillId="0" borderId="402" xfId="0" applyFont="1" applyBorder="1" applyAlignment="1">
      <alignment horizontal="left" vertical="center"/>
    </xf>
    <xf numFmtId="200" fontId="96" fillId="0" borderId="441" xfId="2" applyNumberFormat="1" applyFont="1" applyBorder="1">
      <alignment vertical="center"/>
    </xf>
    <xf numFmtId="201" fontId="13" fillId="11" borderId="414" xfId="2" applyNumberFormat="1" applyFont="1" applyFill="1" applyBorder="1">
      <alignment vertical="center"/>
    </xf>
    <xf numFmtId="0" fontId="24" fillId="0" borderId="403" xfId="0" applyFont="1" applyBorder="1" applyAlignment="1">
      <alignment horizontal="left" vertical="center"/>
    </xf>
    <xf numFmtId="200" fontId="13" fillId="0" borderId="442" xfId="2" applyNumberFormat="1" applyFont="1" applyBorder="1">
      <alignment vertical="center"/>
    </xf>
    <xf numFmtId="201" fontId="13" fillId="11" borderId="383" xfId="2" applyNumberFormat="1" applyFont="1" applyFill="1" applyBorder="1">
      <alignment vertical="center"/>
    </xf>
    <xf numFmtId="201" fontId="13" fillId="11" borderId="387" xfId="2" applyNumberFormat="1" applyFont="1" applyFill="1" applyBorder="1">
      <alignment vertical="center"/>
    </xf>
    <xf numFmtId="201" fontId="13" fillId="11" borderId="411" xfId="2" applyNumberFormat="1" applyFont="1" applyFill="1" applyBorder="1">
      <alignment vertical="center"/>
    </xf>
    <xf numFmtId="200" fontId="96" fillId="0" borderId="193" xfId="2" applyNumberFormat="1" applyFont="1" applyBorder="1">
      <alignment vertical="center"/>
    </xf>
    <xf numFmtId="201" fontId="13" fillId="11" borderId="387" xfId="2" applyNumberFormat="1" applyFont="1" applyFill="1" applyBorder="1" applyAlignment="1">
      <alignment vertical="center"/>
    </xf>
    <xf numFmtId="0" fontId="92" fillId="0" borderId="54" xfId="0" applyFont="1" applyBorder="1" applyAlignment="1">
      <alignment horizontal="left" vertical="center"/>
    </xf>
    <xf numFmtId="200" fontId="13" fillId="0" borderId="460" xfId="2" applyNumberFormat="1" applyFont="1" applyBorder="1">
      <alignment vertical="center"/>
    </xf>
    <xf numFmtId="200" fontId="13" fillId="0" borderId="453" xfId="2" applyNumberFormat="1" applyFont="1" applyBorder="1">
      <alignment vertical="center"/>
    </xf>
    <xf numFmtId="0" fontId="24" fillId="0" borderId="399" xfId="0" applyFont="1" applyBorder="1" applyAlignment="1">
      <alignment horizontal="left" vertical="center"/>
    </xf>
    <xf numFmtId="200" fontId="13" fillId="0" borderId="462" xfId="2" applyNumberFormat="1" applyFont="1" applyBorder="1">
      <alignment vertical="center"/>
    </xf>
    <xf numFmtId="201" fontId="13" fillId="11" borderId="408" xfId="2" applyNumberFormat="1" applyFont="1" applyFill="1" applyBorder="1">
      <alignment vertical="center"/>
    </xf>
    <xf numFmtId="200" fontId="13" fillId="0" borderId="206" xfId="2" applyNumberFormat="1" applyFont="1" applyFill="1" applyBorder="1">
      <alignment vertical="center"/>
    </xf>
    <xf numFmtId="200" fontId="13" fillId="0" borderId="194" xfId="2" applyNumberFormat="1" applyFont="1" applyBorder="1">
      <alignment vertical="center"/>
    </xf>
    <xf numFmtId="200" fontId="96" fillId="0" borderId="439" xfId="2" applyNumberFormat="1" applyFont="1" applyBorder="1">
      <alignment vertical="center"/>
    </xf>
    <xf numFmtId="200" fontId="13" fillId="0" borderId="467" xfId="2" applyNumberFormat="1" applyFont="1" applyBorder="1">
      <alignment vertical="center"/>
    </xf>
    <xf numFmtId="200" fontId="13" fillId="0" borderId="468" xfId="2" applyNumberFormat="1" applyFont="1" applyBorder="1">
      <alignment vertical="center"/>
    </xf>
    <xf numFmtId="201" fontId="13" fillId="11" borderId="415" xfId="2" applyNumberFormat="1" applyFont="1" applyFill="1" applyBorder="1">
      <alignment vertical="center"/>
    </xf>
    <xf numFmtId="0" fontId="0" fillId="0" borderId="405" xfId="0" applyBorder="1" applyAlignment="1">
      <alignment horizontal="left" vertical="center"/>
    </xf>
    <xf numFmtId="201" fontId="13" fillId="11" borderId="416" xfId="2" applyNumberFormat="1" applyFont="1" applyFill="1" applyBorder="1">
      <alignment vertical="center"/>
    </xf>
    <xf numFmtId="0" fontId="0" fillId="0" borderId="406" xfId="0" applyBorder="1" applyAlignment="1">
      <alignment horizontal="left" vertical="center"/>
    </xf>
    <xf numFmtId="200" fontId="13" fillId="0" borderId="469" xfId="2" applyNumberFormat="1" applyFont="1" applyBorder="1">
      <alignment vertical="center"/>
    </xf>
    <xf numFmtId="200" fontId="13" fillId="0" borderId="470" xfId="2" applyNumberFormat="1" applyFont="1" applyBorder="1">
      <alignment vertical="center"/>
    </xf>
    <xf numFmtId="200" fontId="13" fillId="0" borderId="438" xfId="2" applyNumberFormat="1" applyFont="1" applyBorder="1">
      <alignment vertical="center"/>
    </xf>
    <xf numFmtId="0" fontId="24" fillId="0" borderId="400" xfId="0" applyFont="1" applyBorder="1" applyAlignment="1">
      <alignment horizontal="left" vertical="center"/>
    </xf>
    <xf numFmtId="176" fontId="13" fillId="0" borderId="189" xfId="2" applyNumberFormat="1" applyFont="1" applyBorder="1" applyAlignment="1">
      <alignment horizontal="center" vertical="center"/>
    </xf>
    <xf numFmtId="200" fontId="13" fillId="0" borderId="192" xfId="2" applyNumberFormat="1" applyFont="1" applyBorder="1">
      <alignment vertical="center"/>
    </xf>
    <xf numFmtId="200" fontId="96" fillId="0" borderId="453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3" fillId="0" borderId="373" xfId="2" applyNumberFormat="1" applyFont="1" applyBorder="1" applyAlignment="1">
      <alignment vertical="center"/>
    </xf>
    <xf numFmtId="176" fontId="13" fillId="0" borderId="189" xfId="2" applyNumberFormat="1" applyFont="1" applyBorder="1" applyAlignment="1">
      <alignment vertical="center"/>
    </xf>
    <xf numFmtId="200" fontId="13" fillId="0" borderId="200" xfId="2" applyNumberFormat="1" applyFont="1" applyBorder="1">
      <alignment vertical="center"/>
    </xf>
    <xf numFmtId="200" fontId="96" fillId="0" borderId="464" xfId="2" applyNumberFormat="1" applyFont="1" applyBorder="1">
      <alignment vertical="center"/>
    </xf>
    <xf numFmtId="200" fontId="13" fillId="0" borderId="471" xfId="2" applyNumberFormat="1" applyFont="1" applyBorder="1">
      <alignment vertical="center"/>
    </xf>
    <xf numFmtId="200" fontId="13" fillId="0" borderId="472" xfId="2" applyNumberFormat="1" applyFont="1" applyBorder="1">
      <alignment vertical="center"/>
    </xf>
    <xf numFmtId="201" fontId="13" fillId="11" borderId="473" xfId="2" applyNumberFormat="1" applyFont="1" applyFill="1" applyBorder="1">
      <alignment vertical="center"/>
    </xf>
    <xf numFmtId="200" fontId="13" fillId="0" borderId="474" xfId="2" applyNumberFormat="1" applyFont="1" applyBorder="1">
      <alignment vertical="center"/>
    </xf>
    <xf numFmtId="200" fontId="13" fillId="0" borderId="475" xfId="2" applyNumberFormat="1" applyFont="1" applyBorder="1">
      <alignment vertical="center"/>
    </xf>
    <xf numFmtId="201" fontId="13" fillId="11" borderId="476" xfId="2" applyNumberFormat="1" applyFont="1" applyFill="1" applyBorder="1">
      <alignment vertical="center"/>
    </xf>
    <xf numFmtId="200" fontId="13" fillId="0" borderId="477" xfId="2" applyNumberFormat="1" applyFont="1" applyBorder="1">
      <alignment vertical="center"/>
    </xf>
    <xf numFmtId="200" fontId="13" fillId="0" borderId="478" xfId="2" applyNumberFormat="1" applyFont="1" applyBorder="1">
      <alignment vertical="center"/>
    </xf>
    <xf numFmtId="201" fontId="13" fillId="11" borderId="479" xfId="2" applyNumberFormat="1" applyFont="1" applyFill="1" applyBorder="1">
      <alignment vertical="center"/>
    </xf>
    <xf numFmtId="200" fontId="13" fillId="0" borderId="446" xfId="2" applyNumberFormat="1" applyFont="1" applyBorder="1">
      <alignment vertical="center"/>
    </xf>
    <xf numFmtId="200" fontId="13" fillId="0" borderId="441" xfId="2" applyNumberFormat="1" applyFont="1" applyBorder="1" applyAlignment="1">
      <alignment vertical="center" wrapText="1"/>
    </xf>
    <xf numFmtId="201" fontId="13" fillId="11" borderId="386" xfId="2" applyNumberFormat="1" applyFont="1" applyFill="1" applyBorder="1" applyAlignment="1">
      <alignment vertical="center" wrapText="1"/>
    </xf>
    <xf numFmtId="176" fontId="13" fillId="0" borderId="397" xfId="2" applyNumberFormat="1" applyFont="1" applyBorder="1" applyAlignment="1">
      <alignment vertical="center"/>
    </xf>
    <xf numFmtId="200" fontId="13" fillId="0" borderId="372" xfId="2" applyNumberFormat="1" applyFont="1" applyBorder="1">
      <alignment vertical="center"/>
    </xf>
    <xf numFmtId="201" fontId="13" fillId="11" borderId="417" xfId="2" applyNumberFormat="1" applyFont="1" applyFill="1" applyBorder="1">
      <alignment vertical="center"/>
    </xf>
    <xf numFmtId="0" fontId="24" fillId="0" borderId="105" xfId="0" applyFont="1" applyBorder="1" applyAlignment="1">
      <alignment horizontal="left" vertical="center"/>
    </xf>
    <xf numFmtId="0" fontId="55" fillId="0" borderId="218" xfId="0" applyFont="1" applyBorder="1">
      <alignment vertical="center"/>
    </xf>
    <xf numFmtId="0" fontId="55" fillId="0" borderId="126" xfId="0" applyFont="1" applyBorder="1">
      <alignment vertical="center"/>
    </xf>
    <xf numFmtId="0" fontId="55" fillId="0" borderId="174" xfId="0" applyFont="1" applyBorder="1">
      <alignment vertical="center"/>
    </xf>
    <xf numFmtId="0" fontId="55" fillId="4" borderId="115" xfId="0" applyFont="1" applyFill="1" applyBorder="1">
      <alignment vertical="center"/>
    </xf>
    <xf numFmtId="0" fontId="55" fillId="0" borderId="115" xfId="0" applyFont="1" applyBorder="1" applyAlignment="1">
      <alignment vertical="center" wrapText="1"/>
    </xf>
    <xf numFmtId="0" fontId="64" fillId="6" borderId="174" xfId="0" applyFont="1" applyFill="1" applyBorder="1" applyAlignment="1">
      <alignment horizontal="center" vertical="center" wrapText="1"/>
    </xf>
    <xf numFmtId="0" fontId="64" fillId="7" borderId="220" xfId="0" applyFont="1" applyFill="1" applyBorder="1" applyAlignment="1">
      <alignment horizontal="center" vertical="center" wrapText="1"/>
    </xf>
    <xf numFmtId="176" fontId="12" fillId="24" borderId="382" xfId="2" applyNumberFormat="1" applyFont="1" applyFill="1" applyBorder="1" applyAlignment="1">
      <alignment vertical="center" wrapText="1"/>
    </xf>
    <xf numFmtId="0" fontId="55" fillId="0" borderId="222" xfId="0" applyFont="1" applyBorder="1">
      <alignment vertical="center"/>
    </xf>
    <xf numFmtId="0" fontId="55" fillId="0" borderId="175" xfId="0" applyFont="1" applyBorder="1">
      <alignment vertical="center"/>
    </xf>
    <xf numFmtId="0" fontId="55" fillId="0" borderId="173" xfId="0" applyFont="1" applyBorder="1">
      <alignment vertical="center"/>
    </xf>
    <xf numFmtId="200" fontId="55" fillId="6" borderId="96" xfId="2" applyNumberFormat="1" applyFont="1" applyFill="1" applyBorder="1" applyAlignment="1" applyProtection="1">
      <alignment horizontal="center" vertical="center"/>
    </xf>
    <xf numFmtId="200" fontId="55" fillId="7" borderId="150" xfId="2" applyNumberFormat="1" applyFont="1" applyFill="1" applyBorder="1" applyAlignment="1" applyProtection="1">
      <alignment horizontal="center" vertical="center"/>
    </xf>
    <xf numFmtId="200" fontId="55" fillId="31" borderId="385" xfId="2" applyNumberFormat="1" applyFont="1" applyFill="1" applyBorder="1" applyAlignment="1" applyProtection="1">
      <alignment horizontal="center" vertical="center"/>
    </xf>
    <xf numFmtId="200" fontId="55" fillId="6" borderId="94" xfId="2" applyNumberFormat="1" applyFont="1" applyFill="1" applyBorder="1" applyAlignment="1" applyProtection="1">
      <alignment horizontal="center" vertical="center"/>
    </xf>
    <xf numFmtId="200" fontId="55" fillId="7" borderId="75" xfId="2" applyNumberFormat="1" applyFont="1" applyFill="1" applyBorder="1" applyAlignment="1" applyProtection="1">
      <alignment horizontal="center" vertical="center"/>
    </xf>
    <xf numFmtId="200" fontId="55" fillId="31" borderId="386" xfId="2" applyNumberFormat="1" applyFont="1" applyFill="1" applyBorder="1" applyAlignment="1" applyProtection="1">
      <alignment horizontal="center" vertical="center"/>
    </xf>
    <xf numFmtId="0" fontId="55" fillId="0" borderId="125" xfId="0" applyFont="1" applyBorder="1">
      <alignment vertical="center"/>
    </xf>
    <xf numFmtId="200" fontId="55" fillId="12" borderId="94" xfId="2" applyNumberFormat="1" applyFont="1" applyFill="1" applyBorder="1" applyAlignment="1" applyProtection="1">
      <alignment horizontal="center" vertical="center"/>
    </xf>
    <xf numFmtId="200" fontId="55" fillId="12" borderId="75" xfId="2" applyNumberFormat="1" applyFont="1" applyFill="1" applyBorder="1" applyAlignment="1" applyProtection="1">
      <alignment horizontal="center" vertical="center"/>
    </xf>
    <xf numFmtId="200" fontId="55" fillId="12" borderId="386" xfId="2" applyNumberFormat="1" applyFont="1" applyFill="1" applyBorder="1" applyAlignment="1" applyProtection="1">
      <alignment horizontal="center" vertical="center"/>
    </xf>
    <xf numFmtId="0" fontId="55" fillId="0" borderId="102" xfId="0" applyFont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200" fontId="55" fillId="24" borderId="386" xfId="2" applyNumberFormat="1" applyFont="1" applyFill="1" applyBorder="1" applyAlignment="1" applyProtection="1">
      <alignment horizontal="center" vertical="center"/>
    </xf>
    <xf numFmtId="0" fontId="57" fillId="6" borderId="482" xfId="0" applyFont="1" applyFill="1" applyBorder="1" applyAlignment="1">
      <alignment vertical="center" wrapText="1"/>
    </xf>
    <xf numFmtId="0" fontId="56" fillId="7" borderId="482" xfId="0" applyFont="1" applyFill="1" applyBorder="1" applyAlignment="1">
      <alignment vertical="center" wrapText="1"/>
    </xf>
    <xf numFmtId="0" fontId="55" fillId="0" borderId="176" xfId="0" applyFont="1" applyBorder="1">
      <alignment vertical="center"/>
    </xf>
    <xf numFmtId="200" fontId="55" fillId="0" borderId="483" xfId="2" applyNumberFormat="1" applyFont="1" applyFill="1" applyBorder="1" applyAlignment="1" applyProtection="1">
      <alignment horizontal="center" vertical="center"/>
    </xf>
    <xf numFmtId="200" fontId="55" fillId="0" borderId="75" xfId="2" applyNumberFormat="1" applyFont="1" applyFill="1" applyBorder="1" applyAlignment="1" applyProtection="1">
      <alignment horizontal="center" vertical="center"/>
    </xf>
    <xf numFmtId="200" fontId="55" fillId="0" borderId="386" xfId="2" applyNumberFormat="1" applyFont="1" applyFill="1" applyBorder="1" applyAlignment="1" applyProtection="1">
      <alignment horizontal="center" vertical="center"/>
    </xf>
    <xf numFmtId="0" fontId="56" fillId="7" borderId="101" xfId="0" applyFont="1" applyFill="1" applyBorder="1">
      <alignment vertical="center"/>
    </xf>
    <xf numFmtId="0" fontId="57" fillId="6" borderId="101" xfId="0" applyFont="1" applyFill="1" applyBorder="1">
      <alignment vertical="center"/>
    </xf>
    <xf numFmtId="200" fontId="55" fillId="6" borderId="483" xfId="2" applyNumberFormat="1" applyFont="1" applyFill="1" applyBorder="1" applyAlignment="1" applyProtection="1">
      <alignment horizontal="center" vertical="center"/>
    </xf>
    <xf numFmtId="0" fontId="55" fillId="0" borderId="179" xfId="0" applyFont="1" applyBorder="1">
      <alignment vertical="center"/>
    </xf>
    <xf numFmtId="0" fontId="55" fillId="0" borderId="79" xfId="0" applyFont="1" applyBorder="1">
      <alignment vertical="center"/>
    </xf>
    <xf numFmtId="0" fontId="55" fillId="0" borderId="180" xfId="0" applyFont="1" applyBorder="1">
      <alignment vertical="center"/>
    </xf>
    <xf numFmtId="0" fontId="56" fillId="0" borderId="75" xfId="0" applyFont="1" applyBorder="1" applyAlignment="1">
      <alignment horizontal="center" vertical="center" wrapText="1"/>
    </xf>
    <xf numFmtId="0" fontId="57" fillId="0" borderId="484" xfId="0" applyFont="1" applyBorder="1" applyAlignment="1">
      <alignment vertical="center" wrapText="1"/>
    </xf>
    <xf numFmtId="0" fontId="56" fillId="0" borderId="375" xfId="0" applyFont="1" applyBorder="1" applyAlignment="1">
      <alignment vertical="center" wrapText="1"/>
    </xf>
    <xf numFmtId="0" fontId="58" fillId="0" borderId="82" xfId="0" quotePrefix="1" applyFont="1" applyBorder="1" applyAlignment="1">
      <alignment horizontal="center" vertical="center"/>
    </xf>
    <xf numFmtId="0" fontId="55" fillId="0" borderId="227" xfId="0" applyFont="1" applyBorder="1">
      <alignment vertical="center"/>
    </xf>
    <xf numFmtId="0" fontId="55" fillId="0" borderId="80" xfId="0" applyFont="1" applyBorder="1">
      <alignment vertical="center"/>
    </xf>
    <xf numFmtId="0" fontId="55" fillId="0" borderId="178" xfId="0" applyFont="1" applyBorder="1">
      <alignment vertical="center"/>
    </xf>
    <xf numFmtId="0" fontId="55" fillId="16" borderId="79" xfId="0" applyFont="1" applyFill="1" applyBorder="1">
      <alignment vertical="center"/>
    </xf>
    <xf numFmtId="0" fontId="55" fillId="16" borderId="179" xfId="0" applyFont="1" applyFill="1" applyBorder="1">
      <alignment vertical="center"/>
    </xf>
    <xf numFmtId="200" fontId="55" fillId="24" borderId="94" xfId="2" applyNumberFormat="1" applyFont="1" applyFill="1" applyBorder="1" applyAlignment="1" applyProtection="1">
      <alignment horizontal="center" vertical="center"/>
    </xf>
    <xf numFmtId="200" fontId="55" fillId="24" borderId="75" xfId="2" applyNumberFormat="1" applyFont="1" applyFill="1" applyBorder="1" applyAlignment="1" applyProtection="1">
      <alignment horizontal="center" vertical="center"/>
    </xf>
    <xf numFmtId="0" fontId="57" fillId="6" borderId="102" xfId="0" applyFont="1" applyFill="1" applyBorder="1" applyAlignment="1">
      <alignment vertical="center" wrapText="1"/>
    </xf>
    <xf numFmtId="0" fontId="56" fillId="11" borderId="102" xfId="0" applyFont="1" applyFill="1" applyBorder="1" applyAlignment="1">
      <alignment vertical="center" wrapText="1"/>
    </xf>
    <xf numFmtId="0" fontId="57" fillId="6" borderId="125" xfId="0" applyFont="1" applyFill="1" applyBorder="1">
      <alignment vertical="center"/>
    </xf>
    <xf numFmtId="0" fontId="56" fillId="7" borderId="125" xfId="0" applyFont="1" applyFill="1" applyBorder="1">
      <alignment vertical="center"/>
    </xf>
    <xf numFmtId="0" fontId="57" fillId="6" borderId="125" xfId="0" applyFont="1" applyFill="1" applyBorder="1" applyAlignment="1">
      <alignment vertical="center" wrapText="1"/>
    </xf>
    <xf numFmtId="0" fontId="56" fillId="7" borderId="125" xfId="0" applyFont="1" applyFill="1" applyBorder="1" applyAlignment="1">
      <alignment vertical="center" wrapText="1"/>
    </xf>
    <xf numFmtId="0" fontId="55" fillId="11" borderId="96" xfId="0" applyFont="1" applyFill="1" applyBorder="1">
      <alignment vertical="center"/>
    </xf>
    <xf numFmtId="0" fontId="55" fillId="11" borderId="94" xfId="0" applyFont="1" applyFill="1" applyBorder="1">
      <alignment vertical="center"/>
    </xf>
    <xf numFmtId="0" fontId="55" fillId="11" borderId="91" xfId="0" applyFont="1" applyFill="1" applyBorder="1">
      <alignment vertical="center"/>
    </xf>
    <xf numFmtId="0" fontId="57" fillId="6" borderId="115" xfId="0" applyFont="1" applyFill="1" applyBorder="1" applyAlignment="1">
      <alignment vertical="center" wrapText="1"/>
    </xf>
    <xf numFmtId="0" fontId="55" fillId="11" borderId="176" xfId="0" applyFont="1" applyFill="1" applyBorder="1">
      <alignment vertical="center"/>
    </xf>
    <xf numFmtId="0" fontId="56" fillId="7" borderId="214" xfId="0" applyFont="1" applyFill="1" applyBorder="1" applyAlignment="1">
      <alignment vertical="center" wrapText="1"/>
    </xf>
    <xf numFmtId="0" fontId="57" fillId="6" borderId="214" xfId="0" applyFont="1" applyFill="1" applyBorder="1" applyAlignment="1">
      <alignment vertical="center" wrapText="1"/>
    </xf>
    <xf numFmtId="184" fontId="56" fillId="7" borderId="224" xfId="2" applyNumberFormat="1" applyFont="1" applyFill="1" applyBorder="1" applyAlignment="1" applyProtection="1">
      <alignment horizontal="center" vertical="center" wrapText="1"/>
    </xf>
    <xf numFmtId="0" fontId="57" fillId="35" borderId="83" xfId="0" applyFont="1" applyFill="1" applyBorder="1" applyAlignment="1">
      <alignment horizontal="center" vertical="center"/>
    </xf>
    <xf numFmtId="0" fontId="55" fillId="11" borderId="174" xfId="0" applyFont="1" applyFill="1" applyBorder="1">
      <alignment vertical="center"/>
    </xf>
    <xf numFmtId="0" fontId="55" fillId="11" borderId="173" xfId="0" applyFont="1" applyFill="1" applyBorder="1">
      <alignment vertical="center"/>
    </xf>
    <xf numFmtId="0" fontId="57" fillId="6" borderId="77" xfId="0" applyFont="1" applyFill="1" applyBorder="1" applyAlignment="1">
      <alignment vertical="center" wrapText="1"/>
    </xf>
    <xf numFmtId="0" fontId="57" fillId="0" borderId="485" xfId="0" applyFont="1" applyBorder="1">
      <alignment vertical="center"/>
    </xf>
    <xf numFmtId="0" fontId="57" fillId="0" borderId="487" xfId="0" applyFont="1" applyBorder="1">
      <alignment vertical="center"/>
    </xf>
    <xf numFmtId="184" fontId="57" fillId="6" borderId="216" xfId="2" applyNumberFormat="1" applyFont="1" applyFill="1" applyBorder="1" applyAlignment="1" applyProtection="1">
      <alignment horizontal="center" vertical="center"/>
    </xf>
    <xf numFmtId="0" fontId="57" fillId="6" borderId="6" xfId="0" applyFont="1" applyFill="1" applyBorder="1" applyAlignment="1">
      <alignment vertical="center" wrapText="1"/>
    </xf>
    <xf numFmtId="184" fontId="56" fillId="7" borderId="216" xfId="2" applyNumberFormat="1" applyFont="1" applyFill="1" applyBorder="1" applyAlignment="1" applyProtection="1">
      <alignment horizontal="center" vertical="center"/>
    </xf>
    <xf numFmtId="0" fontId="55" fillId="0" borderId="73" xfId="0" applyFont="1" applyBorder="1">
      <alignment vertical="center"/>
    </xf>
    <xf numFmtId="0" fontId="58" fillId="12" borderId="173" xfId="0" applyFont="1" applyFill="1" applyBorder="1" applyAlignment="1">
      <alignment vertical="center" wrapText="1"/>
    </xf>
    <xf numFmtId="0" fontId="58" fillId="12" borderId="176" xfId="0" applyFont="1" applyFill="1" applyBorder="1">
      <alignment vertical="center"/>
    </xf>
    <xf numFmtId="0" fontId="56" fillId="7" borderId="102" xfId="0" applyFont="1" applyFill="1" applyBorder="1" applyAlignment="1">
      <alignment vertical="center" wrapText="1"/>
    </xf>
    <xf numFmtId="0" fontId="56" fillId="7" borderId="115" xfId="0" applyFont="1" applyFill="1" applyBorder="1" applyAlignment="1">
      <alignment vertical="center" wrapText="1"/>
    </xf>
    <xf numFmtId="0" fontId="58" fillId="12" borderId="174" xfId="0" applyFont="1" applyFill="1" applyBorder="1">
      <alignment vertical="center"/>
    </xf>
    <xf numFmtId="0" fontId="56" fillId="0" borderId="86" xfId="0" applyFont="1" applyBorder="1" applyAlignment="1">
      <alignment horizontal="center" vertical="center" wrapText="1"/>
    </xf>
    <xf numFmtId="200" fontId="55" fillId="6" borderId="91" xfId="2" applyNumberFormat="1" applyFont="1" applyFill="1" applyBorder="1" applyAlignment="1" applyProtection="1">
      <alignment horizontal="center" vertical="center"/>
    </xf>
    <xf numFmtId="200" fontId="55" fillId="7" borderId="90" xfId="2" applyNumberFormat="1" applyFont="1" applyFill="1" applyBorder="1" applyAlignment="1" applyProtection="1">
      <alignment horizontal="center" vertical="center"/>
    </xf>
    <xf numFmtId="200" fontId="55" fillId="24" borderId="388" xfId="2" applyNumberFormat="1" applyFont="1" applyFill="1" applyBorder="1" applyAlignment="1" applyProtection="1">
      <alignment horizontal="center" vertical="center"/>
    </xf>
    <xf numFmtId="185" fontId="55" fillId="23" borderId="258" xfId="2" applyNumberFormat="1" applyFont="1" applyFill="1" applyBorder="1" applyAlignment="1" applyProtection="1">
      <alignment horizontal="center" vertical="center"/>
    </xf>
    <xf numFmtId="200" fontId="55" fillId="12" borderId="94" xfId="2" applyNumberFormat="1" applyFont="1" applyFill="1" applyBorder="1" applyAlignment="1" applyProtection="1">
      <alignment horizontal="center" vertical="center"/>
    </xf>
    <xf numFmtId="0" fontId="57" fillId="12" borderId="350" xfId="0" applyFont="1" applyFill="1" applyBorder="1" applyAlignment="1">
      <alignment horizontal="center" vertical="center" wrapText="1"/>
    </xf>
    <xf numFmtId="0" fontId="57" fillId="12" borderId="351" xfId="0" applyFont="1" applyFill="1" applyBorder="1" applyAlignment="1">
      <alignment horizontal="center" vertical="center" wrapText="1"/>
    </xf>
    <xf numFmtId="0" fontId="57" fillId="12" borderId="224" xfId="0" applyFont="1" applyFill="1" applyBorder="1" applyAlignment="1">
      <alignment horizontal="center" vertical="center" wrapText="1"/>
    </xf>
    <xf numFmtId="0" fontId="57" fillId="12" borderId="244" xfId="0" applyFont="1" applyFill="1" applyBorder="1" applyAlignment="1">
      <alignment horizontal="center" vertical="center" wrapText="1"/>
    </xf>
    <xf numFmtId="0" fontId="55" fillId="0" borderId="6" xfId="0" applyFont="1" applyBorder="1" applyAlignment="1">
      <alignment horizontal="center" vertical="center"/>
    </xf>
    <xf numFmtId="0" fontId="55" fillId="0" borderId="71" xfId="0" applyFont="1" applyBorder="1" applyAlignment="1">
      <alignment horizontal="center" vertical="center"/>
    </xf>
    <xf numFmtId="0" fontId="57" fillId="23" borderId="6" xfId="0" applyFont="1" applyFill="1" applyBorder="1" applyAlignment="1">
      <alignment horizontal="center" vertical="center"/>
    </xf>
    <xf numFmtId="0" fontId="57" fillId="23" borderId="71" xfId="0" applyFont="1" applyFill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186" fontId="55" fillId="23" borderId="139" xfId="2" applyNumberFormat="1" applyFont="1" applyFill="1" applyBorder="1" applyAlignment="1" applyProtection="1">
      <alignment horizontal="center" vertical="center"/>
    </xf>
    <xf numFmtId="186" fontId="55" fillId="23" borderId="486" xfId="2" applyNumberFormat="1" applyFont="1" applyFill="1" applyBorder="1" applyAlignment="1" applyProtection="1">
      <alignment horizontal="center" vertical="center"/>
    </xf>
    <xf numFmtId="186" fontId="55" fillId="23" borderId="259" xfId="2" applyNumberFormat="1" applyFont="1" applyFill="1" applyBorder="1" applyAlignment="1" applyProtection="1">
      <alignment horizontal="center" vertical="center"/>
    </xf>
    <xf numFmtId="186" fontId="55" fillId="23" borderId="260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 wrapText="1"/>
    </xf>
    <xf numFmtId="0" fontId="56" fillId="7" borderId="77" xfId="0" applyFont="1" applyFill="1" applyBorder="1" applyAlignment="1">
      <alignment horizontal="center" vertical="center" wrapText="1"/>
    </xf>
    <xf numFmtId="0" fontId="57" fillId="6" borderId="214" xfId="0" applyFont="1" applyFill="1" applyBorder="1" applyAlignment="1">
      <alignment horizontal="center" vertical="center" wrapText="1"/>
    </xf>
    <xf numFmtId="0" fontId="57" fillId="6" borderId="211" xfId="0" applyFont="1" applyFill="1" applyBorder="1" applyAlignment="1">
      <alignment horizontal="center" vertical="center" wrapText="1"/>
    </xf>
    <xf numFmtId="0" fontId="57" fillId="6" borderId="243" xfId="0" applyFont="1" applyFill="1" applyBorder="1" applyAlignment="1">
      <alignment horizontal="center" vertical="center" wrapText="1"/>
    </xf>
    <xf numFmtId="185" fontId="55" fillId="23" borderId="259" xfId="2" applyNumberFormat="1" applyFont="1" applyFill="1" applyBorder="1" applyAlignment="1" applyProtection="1">
      <alignment horizontal="center" vertical="center"/>
    </xf>
    <xf numFmtId="185" fontId="55" fillId="23" borderId="260" xfId="2" applyNumberFormat="1" applyFont="1" applyFill="1" applyBorder="1" applyAlignment="1" applyProtection="1">
      <alignment horizontal="center" vertical="center"/>
    </xf>
    <xf numFmtId="0" fontId="55" fillId="0" borderId="101" xfId="0" applyFont="1" applyBorder="1" applyAlignment="1">
      <alignment horizontal="center" vertical="center"/>
    </xf>
    <xf numFmtId="0" fontId="55" fillId="0" borderId="77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5" fillId="4" borderId="101" xfId="0" applyFont="1" applyFill="1" applyBorder="1" applyAlignment="1">
      <alignment horizontal="center" vertical="center"/>
    </xf>
    <xf numFmtId="0" fontId="55" fillId="4" borderId="77" xfId="0" applyFont="1" applyFill="1" applyBorder="1" applyAlignment="1">
      <alignment horizontal="center" vertical="center"/>
    </xf>
    <xf numFmtId="0" fontId="55" fillId="7" borderId="101" xfId="0" applyFont="1" applyFill="1" applyBorder="1" applyAlignment="1">
      <alignment horizontal="center" vertical="center"/>
    </xf>
    <xf numFmtId="0" fontId="55" fillId="7" borderId="77" xfId="0" applyFont="1" applyFill="1" applyBorder="1" applyAlignment="1">
      <alignment horizontal="center" vertical="center"/>
    </xf>
    <xf numFmtId="0" fontId="55" fillId="12" borderId="101" xfId="0" applyFont="1" applyFill="1" applyBorder="1" applyAlignment="1">
      <alignment horizontal="center" vertical="center"/>
    </xf>
    <xf numFmtId="0" fontId="55" fillId="12" borderId="77" xfId="0" applyFont="1" applyFill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12" borderId="17" xfId="0" applyFont="1" applyFill="1" applyBorder="1" applyAlignment="1">
      <alignment horizontal="center" vertical="center" wrapText="1"/>
    </xf>
    <xf numFmtId="0" fontId="57" fillId="12" borderId="16" xfId="0" applyFont="1" applyFill="1" applyBorder="1" applyAlignment="1">
      <alignment horizontal="center" vertical="center" wrapText="1"/>
    </xf>
    <xf numFmtId="0" fontId="57" fillId="12" borderId="69" xfId="0" applyFont="1" applyFill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0" fontId="57" fillId="12" borderId="75" xfId="0" applyFont="1" applyFill="1" applyBorder="1" applyAlignment="1">
      <alignment horizontal="center" vertical="center" wrapText="1"/>
    </xf>
    <xf numFmtId="0" fontId="57" fillId="12" borderId="83" xfId="0" applyFont="1" applyFill="1" applyBorder="1" applyAlignment="1">
      <alignment horizontal="center" vertical="center" wrapText="1"/>
    </xf>
    <xf numFmtId="0" fontId="55" fillId="0" borderId="102" xfId="0" applyFont="1" applyBorder="1" applyAlignment="1">
      <alignment horizontal="center" vertical="center"/>
    </xf>
    <xf numFmtId="0" fontId="55" fillId="7" borderId="102" xfId="0" applyFont="1" applyFill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5" fillId="0" borderId="101" xfId="0" applyFont="1" applyBorder="1" applyAlignment="1">
      <alignment horizontal="center" vertical="center" wrapText="1"/>
    </xf>
    <xf numFmtId="0" fontId="55" fillId="23" borderId="101" xfId="0" applyFont="1" applyFill="1" applyBorder="1" applyAlignment="1">
      <alignment horizontal="center" vertical="center"/>
    </xf>
    <xf numFmtId="0" fontId="55" fillId="23" borderId="77" xfId="0" applyFont="1" applyFill="1" applyBorder="1" applyAlignment="1">
      <alignment horizontal="center" vertical="center"/>
    </xf>
    <xf numFmtId="0" fontId="55" fillId="0" borderId="115" xfId="0" applyFont="1" applyBorder="1" applyAlignment="1">
      <alignment horizontal="center" vertical="center"/>
    </xf>
    <xf numFmtId="0" fontId="56" fillId="23" borderId="115" xfId="0" applyFont="1" applyFill="1" applyBorder="1" applyAlignment="1">
      <alignment horizontal="center" vertical="center"/>
    </xf>
    <xf numFmtId="0" fontId="56" fillId="0" borderId="115" xfId="0" applyFont="1" applyBorder="1" applyAlignment="1">
      <alignment horizontal="center" vertical="center"/>
    </xf>
    <xf numFmtId="0" fontId="57" fillId="6" borderId="75" xfId="0" applyFont="1" applyFill="1" applyBorder="1" applyAlignment="1">
      <alignment horizontal="center" vertical="center" wrapText="1"/>
    </xf>
    <xf numFmtId="0" fontId="57" fillId="6" borderId="83" xfId="0" applyFont="1" applyFill="1" applyBorder="1" applyAlignment="1">
      <alignment horizontal="center" vertical="center" wrapText="1"/>
    </xf>
    <xf numFmtId="0" fontId="12" fillId="23" borderId="31" xfId="0" applyFont="1" applyFill="1" applyBorder="1" applyAlignment="1">
      <alignment horizontal="center" vertical="center"/>
    </xf>
    <xf numFmtId="0" fontId="12" fillId="23" borderId="29" xfId="0" applyFont="1" applyFill="1" applyBorder="1" applyAlignment="1">
      <alignment horizontal="center" vertical="center"/>
    </xf>
    <xf numFmtId="0" fontId="12" fillId="4" borderId="334" xfId="0" applyFont="1" applyFill="1" applyBorder="1" applyAlignment="1">
      <alignment horizontal="center" vertical="center"/>
    </xf>
    <xf numFmtId="0" fontId="12" fillId="4" borderId="171" xfId="0" applyFont="1" applyFill="1" applyBorder="1" applyAlignment="1">
      <alignment horizontal="center" vertical="center"/>
    </xf>
    <xf numFmtId="0" fontId="12" fillId="4" borderId="335" xfId="0" applyFont="1" applyFill="1" applyBorder="1" applyAlignment="1">
      <alignment horizontal="center" vertical="center"/>
    </xf>
    <xf numFmtId="0" fontId="12" fillId="9" borderId="150" xfId="0" applyFont="1" applyFill="1" applyBorder="1" applyAlignment="1">
      <alignment horizontal="center" vertical="center" wrapText="1"/>
    </xf>
    <xf numFmtId="0" fontId="12" fillId="9" borderId="151" xfId="0" applyFont="1" applyFill="1" applyBorder="1" applyAlignment="1">
      <alignment horizontal="center" vertical="center" wrapText="1"/>
    </xf>
    <xf numFmtId="0" fontId="64" fillId="0" borderId="220" xfId="0" applyFont="1" applyBorder="1" applyAlignment="1">
      <alignment horizontal="center" vertical="center" wrapText="1"/>
    </xf>
    <xf numFmtId="0" fontId="64" fillId="0" borderId="221" xfId="0" applyFont="1" applyBorder="1" applyAlignment="1">
      <alignment horizontal="center" vertical="center" wrapText="1"/>
    </xf>
    <xf numFmtId="176" fontId="40" fillId="23" borderId="481" xfId="2" applyNumberFormat="1" applyFont="1" applyFill="1" applyBorder="1" applyAlignment="1">
      <alignment horizontal="center" vertical="center"/>
    </xf>
    <xf numFmtId="176" fontId="40" fillId="23" borderId="189" xfId="2" applyNumberFormat="1" applyFont="1" applyFill="1" applyBorder="1" applyAlignment="1">
      <alignment horizontal="center" vertical="center"/>
    </xf>
    <xf numFmtId="0" fontId="71" fillId="16" borderId="336" xfId="0" applyFont="1" applyFill="1" applyBorder="1" applyAlignment="1">
      <alignment horizontal="center" vertical="center"/>
    </xf>
    <xf numFmtId="0" fontId="71" fillId="16" borderId="337" xfId="0" applyFont="1" applyFill="1" applyBorder="1" applyAlignment="1">
      <alignment horizontal="center" vertical="center"/>
    </xf>
    <xf numFmtId="0" fontId="71" fillId="16" borderId="338" xfId="0" applyFont="1" applyFill="1" applyBorder="1" applyAlignment="1">
      <alignment horizontal="center" vertical="center"/>
    </xf>
    <xf numFmtId="0" fontId="71" fillId="22" borderId="337" xfId="0" applyFont="1" applyFill="1" applyBorder="1" applyAlignment="1">
      <alignment horizontal="center" vertical="center"/>
    </xf>
    <xf numFmtId="0" fontId="71" fillId="22" borderId="338" xfId="0" applyFont="1" applyFill="1" applyBorder="1" applyAlignment="1">
      <alignment horizontal="center" vertical="center"/>
    </xf>
    <xf numFmtId="0" fontId="55" fillId="0" borderId="125" xfId="0" applyFont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7" fillId="6" borderId="125" xfId="0" applyFont="1" applyFill="1" applyBorder="1" applyAlignment="1">
      <alignment horizontal="center" vertical="center" wrapText="1"/>
    </xf>
    <xf numFmtId="0" fontId="57" fillId="6" borderId="102" xfId="0" applyFont="1" applyFill="1" applyBorder="1" applyAlignment="1">
      <alignment horizontal="center" vertical="center" wrapText="1"/>
    </xf>
    <xf numFmtId="0" fontId="56" fillId="7" borderId="125" xfId="0" applyFont="1" applyFill="1" applyBorder="1" applyAlignment="1">
      <alignment horizontal="center" vertical="center" wrapText="1"/>
    </xf>
    <xf numFmtId="0" fontId="56" fillId="7" borderId="102" xfId="0" applyFont="1" applyFill="1" applyBorder="1" applyAlignment="1">
      <alignment horizontal="center" vertical="center" wrapText="1"/>
    </xf>
    <xf numFmtId="0" fontId="12" fillId="9" borderId="151" xfId="0" applyFont="1" applyFill="1" applyBorder="1" applyAlignment="1">
      <alignment horizontal="center" vertical="center"/>
    </xf>
    <xf numFmtId="0" fontId="64" fillId="0" borderId="150" xfId="0" applyFont="1" applyBorder="1" applyAlignment="1">
      <alignment horizontal="center" vertical="center"/>
    </xf>
    <xf numFmtId="0" fontId="64" fillId="0" borderId="480" xfId="0" applyFont="1" applyBorder="1" applyAlignment="1">
      <alignment horizontal="center" vertical="center"/>
    </xf>
    <xf numFmtId="0" fontId="12" fillId="9" borderId="150" xfId="0" applyFont="1" applyFill="1" applyBorder="1" applyAlignment="1">
      <alignment horizontal="center" vertical="center"/>
    </xf>
    <xf numFmtId="0" fontId="57" fillId="0" borderId="182" xfId="0" applyFont="1" applyBorder="1" applyAlignment="1">
      <alignment horizontal="center" vertical="center"/>
    </xf>
    <xf numFmtId="0" fontId="55" fillId="0" borderId="125" xfId="0" applyFont="1" applyBorder="1" applyAlignment="1">
      <alignment horizontal="center" vertical="center" wrapText="1"/>
    </xf>
    <xf numFmtId="0" fontId="55" fillId="0" borderId="115" xfId="0" applyFont="1" applyBorder="1" applyAlignment="1">
      <alignment horizontal="center" vertical="center" wrapText="1"/>
    </xf>
    <xf numFmtId="201" fontId="13" fillId="11" borderId="387" xfId="2" applyNumberFormat="1" applyFont="1" applyFill="1" applyBorder="1" applyAlignment="1">
      <alignment horizontal="center" vertical="center"/>
    </xf>
    <xf numFmtId="201" fontId="13" fillId="11" borderId="383" xfId="2" applyNumberFormat="1" applyFont="1" applyFill="1" applyBorder="1" applyAlignment="1">
      <alignment horizontal="center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201" fontId="13" fillId="11" borderId="384" xfId="2" applyNumberFormat="1" applyFont="1" applyFill="1" applyBorder="1" applyAlignment="1">
      <alignment horizontal="center" vertical="center"/>
    </xf>
    <xf numFmtId="0" fontId="0" fillId="0" borderId="54" xfId="0" applyBorder="1" applyAlignment="1">
      <alignment horizontal="left" vertical="center"/>
    </xf>
    <xf numFmtId="0" fontId="0" fillId="0" borderId="404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4" fillId="0" borderId="54" xfId="0" applyFont="1" applyBorder="1" applyAlignment="1">
      <alignment horizontal="left" vertical="center"/>
    </xf>
    <xf numFmtId="0" fontId="24" fillId="0" borderId="51" xfId="0" applyFont="1" applyBorder="1" applyAlignment="1">
      <alignment horizontal="left" vertical="center"/>
    </xf>
    <xf numFmtId="0" fontId="0" fillId="0" borderId="199" xfId="0" applyBorder="1" applyAlignment="1">
      <alignment horizontal="center" vertical="center" wrapText="1"/>
    </xf>
    <xf numFmtId="0" fontId="45" fillId="0" borderId="198" xfId="0" applyFont="1" applyBorder="1" applyAlignment="1">
      <alignment horizontal="center" vertical="center" wrapText="1"/>
    </xf>
    <xf numFmtId="0" fontId="45" fillId="0" borderId="103" xfId="0" applyFont="1" applyBorder="1" applyAlignment="1">
      <alignment horizontal="center" vertical="center" wrapText="1"/>
    </xf>
    <xf numFmtId="0" fontId="24" fillId="0" borderId="103" xfId="0" applyFont="1" applyBorder="1" applyAlignment="1">
      <alignment horizontal="center" vertical="center" wrapText="1"/>
    </xf>
    <xf numFmtId="0" fontId="24" fillId="0" borderId="275" xfId="0" applyFont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24" fillId="0" borderId="215" xfId="0" applyFont="1" applyBorder="1" applyAlignment="1">
      <alignment horizontal="center" vertical="center" wrapText="1"/>
    </xf>
    <xf numFmtId="0" fontId="24" fillId="0" borderId="276" xfId="0" applyFont="1" applyBorder="1" applyAlignment="1">
      <alignment horizontal="center" vertical="center" wrapText="1"/>
    </xf>
    <xf numFmtId="0" fontId="45" fillId="0" borderId="101" xfId="0" applyFont="1" applyBorder="1" applyAlignment="1">
      <alignment horizontal="center" vertical="center" wrapText="1"/>
    </xf>
    <xf numFmtId="0" fontId="45" fillId="0" borderId="140" xfId="0" applyFont="1" applyBorder="1" applyAlignment="1">
      <alignment horizontal="center" vertical="center" wrapText="1"/>
    </xf>
    <xf numFmtId="0" fontId="45" fillId="0" borderId="102" xfId="0" applyFont="1" applyBorder="1" applyAlignment="1">
      <alignment horizontal="center" vertical="center" wrapText="1"/>
    </xf>
    <xf numFmtId="0" fontId="24" fillId="0" borderId="135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45" fillId="0" borderId="135" xfId="0" applyFont="1" applyBorder="1" applyAlignment="1">
      <alignment horizontal="center" vertical="center" wrapText="1"/>
    </xf>
    <xf numFmtId="0" fontId="24" fillId="0" borderId="137" xfId="0" applyFont="1" applyBorder="1" applyAlignment="1">
      <alignment horizontal="center" vertical="center" wrapText="1"/>
    </xf>
    <xf numFmtId="0" fontId="24" fillId="0" borderId="77" xfId="0" applyFont="1" applyBorder="1" applyAlignment="1">
      <alignment horizontal="center" vertical="center" wrapText="1"/>
    </xf>
    <xf numFmtId="0" fontId="24" fillId="0" borderId="136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24" fillId="0" borderId="101" xfId="0" applyFont="1" applyBorder="1" applyAlignment="1">
      <alignment horizontal="center" vertical="center" wrapText="1"/>
    </xf>
    <xf numFmtId="0" fontId="24" fillId="0" borderId="140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/>
    </xf>
    <xf numFmtId="0" fontId="45" fillId="0" borderId="6" xfId="0" applyFont="1" applyBorder="1" applyAlignment="1">
      <alignment horizontal="center" vertical="center"/>
    </xf>
    <xf numFmtId="0" fontId="45" fillId="0" borderId="77" xfId="0" applyFont="1" applyBorder="1" applyAlignment="1">
      <alignment horizontal="center" vertical="center" wrapText="1"/>
    </xf>
    <xf numFmtId="0" fontId="24" fillId="0" borderId="102" xfId="0" applyFont="1" applyBorder="1" applyAlignment="1">
      <alignment horizontal="center" vertical="center" wrapText="1"/>
    </xf>
    <xf numFmtId="0" fontId="45" fillId="0" borderId="137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45" fillId="0" borderId="136" xfId="0" applyFont="1" applyBorder="1" applyAlignment="1">
      <alignment horizontal="center" vertical="center"/>
    </xf>
    <xf numFmtId="176" fontId="13" fillId="0" borderId="75" xfId="2" applyNumberFormat="1" applyFont="1" applyBorder="1" applyAlignment="1">
      <alignment horizontal="center" vertical="center"/>
    </xf>
    <xf numFmtId="176" fontId="13" fillId="0" borderId="228" xfId="2" applyNumberFormat="1" applyFont="1" applyBorder="1" applyAlignment="1">
      <alignment horizontal="center" vertical="center"/>
    </xf>
    <xf numFmtId="176" fontId="13" fillId="0" borderId="394" xfId="2" applyNumberFormat="1" applyFont="1" applyBorder="1" applyAlignment="1">
      <alignment horizontal="center" vertical="center"/>
    </xf>
    <xf numFmtId="176" fontId="13" fillId="0" borderId="92" xfId="2" applyNumberFormat="1" applyFont="1" applyBorder="1" applyAlignment="1">
      <alignment horizontal="center" vertical="center"/>
    </xf>
    <xf numFmtId="176" fontId="13" fillId="0" borderId="418" xfId="2" applyNumberFormat="1" applyFont="1" applyBorder="1" applyAlignment="1">
      <alignment horizontal="center" vertical="center"/>
    </xf>
    <xf numFmtId="0" fontId="12" fillId="6" borderId="137" xfId="0" applyFont="1" applyFill="1" applyBorder="1" applyAlignment="1">
      <alignment horizontal="center" vertical="center"/>
    </xf>
    <xf numFmtId="0" fontId="12" fillId="6" borderId="140" xfId="0" applyFont="1" applyFill="1" applyBorder="1" applyAlignment="1">
      <alignment horizontal="center" vertical="center"/>
    </xf>
    <xf numFmtId="0" fontId="12" fillId="6" borderId="189" xfId="0" applyFont="1" applyFill="1" applyBorder="1" applyAlignment="1">
      <alignment horizontal="center" vertical="center"/>
    </xf>
    <xf numFmtId="0" fontId="12" fillId="6" borderId="190" xfId="0" applyFont="1" applyFill="1" applyBorder="1" applyAlignment="1">
      <alignment horizontal="center" vertical="center"/>
    </xf>
    <xf numFmtId="0" fontId="12" fillId="9" borderId="189" xfId="0" applyFont="1" applyFill="1" applyBorder="1" applyAlignment="1">
      <alignment horizontal="center" vertical="center"/>
    </xf>
    <xf numFmtId="0" fontId="12" fillId="9" borderId="190" xfId="0" applyFont="1" applyFill="1" applyBorder="1" applyAlignment="1">
      <alignment horizontal="center" vertical="center"/>
    </xf>
    <xf numFmtId="176" fontId="12" fillId="6" borderId="189" xfId="2" applyNumberFormat="1" applyFont="1" applyFill="1" applyBorder="1" applyAlignment="1">
      <alignment horizontal="center" vertical="center"/>
    </xf>
    <xf numFmtId="176" fontId="12" fillId="6" borderId="165" xfId="2" applyNumberFormat="1" applyFont="1" applyFill="1" applyBorder="1" applyAlignment="1">
      <alignment horizontal="center" vertical="center"/>
    </xf>
    <xf numFmtId="199" fontId="12" fillId="11" borderId="381" xfId="2" applyNumberFormat="1" applyFont="1" applyFill="1" applyBorder="1" applyAlignment="1">
      <alignment horizontal="center" vertical="center" wrapText="1"/>
    </xf>
    <xf numFmtId="199" fontId="12" fillId="11" borderId="382" xfId="2" applyNumberFormat="1" applyFont="1" applyFill="1" applyBorder="1" applyAlignment="1">
      <alignment horizontal="center" vertical="center" wrapText="1"/>
    </xf>
    <xf numFmtId="0" fontId="12" fillId="4" borderId="31" xfId="0" applyFont="1" applyFill="1" applyBorder="1" applyAlignment="1">
      <alignment horizontal="center" vertical="center"/>
    </xf>
    <xf numFmtId="0" fontId="12" fillId="4" borderId="29" xfId="0" applyFont="1" applyFill="1" applyBorder="1" applyAlignment="1">
      <alignment horizontal="center" vertical="center"/>
    </xf>
    <xf numFmtId="0" fontId="12" fillId="4" borderId="27" xfId="0" applyFont="1" applyFill="1" applyBorder="1" applyAlignment="1">
      <alignment horizontal="center" vertical="center"/>
    </xf>
    <xf numFmtId="0" fontId="71" fillId="16" borderId="46" xfId="0" applyFont="1" applyFill="1" applyBorder="1" applyAlignment="1">
      <alignment horizontal="center" vertical="center"/>
    </xf>
    <xf numFmtId="0" fontId="71" fillId="16" borderId="168" xfId="0" applyFont="1" applyFill="1" applyBorder="1" applyAlignment="1">
      <alignment horizontal="center" vertical="center"/>
    </xf>
    <xf numFmtId="0" fontId="71" fillId="16" borderId="50" xfId="0" applyFont="1" applyFill="1" applyBorder="1" applyAlignment="1">
      <alignment horizontal="center" vertical="center"/>
    </xf>
    <xf numFmtId="0" fontId="71" fillId="22" borderId="168" xfId="0" applyFont="1" applyFill="1" applyBorder="1" applyAlignment="1">
      <alignment horizontal="center" vertical="center"/>
    </xf>
    <xf numFmtId="0" fontId="71" fillId="22" borderId="50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176" fontId="40" fillId="6" borderId="192" xfId="2" applyNumberFormat="1" applyFont="1" applyFill="1" applyBorder="1" applyAlignment="1">
      <alignment horizontal="center" vertical="center"/>
    </xf>
    <xf numFmtId="176" fontId="40" fillId="6" borderId="453" xfId="2" applyNumberFormat="1" applyFont="1" applyFill="1" applyBorder="1" applyAlignment="1">
      <alignment horizontal="center" vertical="center"/>
    </xf>
    <xf numFmtId="0" fontId="12" fillId="6" borderId="34" xfId="0" applyFont="1" applyFill="1" applyBorder="1" applyAlignment="1">
      <alignment horizontal="center" vertical="center"/>
    </xf>
    <xf numFmtId="0" fontId="12" fillId="6" borderId="48" xfId="0" applyFont="1" applyFill="1" applyBorder="1" applyAlignment="1">
      <alignment horizontal="center" vertical="center"/>
    </xf>
    <xf numFmtId="0" fontId="40" fillId="6" borderId="226" xfId="0" applyFont="1" applyFill="1" applyBorder="1" applyAlignment="1">
      <alignment horizontal="center" vertical="center"/>
    </xf>
    <xf numFmtId="0" fontId="40" fillId="6" borderId="232" xfId="0" applyFont="1" applyFill="1" applyBorder="1" applyAlignment="1">
      <alignment horizontal="center" vertical="center"/>
    </xf>
    <xf numFmtId="0" fontId="40" fillId="0" borderId="193" xfId="0" applyFont="1" applyBorder="1" applyAlignment="1">
      <alignment horizontal="center" vertical="center"/>
    </xf>
    <xf numFmtId="0" fontId="40" fillId="0" borderId="200" xfId="0" applyFont="1" applyBorder="1" applyAlignment="1">
      <alignment horizontal="center" vertical="center"/>
    </xf>
    <xf numFmtId="0" fontId="40" fillId="0" borderId="204" xfId="0" applyFont="1" applyBorder="1" applyAlignment="1">
      <alignment horizontal="center" vertical="center"/>
    </xf>
    <xf numFmtId="0" fontId="40" fillId="0" borderId="201" xfId="0" applyFont="1" applyBorder="1" applyAlignment="1">
      <alignment horizontal="center" vertical="center"/>
    </xf>
    <xf numFmtId="0" fontId="12" fillId="6" borderId="195" xfId="0" applyFont="1" applyFill="1" applyBorder="1" applyAlignment="1">
      <alignment horizontal="center" vertical="center"/>
    </xf>
    <xf numFmtId="0" fontId="0" fillId="0" borderId="200" xfId="0" applyBorder="1" applyAlignment="1">
      <alignment horizontal="center" vertical="center"/>
    </xf>
    <xf numFmtId="0" fontId="0" fillId="0" borderId="201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24" fillId="0" borderId="327" xfId="0" applyFont="1" applyBorder="1" applyAlignment="1">
      <alignment horizontal="center" vertical="center" wrapText="1"/>
    </xf>
    <xf numFmtId="0" fontId="24" fillId="0" borderId="329" xfId="0" applyFont="1" applyBorder="1" applyAlignment="1">
      <alignment horizontal="center" vertical="center" wrapText="1"/>
    </xf>
    <xf numFmtId="0" fontId="24" fillId="0" borderId="300" xfId="0" applyFont="1" applyBorder="1" applyAlignment="1">
      <alignment horizontal="center" vertical="center" wrapText="1"/>
    </xf>
    <xf numFmtId="0" fontId="24" fillId="0" borderId="76" xfId="0" applyFont="1" applyBorder="1" applyAlignment="1">
      <alignment horizontal="center" vertical="center" wrapText="1"/>
    </xf>
    <xf numFmtId="0" fontId="45" fillId="4" borderId="101" xfId="0" applyFont="1" applyFill="1" applyBorder="1" applyAlignment="1">
      <alignment horizontal="center" vertical="center"/>
    </xf>
    <xf numFmtId="0" fontId="45" fillId="4" borderId="102" xfId="0" applyFont="1" applyFill="1" applyBorder="1" applyAlignment="1">
      <alignment horizontal="center" vertical="center"/>
    </xf>
    <xf numFmtId="0" fontId="45" fillId="4" borderId="77" xfId="0" applyFont="1" applyFill="1" applyBorder="1" applyAlignment="1">
      <alignment horizontal="center" vertical="center"/>
    </xf>
    <xf numFmtId="0" fontId="40" fillId="0" borderId="101" xfId="0" applyFont="1" applyBorder="1" applyAlignment="1">
      <alignment horizontal="center" vertical="center"/>
    </xf>
    <xf numFmtId="0" fontId="40" fillId="0" borderId="102" xfId="0" applyFont="1" applyBorder="1" applyAlignment="1">
      <alignment horizontal="center" vertical="center"/>
    </xf>
    <xf numFmtId="0" fontId="40" fillId="0" borderId="77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4" fillId="0" borderId="285" xfId="0" applyFont="1" applyBorder="1" applyAlignment="1">
      <alignment horizontal="center" vertical="center" wrapText="1"/>
    </xf>
    <xf numFmtId="176" fontId="13" fillId="0" borderId="373" xfId="2" applyNumberFormat="1" applyFont="1" applyBorder="1" applyAlignment="1">
      <alignment horizontal="center" vertical="center"/>
    </xf>
    <xf numFmtId="0" fontId="40" fillId="0" borderId="202" xfId="0" applyFont="1" applyBorder="1" applyAlignment="1">
      <alignment horizontal="center" vertical="center"/>
    </xf>
    <xf numFmtId="0" fontId="45" fillId="4" borderId="140" xfId="0" applyFont="1" applyFill="1" applyBorder="1" applyAlignment="1">
      <alignment horizontal="center" vertical="center"/>
    </xf>
    <xf numFmtId="0" fontId="40" fillId="0" borderId="140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40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179" fontId="9" fillId="4" borderId="373" xfId="9" applyNumberFormat="1" applyFill="1" applyBorder="1" applyAlignment="1">
      <alignment horizontal="center" vertical="center" wrapText="1"/>
    </xf>
    <xf numFmtId="179" fontId="9" fillId="4" borderId="195" xfId="9" applyNumberFormat="1" applyFill="1" applyBorder="1" applyAlignment="1">
      <alignment horizontal="center" vertical="center" wrapText="1"/>
    </xf>
    <xf numFmtId="0" fontId="79" fillId="0" borderId="226" xfId="9" applyFont="1" applyBorder="1" applyAlignment="1">
      <alignment horizontal="center" vertical="center"/>
    </xf>
    <xf numFmtId="0" fontId="79" fillId="0" borderId="204" xfId="9" applyFont="1" applyBorder="1" applyAlignment="1">
      <alignment horizontal="center" vertical="center"/>
    </xf>
    <xf numFmtId="0" fontId="79" fillId="0" borderId="202" xfId="9" applyFont="1" applyBorder="1" applyAlignment="1">
      <alignment horizontal="center" vertical="center"/>
    </xf>
    <xf numFmtId="179" fontId="2" fillId="4" borderId="137" xfId="9" applyNumberFormat="1" applyFont="1" applyFill="1" applyBorder="1" applyAlignment="1">
      <alignment horizontal="center" vertical="center" wrapText="1"/>
    </xf>
    <xf numFmtId="179" fontId="2" fillId="4" borderId="102" xfId="9" applyNumberFormat="1" applyFont="1" applyFill="1" applyBorder="1" applyAlignment="1">
      <alignment horizontal="center" vertical="center" wrapText="1"/>
    </xf>
    <xf numFmtId="179" fontId="2" fillId="4" borderId="140" xfId="9" applyNumberFormat="1" applyFont="1" applyFill="1" applyBorder="1" applyAlignment="1">
      <alignment horizontal="center" vertical="center" wrapText="1"/>
    </xf>
    <xf numFmtId="0" fontId="70" fillId="0" borderId="135" xfId="9" applyFont="1" applyBorder="1" applyAlignment="1">
      <alignment horizontal="center" vertical="center" wrapText="1"/>
    </xf>
    <xf numFmtId="0" fontId="70" fillId="0" borderId="6" xfId="9" applyFont="1" applyBorder="1" applyAlignment="1">
      <alignment horizontal="center" vertical="center" wrapText="1"/>
    </xf>
    <xf numFmtId="0" fontId="70" fillId="0" borderId="136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2" fillId="0" borderId="6" xfId="9" applyFont="1" applyBorder="1" applyAlignment="1">
      <alignment horizontal="center" vertical="center" wrapText="1"/>
    </xf>
    <xf numFmtId="0" fontId="84" fillId="0" borderId="101" xfId="9" applyFont="1" applyBorder="1" applyAlignment="1">
      <alignment horizontal="center" vertical="center" wrapText="1"/>
    </xf>
    <xf numFmtId="0" fontId="84" fillId="0" borderId="77" xfId="9" applyFont="1" applyBorder="1" applyAlignment="1">
      <alignment horizontal="center" vertical="center" wrapText="1"/>
    </xf>
    <xf numFmtId="0" fontId="46" fillId="0" borderId="6" xfId="9" applyFont="1" applyBorder="1" applyAlignment="1">
      <alignment horizontal="center" vertical="center" wrapText="1"/>
    </xf>
    <xf numFmtId="0" fontId="46" fillId="0" borderId="136" xfId="9" applyFont="1" applyBorder="1" applyAlignment="1">
      <alignment horizontal="center" vertical="center"/>
    </xf>
    <xf numFmtId="0" fontId="85" fillId="0" borderId="101" xfId="9" applyFont="1" applyBorder="1" applyAlignment="1">
      <alignment horizontal="center" vertical="center" wrapText="1"/>
    </xf>
    <xf numFmtId="0" fontId="85" fillId="0" borderId="140" xfId="9" applyFont="1" applyBorder="1" applyAlignment="1">
      <alignment horizontal="center" vertical="center" wrapText="1"/>
    </xf>
    <xf numFmtId="179" fontId="9" fillId="4" borderId="75" xfId="9" applyNumberFormat="1" applyFill="1" applyBorder="1" applyAlignment="1">
      <alignment horizontal="center" vertical="center" wrapText="1"/>
    </xf>
    <xf numFmtId="179" fontId="9" fillId="4" borderId="83" xfId="9" applyNumberFormat="1" applyFill="1" applyBorder="1" applyAlignment="1">
      <alignment horizontal="center" vertical="center" wrapText="1"/>
    </xf>
    <xf numFmtId="0" fontId="72" fillId="0" borderId="182" xfId="0" applyFont="1" applyBorder="1" applyAlignment="1">
      <alignment horizontal="center" vertical="center" wrapText="1"/>
    </xf>
    <xf numFmtId="0" fontId="72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24" fillId="0" borderId="182" xfId="0" applyFont="1" applyBorder="1" applyAlignment="1">
      <alignment horizontal="center" vertical="center" wrapText="1"/>
    </xf>
    <xf numFmtId="0" fontId="24" fillId="0" borderId="196" xfId="0" applyFont="1" applyBorder="1" applyAlignment="1">
      <alignment horizontal="center" vertical="center" wrapText="1"/>
    </xf>
    <xf numFmtId="0" fontId="45" fillId="0" borderId="182" xfId="0" applyFont="1" applyBorder="1" applyAlignment="1">
      <alignment horizontal="center" vertical="center" wrapText="1"/>
    </xf>
    <xf numFmtId="0" fontId="45" fillId="0" borderId="196" xfId="0" applyFont="1" applyBorder="1" applyAlignment="1">
      <alignment horizontal="center" vertical="center" wrapText="1"/>
    </xf>
    <xf numFmtId="179" fontId="90" fillId="4" borderId="135" xfId="9" applyNumberFormat="1" applyFont="1" applyFill="1" applyBorder="1" applyAlignment="1">
      <alignment horizontal="center" vertical="center" wrapText="1"/>
    </xf>
    <xf numFmtId="179" fontId="90" fillId="4" borderId="101" xfId="9" applyNumberFormat="1" applyFont="1" applyFill="1" applyBorder="1" applyAlignment="1">
      <alignment horizontal="center" vertical="center"/>
    </xf>
    <xf numFmtId="0" fontId="2" fillId="0" borderId="34" xfId="9" applyFont="1" applyBorder="1" applyAlignment="1">
      <alignment horizontal="center" vertical="center" wrapText="1"/>
    </xf>
    <xf numFmtId="0" fontId="9" fillId="0" borderId="54" xfId="9" applyBorder="1" applyAlignment="1">
      <alignment horizontal="center" vertical="center" wrapText="1"/>
    </xf>
    <xf numFmtId="179" fontId="90" fillId="0" borderId="6" xfId="9" applyNumberFormat="1" applyFont="1" applyBorder="1" applyAlignment="1">
      <alignment horizontal="center" vertical="center"/>
    </xf>
    <xf numFmtId="179" fontId="90" fillId="0" borderId="136" xfId="9" applyNumberFormat="1" applyFont="1" applyBorder="1" applyAlignment="1">
      <alignment horizontal="center" vertical="center"/>
    </xf>
    <xf numFmtId="0" fontId="84" fillId="0" borderId="6" xfId="0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5" fillId="0" borderId="136" xfId="9" applyFont="1" applyBorder="1" applyAlignment="1">
      <alignment horizontal="center" vertical="center" wrapText="1"/>
    </xf>
    <xf numFmtId="0" fontId="85" fillId="0" borderId="6" xfId="0" applyFont="1" applyBorder="1" applyAlignment="1">
      <alignment horizontal="center" vertical="center" wrapText="1"/>
    </xf>
    <xf numFmtId="0" fontId="85" fillId="0" borderId="136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24" fillId="0" borderId="214" xfId="0" applyFont="1" applyBorder="1" applyAlignment="1">
      <alignment horizontal="center" vertical="center" wrapText="1"/>
    </xf>
    <xf numFmtId="0" fontId="24" fillId="0" borderId="211" xfId="0" applyFont="1" applyBorder="1" applyAlignment="1">
      <alignment horizontal="center" vertical="center" wrapText="1"/>
    </xf>
    <xf numFmtId="0" fontId="24" fillId="0" borderId="197" xfId="0" applyFont="1" applyBorder="1" applyAlignment="1">
      <alignment horizontal="center" vertical="center" wrapText="1"/>
    </xf>
    <xf numFmtId="0" fontId="45" fillId="0" borderId="214" xfId="0" applyFont="1" applyBorder="1" applyAlignment="1">
      <alignment horizontal="center" vertical="center" wrapText="1"/>
    </xf>
    <xf numFmtId="0" fontId="45" fillId="0" borderId="211" xfId="0" applyFont="1" applyBorder="1" applyAlignment="1">
      <alignment horizontal="center" vertical="center" wrapText="1"/>
    </xf>
    <xf numFmtId="0" fontId="45" fillId="0" borderId="197" xfId="0" applyFont="1" applyBorder="1" applyAlignment="1">
      <alignment horizontal="center" vertical="center" wrapText="1"/>
    </xf>
    <xf numFmtId="0" fontId="72" fillId="0" borderId="214" xfId="0" applyFont="1" applyBorder="1" applyAlignment="1">
      <alignment horizontal="center" vertical="center" wrapText="1"/>
    </xf>
    <xf numFmtId="0" fontId="72" fillId="0" borderId="211" xfId="0" applyFont="1" applyBorder="1" applyAlignment="1">
      <alignment horizontal="center" vertical="center" wrapText="1"/>
    </xf>
    <xf numFmtId="0" fontId="72" fillId="0" borderId="197" xfId="0" applyFont="1" applyBorder="1" applyAlignment="1">
      <alignment horizontal="center" vertical="center" wrapText="1"/>
    </xf>
    <xf numFmtId="0" fontId="72" fillId="0" borderId="6" xfId="0" applyFont="1" applyBorder="1" applyAlignment="1">
      <alignment horizontal="center" vertical="center" wrapText="1"/>
    </xf>
    <xf numFmtId="0" fontId="72" fillId="0" borderId="136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72" fillId="0" borderId="135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79" fillId="0" borderId="192" xfId="9" applyFont="1" applyBorder="1" applyAlignment="1">
      <alignment horizontal="center" vertical="center"/>
    </xf>
    <xf numFmtId="0" fontId="79" fillId="0" borderId="193" xfId="9" applyFont="1" applyBorder="1" applyAlignment="1">
      <alignment horizontal="center" vertical="center"/>
    </xf>
    <xf numFmtId="179" fontId="2" fillId="4" borderId="77" xfId="9" applyNumberFormat="1" applyFon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2" fillId="0" borderId="246" xfId="9" applyNumberFormat="1" applyFont="1" applyBorder="1" applyAlignment="1">
      <alignment horizontal="center" vertical="center" wrapText="1"/>
    </xf>
    <xf numFmtId="0" fontId="70" fillId="0" borderId="245" xfId="9" applyFont="1" applyBorder="1" applyAlignment="1">
      <alignment horizontal="center" vertical="center" wrapText="1"/>
    </xf>
    <xf numFmtId="0" fontId="70" fillId="0" borderId="250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 wrapText="1"/>
    </xf>
    <xf numFmtId="176" fontId="13" fillId="0" borderId="419" xfId="10" applyNumberFormat="1" applyFont="1" applyBorder="1" applyAlignment="1">
      <alignment horizontal="center" vertical="center"/>
    </xf>
    <xf numFmtId="176" fontId="13" fillId="0" borderId="92" xfId="10" applyNumberFormat="1" applyFont="1" applyBorder="1" applyAlignment="1">
      <alignment horizontal="center" vertical="center"/>
    </xf>
    <xf numFmtId="176" fontId="13" fillId="0" borderId="424" xfId="10" applyNumberFormat="1" applyFont="1" applyBorder="1" applyAlignment="1">
      <alignment horizontal="center" vertical="center"/>
    </xf>
    <xf numFmtId="176" fontId="13" fillId="0" borderId="425" xfId="10" applyNumberFormat="1" applyFont="1" applyBorder="1" applyAlignment="1">
      <alignment horizontal="center" vertical="center"/>
    </xf>
    <xf numFmtId="0" fontId="2" fillId="0" borderId="54" xfId="9" quotePrefix="1" applyFont="1" applyBorder="1" applyAlignment="1">
      <alignment horizontal="center" vertical="center" wrapText="1"/>
    </xf>
    <xf numFmtId="0" fontId="2" fillId="0" borderId="51" xfId="9" applyFont="1" applyBorder="1" applyAlignment="1">
      <alignment horizontal="center" vertical="center" wrapText="1"/>
    </xf>
    <xf numFmtId="0" fontId="79" fillId="0" borderId="201" xfId="9" applyFont="1" applyBorder="1" applyAlignment="1">
      <alignment horizontal="center" vertical="center"/>
    </xf>
    <xf numFmtId="0" fontId="79" fillId="0" borderId="200" xfId="9" applyFont="1" applyBorder="1" applyAlignment="1">
      <alignment horizontal="center" vertical="center"/>
    </xf>
    <xf numFmtId="179" fontId="2" fillId="4" borderId="101" xfId="9" applyNumberFormat="1" applyFont="1" applyFill="1" applyBorder="1" applyAlignment="1">
      <alignment horizontal="center" vertical="center" wrapText="1"/>
    </xf>
    <xf numFmtId="179" fontId="2" fillId="0" borderId="249" xfId="9" applyNumberFormat="1" applyFont="1" applyBorder="1" applyAlignment="1">
      <alignment horizontal="center" vertical="center" wrapText="1"/>
    </xf>
    <xf numFmtId="179" fontId="2" fillId="0" borderId="250" xfId="9" applyNumberFormat="1" applyFont="1" applyBorder="1" applyAlignment="1">
      <alignment horizontal="center" vertical="center" wrapText="1"/>
    </xf>
    <xf numFmtId="0" fontId="70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176" fontId="13" fillId="0" borderId="228" xfId="10" applyNumberFormat="1" applyFont="1" applyBorder="1" applyAlignment="1">
      <alignment horizontal="center" vertical="center"/>
    </xf>
    <xf numFmtId="176" fontId="13" fillId="0" borderId="387" xfId="10" applyNumberFormat="1" applyFont="1" applyBorder="1" applyAlignment="1">
      <alignment horizontal="center" vertical="center"/>
    </xf>
    <xf numFmtId="176" fontId="13" fillId="0" borderId="383" xfId="10" applyNumberFormat="1" applyFont="1" applyBorder="1" applyAlignment="1">
      <alignment horizontal="center" vertical="center"/>
    </xf>
    <xf numFmtId="179" fontId="2" fillId="0" borderId="247" xfId="9" applyNumberFormat="1" applyFont="1" applyBorder="1" applyAlignment="1">
      <alignment horizontal="center" vertical="center" wrapText="1"/>
    </xf>
    <xf numFmtId="0" fontId="70" fillId="0" borderId="247" xfId="9" applyFont="1" applyBorder="1" applyAlignment="1">
      <alignment horizontal="center" vertical="center" wrapText="1"/>
    </xf>
    <xf numFmtId="0" fontId="70" fillId="0" borderId="246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 wrapText="1"/>
    </xf>
    <xf numFmtId="179" fontId="2" fillId="6" borderId="101" xfId="9" applyNumberFormat="1" applyFont="1" applyFill="1" applyBorder="1" applyAlignment="1">
      <alignment horizontal="center" vertical="center" wrapText="1"/>
    </xf>
    <xf numFmtId="179" fontId="2" fillId="6" borderId="77" xfId="9" applyNumberFormat="1" applyFont="1" applyFill="1" applyBorder="1" applyAlignment="1">
      <alignment horizontal="center" vertical="center" wrapText="1"/>
    </xf>
    <xf numFmtId="176" fontId="13" fillId="0" borderId="394" xfId="10" applyNumberFormat="1" applyFont="1" applyBorder="1" applyAlignment="1">
      <alignment horizontal="center" vertical="center"/>
    </xf>
    <xf numFmtId="176" fontId="13" fillId="0" borderId="458" xfId="10" applyNumberFormat="1" applyFont="1" applyBorder="1" applyAlignment="1">
      <alignment horizontal="center" vertical="center"/>
    </xf>
    <xf numFmtId="176" fontId="13" fillId="0" borderId="459" xfId="10" applyNumberFormat="1" applyFont="1" applyBorder="1" applyAlignment="1">
      <alignment horizontal="center" vertical="center"/>
    </xf>
    <xf numFmtId="179" fontId="2" fillId="4" borderId="6" xfId="9" applyNumberFormat="1" applyFont="1" applyFill="1" applyBorder="1" applyAlignment="1">
      <alignment horizontal="center" vertical="center" wrapText="1"/>
    </xf>
    <xf numFmtId="179" fontId="9" fillId="4" borderId="101" xfId="9" applyNumberFormat="1" applyFill="1" applyBorder="1" applyAlignment="1">
      <alignment horizontal="center" vertical="center" wrapText="1"/>
    </xf>
    <xf numFmtId="179" fontId="9" fillId="4" borderId="77" xfId="9" applyNumberFormat="1" applyFill="1" applyBorder="1" applyAlignment="1">
      <alignment horizontal="center" vertical="center" wrapText="1"/>
    </xf>
    <xf numFmtId="0" fontId="40" fillId="7" borderId="200" xfId="0" applyFont="1" applyFill="1" applyBorder="1" applyAlignment="1">
      <alignment horizontal="center" vertical="center" wrapText="1"/>
    </xf>
    <xf numFmtId="0" fontId="40" fillId="7" borderId="201" xfId="0" applyFont="1" applyFill="1" applyBorder="1" applyAlignment="1">
      <alignment horizontal="center" vertical="center" wrapText="1"/>
    </xf>
    <xf numFmtId="199" fontId="13" fillId="11" borderId="387" xfId="2" applyNumberFormat="1" applyFont="1" applyFill="1" applyBorder="1" applyAlignment="1">
      <alignment horizontal="center" vertical="center"/>
    </xf>
    <xf numFmtId="199" fontId="13" fillId="11" borderId="383" xfId="2" applyNumberFormat="1" applyFont="1" applyFill="1" applyBorder="1" applyAlignment="1">
      <alignment horizontal="center" vertical="center"/>
    </xf>
    <xf numFmtId="0" fontId="79" fillId="0" borderId="194" xfId="9" applyFont="1" applyBorder="1" applyAlignment="1">
      <alignment horizontal="center" vertical="center"/>
    </xf>
    <xf numFmtId="179" fontId="9" fillId="4" borderId="140" xfId="9" applyNumberFormat="1" applyFill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70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 wrapText="1"/>
    </xf>
    <xf numFmtId="176" fontId="13" fillId="0" borderId="418" xfId="10" applyNumberFormat="1" applyFont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199" fontId="13" fillId="11" borderId="425" xfId="2" applyNumberFormat="1" applyFont="1" applyFill="1" applyBorder="1" applyAlignment="1">
      <alignment horizontal="center" vertical="center"/>
    </xf>
    <xf numFmtId="199" fontId="13" fillId="11" borderId="384" xfId="2" applyNumberFormat="1" applyFont="1" applyFill="1" applyBorder="1" applyAlignment="1">
      <alignment horizontal="center" vertical="center"/>
    </xf>
    <xf numFmtId="176" fontId="13" fillId="0" borderId="419" xfId="2" applyNumberFormat="1" applyFont="1" applyBorder="1" applyAlignment="1">
      <alignment horizontal="center" vertical="center"/>
    </xf>
    <xf numFmtId="199" fontId="13" fillId="11" borderId="424" xfId="2" applyNumberFormat="1" applyFont="1" applyFill="1" applyBorder="1" applyAlignment="1">
      <alignment horizontal="center" vertical="center"/>
    </xf>
    <xf numFmtId="199" fontId="42" fillId="11" borderId="387" xfId="2" applyNumberFormat="1" applyFont="1" applyFill="1" applyBorder="1" applyAlignment="1">
      <alignment horizontal="center" vertical="center"/>
    </xf>
    <xf numFmtId="199" fontId="42" fillId="11" borderId="383" xfId="2" applyNumberFormat="1" applyFont="1" applyFill="1" applyBorder="1" applyAlignment="1">
      <alignment horizontal="center" vertical="center"/>
    </xf>
    <xf numFmtId="0" fontId="80" fillId="0" borderId="54" xfId="0" applyFont="1" applyBorder="1" applyAlignment="1">
      <alignment horizontal="center" vertical="center" wrapText="1"/>
    </xf>
    <xf numFmtId="0" fontId="80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76" fontId="13" fillId="0" borderId="228" xfId="2" applyNumberFormat="1" applyFont="1" applyFill="1" applyBorder="1" applyAlignment="1">
      <alignment horizontal="center" vertical="center"/>
    </xf>
    <xf numFmtId="176" fontId="13" fillId="0" borderId="394" xfId="2" applyNumberFormat="1" applyFont="1" applyFill="1" applyBorder="1" applyAlignment="1">
      <alignment horizontal="center" vertical="center"/>
    </xf>
    <xf numFmtId="176" fontId="13" fillId="0" borderId="92" xfId="2" applyNumberFormat="1" applyFont="1" applyFill="1" applyBorder="1" applyAlignment="1">
      <alignment horizontal="center" vertical="center"/>
    </xf>
    <xf numFmtId="0" fontId="40" fillId="7" borderId="204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02" xfId="0" applyBorder="1" applyAlignment="1">
      <alignment horizontal="center" vertical="center" wrapText="1"/>
    </xf>
    <xf numFmtId="0" fontId="40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0" fillId="0" borderId="140" xfId="0" applyBorder="1" applyAlignment="1">
      <alignment horizontal="center" vertical="center" wrapText="1"/>
    </xf>
    <xf numFmtId="0" fontId="40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Border="1" applyAlignment="1">
      <alignment horizontal="center" vertical="center" wrapText="1"/>
    </xf>
    <xf numFmtId="176" fontId="13" fillId="0" borderId="418" xfId="2" applyNumberFormat="1" applyFont="1" applyFill="1" applyBorder="1" applyAlignment="1">
      <alignment horizontal="center" vertical="center"/>
    </xf>
    <xf numFmtId="0" fontId="72" fillId="0" borderId="137" xfId="0" applyFont="1" applyBorder="1" applyAlignment="1">
      <alignment horizontal="center" vertical="center" wrapText="1"/>
    </xf>
    <xf numFmtId="0" fontId="72" fillId="0" borderId="102" xfId="0" applyFont="1" applyBorder="1" applyAlignment="1">
      <alignment horizontal="center" vertical="center"/>
    </xf>
    <xf numFmtId="0" fontId="72" fillId="0" borderId="77" xfId="0" applyFont="1" applyBorder="1" applyAlignment="1">
      <alignment horizontal="center" vertical="center"/>
    </xf>
    <xf numFmtId="0" fontId="46" fillId="0" borderId="137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77" xfId="0" applyFont="1" applyBorder="1" applyAlignment="1">
      <alignment horizontal="center" vertical="center"/>
    </xf>
    <xf numFmtId="0" fontId="45" fillId="0" borderId="102" xfId="0" applyFont="1" applyBorder="1" applyAlignment="1">
      <alignment horizontal="center" vertical="center"/>
    </xf>
    <xf numFmtId="0" fontId="45" fillId="0" borderId="77" xfId="0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2" fillId="0" borderId="327" xfId="0" applyFont="1" applyBorder="1" applyAlignment="1">
      <alignment horizontal="center" vertical="center" wrapText="1"/>
    </xf>
    <xf numFmtId="0" fontId="72" fillId="0" borderId="76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/>
    </xf>
    <xf numFmtId="0" fontId="72" fillId="0" borderId="6" xfId="0" applyFont="1" applyBorder="1" applyAlignment="1">
      <alignment horizontal="center" vertical="center"/>
    </xf>
    <xf numFmtId="0" fontId="72" fillId="0" borderId="102" xfId="0" applyFont="1" applyBorder="1" applyAlignment="1">
      <alignment horizontal="center" vertical="center" wrapText="1"/>
    </xf>
    <xf numFmtId="0" fontId="72" fillId="0" borderId="77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72" fillId="0" borderId="285" xfId="0" applyFont="1" applyBorder="1" applyAlignment="1">
      <alignment horizontal="center" vertical="center" wrapText="1"/>
    </xf>
    <xf numFmtId="0" fontId="72" fillId="0" borderId="300" xfId="0" applyFont="1" applyBorder="1" applyAlignment="1">
      <alignment horizontal="center" vertical="center" wrapText="1"/>
    </xf>
    <xf numFmtId="0" fontId="72" fillId="0" borderId="6" xfId="0" applyFont="1" applyBorder="1" applyAlignment="1">
      <alignment horizontal="center" vertical="center" wrapText="1" readingOrder="1"/>
    </xf>
    <xf numFmtId="0" fontId="72" fillId="0" borderId="6" xfId="0" applyFont="1" applyBorder="1" applyAlignment="1">
      <alignment horizontal="center" vertical="center" readingOrder="1"/>
    </xf>
    <xf numFmtId="0" fontId="46" fillId="0" borderId="6" xfId="0" applyFont="1" applyBorder="1" applyAlignment="1">
      <alignment horizontal="center" vertical="center" wrapText="1" readingOrder="1"/>
    </xf>
    <xf numFmtId="0" fontId="46" fillId="0" borderId="6" xfId="0" applyFont="1" applyBorder="1" applyAlignment="1">
      <alignment horizontal="center" vertical="center" readingOrder="1"/>
    </xf>
    <xf numFmtId="0" fontId="72" fillId="0" borderId="136" xfId="0" applyFont="1" applyBorder="1" applyAlignment="1">
      <alignment horizontal="center" vertical="center" readingOrder="1"/>
    </xf>
    <xf numFmtId="0" fontId="46" fillId="0" borderId="136" xfId="0" applyFont="1" applyBorder="1" applyAlignment="1">
      <alignment horizontal="center" vertical="center" readingOrder="1"/>
    </xf>
    <xf numFmtId="0" fontId="45" fillId="25" borderId="6" xfId="0" applyFont="1" applyFill="1" applyBorder="1" applyAlignment="1">
      <alignment horizontal="center" vertical="center"/>
    </xf>
    <xf numFmtId="0" fontId="72" fillId="0" borderId="135" xfId="0" applyFont="1" applyBorder="1" applyAlignment="1">
      <alignment horizontal="center" vertical="center" wrapText="1" readingOrder="1"/>
    </xf>
    <xf numFmtId="0" fontId="46" fillId="0" borderId="135" xfId="0" applyFont="1" applyBorder="1" applyAlignment="1">
      <alignment horizontal="center" vertical="center" wrapText="1" readingOrder="1"/>
    </xf>
    <xf numFmtId="176" fontId="42" fillId="0" borderId="228" xfId="2" applyNumberFormat="1" applyFont="1" applyFill="1" applyBorder="1" applyAlignment="1">
      <alignment horizontal="center" vertical="center"/>
    </xf>
    <xf numFmtId="176" fontId="42" fillId="0" borderId="92" xfId="2" applyNumberFormat="1" applyFont="1" applyFill="1" applyBorder="1" applyAlignment="1">
      <alignment horizontal="center" vertical="center"/>
    </xf>
    <xf numFmtId="0" fontId="12" fillId="6" borderId="137" xfId="0" applyFont="1" applyFill="1" applyBorder="1" applyAlignment="1">
      <alignment horizontal="center" vertical="center" wrapText="1"/>
    </xf>
    <xf numFmtId="0" fontId="12" fillId="6" borderId="140" xfId="0" applyFont="1" applyFill="1" applyBorder="1" applyAlignment="1">
      <alignment horizontal="center" vertical="center" wrapText="1"/>
    </xf>
    <xf numFmtId="0" fontId="12" fillId="9" borderId="135" xfId="0" applyFont="1" applyFill="1" applyBorder="1" applyAlignment="1">
      <alignment horizontal="center" vertical="center"/>
    </xf>
    <xf numFmtId="0" fontId="12" fillId="6" borderId="135" xfId="0" applyFont="1" applyFill="1" applyBorder="1" applyAlignment="1">
      <alignment horizontal="center" vertical="center"/>
    </xf>
    <xf numFmtId="0" fontId="12" fillId="6" borderId="136" xfId="0" applyFont="1" applyFill="1" applyBorder="1" applyAlignment="1">
      <alignment horizontal="center" vertical="center"/>
    </xf>
    <xf numFmtId="0" fontId="40" fillId="6" borderId="202" xfId="0" applyFont="1" applyFill="1" applyBorder="1" applyAlignment="1">
      <alignment horizontal="center" vertical="center"/>
    </xf>
    <xf numFmtId="0" fontId="72" fillId="0" borderId="329" xfId="0" applyFont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2" fillId="0" borderId="102" xfId="0" applyFont="1" applyBorder="1" applyAlignment="1">
      <alignment horizontal="center" vertical="center" wrapText="1" readingOrder="1"/>
    </xf>
    <xf numFmtId="0" fontId="72" fillId="0" borderId="77" xfId="0" applyFont="1" applyBorder="1" applyAlignment="1">
      <alignment horizontal="center" vertical="center" wrapText="1" readingOrder="1"/>
    </xf>
    <xf numFmtId="0" fontId="72" fillId="5" borderId="135" xfId="0" applyFont="1" applyFill="1" applyBorder="1" applyAlignment="1">
      <alignment horizontal="center" vertical="center" wrapText="1"/>
    </xf>
    <xf numFmtId="0" fontId="72" fillId="5" borderId="6" xfId="0" applyFont="1" applyFill="1" applyBorder="1" applyAlignment="1">
      <alignment horizontal="center" vertical="center"/>
    </xf>
    <xf numFmtId="0" fontId="72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24" fillId="5" borderId="135" xfId="0" applyFont="1" applyFill="1" applyBorder="1" applyAlignment="1">
      <alignment horizontal="center" vertical="center" wrapText="1"/>
    </xf>
    <xf numFmtId="0" fontId="24" fillId="5" borderId="6" xfId="0" applyFont="1" applyFill="1" applyBorder="1" applyAlignment="1">
      <alignment horizontal="center" vertical="center"/>
    </xf>
    <xf numFmtId="0" fontId="24" fillId="5" borderId="136" xfId="0" applyFont="1" applyFill="1" applyBorder="1" applyAlignment="1">
      <alignment horizontal="center" vertical="center"/>
    </xf>
    <xf numFmtId="0" fontId="45" fillId="5" borderId="135" xfId="0" applyFont="1" applyFill="1" applyBorder="1" applyAlignment="1">
      <alignment horizontal="center" vertical="center" wrapText="1"/>
    </xf>
    <xf numFmtId="0" fontId="45" fillId="5" borderId="6" xfId="0" applyFont="1" applyFill="1" applyBorder="1" applyAlignment="1">
      <alignment horizontal="center" vertical="center"/>
    </xf>
    <xf numFmtId="0" fontId="45" fillId="5" borderId="136" xfId="0" applyFont="1" applyFill="1" applyBorder="1" applyAlignment="1">
      <alignment horizontal="center" vertical="center"/>
    </xf>
    <xf numFmtId="0" fontId="45" fillId="5" borderId="135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72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0" fontId="24" fillId="0" borderId="240" xfId="0" applyFont="1" applyBorder="1" applyAlignment="1">
      <alignment horizontal="center" vertical="center" wrapText="1"/>
    </xf>
    <xf numFmtId="0" fontId="45" fillId="0" borderId="240" xfId="0" applyFont="1" applyBorder="1" applyAlignment="1">
      <alignment horizontal="center" vertical="center" wrapText="1"/>
    </xf>
    <xf numFmtId="0" fontId="0" fillId="0" borderId="423" xfId="0" applyBorder="1" applyAlignment="1">
      <alignment horizontal="center" vertical="center" wrapText="1"/>
    </xf>
    <xf numFmtId="0" fontId="0" fillId="0" borderId="404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99" fontId="29" fillId="11" borderId="424" xfId="2" applyNumberFormat="1" applyFont="1" applyFill="1" applyBorder="1" applyAlignment="1">
      <alignment horizontal="center" vertical="center"/>
    </xf>
    <xf numFmtId="199" fontId="29" fillId="11" borderId="384" xfId="2" applyNumberFormat="1" applyFont="1" applyFill="1" applyBorder="1" applyAlignment="1">
      <alignment horizontal="center" vertical="center"/>
    </xf>
    <xf numFmtId="199" fontId="29" fillId="11" borderId="425" xfId="2" applyNumberFormat="1" applyFont="1" applyFill="1" applyBorder="1" applyAlignment="1">
      <alignment horizontal="center" vertical="center"/>
    </xf>
    <xf numFmtId="176" fontId="40" fillId="6" borderId="372" xfId="2" applyNumberFormat="1" applyFont="1" applyFill="1" applyBorder="1" applyAlignment="1">
      <alignment horizontal="center" vertical="center"/>
    </xf>
    <xf numFmtId="176" fontId="40" fillId="6" borderId="438" xfId="2" applyNumberFormat="1" applyFont="1" applyFill="1" applyBorder="1" applyAlignment="1">
      <alignment horizontal="center" vertical="center"/>
    </xf>
    <xf numFmtId="0" fontId="12" fillId="6" borderId="241" xfId="0" applyFont="1" applyFill="1" applyBorder="1" applyAlignment="1">
      <alignment horizontal="center" vertical="center" wrapText="1"/>
    </xf>
    <xf numFmtId="0" fontId="12" fillId="6" borderId="242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200" fontId="13" fillId="0" borderId="443" xfId="2" applyNumberFormat="1" applyFont="1" applyFill="1" applyBorder="1" applyAlignment="1">
      <alignment horizontal="center" vertical="center"/>
    </xf>
    <xf numFmtId="200" fontId="13" fillId="0" borderId="444" xfId="2" applyNumberFormat="1" applyFont="1" applyFill="1" applyBorder="1" applyAlignment="1">
      <alignment horizontal="center" vertical="center"/>
    </xf>
    <xf numFmtId="200" fontId="13" fillId="0" borderId="445" xfId="2" applyNumberFormat="1" applyFont="1" applyFill="1" applyBorder="1" applyAlignment="1">
      <alignment horizontal="center" vertical="center"/>
    </xf>
    <xf numFmtId="200" fontId="13" fillId="0" borderId="448" xfId="2" applyNumberFormat="1" applyFont="1" applyFill="1" applyBorder="1" applyAlignment="1">
      <alignment horizontal="center" vertical="center"/>
    </xf>
    <xf numFmtId="200" fontId="13" fillId="0" borderId="450" xfId="2" applyNumberFormat="1" applyFont="1" applyFill="1" applyBorder="1" applyAlignment="1">
      <alignment horizontal="center" vertical="center"/>
    </xf>
    <xf numFmtId="200" fontId="13" fillId="0" borderId="452" xfId="2" applyNumberFormat="1" applyFont="1" applyFill="1" applyBorder="1" applyAlignment="1">
      <alignment horizontal="center" vertical="center"/>
    </xf>
    <xf numFmtId="200" fontId="13" fillId="0" borderId="446" xfId="2" applyNumberFormat="1" applyFont="1" applyFill="1" applyBorder="1" applyAlignment="1">
      <alignment horizontal="center" vertical="center"/>
    </xf>
    <xf numFmtId="200" fontId="29" fillId="0" borderId="443" xfId="2" applyNumberFormat="1" applyFont="1" applyFill="1" applyBorder="1" applyAlignment="1">
      <alignment horizontal="center" vertical="center"/>
    </xf>
    <xf numFmtId="200" fontId="29" fillId="0" borderId="444" xfId="2" applyNumberFormat="1" applyFont="1" applyFill="1" applyBorder="1" applyAlignment="1">
      <alignment horizontal="center" vertical="center"/>
    </xf>
    <xf numFmtId="200" fontId="29" fillId="0" borderId="445" xfId="2" applyNumberFormat="1" applyFont="1" applyFill="1" applyBorder="1" applyAlignment="1">
      <alignment horizontal="center" vertical="center"/>
    </xf>
    <xf numFmtId="193" fontId="24" fillId="0" borderId="328" xfId="0" applyNumberFormat="1" applyFont="1" applyBorder="1" applyAlignment="1">
      <alignment horizontal="center" vertical="center"/>
    </xf>
    <xf numFmtId="193" fontId="24" fillId="0" borderId="330" xfId="0" applyNumberFormat="1" applyFont="1" applyBorder="1" applyAlignment="1">
      <alignment horizontal="center" vertical="center"/>
    </xf>
    <xf numFmtId="193" fontId="24" fillId="0" borderId="301" xfId="0" applyNumberFormat="1" applyFont="1" applyBorder="1" applyAlignment="1">
      <alignment horizontal="center" vertical="center"/>
    </xf>
    <xf numFmtId="0" fontId="45" fillId="23" borderId="327" xfId="0" applyFont="1" applyFill="1" applyBorder="1" applyAlignment="1">
      <alignment horizontal="center" vertical="center"/>
    </xf>
    <xf numFmtId="0" fontId="45" fillId="23" borderId="329" xfId="0" applyFont="1" applyFill="1" applyBorder="1" applyAlignment="1">
      <alignment horizontal="center" vertical="center"/>
    </xf>
    <xf numFmtId="0" fontId="45" fillId="23" borderId="331" xfId="0" applyFont="1" applyFill="1" applyBorder="1" applyAlignment="1">
      <alignment horizontal="center" vertical="center"/>
    </xf>
    <xf numFmtId="0" fontId="24" fillId="23" borderId="328" xfId="0" applyFont="1" applyFill="1" applyBorder="1" applyAlignment="1">
      <alignment horizontal="center" vertical="center"/>
    </xf>
    <xf numFmtId="0" fontId="24" fillId="23" borderId="330" xfId="0" applyFont="1" applyFill="1" applyBorder="1" applyAlignment="1">
      <alignment horizontal="center" vertical="center"/>
    </xf>
    <xf numFmtId="0" fontId="24" fillId="23" borderId="333" xfId="0" applyFont="1" applyFill="1" applyBorder="1" applyAlignment="1">
      <alignment horizontal="center" vertical="center"/>
    </xf>
    <xf numFmtId="194" fontId="45" fillId="0" borderId="327" xfId="2" applyNumberFormat="1" applyFont="1" applyBorder="1" applyAlignment="1">
      <alignment horizontal="center" vertical="center"/>
    </xf>
    <xf numFmtId="194" fontId="45" fillId="0" borderId="329" xfId="2" applyNumberFormat="1" applyFont="1" applyBorder="1" applyAlignment="1">
      <alignment horizontal="center" vertical="center"/>
    </xf>
    <xf numFmtId="194" fontId="45" fillId="0" borderId="331" xfId="2" applyNumberFormat="1" applyFont="1" applyBorder="1" applyAlignment="1">
      <alignment horizontal="center" vertical="center"/>
    </xf>
    <xf numFmtId="196" fontId="45" fillId="0" borderId="137" xfId="2" applyNumberFormat="1" applyFont="1" applyBorder="1" applyAlignment="1">
      <alignment horizontal="center" vertical="center"/>
    </xf>
    <xf numFmtId="196" fontId="45" fillId="0" borderId="102" xfId="2" applyNumberFormat="1" applyFont="1" applyBorder="1" applyAlignment="1">
      <alignment horizontal="center" vertical="center"/>
    </xf>
    <xf numFmtId="196" fontId="45" fillId="0" borderId="332" xfId="2" applyNumberFormat="1" applyFont="1" applyBorder="1" applyAlignment="1">
      <alignment horizontal="center" vertical="center"/>
    </xf>
    <xf numFmtId="0" fontId="45" fillId="0" borderId="137" xfId="0" quotePrefix="1" applyFont="1" applyBorder="1" applyAlignment="1">
      <alignment horizontal="center" vertical="center"/>
    </xf>
    <xf numFmtId="0" fontId="45" fillId="0" borderId="332" xfId="0" applyFont="1" applyBorder="1" applyAlignment="1">
      <alignment horizontal="center" vertical="center"/>
    </xf>
    <xf numFmtId="193" fontId="45" fillId="0" borderId="328" xfId="0" applyNumberFormat="1" applyFont="1" applyBorder="1" applyAlignment="1">
      <alignment horizontal="center" vertical="center"/>
    </xf>
    <xf numFmtId="193" fontId="45" fillId="0" borderId="330" xfId="0" applyNumberFormat="1" applyFont="1" applyBorder="1" applyAlignment="1">
      <alignment horizontal="center" vertical="center"/>
    </xf>
    <xf numFmtId="193" fontId="45" fillId="0" borderId="333" xfId="0" applyNumberFormat="1" applyFont="1" applyBorder="1" applyAlignment="1">
      <alignment horizontal="center" vertical="center"/>
    </xf>
    <xf numFmtId="194" fontId="24" fillId="0" borderId="327" xfId="2" applyNumberFormat="1" applyFont="1" applyBorder="1" applyAlignment="1">
      <alignment horizontal="center" vertical="center"/>
    </xf>
    <xf numFmtId="194" fontId="24" fillId="0" borderId="329" xfId="2" applyNumberFormat="1" applyFont="1" applyBorder="1" applyAlignment="1">
      <alignment horizontal="center" vertical="center"/>
    </xf>
    <xf numFmtId="194" fontId="24" fillId="0" borderId="331" xfId="2" applyNumberFormat="1" applyFont="1" applyBorder="1" applyAlignment="1">
      <alignment horizontal="center" vertical="center"/>
    </xf>
    <xf numFmtId="196" fontId="24" fillId="0" borderId="137" xfId="2" applyNumberFormat="1" applyFont="1" applyBorder="1" applyAlignment="1">
      <alignment horizontal="center" vertical="center"/>
    </xf>
    <xf numFmtId="196" fontId="24" fillId="0" borderId="102" xfId="2" applyNumberFormat="1" applyFont="1" applyBorder="1" applyAlignment="1">
      <alignment horizontal="center" vertical="center"/>
    </xf>
    <xf numFmtId="196" fontId="24" fillId="0" borderId="332" xfId="2" applyNumberFormat="1" applyFont="1" applyBorder="1" applyAlignment="1">
      <alignment horizontal="center" vertical="center"/>
    </xf>
    <xf numFmtId="0" fontId="23" fillId="0" borderId="137" xfId="0" quotePrefix="1" applyFont="1" applyBorder="1" applyAlignment="1">
      <alignment horizontal="center" vertical="center"/>
    </xf>
    <xf numFmtId="0" fontId="23" fillId="0" borderId="102" xfId="0" applyFont="1" applyBorder="1" applyAlignment="1">
      <alignment horizontal="center" vertical="center"/>
    </xf>
    <xf numFmtId="0" fontId="23" fillId="0" borderId="332" xfId="0" applyFont="1" applyBorder="1" applyAlignment="1">
      <alignment horizontal="center" vertical="center"/>
    </xf>
    <xf numFmtId="193" fontId="24" fillId="0" borderId="333" xfId="0" applyNumberFormat="1" applyFont="1" applyBorder="1" applyAlignment="1">
      <alignment horizontal="center" vertical="center"/>
    </xf>
    <xf numFmtId="0" fontId="45" fillId="23" borderId="300" xfId="0" applyFont="1" applyFill="1" applyBorder="1" applyAlignment="1">
      <alignment horizontal="center" vertical="center"/>
    </xf>
    <xf numFmtId="0" fontId="24" fillId="23" borderId="301" xfId="0" applyFont="1" applyFill="1" applyBorder="1" applyAlignment="1">
      <alignment horizontal="center" vertical="center"/>
    </xf>
    <xf numFmtId="194" fontId="45" fillId="0" borderId="300" xfId="2" applyNumberFormat="1" applyFont="1" applyBorder="1" applyAlignment="1">
      <alignment horizontal="center" vertical="center"/>
    </xf>
    <xf numFmtId="196" fontId="45" fillId="0" borderId="140" xfId="2" applyNumberFormat="1" applyFont="1" applyBorder="1" applyAlignment="1">
      <alignment horizontal="center" vertical="center"/>
    </xf>
    <xf numFmtId="0" fontId="45" fillId="0" borderId="140" xfId="0" applyFont="1" applyBorder="1" applyAlignment="1">
      <alignment horizontal="center" vertical="center"/>
    </xf>
    <xf numFmtId="193" fontId="45" fillId="0" borderId="301" xfId="0" applyNumberFormat="1" applyFont="1" applyBorder="1" applyAlignment="1">
      <alignment horizontal="center" vertical="center"/>
    </xf>
    <xf numFmtId="194" fontId="24" fillId="0" borderId="300" xfId="2" applyNumberFormat="1" applyFont="1" applyBorder="1" applyAlignment="1">
      <alignment horizontal="center" vertical="center"/>
    </xf>
    <xf numFmtId="196" fontId="24" fillId="0" borderId="140" xfId="2" applyNumberFormat="1" applyFont="1" applyBorder="1" applyAlignment="1">
      <alignment horizontal="center" vertical="center"/>
    </xf>
    <xf numFmtId="0" fontId="23" fillId="0" borderId="140" xfId="0" applyFont="1" applyBorder="1" applyAlignment="1">
      <alignment horizontal="center" vertical="center"/>
    </xf>
    <xf numFmtId="194" fontId="45" fillId="0" borderId="327" xfId="2" applyNumberFormat="1" applyFont="1" applyFill="1" applyBorder="1" applyAlignment="1">
      <alignment horizontal="center" vertical="center"/>
    </xf>
    <xf numFmtId="194" fontId="45" fillId="0" borderId="329" xfId="2" applyNumberFormat="1" applyFont="1" applyFill="1" applyBorder="1" applyAlignment="1">
      <alignment horizontal="center" vertical="center"/>
    </xf>
    <xf numFmtId="194" fontId="45" fillId="0" borderId="300" xfId="2" applyNumberFormat="1" applyFont="1" applyFill="1" applyBorder="1" applyAlignment="1">
      <alignment horizontal="center" vertical="center"/>
    </xf>
    <xf numFmtId="196" fontId="45" fillId="0" borderId="137" xfId="2" applyNumberFormat="1" applyFont="1" applyFill="1" applyBorder="1" applyAlignment="1">
      <alignment horizontal="center" vertical="center"/>
    </xf>
    <xf numFmtId="196" fontId="45" fillId="0" borderId="102" xfId="2" applyNumberFormat="1" applyFont="1" applyFill="1" applyBorder="1" applyAlignment="1">
      <alignment horizontal="center" vertical="center"/>
    </xf>
    <xf numFmtId="196" fontId="45" fillId="0" borderId="140" xfId="2" applyNumberFormat="1" applyFont="1" applyFill="1" applyBorder="1" applyAlignment="1">
      <alignment horizontal="center" vertical="center"/>
    </xf>
    <xf numFmtId="194" fontId="24" fillId="0" borderId="327" xfId="2" applyNumberFormat="1" applyFont="1" applyFill="1" applyBorder="1" applyAlignment="1">
      <alignment horizontal="center" vertical="center"/>
    </xf>
    <xf numFmtId="194" fontId="24" fillId="0" borderId="329" xfId="2" applyNumberFormat="1" applyFont="1" applyFill="1" applyBorder="1" applyAlignment="1">
      <alignment horizontal="center" vertical="center"/>
    </xf>
    <xf numFmtId="194" fontId="24" fillId="0" borderId="300" xfId="2" applyNumberFormat="1" applyFont="1" applyFill="1" applyBorder="1" applyAlignment="1">
      <alignment horizontal="center" vertical="center"/>
    </xf>
    <xf numFmtId="196" fontId="24" fillId="0" borderId="137" xfId="2" applyNumberFormat="1" applyFont="1" applyFill="1" applyBorder="1" applyAlignment="1">
      <alignment horizontal="center" vertical="center"/>
    </xf>
    <xf numFmtId="196" fontId="24" fillId="0" borderId="102" xfId="2" applyNumberFormat="1" applyFont="1" applyFill="1" applyBorder="1" applyAlignment="1">
      <alignment horizontal="center" vertical="center"/>
    </xf>
    <xf numFmtId="196" fontId="24" fillId="0" borderId="140" xfId="2" applyNumberFormat="1" applyFont="1" applyFill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200" fontId="13" fillId="0" borderId="226" xfId="2" applyNumberFormat="1" applyFont="1" applyBorder="1" applyAlignment="1">
      <alignment horizontal="center" vertical="center"/>
    </xf>
    <xf numFmtId="200" fontId="13" fillId="0" borderId="204" xfId="2" applyNumberFormat="1" applyFont="1" applyBorder="1" applyAlignment="1">
      <alignment horizontal="center" vertical="center"/>
    </xf>
    <xf numFmtId="200" fontId="13" fillId="0" borderId="202" xfId="2" applyNumberFormat="1" applyFont="1" applyBorder="1" applyAlignment="1">
      <alignment horizontal="center" vertical="center"/>
    </xf>
    <xf numFmtId="176" fontId="29" fillId="0" borderId="137" xfId="2" applyNumberFormat="1" applyFont="1" applyBorder="1" applyAlignment="1">
      <alignment horizontal="center" vertical="center"/>
    </xf>
    <xf numFmtId="176" fontId="29" fillId="0" borderId="102" xfId="2" applyNumberFormat="1" applyFont="1" applyBorder="1" applyAlignment="1">
      <alignment horizontal="center" vertical="center"/>
    </xf>
    <xf numFmtId="176" fontId="29" fillId="0" borderId="140" xfId="2" applyNumberFormat="1" applyFont="1" applyBorder="1" applyAlignment="1">
      <alignment horizontal="center" vertical="center"/>
    </xf>
    <xf numFmtId="176" fontId="42" fillId="0" borderId="137" xfId="2" applyNumberFormat="1" applyFont="1" applyBorder="1" applyAlignment="1">
      <alignment horizontal="center" vertical="center"/>
    </xf>
    <xf numFmtId="176" fontId="42" fillId="0" borderId="102" xfId="2" applyNumberFormat="1" applyFont="1" applyBorder="1" applyAlignment="1">
      <alignment horizontal="center" vertical="center"/>
    </xf>
    <xf numFmtId="176" fontId="42" fillId="0" borderId="140" xfId="2" applyNumberFormat="1" applyFont="1" applyBorder="1" applyAlignment="1">
      <alignment horizontal="center" vertical="center"/>
    </xf>
    <xf numFmtId="0" fontId="24" fillId="0" borderId="328" xfId="0" applyFont="1" applyBorder="1" applyAlignment="1">
      <alignment horizontal="center" vertical="center" wrapText="1"/>
    </xf>
    <xf numFmtId="0" fontId="24" fillId="0" borderId="330" xfId="0" applyFont="1" applyBorder="1" applyAlignment="1">
      <alignment horizontal="center" vertical="center" wrapText="1"/>
    </xf>
    <xf numFmtId="0" fontId="24" fillId="0" borderId="301" xfId="0" applyFont="1" applyBorder="1" applyAlignment="1">
      <alignment horizontal="center" vertical="center" wrapText="1"/>
    </xf>
    <xf numFmtId="199" fontId="13" fillId="11" borderId="426" xfId="2" applyNumberFormat="1" applyFont="1" applyFill="1" applyBorder="1" applyAlignment="1">
      <alignment horizontal="center" vertical="center"/>
    </xf>
    <xf numFmtId="199" fontId="13" fillId="11" borderId="427" xfId="2" applyNumberFormat="1" applyFont="1" applyFill="1" applyBorder="1" applyAlignment="1">
      <alignment horizontal="center" vertical="center"/>
    </xf>
    <xf numFmtId="199" fontId="13" fillId="11" borderId="428" xfId="2" applyNumberFormat="1" applyFont="1" applyFill="1" applyBorder="1" applyAlignment="1">
      <alignment horizontal="center" vertical="center"/>
    </xf>
    <xf numFmtId="176" fontId="42" fillId="0" borderId="137" xfId="2" applyNumberFormat="1" applyFont="1" applyFill="1" applyBorder="1" applyAlignment="1">
      <alignment horizontal="center" vertical="center"/>
    </xf>
    <xf numFmtId="176" fontId="42" fillId="0" borderId="77" xfId="2" applyNumberFormat="1" applyFont="1" applyFill="1" applyBorder="1" applyAlignment="1">
      <alignment horizontal="center" vertical="center"/>
    </xf>
    <xf numFmtId="176" fontId="29" fillId="0" borderId="137" xfId="2" applyNumberFormat="1" applyFont="1" applyFill="1" applyBorder="1" applyAlignment="1">
      <alignment horizontal="center" vertical="center"/>
    </xf>
    <xf numFmtId="176" fontId="29" fillId="0" borderId="77" xfId="2" applyNumberFormat="1" applyFont="1" applyFill="1" applyBorder="1" applyAlignment="1">
      <alignment horizontal="center" vertical="center"/>
    </xf>
    <xf numFmtId="176" fontId="13" fillId="0" borderId="419" xfId="2" applyNumberFormat="1" applyFont="1" applyFill="1" applyBorder="1" applyAlignment="1">
      <alignment horizontal="center" vertical="center"/>
    </xf>
    <xf numFmtId="200" fontId="13" fillId="0" borderId="226" xfId="2" applyNumberFormat="1" applyFont="1" applyFill="1" applyBorder="1" applyAlignment="1">
      <alignment horizontal="center" vertical="center"/>
    </xf>
    <xf numFmtId="200" fontId="13" fillId="0" borderId="201" xfId="2" applyNumberFormat="1" applyFont="1" applyFill="1" applyBorder="1" applyAlignment="1">
      <alignment horizontal="center" vertical="center"/>
    </xf>
    <xf numFmtId="0" fontId="45" fillId="0" borderId="327" xfId="0" applyFont="1" applyBorder="1" applyAlignment="1">
      <alignment horizontal="center" vertical="center" wrapText="1"/>
    </xf>
    <xf numFmtId="0" fontId="45" fillId="0" borderId="329" xfId="0" applyFont="1" applyBorder="1" applyAlignment="1">
      <alignment horizontal="center" vertical="center" wrapText="1"/>
    </xf>
    <xf numFmtId="0" fontId="45" fillId="0" borderId="300" xfId="0" applyFont="1" applyBorder="1" applyAlignment="1">
      <alignment horizontal="center" vertical="center" wrapText="1"/>
    </xf>
    <xf numFmtId="199" fontId="13" fillId="11" borderId="429" xfId="2" applyNumberFormat="1" applyFont="1" applyFill="1" applyBorder="1" applyAlignment="1">
      <alignment horizontal="center" vertical="center"/>
    </xf>
    <xf numFmtId="176" fontId="29" fillId="0" borderId="102" xfId="2" applyNumberFormat="1" applyFont="1" applyFill="1" applyBorder="1" applyAlignment="1">
      <alignment horizontal="center" vertical="center"/>
    </xf>
    <xf numFmtId="176" fontId="29" fillId="0" borderId="140" xfId="2" applyNumberFormat="1" applyFont="1" applyFill="1" applyBorder="1" applyAlignment="1">
      <alignment horizontal="center" vertical="center"/>
    </xf>
    <xf numFmtId="176" fontId="42" fillId="0" borderId="102" xfId="2" applyNumberFormat="1" applyFont="1" applyFill="1" applyBorder="1" applyAlignment="1">
      <alignment horizontal="center" vertical="center"/>
    </xf>
    <xf numFmtId="176" fontId="42" fillId="0" borderId="140" xfId="2" applyNumberFormat="1" applyFont="1" applyFill="1" applyBorder="1" applyAlignment="1">
      <alignment horizontal="center" vertical="center"/>
    </xf>
    <xf numFmtId="200" fontId="13" fillId="0" borderId="204" xfId="2" applyNumberFormat="1" applyFont="1" applyFill="1" applyBorder="1" applyAlignment="1">
      <alignment horizontal="center" vertical="center"/>
    </xf>
    <xf numFmtId="200" fontId="13" fillId="0" borderId="202" xfId="2" applyNumberFormat="1" applyFont="1" applyFill="1" applyBorder="1" applyAlignment="1">
      <alignment horizontal="center" vertical="center"/>
    </xf>
    <xf numFmtId="176" fontId="29" fillId="0" borderId="419" xfId="2" applyNumberFormat="1" applyFont="1" applyFill="1" applyBorder="1" applyAlignment="1">
      <alignment horizontal="center" vertical="center"/>
    </xf>
    <xf numFmtId="176" fontId="29" fillId="0" borderId="394" xfId="2" applyNumberFormat="1" applyFont="1" applyFill="1" applyBorder="1" applyAlignment="1">
      <alignment horizontal="center" vertical="center"/>
    </xf>
    <xf numFmtId="176" fontId="29" fillId="0" borderId="418" xfId="2" applyNumberFormat="1" applyFont="1" applyFill="1" applyBorder="1" applyAlignment="1">
      <alignment horizontal="center" vertical="center"/>
    </xf>
    <xf numFmtId="176" fontId="42" fillId="0" borderId="214" xfId="2" applyNumberFormat="1" applyFont="1" applyFill="1" applyBorder="1" applyAlignment="1">
      <alignment horizontal="center" vertical="center"/>
    </xf>
    <xf numFmtId="176" fontId="42" fillId="0" borderId="211" xfId="2" applyNumberFormat="1" applyFont="1" applyFill="1" applyBorder="1" applyAlignment="1">
      <alignment horizontal="center" vertical="center"/>
    </xf>
    <xf numFmtId="176" fontId="42" fillId="0" borderId="358" xfId="2" applyNumberFormat="1" applyFont="1" applyFill="1" applyBorder="1" applyAlignment="1">
      <alignment horizontal="center" vertical="center"/>
    </xf>
    <xf numFmtId="176" fontId="29" fillId="0" borderId="214" xfId="2" applyNumberFormat="1" applyFont="1" applyFill="1" applyBorder="1" applyAlignment="1">
      <alignment horizontal="center" vertical="center"/>
    </xf>
    <xf numFmtId="176" fontId="29" fillId="0" borderId="211" xfId="2" applyNumberFormat="1" applyFont="1" applyFill="1" applyBorder="1" applyAlignment="1">
      <alignment horizontal="center" vertical="center"/>
    </xf>
    <xf numFmtId="176" fontId="29" fillId="0" borderId="358" xfId="2" applyNumberFormat="1" applyFont="1" applyFill="1" applyBorder="1" applyAlignment="1">
      <alignment horizontal="center" vertical="center"/>
    </xf>
    <xf numFmtId="176" fontId="13" fillId="0" borderId="420" xfId="2" applyNumberFormat="1" applyFont="1" applyFill="1" applyBorder="1" applyAlignment="1">
      <alignment horizontal="center" vertical="center"/>
    </xf>
    <xf numFmtId="176" fontId="13" fillId="0" borderId="421" xfId="2" applyNumberFormat="1" applyFont="1" applyFill="1" applyBorder="1" applyAlignment="1">
      <alignment horizontal="center" vertical="center"/>
    </xf>
    <xf numFmtId="176" fontId="13" fillId="0" borderId="422" xfId="2" applyNumberFormat="1" applyFont="1" applyFill="1" applyBorder="1" applyAlignment="1">
      <alignment horizontal="center" vertical="center"/>
    </xf>
    <xf numFmtId="200" fontId="13" fillId="0" borderId="447" xfId="2" applyNumberFormat="1" applyFont="1" applyFill="1" applyBorder="1" applyAlignment="1">
      <alignment horizontal="center" vertical="center"/>
    </xf>
    <xf numFmtId="200" fontId="13" fillId="0" borderId="449" xfId="2" applyNumberFormat="1" applyFont="1" applyFill="1" applyBorder="1" applyAlignment="1">
      <alignment horizontal="center" vertical="center"/>
    </xf>
    <xf numFmtId="200" fontId="13" fillId="0" borderId="451" xfId="2" applyNumberFormat="1" applyFont="1" applyFill="1" applyBorder="1" applyAlignment="1">
      <alignment horizontal="center" vertical="center"/>
    </xf>
    <xf numFmtId="0" fontId="12" fillId="6" borderId="226" xfId="0" applyFont="1" applyFill="1" applyBorder="1" applyAlignment="1">
      <alignment horizontal="center" vertical="center" wrapText="1"/>
    </xf>
    <xf numFmtId="0" fontId="12" fillId="6" borderId="202" xfId="0" applyFont="1" applyFill="1" applyBorder="1" applyAlignment="1">
      <alignment horizontal="center" vertical="center" wrapText="1"/>
    </xf>
    <xf numFmtId="0" fontId="12" fillId="6" borderId="189" xfId="0" applyFont="1" applyFill="1" applyBorder="1" applyAlignment="1">
      <alignment horizontal="center" vertical="center" wrapText="1"/>
    </xf>
    <xf numFmtId="0" fontId="12" fillId="6" borderId="13" xfId="0" applyFont="1" applyFill="1" applyBorder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/>
    </xf>
    <xf numFmtId="0" fontId="24" fillId="0" borderId="226" xfId="0" applyFont="1" applyBorder="1" applyAlignment="1">
      <alignment horizontal="center" vertical="center"/>
    </xf>
    <xf numFmtId="0" fontId="24" fillId="0" borderId="204" xfId="0" applyFont="1" applyBorder="1" applyAlignment="1">
      <alignment horizontal="center" vertical="center"/>
    </xf>
    <xf numFmtId="0" fontId="24" fillId="0" borderId="202" xfId="0" applyFont="1" applyBorder="1" applyAlignment="1">
      <alignment horizontal="center" vertical="center"/>
    </xf>
    <xf numFmtId="200" fontId="42" fillId="0" borderId="226" xfId="2" applyNumberFormat="1" applyFont="1" applyFill="1" applyBorder="1" applyAlignment="1">
      <alignment horizontal="center" vertical="center"/>
    </xf>
    <xf numFmtId="200" fontId="42" fillId="0" borderId="204" xfId="2" applyNumberFormat="1" applyFont="1" applyFill="1" applyBorder="1" applyAlignment="1">
      <alignment horizontal="center" vertical="center"/>
    </xf>
    <xf numFmtId="200" fontId="42" fillId="0" borderId="202" xfId="2" applyNumberFormat="1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45" fillId="0" borderId="285" xfId="0" applyFont="1" applyBorder="1" applyAlignment="1">
      <alignment horizontal="center" vertical="center" wrapText="1"/>
    </xf>
    <xf numFmtId="0" fontId="45" fillId="0" borderId="76" xfId="0" applyFont="1" applyBorder="1" applyAlignment="1">
      <alignment horizontal="center" vertical="center" wrapText="1"/>
    </xf>
    <xf numFmtId="0" fontId="40" fillId="6" borderId="137" xfId="0" applyFont="1" applyFill="1" applyBorder="1" applyAlignment="1">
      <alignment horizontal="center" vertical="center"/>
    </xf>
    <xf numFmtId="0" fontId="40" fillId="6" borderId="140" xfId="0" applyFont="1" applyFill="1" applyBorder="1" applyAlignment="1">
      <alignment horizontal="center" vertical="center"/>
    </xf>
    <xf numFmtId="0" fontId="40" fillId="6" borderId="137" xfId="0" applyFont="1" applyFill="1" applyBorder="1" applyAlignment="1">
      <alignment horizontal="center" vertical="center" wrapText="1"/>
    </xf>
    <xf numFmtId="0" fontId="40" fillId="6" borderId="140" xfId="0" applyFont="1" applyFill="1" applyBorder="1" applyAlignment="1">
      <alignment horizontal="center" vertical="center" wrapText="1"/>
    </xf>
    <xf numFmtId="0" fontId="12" fillId="9" borderId="31" xfId="0" applyFont="1" applyFill="1" applyBorder="1" applyAlignment="1">
      <alignment horizontal="center" vertical="center"/>
    </xf>
    <xf numFmtId="0" fontId="12" fillId="9" borderId="27" xfId="0" applyFont="1" applyFill="1" applyBorder="1" applyAlignment="1">
      <alignment horizontal="center" vertical="center"/>
    </xf>
    <xf numFmtId="0" fontId="12" fillId="9" borderId="29" xfId="0" applyFont="1" applyFill="1" applyBorder="1" applyAlignment="1">
      <alignment horizontal="center" vertical="center"/>
    </xf>
    <xf numFmtId="0" fontId="40" fillId="6" borderId="46" xfId="0" applyFont="1" applyFill="1" applyBorder="1" applyAlignment="1">
      <alignment horizontal="center" vertical="center"/>
    </xf>
    <xf numFmtId="0" fontId="40" fillId="6" borderId="168" xfId="0" applyFont="1" applyFill="1" applyBorder="1" applyAlignment="1">
      <alignment horizontal="center" vertical="center"/>
    </xf>
    <xf numFmtId="0" fontId="40" fillId="6" borderId="50" xfId="0" applyFont="1" applyFill="1" applyBorder="1" applyAlignment="1">
      <alignment horizontal="center" vertical="center"/>
    </xf>
    <xf numFmtId="0" fontId="23" fillId="6" borderId="46" xfId="0" applyFont="1" applyFill="1" applyBorder="1" applyAlignment="1">
      <alignment horizontal="center" vertical="center"/>
    </xf>
    <xf numFmtId="0" fontId="23" fillId="6" borderId="168" xfId="0" applyFont="1" applyFill="1" applyBorder="1" applyAlignment="1">
      <alignment horizontal="center" vertical="center"/>
    </xf>
    <xf numFmtId="0" fontId="23" fillId="6" borderId="50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2" fillId="3" borderId="375" xfId="0" applyNumberFormat="1" applyFont="1" applyFill="1" applyBorder="1" applyAlignment="1">
      <alignment horizontal="center" vertical="center"/>
    </xf>
    <xf numFmtId="181" fontId="12" fillId="3" borderId="376" xfId="0" applyNumberFormat="1" applyFont="1" applyFill="1" applyBorder="1" applyAlignment="1">
      <alignment horizontal="center" vertical="center"/>
    </xf>
    <xf numFmtId="0" fontId="15" fillId="4" borderId="0" xfId="0" applyFont="1" applyFill="1" applyAlignment="1">
      <alignment horizontal="left" vertical="center"/>
    </xf>
    <xf numFmtId="0" fontId="12" fillId="3" borderId="104" xfId="0" applyFont="1" applyFill="1" applyBorder="1" applyAlignment="1">
      <alignment horizontal="center" vertical="center"/>
    </xf>
    <xf numFmtId="0" fontId="12" fillId="3" borderId="105" xfId="0" applyFont="1" applyFill="1" applyBorder="1" applyAlignment="1">
      <alignment horizontal="center" vertical="center"/>
    </xf>
    <xf numFmtId="181" fontId="12" fillId="3" borderId="106" xfId="0" applyNumberFormat="1" applyFont="1" applyFill="1" applyBorder="1" applyAlignment="1">
      <alignment horizontal="center" vertical="center"/>
    </xf>
    <xf numFmtId="181" fontId="12" fillId="3" borderId="107" xfId="0" applyNumberFormat="1" applyFont="1" applyFill="1" applyBorder="1" applyAlignment="1">
      <alignment horizontal="center" vertical="center"/>
    </xf>
    <xf numFmtId="181" fontId="12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2" fillId="3" borderId="104" xfId="9" applyFont="1" applyFill="1" applyBorder="1" applyAlignment="1">
      <alignment horizontal="center" vertical="center"/>
    </xf>
    <xf numFmtId="0" fontId="9" fillId="0" borderId="105" xfId="9" applyBorder="1" applyAlignment="1">
      <alignment horizontal="center" vertical="center"/>
    </xf>
    <xf numFmtId="0" fontId="12" fillId="0" borderId="4" xfId="9" applyFont="1" applyBorder="1" applyAlignment="1">
      <alignment horizontal="center" vertical="center"/>
    </xf>
    <xf numFmtId="0" fontId="12" fillId="0" borderId="143" xfId="9" applyFont="1" applyBorder="1" applyAlignment="1">
      <alignment horizontal="center" vertical="center"/>
    </xf>
    <xf numFmtId="0" fontId="100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9" xfId="0" applyBorder="1" applyAlignment="1">
      <alignment horizontal="center" vertical="center"/>
    </xf>
    <xf numFmtId="0" fontId="0" fillId="0" borderId="331" xfId="0" applyBorder="1" applyAlignment="1">
      <alignment horizontal="center" vertical="center"/>
    </xf>
    <xf numFmtId="0" fontId="12" fillId="23" borderId="110" xfId="0" applyFont="1" applyFill="1" applyBorder="1" applyAlignment="1">
      <alignment horizontal="center" vertical="center"/>
    </xf>
    <xf numFmtId="0" fontId="12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2" fillId="7" borderId="114" xfId="0" applyFont="1" applyFill="1" applyBorder="1" applyAlignment="1">
      <alignment horizontal="center" vertical="center"/>
    </xf>
    <xf numFmtId="0" fontId="12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8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2" fillId="6" borderId="6" xfId="2" applyNumberFormat="1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2" fillId="6" borderId="75" xfId="0" applyFont="1" applyFill="1" applyBorder="1" applyAlignment="1">
      <alignment horizontal="center" vertical="center"/>
    </xf>
    <xf numFmtId="0" fontId="12" fillId="6" borderId="30" xfId="0" applyFont="1" applyFill="1" applyBorder="1" applyAlignment="1">
      <alignment horizontal="center" vertical="center"/>
    </xf>
    <xf numFmtId="0" fontId="12" fillId="6" borderId="83" xfId="0" applyFont="1" applyFill="1" applyBorder="1" applyAlignment="1">
      <alignment horizontal="center" vertical="center"/>
    </xf>
    <xf numFmtId="198" fontId="0" fillId="0" borderId="114" xfId="2" applyNumberFormat="1" applyFont="1" applyBorder="1" applyAlignment="1">
      <alignment horizontal="center" vertical="center" wrapText="1"/>
    </xf>
    <xf numFmtId="198" fontId="0" fillId="0" borderId="115" xfId="2" applyNumberFormat="1" applyFont="1" applyBorder="1" applyAlignment="1">
      <alignment horizontal="center" vertical="center"/>
    </xf>
    <xf numFmtId="0" fontId="12" fillId="23" borderId="101" xfId="0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worksheets/sheet29.xml" Type="http://schemas.openxmlformats.org/officeDocument/2006/relationships/worksheet"/><Relationship Id="rId3" Target="worksheets/sheet3.xml" Type="http://schemas.openxmlformats.org/officeDocument/2006/relationships/worksheet"/><Relationship Id="rId30" Target="externalLinks/externalLink1.xml" Type="http://schemas.openxmlformats.org/officeDocument/2006/relationships/externalLink"/><Relationship Id="rId31" Target="theme/theme1.xml" Type="http://schemas.openxmlformats.org/officeDocument/2006/relationships/theme"/><Relationship Id="rId32" Target="styles.xml" Type="http://schemas.openxmlformats.org/officeDocument/2006/relationships/styles"/><Relationship Id="rId33" Target="sharedStrings.xml" Type="http://schemas.openxmlformats.org/officeDocument/2006/relationships/sharedStrings"/><Relationship Id="rId34" Target="metadata.xml" Type="http://schemas.openxmlformats.org/officeDocument/2006/relationships/sheetMetadata"/><Relationship Id="rId35" Target="calcChain.xml" Type="http://schemas.openxmlformats.org/officeDocument/2006/relationships/calcChain"/><Relationship Id="rId36" Target="../customXml/item1.xml" Type="http://schemas.openxmlformats.org/officeDocument/2006/relationships/customXml"/><Relationship Id="rId37" Target="../customXml/item2.xml" Type="http://schemas.openxmlformats.org/officeDocument/2006/relationships/customXml"/><Relationship Id="rId38" Target="../customXml/item3.xml" Type="http://schemas.openxmlformats.org/officeDocument/2006/relationships/customXml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externalLinks/_rels/externalLink1.xml.rels><?xml version="1.0" encoding="UTF-8" standalone="no"?><Relationships xmlns="http://schemas.openxmlformats.org/package/2006/relationships"><Relationship Id="rId1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Relationship Id="rId2" Target="../drawings/vmlDrawing2.vml" Type="http://schemas.openxmlformats.org/officeDocument/2006/relationships/vmlDrawing"/><Relationship Id="rId3" Target="../comments2.xml" Type="http://schemas.openxmlformats.org/officeDocument/2006/relationships/comments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5.bin" Type="http://schemas.openxmlformats.org/officeDocument/2006/relationships/printerSettings"/><Relationship Id="rId2" Target="../drawings/vmlDrawing3.vml" Type="http://schemas.openxmlformats.org/officeDocument/2006/relationships/vmlDrawing"/><Relationship Id="rId3" Target="../comments3.xml" Type="http://schemas.openxmlformats.org/officeDocument/2006/relationships/comments"/></Relationships>
</file>

<file path=xl/worksheets/_rels/sheet8.xml.rels><?xml version="1.0" encoding="UTF-8" standalone="no"?><Relationships xmlns="http://schemas.openxmlformats.org/package/2006/relationships"><Relationship Id="rId1" Target="../printerSettings/printerSettings6.bin" Type="http://schemas.openxmlformats.org/officeDocument/2006/relationships/printerSettings"/><Relationship Id="rId2" Target="../drawings/vmlDrawing4.vml" Type="http://schemas.openxmlformats.org/officeDocument/2006/relationships/vmlDrawing"/><Relationship Id="rId3" Target="../comments4.xml" Type="http://schemas.openxmlformats.org/officeDocument/2006/relationships/comments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Relationship Id="rId2" Target="../drawings/vmlDrawing5.vml" Type="http://schemas.openxmlformats.org/officeDocument/2006/relationships/vmlDrawing"/><Relationship Id="rId3" Target="../comments5.xml" Type="http://schemas.openxmlformats.org/officeDocument/2006/relationships/comments"/></Relationships>
</file>

<file path=xl/worksheets/_rels/sheet11.xml.rels><?xml version="1.0" encoding="UTF-8" standalone="no"?><Relationships xmlns="http://schemas.openxmlformats.org/package/2006/relationships"><Relationship Id="rId1" Target="../printerSettings/printerSettings8.bin" Type="http://schemas.openxmlformats.org/officeDocument/2006/relationships/printerSettings"/></Relationships>
</file>

<file path=xl/worksheets/_rels/sheet13.xml.rels><?xml version="1.0" encoding="UTF-8" standalone="no"?><Relationships xmlns="http://schemas.openxmlformats.org/package/2006/relationships"><Relationship Id="rId1" Target="../printerSettings/printerSettings9.bin" Type="http://schemas.openxmlformats.org/officeDocument/2006/relationships/printerSettings"/></Relationships>
</file>

<file path=xl/worksheets/_rels/sheet14.xml.rels><?xml version="1.0" encoding="UTF-8" standalone="no"?><Relationships xmlns="http://schemas.openxmlformats.org/package/2006/relationships"><Relationship Id="rId1" Target="../printerSettings/printerSettings10.bin" Type="http://schemas.openxmlformats.org/officeDocument/2006/relationships/printerSettings"/></Relationships>
</file>

<file path=xl/worksheets/_rels/sheet15.xml.rels><?xml version="1.0" encoding="UTF-8" standalone="no"?><Relationships xmlns="http://schemas.openxmlformats.org/package/2006/relationships"><Relationship Id="rId1" Target="../printerSettings/printerSettings11.bin" Type="http://schemas.openxmlformats.org/officeDocument/2006/relationships/printerSettings"/><Relationship Id="rId2" Target="../drawings/vmlDrawing6.vml" Type="http://schemas.openxmlformats.org/officeDocument/2006/relationships/vmlDrawing"/><Relationship Id="rId3" Target="../comments6.xml" Type="http://schemas.openxmlformats.org/officeDocument/2006/relationships/comments"/></Relationships>
</file>

<file path=xl/worksheets/_rels/sheet17.xml.rels><?xml version="1.0" encoding="UTF-8" standalone="no"?><Relationships xmlns="http://schemas.openxmlformats.org/package/2006/relationships"><Relationship Id="rId1" Target="../printerSettings/printerSettings12.bin" Type="http://schemas.openxmlformats.org/officeDocument/2006/relationships/printerSettings"/><Relationship Id="rId2" Target="../drawings/vmlDrawing7.vml" Type="http://schemas.openxmlformats.org/officeDocument/2006/relationships/vmlDrawing"/><Relationship Id="rId3" Target="../comments7.xml" Type="http://schemas.openxmlformats.org/officeDocument/2006/relationships/comments"/></Relationships>
</file>

<file path=xl/worksheets/_rels/sheet18.xml.rels><?xml version="1.0" encoding="UTF-8" standalone="no"?><Relationships xmlns="http://schemas.openxmlformats.org/package/2006/relationships"><Relationship Id="rId1" Target="../printerSettings/printerSettings13.bin" Type="http://schemas.openxmlformats.org/officeDocument/2006/relationships/printerSettings"/><Relationship Id="rId2" Target="../drawings/vmlDrawing8.vml" Type="http://schemas.openxmlformats.org/officeDocument/2006/relationships/vmlDrawing"/><Relationship Id="rId3" Target="../comments8.xml" Type="http://schemas.openxmlformats.org/officeDocument/2006/relationships/comments"/></Relationships>
</file>

<file path=xl/worksheets/_rels/sheet19.xml.rels><?xml version="1.0" encoding="UTF-8" standalone="no"?><Relationships xmlns="http://schemas.openxmlformats.org/package/2006/relationships"><Relationship Id="rId1" Target="../printerSettings/printerSettings14.bin" Type="http://schemas.openxmlformats.org/officeDocument/2006/relationships/printerSettings"/></Relationships>
</file>

<file path=xl/worksheets/_rels/sheet20.xml.rels><?xml version="1.0" encoding="UTF-8" standalone="no"?><Relationships xmlns="http://schemas.openxmlformats.org/package/2006/relationships"><Relationship Id="rId1" Target="../printerSettings/printerSettings15.bin" Type="http://schemas.openxmlformats.org/officeDocument/2006/relationships/printerSettings"/></Relationships>
</file>

<file path=xl/worksheets/_rels/sheet21.xml.rels><?xml version="1.0" encoding="UTF-8" standalone="no"?><Relationships xmlns="http://schemas.openxmlformats.org/package/2006/relationships"><Relationship Id="rId1" Target="../printerSettings/printerSettings16.bin" Type="http://schemas.openxmlformats.org/officeDocument/2006/relationships/printerSettings"/></Relationships>
</file>

<file path=xl/worksheets/_rels/sheet27.xml.rels><?xml version="1.0" encoding="UTF-8" standalone="no"?><Relationships xmlns="http://schemas.openxmlformats.org/package/2006/relationships"><Relationship Id="rId1" Target="../printerSettings/printerSettings17.bin" Type="http://schemas.openxmlformats.org/officeDocument/2006/relationships/printerSettings"/></Relationships>
</file>

<file path=xl/worksheets/_rels/sheet28.xml.rels><?xml version="1.0" encoding="UTF-8" standalone="no"?><Relationships xmlns="http://schemas.openxmlformats.org/package/2006/relationships"><Relationship Id="rId1" Target="../printerSettings/printerSettings18.bin" Type="http://schemas.openxmlformats.org/officeDocument/2006/relationships/printerSettings"/></Relationships>
</file>

<file path=xl/worksheets/_rels/sheet29.xml.rels><?xml version="1.0" encoding="UTF-8" standalone="no"?><Relationships xmlns="http://schemas.openxmlformats.org/package/2006/relationships"><Relationship Id="rId1" Target="../printerSettings/printerSettings19.bin" Type="http://schemas.openxmlformats.org/officeDocument/2006/relationships/printerSettings"/><Relationship Id="rId2" Target="../drawings/vmlDrawing9.vml" Type="http://schemas.openxmlformats.org/officeDocument/2006/relationships/vmlDrawing"/><Relationship Id="rId3" Target="../comments9.xml" Type="http://schemas.openxmlformats.org/officeDocument/2006/relationships/comment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279"/>
  <sheetViews>
    <sheetView tabSelected="1" zoomScaleNormal="100" workbookViewId="0">
      <pane xSplit="6" ySplit="1" topLeftCell="G2" activePane="bottomRight" state="frozen"/>
      <selection activeCell="AA28" sqref="AA28:AA63"/>
      <selection pane="topRight" activeCell="AA28" sqref="AA28:AA63"/>
      <selection pane="bottomLeft" activeCell="AA28" sqref="AA28:AA63"/>
      <selection pane="bottomRight" activeCell="AG8" sqref="AG8"/>
    </sheetView>
  </sheetViews>
  <sheetFormatPr defaultColWidth="8.77734375" defaultRowHeight="13.5" x14ac:dyDescent="0.15"/>
  <cols>
    <col min="1" max="2" customWidth="true" style="677" width="6.109375" collapsed="false"/>
    <col min="3" max="3" style="677" width="8.77734375" collapsed="false"/>
    <col min="4" max="4" customWidth="true" style="677" width="20.0" collapsed="false"/>
    <col min="5" max="5" customWidth="true" style="677" width="4.77734375" collapsed="false"/>
    <col min="6" max="6" customWidth="true" style="677" width="5.0" collapsed="false"/>
    <col min="7" max="8" customWidth="true" hidden="true" style="677" width="14.77734375" collapsed="false"/>
    <col min="9" max="10" bestFit="true" customWidth="true" style="677" width="19.44140625" collapsed="false"/>
    <col min="11" max="11" customWidth="true" hidden="true" style="677" width="5.77734375" collapsed="false"/>
    <col min="12" max="12" customWidth="true" hidden="true" style="677" width="6.77734375" collapsed="false"/>
    <col min="13" max="13" customWidth="true" hidden="true" style="677" width="3.6640625" collapsed="false"/>
    <col min="14" max="14" customWidth="true" hidden="true" style="1876" width="4.6640625" collapsed="false"/>
    <col min="15" max="15" customWidth="true" hidden="true" style="677" width="5.77734375" collapsed="false"/>
    <col min="16" max="16" customWidth="true" hidden="true" style="677" width="6.77734375" collapsed="false"/>
    <col min="17" max="17" customWidth="true" hidden="true" style="677" width="3.6640625" collapsed="false"/>
    <col min="18" max="18" customWidth="true" hidden="true" style="1876" width="4.6640625" collapsed="false"/>
    <col min="19" max="20" customWidth="true" hidden="true" style="677" width="9.44140625" collapsed="false"/>
    <col min="21" max="22" customWidth="true" hidden="true" style="677" width="9.77734375" collapsed="false"/>
    <col min="23" max="30" customWidth="true" hidden="true" style="677" width="9.44140625" collapsed="false"/>
    <col min="31" max="32" customWidth="true" hidden="true" style="939" width="9.44140625" collapsed="false"/>
    <col min="33" max="37" customWidth="true" style="677" width="9.109375" collapsed="false"/>
    <col min="38" max="38" customWidth="true" style="677" width="16.44140625" collapsed="false"/>
    <col min="39" max="39" customWidth="true" style="677" width="20.109375" collapsed="false"/>
    <col min="40" max="40" customWidth="true" style="677" width="26.109375" collapsed="false"/>
    <col min="41" max="16384" style="677" width="8.77734375" collapsed="false"/>
  </cols>
  <sheetData>
    <row r="1" spans="1:40" ht="31.5" x14ac:dyDescent="0.15">
      <c r="A1" s="905" t="s">
        <v>0</v>
      </c>
      <c r="B1" s="905"/>
      <c r="C1" s="905"/>
      <c r="D1" s="905"/>
      <c r="E1" s="905"/>
      <c r="F1" s="905"/>
      <c r="G1" s="905"/>
      <c r="H1" s="905"/>
      <c r="I1" s="905"/>
      <c r="J1" s="905"/>
      <c r="K1" s="905"/>
      <c r="L1" s="905"/>
      <c r="M1" s="905"/>
      <c r="N1" s="1875"/>
      <c r="O1" s="905"/>
      <c r="P1" s="905"/>
      <c r="Q1" s="905"/>
      <c r="R1" s="1875"/>
      <c r="S1" s="905"/>
      <c r="T1" s="905"/>
      <c r="U1" s="905"/>
      <c r="V1" s="905"/>
      <c r="W1" s="905"/>
      <c r="X1" s="905"/>
      <c r="Y1" s="905"/>
      <c r="Z1" s="905"/>
      <c r="AA1" s="905"/>
      <c r="AB1" s="905"/>
      <c r="AC1" s="905"/>
      <c r="AD1" s="905"/>
      <c r="AE1" s="938"/>
      <c r="AF1" s="938"/>
      <c r="AG1" s="905"/>
      <c r="AH1" s="905"/>
      <c r="AI1" s="958"/>
      <c r="AJ1" s="958"/>
      <c r="AK1" s="958"/>
      <c r="AL1" s="958"/>
      <c r="AM1" s="905"/>
      <c r="AN1" s="905"/>
    </row>
    <row r="2" spans="1:40" ht="14.25" thickBot="1" x14ac:dyDescent="0.2">
      <c r="AN2" s="737" t="s">
        <v>1</v>
      </c>
    </row>
    <row r="3" spans="1:40" ht="33.6" customHeight="1" thickTop="1" thickBot="1" x14ac:dyDescent="0.2">
      <c r="A3" s="2708" t="s">
        <v>2</v>
      </c>
      <c r="B3" s="2735" t="s">
        <v>3</v>
      </c>
      <c r="C3" s="2723" t="s">
        <v>4</v>
      </c>
      <c r="D3" s="2723" t="s">
        <v>5</v>
      </c>
      <c r="E3" s="3202" t="s">
        <v>6</v>
      </c>
      <c r="F3" s="3203"/>
      <c r="G3" s="3179" t="s">
        <v>9164</v>
      </c>
      <c r="H3" s="3180"/>
      <c r="I3" s="3179" t="s">
        <v>9165</v>
      </c>
      <c r="J3" s="3180"/>
      <c r="K3" s="3181" t="s">
        <v>7</v>
      </c>
      <c r="L3" s="3182"/>
      <c r="M3" s="3182"/>
      <c r="N3" s="3182"/>
      <c r="O3" s="3182"/>
      <c r="P3" s="3182"/>
      <c r="Q3" s="3182"/>
      <c r="R3" s="3183"/>
      <c r="S3" s="3204" t="s">
        <v>8</v>
      </c>
      <c r="T3" s="3201"/>
      <c r="U3" s="3184" t="s">
        <v>9</v>
      </c>
      <c r="V3" s="3201"/>
      <c r="W3" s="3184" t="s">
        <v>10</v>
      </c>
      <c r="X3" s="3201"/>
      <c r="Y3" s="3204" t="s">
        <v>11</v>
      </c>
      <c r="Z3" s="3201"/>
      <c r="AA3" s="3204" t="s">
        <v>12</v>
      </c>
      <c r="AB3" s="3201"/>
      <c r="AC3" s="3204" t="s">
        <v>13</v>
      </c>
      <c r="AD3" s="3201"/>
      <c r="AE3" s="3184" t="s">
        <v>14</v>
      </c>
      <c r="AF3" s="3185"/>
      <c r="AG3" s="3186" t="s">
        <v>9166</v>
      </c>
      <c r="AH3" s="3187"/>
      <c r="AI3" s="3187"/>
      <c r="AJ3" s="3188" t="s">
        <v>9150</v>
      </c>
      <c r="AK3" s="3189"/>
      <c r="AL3" s="2734" t="s">
        <v>7059</v>
      </c>
      <c r="AM3" s="3042" t="s">
        <v>15</v>
      </c>
      <c r="AN3" s="3043" t="s">
        <v>16</v>
      </c>
    </row>
    <row r="4" spans="1:40" ht="15" thickTop="1" thickBot="1" x14ac:dyDescent="0.2">
      <c r="A4" s="3044" t="s">
        <v>9167</v>
      </c>
      <c r="B4" s="3045"/>
      <c r="C4" s="3046"/>
      <c r="D4" s="3046"/>
      <c r="E4" s="741" t="s">
        <v>17</v>
      </c>
      <c r="F4" s="741" t="s">
        <v>18</v>
      </c>
      <c r="G4" s="1877" t="s">
        <v>19</v>
      </c>
      <c r="H4" s="1878" t="s">
        <v>20</v>
      </c>
      <c r="I4" s="1877" t="s">
        <v>19</v>
      </c>
      <c r="J4" s="1878" t="s">
        <v>20</v>
      </c>
      <c r="K4" s="3190" t="s">
        <v>19</v>
      </c>
      <c r="L4" s="3191"/>
      <c r="M4" s="3191"/>
      <c r="N4" s="3192"/>
      <c r="O4" s="3193" t="s">
        <v>20</v>
      </c>
      <c r="P4" s="3193"/>
      <c r="Q4" s="3193"/>
      <c r="R4" s="3194"/>
      <c r="S4" s="1332" t="s">
        <v>19</v>
      </c>
      <c r="T4" s="1333" t="s">
        <v>20</v>
      </c>
      <c r="U4" s="1332" t="s">
        <v>19</v>
      </c>
      <c r="V4" s="1333" t="s">
        <v>20</v>
      </c>
      <c r="W4" s="1332" t="s">
        <v>19</v>
      </c>
      <c r="X4" s="1333" t="s">
        <v>20</v>
      </c>
      <c r="Y4" s="1332" t="s">
        <v>19</v>
      </c>
      <c r="Z4" s="1333" t="s">
        <v>20</v>
      </c>
      <c r="AA4" s="1332" t="s">
        <v>19</v>
      </c>
      <c r="AB4" s="1333" t="s">
        <v>20</v>
      </c>
      <c r="AC4" s="1332" t="s">
        <v>19</v>
      </c>
      <c r="AD4" s="1333" t="s">
        <v>20</v>
      </c>
      <c r="AE4" s="1334" t="s">
        <v>19</v>
      </c>
      <c r="AF4" s="1335" t="s">
        <v>20</v>
      </c>
      <c r="AG4" s="742" t="s">
        <v>21</v>
      </c>
      <c r="AH4" s="965" t="s">
        <v>22</v>
      </c>
      <c r="AI4" s="1326" t="s">
        <v>23</v>
      </c>
      <c r="AJ4" s="3047" t="s">
        <v>21</v>
      </c>
      <c r="AK4" s="3048" t="s">
        <v>22</v>
      </c>
      <c r="AL4" s="3049"/>
      <c r="AM4" s="3050"/>
      <c r="AN4" s="3051"/>
    </row>
    <row r="5" spans="1:40" ht="40.5" x14ac:dyDescent="0.15">
      <c r="A5" s="3052" t="s">
        <v>24</v>
      </c>
      <c r="B5" s="3206" t="s">
        <v>25</v>
      </c>
      <c r="C5" s="2342"/>
      <c r="D5" s="2342" t="s">
        <v>26</v>
      </c>
      <c r="E5" s="2343" t="s">
        <v>27</v>
      </c>
      <c r="F5" s="2343"/>
      <c r="G5" s="2011" t="s">
        <v>9168</v>
      </c>
      <c r="H5" s="2344"/>
      <c r="I5" s="2011" t="str">
        <f>"7-DaHall 1-"&amp;M5&amp;"-"&amp;L5&amp;"-"&amp;N5</f>
        <v>7-DaHall 1-PDU-03-225-6</v>
      </c>
      <c r="J5" s="2344"/>
      <c r="K5" s="2345">
        <v>380</v>
      </c>
      <c r="L5" s="2346">
        <v>225</v>
      </c>
      <c r="M5" s="912" t="s">
        <v>9169</v>
      </c>
      <c r="N5" s="2090">
        <v>6</v>
      </c>
      <c r="O5" s="2347"/>
      <c r="P5" s="2348"/>
      <c r="Q5" s="2349"/>
      <c r="R5" s="2350"/>
      <c r="S5" s="912" t="s">
        <v>28</v>
      </c>
      <c r="T5" s="2351"/>
      <c r="U5" s="738"/>
      <c r="V5" s="738"/>
      <c r="W5" s="738"/>
      <c r="X5" s="738"/>
      <c r="Y5" s="738"/>
      <c r="Z5" s="738"/>
      <c r="AA5" s="907" t="s">
        <v>29</v>
      </c>
      <c r="AB5" s="738"/>
      <c r="AC5" s="907" t="s">
        <v>30</v>
      </c>
      <c r="AD5" s="738"/>
      <c r="AE5" s="907" t="s">
        <v>31</v>
      </c>
      <c r="AF5" s="738"/>
      <c r="AG5" s="686" t="n">
        <f>SUM('7층_부하량(월간_AVG)'!N140:P140)</f>
        <v>131.13064790771907</v>
      </c>
      <c r="AH5" s="738"/>
      <c r="AI5" s="1328" t="n">
        <f t="shared" ref="AI5:AI6" si="0">AG5+AH5</f>
        <v>131.13064790771907</v>
      </c>
      <c r="AJ5" s="3053" t="n" cm="1">
        <f t="array" ref="AJ5">INDEX('각층분기별_유효전력량(전월)'!L2:L2000,MATCH(1,("7-DaHall 1-PDU-03"='각층분기별_유효전력량(전월)'!J2:J2000)*("[branch#006] [A] kWh last month"='각층분기별_유효전력량(전월)'!K2:K2000),0))</f>
        <v>23717.8</v>
      </c>
      <c r="AK5" s="3054"/>
      <c r="AL5" s="3055" t="n">
        <f>SUBTOTAL(9,AJ5:AK5)</f>
        <v>23717.8</v>
      </c>
      <c r="AM5" s="2725"/>
      <c r="AN5" s="2727"/>
    </row>
    <row r="6" spans="1:40" ht="41.25" thickBot="1" x14ac:dyDescent="0.2">
      <c r="A6" s="3044"/>
      <c r="B6" s="3207"/>
      <c r="C6" s="2352"/>
      <c r="D6" s="2352" t="s">
        <v>32</v>
      </c>
      <c r="E6" s="741" t="s">
        <v>27</v>
      </c>
      <c r="F6" s="741"/>
      <c r="G6" s="2076"/>
      <c r="H6" s="2353" t="s">
        <v>9170</v>
      </c>
      <c r="I6" s="2076"/>
      <c r="J6" s="2353" t="str">
        <f t="shared" ref="J6:J12" si="1">"7-DaHall 1-"&amp;Q6&amp;"-"&amp;P6&amp;"-"&amp;R6</f>
        <v>7-DaHall 1-PDU-04-150-1</v>
      </c>
      <c r="K6" s="2354"/>
      <c r="L6" s="2355"/>
      <c r="M6" s="913"/>
      <c r="N6" s="2080"/>
      <c r="O6" s="2356">
        <v>380</v>
      </c>
      <c r="P6" s="2357">
        <v>150</v>
      </c>
      <c r="Q6" s="2358" t="s">
        <v>9171</v>
      </c>
      <c r="R6" s="2359">
        <v>1</v>
      </c>
      <c r="S6" s="913"/>
      <c r="T6" s="2358" t="s">
        <v>33</v>
      </c>
      <c r="U6" s="927"/>
      <c r="V6" s="927"/>
      <c r="W6" s="927"/>
      <c r="X6" s="927"/>
      <c r="Y6" s="927"/>
      <c r="Z6" s="927"/>
      <c r="AA6" s="927"/>
      <c r="AB6" s="2360" t="s">
        <v>34</v>
      </c>
      <c r="AC6" s="927"/>
      <c r="AD6" s="2360" t="s">
        <v>35</v>
      </c>
      <c r="AE6" s="927"/>
      <c r="AF6" s="2360" t="s">
        <v>36</v>
      </c>
      <c r="AG6" s="927"/>
      <c r="AH6" s="2361" t="n">
        <f>SUM('7층_부하량(월간_AVG)'!D153:F153)</f>
        <v>142.2092618044176</v>
      </c>
      <c r="AI6" s="1351" t="n">
        <f t="shared" si="0"/>
        <v>142.2092618044176</v>
      </c>
      <c r="AJ6" s="3056"/>
      <c r="AK6" s="3057" t="n" cm="1">
        <f t="array" ref="AK6">INDEX('각층분기별_유효전력량(전월)'!L2:L2000,MATCH(1,("7-DaHall 1-PDU-04"='각층분기별_유효전력량(전월)'!J2:J2000)*("[branch#001] [A] kWh last month"='각층분기별_유효전력량(전월)'!K2:K2000),0))</f>
        <v>21080.7</v>
      </c>
      <c r="AL6" s="3058" t="n">
        <f t="shared" ref="AL6:AL69" si="2">SUBTOTAL(9,AJ6:AK6)</f>
        <v>21080.7</v>
      </c>
      <c r="AM6" s="2726"/>
      <c r="AN6" s="2728"/>
    </row>
    <row r="7" spans="1:40" ht="54" hidden="1" customHeight="1" x14ac:dyDescent="0.15">
      <c r="A7" s="3059" t="s">
        <v>794</v>
      </c>
      <c r="B7" s="2713"/>
      <c r="C7" s="3195"/>
      <c r="D7" s="3196" t="s">
        <v>795</v>
      </c>
      <c r="E7" s="701"/>
      <c r="F7" s="701" t="s">
        <v>27</v>
      </c>
      <c r="G7" s="1984" t="s">
        <v>9172</v>
      </c>
      <c r="H7" s="1985" t="s">
        <v>9173</v>
      </c>
      <c r="I7" s="1984" t="str">
        <f t="shared" ref="I7:I12" si="3">"7-DaHall 1-"&amp;M7&amp;"-"&amp;L7&amp;"-"&amp;N7</f>
        <v>7-DaHall 1-A-4-35-32</v>
      </c>
      <c r="J7" s="1985" t="str">
        <f t="shared" si="1"/>
        <v>7-DaHall 1-B-4-35-32</v>
      </c>
      <c r="K7" s="1986">
        <v>48</v>
      </c>
      <c r="L7" s="2002">
        <v>35</v>
      </c>
      <c r="M7" s="907" t="s">
        <v>242</v>
      </c>
      <c r="N7" s="1987">
        <v>32</v>
      </c>
      <c r="O7" s="1929">
        <v>48</v>
      </c>
      <c r="P7" s="1930">
        <v>35</v>
      </c>
      <c r="Q7" s="918" t="s">
        <v>243</v>
      </c>
      <c r="R7" s="1989">
        <v>32</v>
      </c>
      <c r="S7" s="907" t="s">
        <v>796</v>
      </c>
      <c r="T7" s="918" t="s">
        <v>797</v>
      </c>
      <c r="U7" s="2699" t="s">
        <v>246</v>
      </c>
      <c r="V7" s="2701" t="s">
        <v>247</v>
      </c>
      <c r="W7" s="2699" t="s">
        <v>452</v>
      </c>
      <c r="X7" s="2701" t="s">
        <v>453</v>
      </c>
      <c r="Y7" s="2699" t="s">
        <v>49</v>
      </c>
      <c r="Z7" s="2701" t="s">
        <v>798</v>
      </c>
      <c r="AA7" s="2699" t="s">
        <v>51</v>
      </c>
      <c r="AB7" s="2701" t="s">
        <v>52</v>
      </c>
      <c r="AC7" s="2699" t="s">
        <v>30</v>
      </c>
      <c r="AD7" s="2701" t="s">
        <v>35</v>
      </c>
      <c r="AE7" s="3197" t="s">
        <v>31</v>
      </c>
      <c r="AF7" s="3199" t="s">
        <v>36</v>
      </c>
      <c r="AG7" s="686"/>
      <c r="AH7" s="679"/>
      <c r="AI7" s="1343"/>
      <c r="AJ7" s="3060"/>
      <c r="AK7" s="3061"/>
      <c r="AL7" s="3062" t="n">
        <f t="shared" si="2"/>
        <v>0.0</v>
      </c>
      <c r="AM7" s="702" t="s">
        <v>799</v>
      </c>
      <c r="AN7" s="703"/>
    </row>
    <row r="8" spans="1:40" ht="41.25" thickBot="1" x14ac:dyDescent="0.2">
      <c r="A8" s="3063"/>
      <c r="B8" s="2714" t="s">
        <v>9174</v>
      </c>
      <c r="C8" s="3168"/>
      <c r="D8" s="3170"/>
      <c r="E8" s="2710" t="s">
        <v>27</v>
      </c>
      <c r="F8" s="2710"/>
      <c r="G8" s="2003" t="s">
        <v>9175</v>
      </c>
      <c r="H8" s="2004" t="s">
        <v>9176</v>
      </c>
      <c r="I8" s="2003" t="str">
        <f t="shared" si="3"/>
        <v>7-DaHall 1-PDU-01-30-37</v>
      </c>
      <c r="J8" s="2004" t="str">
        <f t="shared" si="1"/>
        <v>7-DaHall 1-PDU-02-30-37</v>
      </c>
      <c r="K8" s="2005">
        <v>220</v>
      </c>
      <c r="L8" s="2006">
        <v>30</v>
      </c>
      <c r="M8" s="3064" t="s">
        <v>9177</v>
      </c>
      <c r="N8" s="2007">
        <v>37</v>
      </c>
      <c r="O8" s="2008">
        <v>220</v>
      </c>
      <c r="P8" s="2009">
        <v>30</v>
      </c>
      <c r="Q8" s="1082" t="s">
        <v>9178</v>
      </c>
      <c r="R8" s="2010">
        <v>37</v>
      </c>
      <c r="S8" s="1083" t="s">
        <v>800</v>
      </c>
      <c r="T8" s="1082" t="s">
        <v>801</v>
      </c>
      <c r="U8" s="1084"/>
      <c r="V8" s="1084"/>
      <c r="W8" s="1084"/>
      <c r="X8" s="1084"/>
      <c r="Y8" s="1084"/>
      <c r="Z8" s="1084"/>
      <c r="AA8" s="2699" t="s">
        <v>173</v>
      </c>
      <c r="AB8" s="2701" t="s">
        <v>174</v>
      </c>
      <c r="AC8" s="2699" t="s">
        <v>111</v>
      </c>
      <c r="AD8" s="2701" t="s">
        <v>112</v>
      </c>
      <c r="AE8" s="3198"/>
      <c r="AF8" s="3200"/>
      <c r="AG8" s="1089" t="n">
        <f>SUM('7층_부하량(월간_AVG)'!D81:F81)</f>
        <v>1.7537656867671527</v>
      </c>
      <c r="AH8" s="1085" t="n">
        <f>SUM('7층_부하량(월간_AVG)'!D49:F49)</f>
        <v>1.237209680569701</v>
      </c>
      <c r="AI8" s="2720" t="n">
        <f t="shared" ref="AI8" si="4">AG8+AH8</f>
        <v>2.990975367336854</v>
      </c>
      <c r="AJ8" s="3056" t="n" cm="1">
        <f t="array" ref="AJ8">INDEX('각층분기별_유효전력량(전월)'!L2:L2000,MATCH(1,("7-DaHall 1-PDU-01"='각층분기별_유효전력량(전월)'!J2:J2000)*("[branch#037] [A] kWh last month"='각층분기별_유효전력량(전월)'!K2:K2000),0))</f>
        <v>291.5</v>
      </c>
      <c r="AK8" s="3057" t="n" cm="1">
        <f t="array" ref="AK8">INDEX('각층분기별_유효전력량(전월)'!L2:L2000,MATCH(1,("7-DaHall 1-PDU-02"='각층분기별_유효전력량(전월)'!J2:J2000)*("[branch#037] [A] kWh last month"='각층분기별_유효전력량(전월)'!K2:K2000),0))</f>
        <v>313.1</v>
      </c>
      <c r="AL8" s="3065" t="n">
        <f t="shared" si="2"/>
        <v>604.6</v>
      </c>
      <c r="AM8" s="1075" t="s">
        <v>802</v>
      </c>
      <c r="AN8" s="2729"/>
    </row>
    <row r="9" spans="1:40" ht="55.5" hidden="1" customHeight="1" thickTop="1" thickBot="1" x14ac:dyDescent="0.2">
      <c r="A9" s="3044"/>
      <c r="B9" s="2741" t="s">
        <v>789</v>
      </c>
      <c r="C9" s="2240" t="s">
        <v>790</v>
      </c>
      <c r="D9" s="2741" t="s">
        <v>791</v>
      </c>
      <c r="E9" s="2741"/>
      <c r="F9" s="2741" t="s">
        <v>27</v>
      </c>
      <c r="G9" s="1895" t="s">
        <v>9179</v>
      </c>
      <c r="H9" s="1931" t="s">
        <v>9180</v>
      </c>
      <c r="I9" s="1895" t="str">
        <f t="shared" si="3"/>
        <v>7-DaHall 1-A-4-100-58</v>
      </c>
      <c r="J9" s="1931" t="str">
        <f t="shared" si="1"/>
        <v>7-DaHall 1-B-4-100-58</v>
      </c>
      <c r="K9" s="1897">
        <v>48</v>
      </c>
      <c r="L9" s="1898">
        <v>100</v>
      </c>
      <c r="M9" s="909" t="s">
        <v>242</v>
      </c>
      <c r="N9" s="1899">
        <v>58</v>
      </c>
      <c r="O9" s="2001">
        <v>48</v>
      </c>
      <c r="P9" s="1930">
        <v>100</v>
      </c>
      <c r="Q9" s="911" t="s">
        <v>243</v>
      </c>
      <c r="R9" s="1932">
        <v>58</v>
      </c>
      <c r="S9" s="909" t="s">
        <v>792</v>
      </c>
      <c r="T9" s="911" t="s">
        <v>793</v>
      </c>
      <c r="U9" s="2244" t="s">
        <v>246</v>
      </c>
      <c r="V9" s="922" t="s">
        <v>247</v>
      </c>
      <c r="W9" s="3066" t="s">
        <v>452</v>
      </c>
      <c r="X9" s="3067" t="s">
        <v>453</v>
      </c>
      <c r="Y9" s="3066" t="s">
        <v>49</v>
      </c>
      <c r="Z9" s="3067" t="s">
        <v>50</v>
      </c>
      <c r="AA9" s="3066" t="s">
        <v>51</v>
      </c>
      <c r="AB9" s="3067" t="s">
        <v>52</v>
      </c>
      <c r="AC9" s="3066" t="s">
        <v>30</v>
      </c>
      <c r="AD9" s="3067" t="s">
        <v>35</v>
      </c>
      <c r="AE9" s="2244" t="s">
        <v>31</v>
      </c>
      <c r="AF9" s="922" t="s">
        <v>36</v>
      </c>
      <c r="AG9" s="696"/>
      <c r="AH9" s="684"/>
      <c r="AI9" s="1336"/>
      <c r="AJ9" s="3060"/>
      <c r="AK9" s="3061"/>
      <c r="AL9" s="3062" t="n">
        <f t="shared" si="2"/>
        <v>0.0</v>
      </c>
      <c r="AM9" s="2745"/>
      <c r="AN9" s="685"/>
    </row>
    <row r="10" spans="1:40" ht="54.75" hidden="1" customHeight="1" x14ac:dyDescent="0.15">
      <c r="A10" s="3068"/>
      <c r="B10" s="2705" t="s">
        <v>784</v>
      </c>
      <c r="C10" s="2239" t="s">
        <v>785</v>
      </c>
      <c r="D10" s="2705" t="s">
        <v>786</v>
      </c>
      <c r="E10" s="2705"/>
      <c r="F10" s="2705" t="s">
        <v>27</v>
      </c>
      <c r="G10" s="1887" t="s">
        <v>9181</v>
      </c>
      <c r="H10" s="1919" t="s">
        <v>9182</v>
      </c>
      <c r="I10" s="1887" t="str">
        <f t="shared" si="3"/>
        <v>7-DaHall 1-A-4-100-56</v>
      </c>
      <c r="J10" s="1919" t="str">
        <f t="shared" si="1"/>
        <v>7-DaHall 1-B-4-35-56</v>
      </c>
      <c r="K10" s="1889">
        <v>48</v>
      </c>
      <c r="L10" s="1890">
        <v>100</v>
      </c>
      <c r="M10" s="2740" t="s">
        <v>242</v>
      </c>
      <c r="N10" s="1891">
        <v>56</v>
      </c>
      <c r="O10" s="1929">
        <v>48</v>
      </c>
      <c r="P10" s="1930">
        <v>35</v>
      </c>
      <c r="Q10" s="2722" t="s">
        <v>243</v>
      </c>
      <c r="R10" s="1920">
        <v>56</v>
      </c>
      <c r="S10" s="2740" t="s">
        <v>787</v>
      </c>
      <c r="T10" s="2722" t="s">
        <v>788</v>
      </c>
      <c r="U10" s="2244" t="s">
        <v>246</v>
      </c>
      <c r="V10" s="922" t="s">
        <v>247</v>
      </c>
      <c r="W10" s="3066" t="s">
        <v>452</v>
      </c>
      <c r="X10" s="3067" t="s">
        <v>453</v>
      </c>
      <c r="Y10" s="3066" t="s">
        <v>49</v>
      </c>
      <c r="Z10" s="3067" t="s">
        <v>50</v>
      </c>
      <c r="AA10" s="3066" t="s">
        <v>51</v>
      </c>
      <c r="AB10" s="3067" t="s">
        <v>52</v>
      </c>
      <c r="AC10" s="3066" t="s">
        <v>30</v>
      </c>
      <c r="AD10" s="3067" t="s">
        <v>35</v>
      </c>
      <c r="AE10" s="2244" t="s">
        <v>31</v>
      </c>
      <c r="AF10" s="922" t="s">
        <v>36</v>
      </c>
      <c r="AG10" s="687"/>
      <c r="AH10" s="682"/>
      <c r="AI10" s="2746"/>
      <c r="AJ10" s="3060"/>
      <c r="AK10" s="3061"/>
      <c r="AL10" s="3062" t="n">
        <f t="shared" si="2"/>
        <v>0.0</v>
      </c>
      <c r="AM10" s="2744"/>
      <c r="AN10" s="2747"/>
    </row>
    <row r="11" spans="1:40" ht="54.75" hidden="1" customHeight="1" x14ac:dyDescent="0.15">
      <c r="A11" s="3068"/>
      <c r="B11" s="2705" t="s">
        <v>779</v>
      </c>
      <c r="C11" s="2239" t="s">
        <v>780</v>
      </c>
      <c r="D11" s="2705" t="s">
        <v>781</v>
      </c>
      <c r="E11" s="2705"/>
      <c r="F11" s="2705" t="s">
        <v>27</v>
      </c>
      <c r="G11" s="1887" t="s">
        <v>9183</v>
      </c>
      <c r="H11" s="1919" t="s">
        <v>9184</v>
      </c>
      <c r="I11" s="1887" t="str">
        <f t="shared" si="3"/>
        <v>7-DaHall 1-A-4-50-59</v>
      </c>
      <c r="J11" s="1919" t="str">
        <f t="shared" si="1"/>
        <v>7-DaHall 1-B-4-50-59</v>
      </c>
      <c r="K11" s="1889">
        <v>48</v>
      </c>
      <c r="L11" s="1890">
        <v>50</v>
      </c>
      <c r="M11" s="2740" t="s">
        <v>242</v>
      </c>
      <c r="N11" s="1891">
        <v>59</v>
      </c>
      <c r="O11" s="1929">
        <v>48</v>
      </c>
      <c r="P11" s="1930">
        <v>50</v>
      </c>
      <c r="Q11" s="2722" t="s">
        <v>243</v>
      </c>
      <c r="R11" s="1920">
        <v>59</v>
      </c>
      <c r="S11" s="2740" t="s">
        <v>782</v>
      </c>
      <c r="T11" s="2722" t="s">
        <v>783</v>
      </c>
      <c r="U11" s="2244" t="s">
        <v>246</v>
      </c>
      <c r="V11" s="922" t="s">
        <v>247</v>
      </c>
      <c r="W11" s="3066" t="s">
        <v>452</v>
      </c>
      <c r="X11" s="3067" t="s">
        <v>453</v>
      </c>
      <c r="Y11" s="3066" t="s">
        <v>49</v>
      </c>
      <c r="Z11" s="3067" t="s">
        <v>50</v>
      </c>
      <c r="AA11" s="3066" t="s">
        <v>51</v>
      </c>
      <c r="AB11" s="3067" t="s">
        <v>52</v>
      </c>
      <c r="AC11" s="3066" t="s">
        <v>30</v>
      </c>
      <c r="AD11" s="3067" t="s">
        <v>35</v>
      </c>
      <c r="AE11" s="2244" t="s">
        <v>31</v>
      </c>
      <c r="AF11" s="922" t="s">
        <v>36</v>
      </c>
      <c r="AG11" s="687"/>
      <c r="AH11" s="682"/>
      <c r="AI11" s="2746"/>
      <c r="AJ11" s="3060"/>
      <c r="AK11" s="3061"/>
      <c r="AL11" s="3062" t="n">
        <f t="shared" si="2"/>
        <v>0.0</v>
      </c>
      <c r="AM11" s="2744"/>
      <c r="AN11" s="2747"/>
    </row>
    <row r="12" spans="1:40" ht="54.75" hidden="1" customHeight="1" x14ac:dyDescent="0.15">
      <c r="A12" s="3068"/>
      <c r="B12" s="2705" t="s">
        <v>773</v>
      </c>
      <c r="C12" s="2239" t="s">
        <v>774</v>
      </c>
      <c r="D12" s="2705" t="s">
        <v>775</v>
      </c>
      <c r="E12" s="2705"/>
      <c r="F12" s="2705" t="s">
        <v>27</v>
      </c>
      <c r="G12" s="1887" t="s">
        <v>9185</v>
      </c>
      <c r="H12" s="1919" t="s">
        <v>9186</v>
      </c>
      <c r="I12" s="1887" t="str">
        <f t="shared" si="3"/>
        <v>7-DaHall 1-A-4-50-25</v>
      </c>
      <c r="J12" s="1919" t="str">
        <f t="shared" si="1"/>
        <v>7-DaHall 1-B-4-50-25</v>
      </c>
      <c r="K12" s="1889">
        <v>48</v>
      </c>
      <c r="L12" s="1890">
        <v>50</v>
      </c>
      <c r="M12" s="2740" t="s">
        <v>242</v>
      </c>
      <c r="N12" s="1891">
        <v>25</v>
      </c>
      <c r="O12" s="1929">
        <v>48</v>
      </c>
      <c r="P12" s="1930">
        <v>50</v>
      </c>
      <c r="Q12" s="2722" t="s">
        <v>243</v>
      </c>
      <c r="R12" s="1920">
        <v>25</v>
      </c>
      <c r="S12" s="2740" t="s">
        <v>776</v>
      </c>
      <c r="T12" s="2722" t="s">
        <v>777</v>
      </c>
      <c r="U12" s="2244" t="s">
        <v>246</v>
      </c>
      <c r="V12" s="922" t="s">
        <v>247</v>
      </c>
      <c r="W12" s="3066" t="s">
        <v>452</v>
      </c>
      <c r="X12" s="3067" t="s">
        <v>453</v>
      </c>
      <c r="Y12" s="3066" t="s">
        <v>49</v>
      </c>
      <c r="Z12" s="3067" t="s">
        <v>50</v>
      </c>
      <c r="AA12" s="3066" t="s">
        <v>51</v>
      </c>
      <c r="AB12" s="3067" t="s">
        <v>52</v>
      </c>
      <c r="AC12" s="3066" t="s">
        <v>30</v>
      </c>
      <c r="AD12" s="3067" t="s">
        <v>35</v>
      </c>
      <c r="AE12" s="2244" t="s">
        <v>31</v>
      </c>
      <c r="AF12" s="922" t="s">
        <v>36</v>
      </c>
      <c r="AG12" s="687"/>
      <c r="AH12" s="682"/>
      <c r="AI12" s="2746"/>
      <c r="AJ12" s="3060"/>
      <c r="AK12" s="3061"/>
      <c r="AL12" s="3062" t="n">
        <f t="shared" si="2"/>
        <v>0.0</v>
      </c>
      <c r="AM12" s="980" t="s">
        <v>778</v>
      </c>
      <c r="AN12" s="990"/>
    </row>
    <row r="13" spans="1:40" ht="15" hidden="1" customHeight="1" thickTop="1" thickBot="1" x14ac:dyDescent="0.2">
      <c r="A13" s="3044"/>
      <c r="B13" s="2741"/>
      <c r="C13" s="936" t="s">
        <v>649</v>
      </c>
      <c r="D13" s="936"/>
      <c r="E13" s="2741"/>
      <c r="F13" s="2741"/>
      <c r="G13" s="1978"/>
      <c r="H13" s="1979"/>
      <c r="I13" s="1978"/>
      <c r="J13" s="1979"/>
      <c r="K13" s="1980"/>
      <c r="L13" s="923"/>
      <c r="M13" s="923"/>
      <c r="N13" s="1956"/>
      <c r="O13" s="1981"/>
      <c r="P13" s="1982"/>
      <c r="Q13" s="1193"/>
      <c r="R13" s="1983"/>
      <c r="S13" s="923"/>
      <c r="T13" s="1193"/>
      <c r="U13" s="1195"/>
      <c r="V13" s="1196"/>
      <c r="W13" s="1195"/>
      <c r="X13" s="1196"/>
      <c r="Y13" s="1195"/>
      <c r="Z13" s="1196"/>
      <c r="AA13" s="1195"/>
      <c r="AB13" s="1196"/>
      <c r="AC13" s="1195"/>
      <c r="AD13" s="1196"/>
      <c r="AE13" s="1195"/>
      <c r="AF13" s="1196"/>
      <c r="AG13" s="966"/>
      <c r="AH13" s="1197"/>
      <c r="AI13" s="1342"/>
      <c r="AJ13" s="3069"/>
      <c r="AK13" s="3070"/>
      <c r="AL13" s="3071" t="n">
        <f t="shared" si="2"/>
        <v>0.0</v>
      </c>
      <c r="AM13" s="2745"/>
      <c r="AN13" s="685"/>
    </row>
    <row r="14" spans="1:40" ht="14.25" hidden="1" customHeight="1" x14ac:dyDescent="0.15">
      <c r="A14" s="3068"/>
      <c r="B14" s="2705"/>
      <c r="C14" s="972" t="s">
        <v>648</v>
      </c>
      <c r="D14" s="972"/>
      <c r="E14" s="2738"/>
      <c r="F14" s="2738"/>
      <c r="G14" s="1921"/>
      <c r="H14" s="1922"/>
      <c r="I14" s="1921"/>
      <c r="J14" s="1922"/>
      <c r="K14" s="1923"/>
      <c r="L14" s="915"/>
      <c r="M14" s="915"/>
      <c r="N14" s="1925"/>
      <c r="O14" s="1926"/>
      <c r="P14" s="1927"/>
      <c r="Q14" s="971"/>
      <c r="R14" s="1928"/>
      <c r="S14" s="915"/>
      <c r="T14" s="971"/>
      <c r="U14" s="974"/>
      <c r="V14" s="1194"/>
      <c r="W14" s="974"/>
      <c r="X14" s="1194"/>
      <c r="Y14" s="974"/>
      <c r="Z14" s="1194"/>
      <c r="AA14" s="974"/>
      <c r="AB14" s="1194"/>
      <c r="AC14" s="974"/>
      <c r="AD14" s="1194"/>
      <c r="AE14" s="974"/>
      <c r="AF14" s="1194"/>
      <c r="AG14" s="968"/>
      <c r="AH14" s="1189"/>
      <c r="AI14" s="1339"/>
      <c r="AJ14" s="3069"/>
      <c r="AK14" s="3070"/>
      <c r="AL14" s="3071" t="n">
        <f t="shared" si="2"/>
        <v>0.0</v>
      </c>
      <c r="AM14" s="1198"/>
      <c r="AN14" s="1199"/>
    </row>
    <row r="15" spans="1:40" ht="14.25" hidden="1" customHeight="1" x14ac:dyDescent="0.15">
      <c r="A15" s="3068"/>
      <c r="B15" s="2705"/>
      <c r="C15" s="972" t="s">
        <v>647</v>
      </c>
      <c r="D15" s="972"/>
      <c r="E15" s="2738"/>
      <c r="F15" s="2738"/>
      <c r="G15" s="1921"/>
      <c r="H15" s="1922"/>
      <c r="I15" s="1921"/>
      <c r="J15" s="1922"/>
      <c r="K15" s="1923"/>
      <c r="L15" s="915"/>
      <c r="M15" s="915"/>
      <c r="N15" s="1925"/>
      <c r="O15" s="1926"/>
      <c r="P15" s="1927"/>
      <c r="Q15" s="971"/>
      <c r="R15" s="1928"/>
      <c r="S15" s="915"/>
      <c r="T15" s="971"/>
      <c r="U15" s="974"/>
      <c r="V15" s="1194"/>
      <c r="W15" s="974"/>
      <c r="X15" s="1194"/>
      <c r="Y15" s="974"/>
      <c r="Z15" s="1194"/>
      <c r="AA15" s="974"/>
      <c r="AB15" s="1194"/>
      <c r="AC15" s="974"/>
      <c r="AD15" s="1194"/>
      <c r="AE15" s="974"/>
      <c r="AF15" s="1194"/>
      <c r="AG15" s="968"/>
      <c r="AH15" s="1189"/>
      <c r="AI15" s="1339"/>
      <c r="AJ15" s="3069"/>
      <c r="AK15" s="3070"/>
      <c r="AL15" s="3071" t="n">
        <f t="shared" si="2"/>
        <v>0.0</v>
      </c>
      <c r="AM15" s="1198"/>
      <c r="AN15" s="1199"/>
    </row>
    <row r="16" spans="1:40" ht="39.950000000000003" hidden="1" customHeight="1" x14ac:dyDescent="0.15">
      <c r="A16" s="3068"/>
      <c r="B16" s="2705" t="s">
        <v>642</v>
      </c>
      <c r="C16" s="2715" t="s">
        <v>643</v>
      </c>
      <c r="D16" s="2710" t="s">
        <v>644</v>
      </c>
      <c r="E16" s="2705"/>
      <c r="F16" s="2705" t="s">
        <v>27</v>
      </c>
      <c r="G16" s="1942" t="s">
        <v>9187</v>
      </c>
      <c r="H16" s="1943" t="s">
        <v>9188</v>
      </c>
      <c r="I16" s="1942" t="str">
        <f>"7-DaHall 1-"&amp;M16&amp;"-"&amp;L16&amp;"-"&amp;N16</f>
        <v>7-DaHall 1-B-4-100-31</v>
      </c>
      <c r="J16" s="1943" t="str">
        <f>"7-DaHall 1-"&amp;Q16&amp;"-"&amp;P16&amp;"-"&amp;R16</f>
        <v>7-DaHall 1-A-4-100-31</v>
      </c>
      <c r="K16" s="1944">
        <v>48</v>
      </c>
      <c r="L16" s="1930">
        <v>100</v>
      </c>
      <c r="M16" s="2722" t="s">
        <v>243</v>
      </c>
      <c r="N16" s="1920">
        <v>31</v>
      </c>
      <c r="O16" s="1945">
        <v>48</v>
      </c>
      <c r="P16" s="1890">
        <v>100</v>
      </c>
      <c r="Q16" s="2740" t="s">
        <v>242</v>
      </c>
      <c r="R16" s="1891">
        <v>31</v>
      </c>
      <c r="S16" s="2722" t="s">
        <v>645</v>
      </c>
      <c r="T16" s="2740" t="s">
        <v>646</v>
      </c>
      <c r="U16" s="3072" t="s">
        <v>451</v>
      </c>
      <c r="V16" s="3073" t="s">
        <v>450</v>
      </c>
      <c r="W16" s="922" t="s">
        <v>48</v>
      </c>
      <c r="X16" s="2244" t="s">
        <v>47</v>
      </c>
      <c r="Y16" s="922" t="s">
        <v>50</v>
      </c>
      <c r="Z16" s="2244" t="s">
        <v>49</v>
      </c>
      <c r="AA16" s="922" t="s">
        <v>52</v>
      </c>
      <c r="AB16" s="2244" t="s">
        <v>51</v>
      </c>
      <c r="AC16" s="922" t="s">
        <v>35</v>
      </c>
      <c r="AD16" s="2244" t="s">
        <v>30</v>
      </c>
      <c r="AE16" s="922" t="s">
        <v>36</v>
      </c>
      <c r="AF16" s="2244" t="s">
        <v>31</v>
      </c>
      <c r="AG16" s="920"/>
      <c r="AH16" s="942"/>
      <c r="AI16" s="2746"/>
      <c r="AJ16" s="3060"/>
      <c r="AK16" s="3061"/>
      <c r="AL16" s="3062" t="n">
        <f t="shared" si="2"/>
        <v>0.0</v>
      </c>
      <c r="AM16" s="2744"/>
      <c r="AN16" s="2747"/>
    </row>
    <row r="17" spans="1:40" ht="39.950000000000003" hidden="1" customHeight="1" x14ac:dyDescent="0.15">
      <c r="A17" s="3068"/>
      <c r="B17" s="2705" t="s">
        <v>637</v>
      </c>
      <c r="C17" s="2239" t="s">
        <v>638</v>
      </c>
      <c r="D17" s="2705" t="s">
        <v>639</v>
      </c>
      <c r="E17" s="2705"/>
      <c r="F17" s="2705" t="s">
        <v>27</v>
      </c>
      <c r="G17" s="1942" t="s">
        <v>9189</v>
      </c>
      <c r="H17" s="1943" t="s">
        <v>9190</v>
      </c>
      <c r="I17" s="1942" t="str">
        <f>"7-DaHall 1-"&amp;M17&amp;"-"&amp;L17&amp;"-"&amp;N17</f>
        <v>7-DaHall 1-B-4-100-30</v>
      </c>
      <c r="J17" s="1943" t="str">
        <f>"7-DaHall 1-"&amp;Q17&amp;"-"&amp;P17&amp;"-"&amp;R17</f>
        <v>7-DaHall 1-A-4-100-30</v>
      </c>
      <c r="K17" s="1944">
        <v>48</v>
      </c>
      <c r="L17" s="1930">
        <v>100</v>
      </c>
      <c r="M17" s="2722" t="s">
        <v>243</v>
      </c>
      <c r="N17" s="1920">
        <v>30</v>
      </c>
      <c r="O17" s="1945">
        <v>48</v>
      </c>
      <c r="P17" s="1890">
        <v>100</v>
      </c>
      <c r="Q17" s="2740" t="s">
        <v>242</v>
      </c>
      <c r="R17" s="1891">
        <v>30</v>
      </c>
      <c r="S17" s="2722" t="s">
        <v>640</v>
      </c>
      <c r="T17" s="2740" t="s">
        <v>641</v>
      </c>
      <c r="U17" s="3072" t="s">
        <v>451</v>
      </c>
      <c r="V17" s="3073" t="s">
        <v>450</v>
      </c>
      <c r="W17" s="922" t="s">
        <v>48</v>
      </c>
      <c r="X17" s="2244" t="s">
        <v>47</v>
      </c>
      <c r="Y17" s="922" t="s">
        <v>50</v>
      </c>
      <c r="Z17" s="2244" t="s">
        <v>49</v>
      </c>
      <c r="AA17" s="922" t="s">
        <v>52</v>
      </c>
      <c r="AB17" s="2244" t="s">
        <v>51</v>
      </c>
      <c r="AC17" s="922" t="s">
        <v>35</v>
      </c>
      <c r="AD17" s="2244" t="s">
        <v>30</v>
      </c>
      <c r="AE17" s="922" t="s">
        <v>36</v>
      </c>
      <c r="AF17" s="2244" t="s">
        <v>31</v>
      </c>
      <c r="AG17" s="920"/>
      <c r="AH17" s="942"/>
      <c r="AI17" s="2746"/>
      <c r="AJ17" s="3060"/>
      <c r="AK17" s="3061"/>
      <c r="AL17" s="3062" t="n">
        <f t="shared" si="2"/>
        <v>0.0</v>
      </c>
      <c r="AM17" s="2744"/>
      <c r="AN17" s="2747"/>
    </row>
    <row r="18" spans="1:40" ht="54.75" hidden="1" customHeight="1" x14ac:dyDescent="0.15">
      <c r="A18" s="3068"/>
      <c r="B18" s="3146" t="s">
        <v>626</v>
      </c>
      <c r="C18" s="3154" t="s">
        <v>627</v>
      </c>
      <c r="D18" s="2705" t="s">
        <v>628</v>
      </c>
      <c r="E18" s="2705"/>
      <c r="F18" s="2705" t="s">
        <v>27</v>
      </c>
      <c r="G18" s="1887" t="s">
        <v>9191</v>
      </c>
      <c r="H18" s="1919" t="s">
        <v>9192</v>
      </c>
      <c r="I18" s="1887" t="str">
        <f t="shared" ref="I18:I19" si="5">"7-DaHall 1-"&amp;M18&amp;"-"&amp;L18&amp;"-"&amp;N18</f>
        <v>7-DaHall 1-A-4-100-29</v>
      </c>
      <c r="J18" s="1919" t="str">
        <f t="shared" ref="J18:J19" si="6">"7-DaHall 1-"&amp;Q18&amp;"-"&amp;P18&amp;"-"&amp;R18</f>
        <v>7-DaHall 1-B-4-100-29</v>
      </c>
      <c r="K18" s="1889">
        <v>48</v>
      </c>
      <c r="L18" s="1890">
        <v>100</v>
      </c>
      <c r="M18" s="2740" t="s">
        <v>242</v>
      </c>
      <c r="N18" s="1891">
        <v>29</v>
      </c>
      <c r="O18" s="1929">
        <v>48</v>
      </c>
      <c r="P18" s="1930">
        <v>100</v>
      </c>
      <c r="Q18" s="2722" t="s">
        <v>243</v>
      </c>
      <c r="R18" s="1920">
        <v>29</v>
      </c>
      <c r="S18" s="2740" t="s">
        <v>629</v>
      </c>
      <c r="T18" s="2722" t="s">
        <v>630</v>
      </c>
      <c r="U18" s="3073" t="s">
        <v>246</v>
      </c>
      <c r="V18" s="3072" t="s">
        <v>247</v>
      </c>
      <c r="W18" s="2244" t="s">
        <v>47</v>
      </c>
      <c r="X18" s="922" t="s">
        <v>48</v>
      </c>
      <c r="Y18" s="2244" t="s">
        <v>49</v>
      </c>
      <c r="Z18" s="922" t="s">
        <v>50</v>
      </c>
      <c r="AA18" s="2244" t="s">
        <v>51</v>
      </c>
      <c r="AB18" s="922" t="s">
        <v>52</v>
      </c>
      <c r="AC18" s="2244" t="s">
        <v>30</v>
      </c>
      <c r="AD18" s="922" t="s">
        <v>35</v>
      </c>
      <c r="AE18" s="2244" t="s">
        <v>31</v>
      </c>
      <c r="AF18" s="922" t="s">
        <v>36</v>
      </c>
      <c r="AG18" s="687"/>
      <c r="AH18" s="682"/>
      <c r="AI18" s="3144"/>
      <c r="AJ18" s="3060"/>
      <c r="AK18" s="3061"/>
      <c r="AL18" s="3062" t="n">
        <f t="shared" si="2"/>
        <v>0.0</v>
      </c>
      <c r="AM18" s="2744" t="s">
        <v>631</v>
      </c>
      <c r="AN18" s="2747"/>
    </row>
    <row r="19" spans="1:40" ht="54.75" hidden="1" customHeight="1" x14ac:dyDescent="0.15">
      <c r="A19" s="3068"/>
      <c r="B19" s="3147"/>
      <c r="C19" s="3155"/>
      <c r="D19" s="743" t="s">
        <v>632</v>
      </c>
      <c r="E19" s="2705"/>
      <c r="F19" s="2705" t="s">
        <v>27</v>
      </c>
      <c r="G19" s="1887" t="s">
        <v>9193</v>
      </c>
      <c r="H19" s="1919" t="s">
        <v>9194</v>
      </c>
      <c r="I19" s="1887" t="str">
        <f t="shared" si="5"/>
        <v>7-DaHall 1-A-4-35-34</v>
      </c>
      <c r="J19" s="1919" t="str">
        <f t="shared" si="6"/>
        <v>7-DaHall 1-B-4-35-34</v>
      </c>
      <c r="K19" s="1889">
        <v>48</v>
      </c>
      <c r="L19" s="1890">
        <v>35</v>
      </c>
      <c r="M19" s="2740" t="s">
        <v>242</v>
      </c>
      <c r="N19" s="1891">
        <v>34</v>
      </c>
      <c r="O19" s="1929">
        <v>48</v>
      </c>
      <c r="P19" s="1930">
        <v>35</v>
      </c>
      <c r="Q19" s="2722" t="s">
        <v>243</v>
      </c>
      <c r="R19" s="1920">
        <v>34</v>
      </c>
      <c r="S19" s="2740" t="s">
        <v>633</v>
      </c>
      <c r="T19" s="2722" t="s">
        <v>634</v>
      </c>
      <c r="U19" s="3073" t="s">
        <v>246</v>
      </c>
      <c r="V19" s="3072" t="s">
        <v>247</v>
      </c>
      <c r="W19" s="2244" t="s">
        <v>47</v>
      </c>
      <c r="X19" s="922" t="s">
        <v>48</v>
      </c>
      <c r="Y19" s="2244" t="s">
        <v>49</v>
      </c>
      <c r="Z19" s="922" t="s">
        <v>50</v>
      </c>
      <c r="AA19" s="2244" t="s">
        <v>51</v>
      </c>
      <c r="AB19" s="922" t="s">
        <v>52</v>
      </c>
      <c r="AC19" s="2244" t="s">
        <v>30</v>
      </c>
      <c r="AD19" s="922" t="s">
        <v>35</v>
      </c>
      <c r="AE19" s="2244" t="s">
        <v>31</v>
      </c>
      <c r="AF19" s="922" t="s">
        <v>36</v>
      </c>
      <c r="AG19" s="687"/>
      <c r="AH19" s="682"/>
      <c r="AI19" s="3145"/>
      <c r="AJ19" s="3060"/>
      <c r="AK19" s="3061"/>
      <c r="AL19" s="3062" t="n">
        <f t="shared" si="2"/>
        <v>0.0</v>
      </c>
      <c r="AM19" s="2744" t="s">
        <v>635</v>
      </c>
      <c r="AN19" s="744" t="s">
        <v>636</v>
      </c>
    </row>
    <row r="20" spans="1:40" ht="54.75" hidden="1" customHeight="1" x14ac:dyDescent="0.15">
      <c r="A20" s="3068"/>
      <c r="B20" s="2705" t="s">
        <v>621</v>
      </c>
      <c r="C20" s="2239" t="s">
        <v>622</v>
      </c>
      <c r="D20" s="2705" t="s">
        <v>623</v>
      </c>
      <c r="E20" s="2705"/>
      <c r="F20" s="2705" t="s">
        <v>27</v>
      </c>
      <c r="G20" s="1887" t="s">
        <v>9195</v>
      </c>
      <c r="H20" s="1919" t="s">
        <v>9196</v>
      </c>
      <c r="I20" s="1887" t="str">
        <f>"7-DaHall 1-"&amp;M20&amp;"-"&amp;L20&amp;"-"&amp;N20</f>
        <v>7-DaHall 1-A-4-100-3</v>
      </c>
      <c r="J20" s="1919" t="str">
        <f>"7-DaHall 1-"&amp;Q20&amp;"-"&amp;P20&amp;"-"&amp;R20</f>
        <v>7-DaHall 1-B-4-100-3</v>
      </c>
      <c r="K20" s="1889">
        <v>48</v>
      </c>
      <c r="L20" s="1890">
        <v>100</v>
      </c>
      <c r="M20" s="2740" t="s">
        <v>242</v>
      </c>
      <c r="N20" s="1891">
        <v>3</v>
      </c>
      <c r="O20" s="1929">
        <v>48</v>
      </c>
      <c r="P20" s="1930">
        <v>100</v>
      </c>
      <c r="Q20" s="2722" t="s">
        <v>243</v>
      </c>
      <c r="R20" s="1920">
        <v>3</v>
      </c>
      <c r="S20" s="2740" t="s">
        <v>624</v>
      </c>
      <c r="T20" s="2722" t="s">
        <v>625</v>
      </c>
      <c r="U20" s="3073" t="s">
        <v>246</v>
      </c>
      <c r="V20" s="3072" t="s">
        <v>247</v>
      </c>
      <c r="W20" s="2244" t="s">
        <v>47</v>
      </c>
      <c r="X20" s="922" t="s">
        <v>48</v>
      </c>
      <c r="Y20" s="2244" t="s">
        <v>49</v>
      </c>
      <c r="Z20" s="922" t="s">
        <v>50</v>
      </c>
      <c r="AA20" s="2244" t="s">
        <v>51</v>
      </c>
      <c r="AB20" s="922" t="s">
        <v>52</v>
      </c>
      <c r="AC20" s="2244" t="s">
        <v>30</v>
      </c>
      <c r="AD20" s="922" t="s">
        <v>35</v>
      </c>
      <c r="AE20" s="2244" t="s">
        <v>31</v>
      </c>
      <c r="AF20" s="922" t="s">
        <v>36</v>
      </c>
      <c r="AG20" s="687"/>
      <c r="AH20" s="682"/>
      <c r="AI20" s="2746"/>
      <c r="AJ20" s="3060"/>
      <c r="AK20" s="3061"/>
      <c r="AL20" s="3062" t="n">
        <f t="shared" si="2"/>
        <v>0.0</v>
      </c>
      <c r="AM20" s="2744"/>
      <c r="AN20" s="2747"/>
    </row>
    <row r="21" spans="1:40" ht="54.75" hidden="1" customHeight="1" x14ac:dyDescent="0.15">
      <c r="A21" s="3068"/>
      <c r="B21" s="3146" t="s">
        <v>488</v>
      </c>
      <c r="C21" s="3148" t="s">
        <v>489</v>
      </c>
      <c r="D21" s="3150" t="s">
        <v>490</v>
      </c>
      <c r="E21" s="2738"/>
      <c r="F21" s="2738" t="s">
        <v>27</v>
      </c>
      <c r="G21" s="1887" t="s">
        <v>9197</v>
      </c>
      <c r="H21" s="1919" t="s">
        <v>9198</v>
      </c>
      <c r="I21" s="1887" t="str">
        <f>"7-DaHall 1-"&amp;M21&amp;"-"&amp;L21&amp;"-"&amp;N21</f>
        <v>7-DaHall 1-A-4-50-41</v>
      </c>
      <c r="J21" s="1919" t="str">
        <f>"7-DaHall 1-"&amp;Q21&amp;"-"&amp;P21&amp;"-"&amp;R21</f>
        <v>7-DaHall 1-B-4-50-41</v>
      </c>
      <c r="K21" s="1889">
        <v>48</v>
      </c>
      <c r="L21" s="1890">
        <v>50</v>
      </c>
      <c r="M21" s="2740" t="s">
        <v>242</v>
      </c>
      <c r="N21" s="1891">
        <v>41</v>
      </c>
      <c r="O21" s="1929">
        <v>48</v>
      </c>
      <c r="P21" s="1930">
        <v>50</v>
      </c>
      <c r="Q21" s="2722" t="s">
        <v>243</v>
      </c>
      <c r="R21" s="1920">
        <v>41</v>
      </c>
      <c r="S21" s="2740" t="s">
        <v>491</v>
      </c>
      <c r="T21" s="2722" t="s">
        <v>492</v>
      </c>
      <c r="U21" s="2740" t="s">
        <v>450</v>
      </c>
      <c r="V21" s="2722" t="s">
        <v>451</v>
      </c>
      <c r="W21" s="2740" t="s">
        <v>452</v>
      </c>
      <c r="X21" s="2722" t="s">
        <v>453</v>
      </c>
      <c r="Y21" s="2740" t="s">
        <v>49</v>
      </c>
      <c r="Z21" s="2722" t="s">
        <v>50</v>
      </c>
      <c r="AA21" s="2740" t="s">
        <v>51</v>
      </c>
      <c r="AB21" s="2722" t="s">
        <v>52</v>
      </c>
      <c r="AC21" s="2740" t="s">
        <v>30</v>
      </c>
      <c r="AD21" s="2722" t="s">
        <v>35</v>
      </c>
      <c r="AE21" s="2740" t="s">
        <v>31</v>
      </c>
      <c r="AF21" s="2722" t="s">
        <v>36</v>
      </c>
      <c r="AG21" s="681"/>
      <c r="AH21" s="682"/>
      <c r="AI21" s="2746"/>
      <c r="AJ21" s="3060"/>
      <c r="AK21" s="3061"/>
      <c r="AL21" s="3062" t="n">
        <f t="shared" si="2"/>
        <v>0.0</v>
      </c>
      <c r="AM21" s="2732"/>
      <c r="AN21" s="2747" t="s">
        <v>493</v>
      </c>
    </row>
    <row r="22" spans="1:40" ht="55.5" thickTop="1" thickBot="1" x14ac:dyDescent="0.2">
      <c r="A22" s="3044"/>
      <c r="B22" s="3174"/>
      <c r="C22" s="3175"/>
      <c r="D22" s="3176"/>
      <c r="E22" s="740" t="s">
        <v>27</v>
      </c>
      <c r="F22" s="740"/>
      <c r="G22" s="1950"/>
      <c r="H22" s="1951"/>
      <c r="I22" s="1950"/>
      <c r="J22" s="1951"/>
      <c r="K22" s="1952"/>
      <c r="L22" s="964"/>
      <c r="M22" s="964"/>
      <c r="N22" s="1953"/>
      <c r="O22" s="1954"/>
      <c r="P22" s="1955"/>
      <c r="Q22" s="923"/>
      <c r="R22" s="1956"/>
      <c r="S22" s="964" t="s">
        <v>494</v>
      </c>
      <c r="T22" s="923"/>
      <c r="U22" s="927"/>
      <c r="V22" s="927"/>
      <c r="W22" s="927"/>
      <c r="X22" s="927"/>
      <c r="Y22" s="927"/>
      <c r="Z22" s="927"/>
      <c r="AA22" s="927"/>
      <c r="AB22" s="927"/>
      <c r="AC22" s="927"/>
      <c r="AD22" s="927"/>
      <c r="AE22" s="923"/>
      <c r="AF22" s="923"/>
      <c r="AG22" s="966"/>
      <c r="AH22" s="967"/>
      <c r="AI22" s="1340"/>
      <c r="AJ22" s="3074"/>
      <c r="AK22" s="3057"/>
      <c r="AL22" s="3071" t="n">
        <f t="shared" si="2"/>
        <v>0.0</v>
      </c>
      <c r="AM22" s="3050"/>
      <c r="AN22" s="697" t="s">
        <v>495</v>
      </c>
    </row>
    <row r="23" spans="1:40" ht="40.5" x14ac:dyDescent="0.15">
      <c r="A23" s="3068"/>
      <c r="B23" s="2705" t="s">
        <v>483</v>
      </c>
      <c r="C23" s="1184" t="s">
        <v>484</v>
      </c>
      <c r="D23" s="2705" t="s">
        <v>485</v>
      </c>
      <c r="E23" s="2707" t="s">
        <v>27</v>
      </c>
      <c r="F23" s="2707"/>
      <c r="G23" s="1948" t="s">
        <v>9199</v>
      </c>
      <c r="H23" s="1946" t="s">
        <v>9200</v>
      </c>
      <c r="I23" s="1907" t="str">
        <f>"7-DaHall 1-"&amp;Q23&amp;"-"&amp;P23&amp;"-"&amp;R23</f>
        <v>7-DaHall 1-PDU-01-30-5</v>
      </c>
      <c r="J23" s="1915" t="str">
        <f>"7-DaHall 1-"&amp;M23&amp;"-"&amp;L23&amp;"-"&amp;N23</f>
        <v>7-DaHall 1-PDU-02-30-3</v>
      </c>
      <c r="K23" s="1949">
        <v>220</v>
      </c>
      <c r="L23" s="1917">
        <v>30</v>
      </c>
      <c r="M23" s="693" t="s">
        <v>9178</v>
      </c>
      <c r="N23" s="1918">
        <v>3</v>
      </c>
      <c r="O23" s="1947">
        <v>220</v>
      </c>
      <c r="P23" s="1910">
        <v>30</v>
      </c>
      <c r="Q23" s="709" t="s">
        <v>9177</v>
      </c>
      <c r="R23" s="1911">
        <v>5</v>
      </c>
      <c r="S23" s="693" t="s">
        <v>486</v>
      </c>
      <c r="T23" s="709" t="s">
        <v>487</v>
      </c>
      <c r="U23" s="739"/>
      <c r="V23" s="739"/>
      <c r="W23" s="739"/>
      <c r="X23" s="739"/>
      <c r="Y23" s="739"/>
      <c r="Z23" s="739"/>
      <c r="AA23" s="2722" t="s">
        <v>174</v>
      </c>
      <c r="AB23" s="2740" t="s">
        <v>173</v>
      </c>
      <c r="AC23" s="2722" t="s">
        <v>112</v>
      </c>
      <c r="AD23" s="2740" t="s">
        <v>111</v>
      </c>
      <c r="AE23" s="2722" t="s">
        <v>36</v>
      </c>
      <c r="AF23" s="2740" t="s">
        <v>31</v>
      </c>
      <c r="AG23" s="942" t="n">
        <f>SUM('7층_부하량(월간_AVG)'!D65:F65)</f>
        <v>5.229691015797499</v>
      </c>
      <c r="AH23" s="920" t="n">
        <f>SUM('7층_부하량(월간_AVG)'!D32:F32)</f>
        <v>5.5321671800230545</v>
      </c>
      <c r="AI23" s="1327" t="n">
        <f>AH23+AG23</f>
        <v>10.761858195820555</v>
      </c>
      <c r="AJ23" s="3056" t="n" cm="1">
        <f t="array" ref="AJ23">INDEX('각층분기별_유효전력량(전월)'!L2:L2000,MATCH(1,("7-DaHall 1-PDU-01"='각층분기별_유효전력량(전월)'!J2:J2000)*("[branch#005] [A] kWh last month"='각층분기별_유효전력량(전월)'!K2:K2000),0))</f>
        <v>968.8</v>
      </c>
      <c r="AK23" s="3057" t="n" cm="1">
        <f t="array" ref="AK23">INDEX('각층분기별_유효전력량(전월)'!L2:L2000,MATCH(1,("7-DaHall 1-PDU-02"='각층분기별_유효전력량(전월)'!J2:J2000)*("[branch#003] [A] kWh last month"='각층분기별_유효전력량(전월)'!K2:K2000),0))</f>
        <v>807.2</v>
      </c>
      <c r="AL23" s="3065" t="n">
        <f t="shared" si="2"/>
        <v>1776.0</v>
      </c>
      <c r="AM23" s="2744" t="s">
        <v>124</v>
      </c>
      <c r="AN23" s="2747"/>
    </row>
    <row r="24" spans="1:40" ht="40.5" x14ac:dyDescent="0.15">
      <c r="A24" s="3068"/>
      <c r="B24" s="2705" t="s">
        <v>472</v>
      </c>
      <c r="C24" s="1184" t="s">
        <v>473</v>
      </c>
      <c r="D24" s="2705" t="s">
        <v>474</v>
      </c>
      <c r="E24" s="2705" t="s">
        <v>27</v>
      </c>
      <c r="F24" s="2705"/>
      <c r="G24" s="1907" t="s">
        <v>9201</v>
      </c>
      <c r="H24" s="1915" t="s">
        <v>9202</v>
      </c>
      <c r="I24" s="1907" t="str">
        <f>"7-DaHall 1-"&amp;M24&amp;"-"&amp;L24&amp;"-"&amp;N24</f>
        <v>7-DaHall 1-RPP-01-30-40</v>
      </c>
      <c r="J24" s="1915" t="str">
        <f>"7-DaHall 1-"&amp;Q24&amp;"-"&amp;P24&amp;"-"&amp;R24</f>
        <v>7-DaHall 1-RPP-02-30-38</v>
      </c>
      <c r="K24" s="1909">
        <v>220</v>
      </c>
      <c r="L24" s="1910">
        <v>30</v>
      </c>
      <c r="M24" s="709" t="s">
        <v>9203</v>
      </c>
      <c r="N24" s="1911">
        <v>40</v>
      </c>
      <c r="O24" s="1916">
        <v>220</v>
      </c>
      <c r="P24" s="1917">
        <v>30</v>
      </c>
      <c r="Q24" s="693" t="s">
        <v>9204</v>
      </c>
      <c r="R24" s="1918">
        <v>38</v>
      </c>
      <c r="S24" s="709" t="s">
        <v>475</v>
      </c>
      <c r="T24" s="693" t="s">
        <v>476</v>
      </c>
      <c r="U24" s="2740" t="s">
        <v>477</v>
      </c>
      <c r="V24" s="2722" t="s">
        <v>478</v>
      </c>
      <c r="W24" s="2740" t="s">
        <v>468</v>
      </c>
      <c r="X24" s="2722" t="s">
        <v>479</v>
      </c>
      <c r="Y24" s="2740" t="s">
        <v>469</v>
      </c>
      <c r="Z24" s="2722" t="s">
        <v>480</v>
      </c>
      <c r="AA24" s="2740" t="s">
        <v>470</v>
      </c>
      <c r="AB24" s="2722" t="s">
        <v>481</v>
      </c>
      <c r="AC24" s="2740" t="s">
        <v>30</v>
      </c>
      <c r="AD24" s="2722" t="s">
        <v>35</v>
      </c>
      <c r="AE24" s="2740" t="s">
        <v>31</v>
      </c>
      <c r="AF24" s="2722" t="s">
        <v>36</v>
      </c>
      <c r="AG24" s="687" t="n">
        <f>SUM('7층_부하량(월간_AVG)'!N25:P25)</f>
        <v>4.831709353141136</v>
      </c>
      <c r="AH24" s="688" t="n">
        <f>SUM('7층_부하량(월간_AVG)'!N113:P113)</f>
        <v>5.399545932396266</v>
      </c>
      <c r="AI24" s="1327" t="n">
        <f>AG24+AH24</f>
        <v>10.2312552855374</v>
      </c>
      <c r="AJ24" s="3056" t="n" cm="1">
        <f t="array" ref="AJ24">INDEX('각층분기별_유효전력량(전월)'!L2:L2000,MATCH(1,("7-DaHall 1-RPP-01"='각층분기별_유효전력량(전월)'!J2:J2000)*("[branch#040] [A] kWh last month"='각층분기별_유효전력량(전월)'!K2:K2000),0))</f>
        <v>750.6</v>
      </c>
      <c r="AK24" s="3057" t="n" cm="1">
        <f t="array" ref="AK24">INDEX('각층분기별_유효전력량(전월)'!L2:L2000,MATCH(1,("7-DaHall 1-RPP-02"='각층분기별_유효전력량(전월)'!J2:J2000)*("[branch#038] [A] kWh last month"='각층분기별_유효전력량(전월)'!K2:K2000),0))</f>
        <v>1095.2</v>
      </c>
      <c r="AL24" s="3065" t="n">
        <f t="shared" si="2"/>
        <v>1845.8000000000002</v>
      </c>
      <c r="AM24" s="2744" t="s">
        <v>482</v>
      </c>
      <c r="AN24" s="695"/>
    </row>
    <row r="25" spans="1:40" ht="40.5" customHeight="1" x14ac:dyDescent="0.15">
      <c r="A25" s="3068"/>
      <c r="B25" s="2705" t="s">
        <v>461</v>
      </c>
      <c r="C25" s="1184" t="s">
        <v>462</v>
      </c>
      <c r="D25" s="2705" t="s">
        <v>463</v>
      </c>
      <c r="E25" s="2705" t="s">
        <v>27</v>
      </c>
      <c r="F25" s="2705"/>
      <c r="G25" s="1907" t="s">
        <v>9205</v>
      </c>
      <c r="H25" s="1946" t="s">
        <v>9206</v>
      </c>
      <c r="I25" s="1907" t="str">
        <f>"7-DaHall 1-"&amp;M25&amp;"-"&amp;L25&amp;"-"&amp;N25</f>
        <v>7-DaHall 1-RPP-01-20-25</v>
      </c>
      <c r="J25" s="1946" t="str">
        <f>"7-DaHall 1-"&amp;Q25&amp;"-"&amp;P25&amp;"-"&amp;R25</f>
        <v>7-DaHall 1-RPP-01-30-20</v>
      </c>
      <c r="K25" s="1909">
        <v>220</v>
      </c>
      <c r="L25" s="1910">
        <v>20</v>
      </c>
      <c r="M25" s="709" t="s">
        <v>9203</v>
      </c>
      <c r="N25" s="1911">
        <v>25</v>
      </c>
      <c r="O25" s="1947">
        <v>220</v>
      </c>
      <c r="P25" s="1910">
        <v>30</v>
      </c>
      <c r="Q25" s="709" t="s">
        <v>9203</v>
      </c>
      <c r="R25" s="1911">
        <v>20</v>
      </c>
      <c r="S25" s="709" t="s">
        <v>464</v>
      </c>
      <c r="T25" s="709" t="s">
        <v>465</v>
      </c>
      <c r="U25" s="2740" t="s">
        <v>466</v>
      </c>
      <c r="V25" s="2740" t="s">
        <v>467</v>
      </c>
      <c r="W25" s="3177" t="s">
        <v>468</v>
      </c>
      <c r="X25" s="3178"/>
      <c r="Y25" s="3177" t="s">
        <v>469</v>
      </c>
      <c r="Z25" s="3178"/>
      <c r="AA25" s="3177" t="s">
        <v>470</v>
      </c>
      <c r="AB25" s="3178"/>
      <c r="AC25" s="3177" t="s">
        <v>30</v>
      </c>
      <c r="AD25" s="3178"/>
      <c r="AE25" s="3177" t="s">
        <v>31</v>
      </c>
      <c r="AF25" s="3178"/>
      <c r="AG25" s="687" t="n">
        <f>SUM('7층_부하량(월간_AVG)'!D18:F18)</f>
        <v>1.5434871791960851</v>
      </c>
      <c r="AH25" s="942" t="n">
        <f>SUM('7층_부하량(월간_AVG)'!N15:P15)</f>
        <v>1.4646921370999189</v>
      </c>
      <c r="AI25" s="1327" t="n">
        <f>AG25+AH25</f>
        <v>3.0081793162960038</v>
      </c>
      <c r="AJ25" s="3056" t="n" cm="1">
        <f t="array" ref="AJ25">INDEX('각층분기별_유효전력량(전월)'!L2:L2000,MATCH(1,("7-DaHall 1-RPP-01"='각층분기별_유효전력량(전월)'!J2:J2000)*("[branch#025] [A] kWh last month"='각층분기별_유효전력량(전월)'!K2:K2000),0))</f>
        <v>268.8</v>
      </c>
      <c r="AK25" s="3057" t="n" cm="1">
        <f t="array" ref="AK25">INDEX('각층분기별_유효전력량(전월)'!L2:L2000,MATCH(1,("7-DaHall 1-RPP-01"='각층분기별_유효전력량(전월)'!J2:J2000)*("[branch#020] [A] kWh last month"='각층분기별_유효전력량(전월)'!K2:K2000),0))</f>
        <v>232.6</v>
      </c>
      <c r="AL25" s="3065" t="n">
        <f t="shared" si="2"/>
        <v>501.4</v>
      </c>
      <c r="AM25" s="2744" t="s">
        <v>124</v>
      </c>
      <c r="AN25" s="695" t="s">
        <v>471</v>
      </c>
    </row>
    <row r="26" spans="1:40" ht="54" hidden="1" customHeight="1" x14ac:dyDescent="0.15">
      <c r="A26" s="3068"/>
      <c r="B26" s="2705" t="s">
        <v>456</v>
      </c>
      <c r="C26" s="2239" t="s">
        <v>457</v>
      </c>
      <c r="D26" s="2705" t="s">
        <v>458</v>
      </c>
      <c r="E26" s="2705"/>
      <c r="F26" s="2705" t="s">
        <v>27</v>
      </c>
      <c r="G26" s="1942" t="s">
        <v>9207</v>
      </c>
      <c r="H26" s="1943" t="s">
        <v>9208</v>
      </c>
      <c r="I26" s="1942" t="str">
        <f>"7-DaHall 1-"&amp;M26&amp;"-"&amp;L26&amp;"-"&amp;N26</f>
        <v>7-DaHall 1-B-4-35-46</v>
      </c>
      <c r="J26" s="1943" t="str">
        <f>"7-DaHall 1-"&amp;Q26&amp;"-"&amp;P26&amp;"-"&amp;R26</f>
        <v>7-DaHall 1-A-4-35-42</v>
      </c>
      <c r="K26" s="1944">
        <v>48</v>
      </c>
      <c r="L26" s="1930">
        <v>35</v>
      </c>
      <c r="M26" s="2722" t="s">
        <v>243</v>
      </c>
      <c r="N26" s="1920">
        <v>46</v>
      </c>
      <c r="O26" s="1945">
        <v>48</v>
      </c>
      <c r="P26" s="1890">
        <v>35</v>
      </c>
      <c r="Q26" s="2740" t="s">
        <v>242</v>
      </c>
      <c r="R26" s="1891">
        <v>42</v>
      </c>
      <c r="S26" s="2722" t="s">
        <v>459</v>
      </c>
      <c r="T26" s="2740" t="s">
        <v>460</v>
      </c>
      <c r="U26" s="2722" t="s">
        <v>451</v>
      </c>
      <c r="V26" s="2740" t="s">
        <v>450</v>
      </c>
      <c r="W26" s="2722" t="s">
        <v>453</v>
      </c>
      <c r="X26" s="2740" t="s">
        <v>452</v>
      </c>
      <c r="Y26" s="2722" t="s">
        <v>50</v>
      </c>
      <c r="Z26" s="2740" t="s">
        <v>49</v>
      </c>
      <c r="AA26" s="2722" t="s">
        <v>52</v>
      </c>
      <c r="AB26" s="2740" t="s">
        <v>51</v>
      </c>
      <c r="AC26" s="2722" t="s">
        <v>35</v>
      </c>
      <c r="AD26" s="2740" t="s">
        <v>30</v>
      </c>
      <c r="AE26" s="2722" t="s">
        <v>36</v>
      </c>
      <c r="AF26" s="2740" t="s">
        <v>31</v>
      </c>
      <c r="AG26" s="920"/>
      <c r="AH26" s="919"/>
      <c r="AI26" s="2746"/>
      <c r="AJ26" s="3060"/>
      <c r="AK26" s="3061"/>
      <c r="AL26" s="3062" t="n">
        <f t="shared" si="2"/>
        <v>0.0</v>
      </c>
      <c r="AM26" s="2744"/>
      <c r="AN26" s="2747"/>
    </row>
    <row r="27" spans="1:40" ht="54" hidden="1" customHeight="1" x14ac:dyDescent="0.15">
      <c r="A27" s="3068"/>
      <c r="B27" s="3146" t="s">
        <v>445</v>
      </c>
      <c r="C27" s="3172" t="s">
        <v>446</v>
      </c>
      <c r="D27" s="3146" t="s">
        <v>447</v>
      </c>
      <c r="E27" s="2705"/>
      <c r="F27" s="2705" t="s">
        <v>27</v>
      </c>
      <c r="G27" s="1887" t="s">
        <v>9209</v>
      </c>
      <c r="H27" s="1919" t="s">
        <v>9210</v>
      </c>
      <c r="I27" s="1887" t="str">
        <f>"7-DaHall 1-"&amp;M27&amp;"-"&amp;L27&amp;"-"&amp;N27</f>
        <v>7-DaHall 1-A-4-35-43</v>
      </c>
      <c r="J27" s="1919" t="str">
        <f>"7-DaHall 1-"&amp;Q27&amp;"-"&amp;P27&amp;"-"&amp;R27</f>
        <v>7-DaHall 1-B-4-50-47</v>
      </c>
      <c r="K27" s="1889">
        <v>48</v>
      </c>
      <c r="L27" s="1890">
        <v>35</v>
      </c>
      <c r="M27" s="2740" t="s">
        <v>242</v>
      </c>
      <c r="N27" s="1891">
        <v>43</v>
      </c>
      <c r="O27" s="1929">
        <v>48</v>
      </c>
      <c r="P27" s="1930">
        <v>50</v>
      </c>
      <c r="Q27" s="2722" t="s">
        <v>243</v>
      </c>
      <c r="R27" s="1920">
        <v>47</v>
      </c>
      <c r="S27" s="2740" t="s">
        <v>448</v>
      </c>
      <c r="T27" s="2722" t="s">
        <v>449</v>
      </c>
      <c r="U27" s="2740" t="s">
        <v>450</v>
      </c>
      <c r="V27" s="2722" t="s">
        <v>451</v>
      </c>
      <c r="W27" s="2740" t="s">
        <v>452</v>
      </c>
      <c r="X27" s="2722" t="s">
        <v>453</v>
      </c>
      <c r="Y27" s="2740" t="s">
        <v>49</v>
      </c>
      <c r="Z27" s="2722" t="s">
        <v>50</v>
      </c>
      <c r="AA27" s="2740" t="s">
        <v>51</v>
      </c>
      <c r="AB27" s="2722" t="s">
        <v>52</v>
      </c>
      <c r="AC27" s="2740" t="s">
        <v>30</v>
      </c>
      <c r="AD27" s="2722" t="s">
        <v>35</v>
      </c>
      <c r="AE27" s="2740" t="s">
        <v>31</v>
      </c>
      <c r="AF27" s="922" t="s">
        <v>36</v>
      </c>
      <c r="AG27" s="681"/>
      <c r="AH27" s="682"/>
      <c r="AI27" s="2746"/>
      <c r="AJ27" s="3060"/>
      <c r="AK27" s="3061"/>
      <c r="AL27" s="3062" t="n">
        <f t="shared" si="2"/>
        <v>0.0</v>
      </c>
      <c r="AM27" s="2744"/>
      <c r="AN27" s="2747"/>
    </row>
    <row r="28" spans="1:40" ht="54" x14ac:dyDescent="0.15">
      <c r="A28" s="3068"/>
      <c r="B28" s="3147"/>
      <c r="C28" s="3173"/>
      <c r="D28" s="3147"/>
      <c r="E28" s="2705" t="s">
        <v>27</v>
      </c>
      <c r="F28" s="2705"/>
      <c r="G28" s="1939"/>
      <c r="H28" s="1922"/>
      <c r="I28" s="1939"/>
      <c r="J28" s="1922"/>
      <c r="K28" s="1940"/>
      <c r="L28" s="959"/>
      <c r="M28" s="959"/>
      <c r="N28" s="1941"/>
      <c r="O28" s="1926"/>
      <c r="P28" s="1927"/>
      <c r="Q28" s="971"/>
      <c r="R28" s="1928"/>
      <c r="S28" s="959" t="s">
        <v>454</v>
      </c>
      <c r="T28" s="971"/>
      <c r="U28" s="972"/>
      <c r="V28" s="972"/>
      <c r="W28" s="972"/>
      <c r="X28" s="972"/>
      <c r="Y28" s="972"/>
      <c r="Z28" s="972"/>
      <c r="AA28" s="972"/>
      <c r="AB28" s="972"/>
      <c r="AC28" s="972"/>
      <c r="AD28" s="972"/>
      <c r="AE28" s="971"/>
      <c r="AF28" s="971"/>
      <c r="AG28" s="973"/>
      <c r="AH28" s="969"/>
      <c r="AI28" s="1338"/>
      <c r="AJ28" s="3074"/>
      <c r="AK28" s="3057"/>
      <c r="AL28" s="3071" t="n">
        <f t="shared" si="2"/>
        <v>0.0</v>
      </c>
      <c r="AM28" s="2744"/>
      <c r="AN28" s="694" t="s">
        <v>455</v>
      </c>
    </row>
    <row r="29" spans="1:40" ht="54" hidden="1" customHeight="1" x14ac:dyDescent="0.15">
      <c r="A29" s="3068"/>
      <c r="B29" s="3146" t="s">
        <v>439</v>
      </c>
      <c r="C29" s="3172" t="s">
        <v>440</v>
      </c>
      <c r="D29" s="3146" t="s">
        <v>441</v>
      </c>
      <c r="E29" s="2705"/>
      <c r="F29" s="2705" t="s">
        <v>27</v>
      </c>
      <c r="G29" s="1887" t="s">
        <v>9211</v>
      </c>
      <c r="H29" s="1919" t="s">
        <v>9212</v>
      </c>
      <c r="I29" s="1887" t="str">
        <f>"7-DaHall 1-"&amp;M29&amp;"-"&amp;L29&amp;"-"&amp;N29</f>
        <v>7-DaHall 1-A-4-35-44</v>
      </c>
      <c r="J29" s="1919" t="str">
        <f>"7-DaHall 1-"&amp;Q29&amp;"-"&amp;P29&amp;"-"&amp;R29</f>
        <v>7-DaHall 1-B-4-35-48</v>
      </c>
      <c r="K29" s="1889">
        <v>48</v>
      </c>
      <c r="L29" s="1890">
        <v>35</v>
      </c>
      <c r="M29" s="2740" t="s">
        <v>242</v>
      </c>
      <c r="N29" s="1891">
        <v>44</v>
      </c>
      <c r="O29" s="1929">
        <v>48</v>
      </c>
      <c r="P29" s="1930">
        <v>35</v>
      </c>
      <c r="Q29" s="2722" t="s">
        <v>243</v>
      </c>
      <c r="R29" s="1920">
        <v>48</v>
      </c>
      <c r="S29" s="2740" t="s">
        <v>442</v>
      </c>
      <c r="T29" s="2722" t="s">
        <v>443</v>
      </c>
      <c r="U29" s="3073" t="s">
        <v>246</v>
      </c>
      <c r="V29" s="3072" t="s">
        <v>247</v>
      </c>
      <c r="W29" s="2244" t="s">
        <v>47</v>
      </c>
      <c r="X29" s="922" t="s">
        <v>48</v>
      </c>
      <c r="Y29" s="2244" t="s">
        <v>49</v>
      </c>
      <c r="Z29" s="922" t="s">
        <v>50</v>
      </c>
      <c r="AA29" s="2244" t="s">
        <v>51</v>
      </c>
      <c r="AB29" s="922" t="s">
        <v>52</v>
      </c>
      <c r="AC29" s="2244" t="s">
        <v>30</v>
      </c>
      <c r="AD29" s="922" t="s">
        <v>35</v>
      </c>
      <c r="AE29" s="2244" t="s">
        <v>31</v>
      </c>
      <c r="AF29" s="922" t="s">
        <v>36</v>
      </c>
      <c r="AG29" s="681"/>
      <c r="AH29" s="682"/>
      <c r="AI29" s="2746"/>
      <c r="AJ29" s="3060"/>
      <c r="AK29" s="3061"/>
      <c r="AL29" s="3062" t="n">
        <f t="shared" si="2"/>
        <v>0.0</v>
      </c>
      <c r="AM29" s="2744"/>
      <c r="AN29" s="2747"/>
    </row>
    <row r="30" spans="1:40" ht="40.5" x14ac:dyDescent="0.15">
      <c r="A30" s="3068"/>
      <c r="B30" s="3147"/>
      <c r="C30" s="3173"/>
      <c r="D30" s="3147"/>
      <c r="E30" s="2707" t="s">
        <v>27</v>
      </c>
      <c r="F30" s="2707"/>
      <c r="G30" s="1935"/>
      <c r="H30" s="1915" t="s">
        <v>9213</v>
      </c>
      <c r="I30" s="1935"/>
      <c r="J30" s="1915" t="str">
        <f>"7-DaHall 1-"&amp;Q30&amp;"-"&amp;P30&amp;"-"&amp;R30</f>
        <v>7-DaHall 1-PDU-02-30-8</v>
      </c>
      <c r="K30" s="1936"/>
      <c r="L30" s="1937"/>
      <c r="M30" s="739"/>
      <c r="N30" s="1938"/>
      <c r="O30" s="1916">
        <v>220</v>
      </c>
      <c r="P30" s="1917">
        <v>30</v>
      </c>
      <c r="Q30" s="693" t="s">
        <v>9178</v>
      </c>
      <c r="R30" s="1918">
        <v>8</v>
      </c>
      <c r="S30" s="739"/>
      <c r="T30" s="693" t="s">
        <v>444</v>
      </c>
      <c r="U30" s="739"/>
      <c r="V30" s="739"/>
      <c r="W30" s="739"/>
      <c r="X30" s="739"/>
      <c r="Y30" s="739"/>
      <c r="Z30" s="739"/>
      <c r="AA30" s="739"/>
      <c r="AB30" s="2722" t="s">
        <v>174</v>
      </c>
      <c r="AC30" s="739"/>
      <c r="AD30" s="2722" t="s">
        <v>112</v>
      </c>
      <c r="AE30" s="739"/>
      <c r="AF30" s="922" t="s">
        <v>36</v>
      </c>
      <c r="AG30" s="687"/>
      <c r="AH30" s="688" t="n">
        <f>SUM('7층_부하량(월간_AVG)'!N34:P34)</f>
        <v>1.0109599606626485</v>
      </c>
      <c r="AI30" s="1327" t="n">
        <f>AG30+AH30</f>
        <v>1.0109599606626485</v>
      </c>
      <c r="AJ30" s="3056"/>
      <c r="AK30" s="3057" t="n" cm="1">
        <f t="array" ref="AK30">INDEX('각층분기별_유효전력량(전월)'!L2:L2000,MATCH(1,("7-DaHall 1-PDU-02"='각층분기별_유효전력량(전월)'!J2:J2000)*("[branch#008] [A] kWh last month"='각층분기별_유효전력량(전월)'!K2:K2000),0))</f>
        <v>98.1</v>
      </c>
      <c r="AL30" s="3065" t="n">
        <f t="shared" si="2"/>
        <v>98.1</v>
      </c>
      <c r="AM30" s="2744"/>
      <c r="AN30" s="2747"/>
    </row>
    <row r="31" spans="1:40" ht="54" hidden="1" customHeight="1" x14ac:dyDescent="0.15">
      <c r="A31" s="3068"/>
      <c r="B31" s="2705" t="s">
        <v>434</v>
      </c>
      <c r="C31" s="2239" t="s">
        <v>435</v>
      </c>
      <c r="D31" s="2705" t="s">
        <v>436</v>
      </c>
      <c r="E31" s="2705"/>
      <c r="F31" s="2705" t="s">
        <v>27</v>
      </c>
      <c r="G31" s="1887" t="s">
        <v>9214</v>
      </c>
      <c r="H31" s="1919" t="s">
        <v>9215</v>
      </c>
      <c r="I31" s="1887" t="str">
        <f>"7-DaHall 1-"&amp;M31&amp;"-"&amp;L31&amp;"-"&amp;N31</f>
        <v>7-DaHall 1-A-4-35-50</v>
      </c>
      <c r="J31" s="1919" t="str">
        <f>"7-DaHall 1-"&amp;Q31&amp;"-"&amp;P31&amp;"-"&amp;R31</f>
        <v>7-DaHall 1-B-4-35-50</v>
      </c>
      <c r="K31" s="1889">
        <v>48</v>
      </c>
      <c r="L31" s="1890">
        <v>35</v>
      </c>
      <c r="M31" s="2740" t="s">
        <v>242</v>
      </c>
      <c r="N31" s="1891">
        <v>50</v>
      </c>
      <c r="O31" s="1929">
        <v>48</v>
      </c>
      <c r="P31" s="1930">
        <v>35</v>
      </c>
      <c r="Q31" s="2722" t="s">
        <v>243</v>
      </c>
      <c r="R31" s="1920">
        <v>50</v>
      </c>
      <c r="S31" s="2740" t="s">
        <v>437</v>
      </c>
      <c r="T31" s="2722" t="s">
        <v>438</v>
      </c>
      <c r="U31" s="3073" t="s">
        <v>246</v>
      </c>
      <c r="V31" s="3072" t="s">
        <v>247</v>
      </c>
      <c r="W31" s="2244" t="s">
        <v>47</v>
      </c>
      <c r="X31" s="922" t="s">
        <v>48</v>
      </c>
      <c r="Y31" s="2244" t="s">
        <v>49</v>
      </c>
      <c r="Z31" s="922" t="s">
        <v>50</v>
      </c>
      <c r="AA31" s="2244" t="s">
        <v>51</v>
      </c>
      <c r="AB31" s="922" t="s">
        <v>52</v>
      </c>
      <c r="AC31" s="2244" t="s">
        <v>30</v>
      </c>
      <c r="AD31" s="922" t="s">
        <v>35</v>
      </c>
      <c r="AE31" s="2244" t="s">
        <v>31</v>
      </c>
      <c r="AF31" s="922" t="s">
        <v>36</v>
      </c>
      <c r="AG31" s="681"/>
      <c r="AH31" s="682"/>
      <c r="AI31" s="2746"/>
      <c r="AJ31" s="3060"/>
      <c r="AK31" s="3061"/>
      <c r="AL31" s="3062" t="n">
        <f t="shared" si="2"/>
        <v>0.0</v>
      </c>
      <c r="AM31" s="2744"/>
      <c r="AN31" s="2747"/>
    </row>
    <row r="32" spans="1:40" ht="54" hidden="1" customHeight="1" x14ac:dyDescent="0.15">
      <c r="A32" s="3068"/>
      <c r="B32" s="2705" t="s">
        <v>429</v>
      </c>
      <c r="C32" s="2239" t="s">
        <v>430</v>
      </c>
      <c r="D32" s="2705" t="s">
        <v>431</v>
      </c>
      <c r="E32" s="2705"/>
      <c r="F32" s="2705" t="s">
        <v>27</v>
      </c>
      <c r="G32" s="1887" t="s">
        <v>9216</v>
      </c>
      <c r="H32" s="1919" t="s">
        <v>9217</v>
      </c>
      <c r="I32" s="1887" t="str">
        <f t="shared" ref="I32:I56" si="7">"7-DaHall 1-"&amp;M32&amp;"-"&amp;L32&amp;"-"&amp;N32</f>
        <v>7-DaHall 1-A-4-50-46</v>
      </c>
      <c r="J32" s="1919" t="str">
        <f t="shared" ref="J32:J56" si="8">"7-DaHall 1-"&amp;Q32&amp;"-"&amp;P32&amp;"-"&amp;R32</f>
        <v>7-DaHall 1-B-4-50-49</v>
      </c>
      <c r="K32" s="1889">
        <v>48</v>
      </c>
      <c r="L32" s="1890">
        <v>50</v>
      </c>
      <c r="M32" s="2740" t="s">
        <v>242</v>
      </c>
      <c r="N32" s="1891">
        <v>46</v>
      </c>
      <c r="O32" s="1929">
        <v>48</v>
      </c>
      <c r="P32" s="1930">
        <v>50</v>
      </c>
      <c r="Q32" s="2722" t="s">
        <v>243</v>
      </c>
      <c r="R32" s="1920">
        <v>49</v>
      </c>
      <c r="S32" s="2740" t="s">
        <v>432</v>
      </c>
      <c r="T32" s="2722" t="s">
        <v>433</v>
      </c>
      <c r="U32" s="3073" t="s">
        <v>246</v>
      </c>
      <c r="V32" s="3072" t="s">
        <v>247</v>
      </c>
      <c r="W32" s="2244" t="s">
        <v>47</v>
      </c>
      <c r="X32" s="922" t="s">
        <v>48</v>
      </c>
      <c r="Y32" s="2244" t="s">
        <v>49</v>
      </c>
      <c r="Z32" s="922" t="s">
        <v>50</v>
      </c>
      <c r="AA32" s="2244" t="s">
        <v>51</v>
      </c>
      <c r="AB32" s="922" t="s">
        <v>52</v>
      </c>
      <c r="AC32" s="2244" t="s">
        <v>30</v>
      </c>
      <c r="AD32" s="922" t="s">
        <v>35</v>
      </c>
      <c r="AE32" s="2244" t="s">
        <v>31</v>
      </c>
      <c r="AF32" s="922" t="s">
        <v>36</v>
      </c>
      <c r="AG32" s="681"/>
      <c r="AH32" s="682"/>
      <c r="AI32" s="2746"/>
      <c r="AJ32" s="3060"/>
      <c r="AK32" s="3061"/>
      <c r="AL32" s="3062" t="n">
        <f t="shared" si="2"/>
        <v>0.0</v>
      </c>
      <c r="AM32" s="2744"/>
      <c r="AN32" s="2747"/>
    </row>
    <row r="33" spans="1:40" ht="27" hidden="1" customHeight="1" x14ac:dyDescent="0.15">
      <c r="A33" s="3068"/>
      <c r="B33" s="2705" t="s">
        <v>424</v>
      </c>
      <c r="C33" s="2239" t="s">
        <v>425</v>
      </c>
      <c r="D33" s="2705" t="s">
        <v>426</v>
      </c>
      <c r="E33" s="2705"/>
      <c r="F33" s="2705" t="s">
        <v>27</v>
      </c>
      <c r="G33" s="1887" t="s">
        <v>9218</v>
      </c>
      <c r="H33" s="1919" t="s">
        <v>9219</v>
      </c>
      <c r="I33" s="1887" t="str">
        <f t="shared" si="7"/>
        <v>7-DaHall 1-A-4-35-54</v>
      </c>
      <c r="J33" s="1919" t="str">
        <f t="shared" si="8"/>
        <v>7-DaHall 1-B-4-35-54</v>
      </c>
      <c r="K33" s="1889">
        <v>48</v>
      </c>
      <c r="L33" s="1890">
        <v>35</v>
      </c>
      <c r="M33" s="2740" t="s">
        <v>242</v>
      </c>
      <c r="N33" s="1891">
        <v>54</v>
      </c>
      <c r="O33" s="1929">
        <v>48</v>
      </c>
      <c r="P33" s="1930">
        <v>35</v>
      </c>
      <c r="Q33" s="2722" t="s">
        <v>243</v>
      </c>
      <c r="R33" s="1920">
        <v>54</v>
      </c>
      <c r="S33" s="2740" t="s">
        <v>427</v>
      </c>
      <c r="T33" s="2722" t="s">
        <v>428</v>
      </c>
      <c r="U33" s="3073" t="s">
        <v>246</v>
      </c>
      <c r="V33" s="3072" t="s">
        <v>247</v>
      </c>
      <c r="W33" s="2244" t="s">
        <v>47</v>
      </c>
      <c r="X33" s="922" t="s">
        <v>48</v>
      </c>
      <c r="Y33" s="2244" t="s">
        <v>49</v>
      </c>
      <c r="Z33" s="922" t="s">
        <v>50</v>
      </c>
      <c r="AA33" s="2244" t="s">
        <v>51</v>
      </c>
      <c r="AB33" s="922" t="s">
        <v>52</v>
      </c>
      <c r="AC33" s="2244" t="s">
        <v>30</v>
      </c>
      <c r="AD33" s="922" t="s">
        <v>35</v>
      </c>
      <c r="AE33" s="2244" t="s">
        <v>31</v>
      </c>
      <c r="AF33" s="922" t="s">
        <v>36</v>
      </c>
      <c r="AG33" s="681"/>
      <c r="AH33" s="682"/>
      <c r="AI33" s="2746"/>
      <c r="AJ33" s="3060"/>
      <c r="AK33" s="3061"/>
      <c r="AL33" s="3062" t="n">
        <f t="shared" si="2"/>
        <v>0.0</v>
      </c>
      <c r="AM33" s="2744"/>
      <c r="AN33" s="2747"/>
    </row>
    <row r="34" spans="1:40" ht="33" hidden="1" customHeight="1" thickBot="1" x14ac:dyDescent="0.2">
      <c r="A34" s="3044"/>
      <c r="B34" s="2741" t="s">
        <v>290</v>
      </c>
      <c r="C34" s="2240" t="s">
        <v>291</v>
      </c>
      <c r="D34" s="2741" t="s">
        <v>292</v>
      </c>
      <c r="E34" s="2741"/>
      <c r="F34" s="2741" t="s">
        <v>27</v>
      </c>
      <c r="G34" s="1895" t="s">
        <v>9220</v>
      </c>
      <c r="H34" s="1931" t="s">
        <v>9221</v>
      </c>
      <c r="I34" s="1895" t="str">
        <f t="shared" si="7"/>
        <v>7-DaHall 1-A-4-50-26</v>
      </c>
      <c r="J34" s="1931" t="str">
        <f t="shared" si="8"/>
        <v>7-DaHall 1-B-4-50-26</v>
      </c>
      <c r="K34" s="1889">
        <v>48</v>
      </c>
      <c r="L34" s="1890">
        <v>50</v>
      </c>
      <c r="M34" s="909" t="s">
        <v>242</v>
      </c>
      <c r="N34" s="1899">
        <v>26</v>
      </c>
      <c r="O34" s="1929">
        <v>48</v>
      </c>
      <c r="P34" s="1930">
        <v>50</v>
      </c>
      <c r="Q34" s="911" t="s">
        <v>243</v>
      </c>
      <c r="R34" s="1932">
        <v>26</v>
      </c>
      <c r="S34" s="909" t="s">
        <v>293</v>
      </c>
      <c r="T34" s="911" t="s">
        <v>294</v>
      </c>
      <c r="U34" s="3073" t="s">
        <v>246</v>
      </c>
      <c r="V34" s="3072" t="s">
        <v>247</v>
      </c>
      <c r="W34" s="2244" t="s">
        <v>47</v>
      </c>
      <c r="X34" s="922" t="s">
        <v>48</v>
      </c>
      <c r="Y34" s="2244" t="s">
        <v>49</v>
      </c>
      <c r="Z34" s="922" t="s">
        <v>50</v>
      </c>
      <c r="AA34" s="2244" t="s">
        <v>51</v>
      </c>
      <c r="AB34" s="922" t="s">
        <v>52</v>
      </c>
      <c r="AC34" s="2244" t="s">
        <v>30</v>
      </c>
      <c r="AD34" s="922" t="s">
        <v>35</v>
      </c>
      <c r="AE34" s="2244" t="s">
        <v>31</v>
      </c>
      <c r="AF34" s="922" t="s">
        <v>36</v>
      </c>
      <c r="AG34" s="683"/>
      <c r="AH34" s="684"/>
      <c r="AI34" s="1336"/>
      <c r="AJ34" s="3060"/>
      <c r="AK34" s="3061"/>
      <c r="AL34" s="3062" t="n">
        <f t="shared" si="2"/>
        <v>0.0</v>
      </c>
      <c r="AM34" s="2745"/>
      <c r="AN34" s="685"/>
    </row>
    <row r="35" spans="1:40" ht="33.75" hidden="1" customHeight="1" x14ac:dyDescent="0.15">
      <c r="A35" s="3068"/>
      <c r="B35" s="2705" t="s">
        <v>285</v>
      </c>
      <c r="C35" s="2239" t="s">
        <v>286</v>
      </c>
      <c r="D35" s="2705" t="s">
        <v>287</v>
      </c>
      <c r="E35" s="2705"/>
      <c r="F35" s="2705" t="s">
        <v>27</v>
      </c>
      <c r="G35" s="1887" t="s">
        <v>9222</v>
      </c>
      <c r="H35" s="1919" t="s">
        <v>9223</v>
      </c>
      <c r="I35" s="1887" t="str">
        <f t="shared" si="7"/>
        <v>7-DaHall 1-A-4-50-28</v>
      </c>
      <c r="J35" s="1919" t="str">
        <f t="shared" si="8"/>
        <v>7-DaHall 1-B-4-50-28</v>
      </c>
      <c r="K35" s="1889">
        <v>48</v>
      </c>
      <c r="L35" s="1890">
        <v>50</v>
      </c>
      <c r="M35" s="2740" t="s">
        <v>242</v>
      </c>
      <c r="N35" s="1891">
        <v>28</v>
      </c>
      <c r="O35" s="1929">
        <v>48</v>
      </c>
      <c r="P35" s="1930">
        <v>50</v>
      </c>
      <c r="Q35" s="2722" t="s">
        <v>243</v>
      </c>
      <c r="R35" s="1920">
        <v>28</v>
      </c>
      <c r="S35" s="2740" t="s">
        <v>288</v>
      </c>
      <c r="T35" s="2722" t="s">
        <v>289</v>
      </c>
      <c r="U35" s="3073" t="s">
        <v>246</v>
      </c>
      <c r="V35" s="3072" t="s">
        <v>247</v>
      </c>
      <c r="W35" s="2244" t="s">
        <v>47</v>
      </c>
      <c r="X35" s="922" t="s">
        <v>48</v>
      </c>
      <c r="Y35" s="2244" t="s">
        <v>49</v>
      </c>
      <c r="Z35" s="922" t="s">
        <v>50</v>
      </c>
      <c r="AA35" s="2244" t="s">
        <v>51</v>
      </c>
      <c r="AB35" s="922" t="s">
        <v>52</v>
      </c>
      <c r="AC35" s="2244" t="s">
        <v>30</v>
      </c>
      <c r="AD35" s="922" t="s">
        <v>35</v>
      </c>
      <c r="AE35" s="2244" t="s">
        <v>31</v>
      </c>
      <c r="AF35" s="922" t="s">
        <v>36</v>
      </c>
      <c r="AG35" s="681"/>
      <c r="AH35" s="682"/>
      <c r="AI35" s="2746"/>
      <c r="AJ35" s="3060"/>
      <c r="AK35" s="3061"/>
      <c r="AL35" s="3062" t="n">
        <f t="shared" si="2"/>
        <v>0.0</v>
      </c>
      <c r="AM35" s="2744"/>
      <c r="AN35" s="2747"/>
    </row>
    <row r="36" spans="1:40" ht="40.5" x14ac:dyDescent="0.15">
      <c r="A36" s="3068"/>
      <c r="B36" s="2705" t="s">
        <v>280</v>
      </c>
      <c r="C36" s="1184" t="s">
        <v>281</v>
      </c>
      <c r="D36" s="2705" t="s">
        <v>282</v>
      </c>
      <c r="E36" s="2705" t="s">
        <v>27</v>
      </c>
      <c r="F36" s="2705"/>
      <c r="G36" s="1907" t="s">
        <v>9224</v>
      </c>
      <c r="H36" s="1915" t="s">
        <v>9225</v>
      </c>
      <c r="I36" s="1907" t="str">
        <f t="shared" si="7"/>
        <v>7-DaHall 1-PDU-01-30-9</v>
      </c>
      <c r="J36" s="1915" t="str">
        <f t="shared" si="8"/>
        <v>7-DaHall 1-PDU-02-30-9</v>
      </c>
      <c r="K36" s="1909">
        <v>220</v>
      </c>
      <c r="L36" s="1910">
        <v>30</v>
      </c>
      <c r="M36" s="709" t="s">
        <v>9177</v>
      </c>
      <c r="N36" s="1911">
        <v>9</v>
      </c>
      <c r="O36" s="1916">
        <v>220</v>
      </c>
      <c r="P36" s="1917">
        <v>30</v>
      </c>
      <c r="Q36" s="693" t="s">
        <v>9178</v>
      </c>
      <c r="R36" s="1918">
        <v>9</v>
      </c>
      <c r="S36" s="709" t="s">
        <v>283</v>
      </c>
      <c r="T36" s="693" t="s">
        <v>284</v>
      </c>
      <c r="U36" s="739"/>
      <c r="V36" s="739"/>
      <c r="W36" s="739"/>
      <c r="X36" s="739"/>
      <c r="Y36" s="739"/>
      <c r="Z36" s="739"/>
      <c r="AA36" s="2244" t="s">
        <v>173</v>
      </c>
      <c r="AB36" s="922" t="s">
        <v>174</v>
      </c>
      <c r="AC36" s="2244" t="s">
        <v>111</v>
      </c>
      <c r="AD36" s="922" t="s">
        <v>112</v>
      </c>
      <c r="AE36" s="2244" t="s">
        <v>31</v>
      </c>
      <c r="AF36" s="922" t="s">
        <v>36</v>
      </c>
      <c r="AG36" s="687" t="n">
        <f>SUM('7층_부하량(월간_AVG)'!D67:F67)</f>
        <v>5.62840174408912</v>
      </c>
      <c r="AH36" s="688" t="n">
        <f>SUM('7층_부하량(월간_AVG)'!D35:F35)</f>
        <v>5.14516207259493</v>
      </c>
      <c r="AI36" s="1327" t="n">
        <f t="shared" ref="AI36:AI37" si="9">AG36+AH36</f>
        <v>10.77356381668405</v>
      </c>
      <c r="AJ36" s="3056" t="n" cm="1">
        <f t="array" ref="AJ36">INDEX('각층분기별_유효전력량(전월)'!L2:L2000,MATCH(1,("7-DaHall 1-PDU-01"='각층분기별_유효전력량(전월)'!J2:J2000)*("[branch#009] [A] kWh last month"='각층분기별_유효전력량(전월)'!K2:K2000),0))</f>
        <v>968.8</v>
      </c>
      <c r="AK36" s="3057" t="n" cm="1">
        <f t="array" ref="AK36">INDEX('각층분기별_유효전력량(전월)'!L2:L2000,MATCH(1,("7-DaHall 1-PDU-02"='각층분기별_유효전력량(전월)'!J2:J2000)*("[branch#009] [A] kWh last month"='각층분기별_유효전력량(전월)'!K2:K2000),0))</f>
        <v>929.8</v>
      </c>
      <c r="AL36" s="3065" t="n">
        <f t="shared" si="2"/>
        <v>1898.6</v>
      </c>
      <c r="AM36" s="2744" t="s">
        <v>124</v>
      </c>
      <c r="AN36" s="2747"/>
    </row>
    <row r="37" spans="1:40" ht="27" customHeight="1" x14ac:dyDescent="0.15">
      <c r="A37" s="3068"/>
      <c r="B37" s="2705" t="s">
        <v>275</v>
      </c>
      <c r="C37" s="1184" t="s">
        <v>276</v>
      </c>
      <c r="D37" s="2705" t="s">
        <v>277</v>
      </c>
      <c r="E37" s="2705" t="s">
        <v>27</v>
      </c>
      <c r="F37" s="2705"/>
      <c r="G37" s="1907" t="s">
        <v>9226</v>
      </c>
      <c r="H37" s="1915" t="s">
        <v>9227</v>
      </c>
      <c r="I37" s="1907" t="str">
        <f t="shared" si="7"/>
        <v>7-DaHall 1-PDU-01-30-7</v>
      </c>
      <c r="J37" s="1915" t="str">
        <f t="shared" si="8"/>
        <v>7-DaHall 1-PDU-02-30-7</v>
      </c>
      <c r="K37" s="1909">
        <v>220</v>
      </c>
      <c r="L37" s="1910">
        <v>30</v>
      </c>
      <c r="M37" s="709" t="s">
        <v>9177</v>
      </c>
      <c r="N37" s="1911">
        <v>7</v>
      </c>
      <c r="O37" s="1916">
        <v>220</v>
      </c>
      <c r="P37" s="1917">
        <v>30</v>
      </c>
      <c r="Q37" s="693" t="s">
        <v>9178</v>
      </c>
      <c r="R37" s="1918">
        <v>7</v>
      </c>
      <c r="S37" s="709" t="s">
        <v>278</v>
      </c>
      <c r="T37" s="693" t="s">
        <v>279</v>
      </c>
      <c r="U37" s="739"/>
      <c r="V37" s="739"/>
      <c r="W37" s="739"/>
      <c r="X37" s="739"/>
      <c r="Y37" s="739"/>
      <c r="Z37" s="739"/>
      <c r="AA37" s="2244" t="s">
        <v>173</v>
      </c>
      <c r="AB37" s="922" t="s">
        <v>174</v>
      </c>
      <c r="AC37" s="2244" t="s">
        <v>111</v>
      </c>
      <c r="AD37" s="922" t="s">
        <v>112</v>
      </c>
      <c r="AE37" s="2244" t="s">
        <v>31</v>
      </c>
      <c r="AF37" s="922" t="s">
        <v>36</v>
      </c>
      <c r="AG37" s="687" t="n">
        <f>SUM('7층_부하량(월간_AVG)'!D66:F66)</f>
        <v>6.09835927588217</v>
      </c>
      <c r="AH37" s="688" t="n">
        <f>SUM('7층_부하량(월간_AVG)'!D34:F34)</f>
        <v>5.645051225700976</v>
      </c>
      <c r="AI37" s="1327" t="n">
        <f t="shared" si="9"/>
        <v>11.743410501583146</v>
      </c>
      <c r="AJ37" s="3056" t="n" cm="1">
        <f t="array" ref="AJ37">INDEX('각층분기별_유효전력량(전월)'!L2:L2000,MATCH(1,("7-DaHall 1-PDU-01"='각층분기별_유효전력량(전월)'!J2:J2000)*("[branch#007] [A] kWh last month"='각층분기별_유효전력량(전월)'!K2:K2000),0))</f>
        <v>1054.1</v>
      </c>
      <c r="AK37" s="3057" t="n" cm="1">
        <f t="array" ref="AK37">INDEX('각층분기별_유효전력량(전월)'!L2:L2000,MATCH(1,("7-DaHall 1-PDU-02"='각층분기별_유효전력량(전월)'!J2:J2000)*("[branch#007] [A] kWh last month"='각층분기별_유효전력량(전월)'!K2:K2000),0))</f>
        <v>909.8</v>
      </c>
      <c r="AL37" s="3065" t="n">
        <f t="shared" si="2"/>
        <v>1963.8999999999999</v>
      </c>
      <c r="AM37" s="2744" t="s">
        <v>124</v>
      </c>
      <c r="AN37" s="2747"/>
    </row>
    <row r="38" spans="1:40" ht="54" hidden="1" customHeight="1" x14ac:dyDescent="0.15">
      <c r="A38" s="3068"/>
      <c r="B38" s="3146" t="s">
        <v>268</v>
      </c>
      <c r="C38" s="3154" t="s">
        <v>269</v>
      </c>
      <c r="D38" s="3146" t="s">
        <v>270</v>
      </c>
      <c r="E38" s="2705"/>
      <c r="F38" s="2705" t="s">
        <v>27</v>
      </c>
      <c r="G38" s="1887" t="s">
        <v>9228</v>
      </c>
      <c r="H38" s="1919" t="s">
        <v>9229</v>
      </c>
      <c r="I38" s="1887" t="str">
        <f t="shared" si="7"/>
        <v>7-DaHall 1-A-4-50-27</v>
      </c>
      <c r="J38" s="1919" t="str">
        <f t="shared" si="8"/>
        <v>7-DaHall 1-B-4-50-57</v>
      </c>
      <c r="K38" s="1889">
        <v>48</v>
      </c>
      <c r="L38" s="1890">
        <v>50</v>
      </c>
      <c r="M38" s="2740" t="s">
        <v>242</v>
      </c>
      <c r="N38" s="1891">
        <v>27</v>
      </c>
      <c r="O38" s="1929">
        <v>48</v>
      </c>
      <c r="P38" s="1930">
        <v>50</v>
      </c>
      <c r="Q38" s="2722" t="s">
        <v>243</v>
      </c>
      <c r="R38" s="1920">
        <v>57</v>
      </c>
      <c r="S38" s="2740" t="s">
        <v>271</v>
      </c>
      <c r="T38" s="2722" t="s">
        <v>272</v>
      </c>
      <c r="U38" s="3073" t="s">
        <v>246</v>
      </c>
      <c r="V38" s="3072" t="s">
        <v>247</v>
      </c>
      <c r="W38" s="2244" t="s">
        <v>47</v>
      </c>
      <c r="X38" s="922" t="s">
        <v>48</v>
      </c>
      <c r="Y38" s="2244" t="s">
        <v>49</v>
      </c>
      <c r="Z38" s="922" t="s">
        <v>50</v>
      </c>
      <c r="AA38" s="2244" t="s">
        <v>51</v>
      </c>
      <c r="AB38" s="922" t="s">
        <v>52</v>
      </c>
      <c r="AC38" s="2244" t="s">
        <v>30</v>
      </c>
      <c r="AD38" s="922" t="s">
        <v>35</v>
      </c>
      <c r="AE38" s="2244" t="s">
        <v>31</v>
      </c>
      <c r="AF38" s="922" t="s">
        <v>36</v>
      </c>
      <c r="AG38" s="691"/>
      <c r="AH38" s="692"/>
      <c r="AI38" s="2746"/>
      <c r="AJ38" s="3060"/>
      <c r="AK38" s="3061"/>
      <c r="AL38" s="3062" t="n">
        <f t="shared" si="2"/>
        <v>0.0</v>
      </c>
      <c r="AM38" s="2744"/>
      <c r="AN38" s="3075" t="s">
        <v>206</v>
      </c>
    </row>
    <row r="39" spans="1:40" ht="54" hidden="1" customHeight="1" x14ac:dyDescent="0.15">
      <c r="A39" s="3068"/>
      <c r="B39" s="3147"/>
      <c r="C39" s="3155"/>
      <c r="D39" s="3147"/>
      <c r="E39" s="2705"/>
      <c r="F39" s="2705" t="s">
        <v>27</v>
      </c>
      <c r="G39" s="1887" t="s">
        <v>9230</v>
      </c>
      <c r="H39" s="1919" t="s">
        <v>9231</v>
      </c>
      <c r="I39" s="1887" t="str">
        <f t="shared" si="7"/>
        <v>7-DaHall 1-A-4-50-33</v>
      </c>
      <c r="J39" s="1919" t="str">
        <f t="shared" si="8"/>
        <v>7-DaHall 1-B-4-50-33</v>
      </c>
      <c r="K39" s="1889">
        <v>48</v>
      </c>
      <c r="L39" s="1890">
        <v>50</v>
      </c>
      <c r="M39" s="2740" t="s">
        <v>242</v>
      </c>
      <c r="N39" s="1891">
        <v>33</v>
      </c>
      <c r="O39" s="1929">
        <v>48</v>
      </c>
      <c r="P39" s="1930">
        <v>50</v>
      </c>
      <c r="Q39" s="2722" t="s">
        <v>243</v>
      </c>
      <c r="R39" s="1920">
        <v>33</v>
      </c>
      <c r="S39" s="2740" t="s">
        <v>273</v>
      </c>
      <c r="T39" s="2722" t="s">
        <v>274</v>
      </c>
      <c r="U39" s="3073" t="s">
        <v>246</v>
      </c>
      <c r="V39" s="3072" t="s">
        <v>247</v>
      </c>
      <c r="W39" s="2244" t="s">
        <v>47</v>
      </c>
      <c r="X39" s="922" t="s">
        <v>48</v>
      </c>
      <c r="Y39" s="2244" t="s">
        <v>49</v>
      </c>
      <c r="Z39" s="922" t="s">
        <v>50</v>
      </c>
      <c r="AA39" s="2244" t="s">
        <v>51</v>
      </c>
      <c r="AB39" s="922" t="s">
        <v>52</v>
      </c>
      <c r="AC39" s="2244" t="s">
        <v>30</v>
      </c>
      <c r="AD39" s="922" t="s">
        <v>35</v>
      </c>
      <c r="AE39" s="2244" t="s">
        <v>31</v>
      </c>
      <c r="AF39" s="922" t="s">
        <v>36</v>
      </c>
      <c r="AG39" s="691"/>
      <c r="AH39" s="692"/>
      <c r="AI39" s="2746"/>
      <c r="AJ39" s="3060"/>
      <c r="AK39" s="3061"/>
      <c r="AL39" s="3062" t="n">
        <f t="shared" si="2"/>
        <v>0.0</v>
      </c>
      <c r="AM39" s="2744"/>
      <c r="AN39" s="3076"/>
    </row>
    <row r="40" spans="1:40" ht="54" hidden="1" customHeight="1" x14ac:dyDescent="0.15">
      <c r="A40" s="3068"/>
      <c r="B40" s="3146" t="s">
        <v>258</v>
      </c>
      <c r="C40" s="3154" t="s">
        <v>259</v>
      </c>
      <c r="D40" s="3146" t="s">
        <v>260</v>
      </c>
      <c r="E40" s="2705"/>
      <c r="F40" s="2705" t="s">
        <v>27</v>
      </c>
      <c r="G40" s="1887" t="s">
        <v>9232</v>
      </c>
      <c r="H40" s="1919" t="s">
        <v>9233</v>
      </c>
      <c r="I40" s="1887" t="str">
        <f t="shared" si="7"/>
        <v>7-DaHall 1-A-4-50-10</v>
      </c>
      <c r="J40" s="1919" t="str">
        <f t="shared" si="8"/>
        <v>7-DaHall 1-B-4-50-43</v>
      </c>
      <c r="K40" s="1889">
        <v>48</v>
      </c>
      <c r="L40" s="1890">
        <v>50</v>
      </c>
      <c r="M40" s="2740" t="s">
        <v>242</v>
      </c>
      <c r="N40" s="1891">
        <v>10</v>
      </c>
      <c r="O40" s="1929">
        <v>48</v>
      </c>
      <c r="P40" s="1930">
        <v>50</v>
      </c>
      <c r="Q40" s="2722" t="s">
        <v>243</v>
      </c>
      <c r="R40" s="1920">
        <v>43</v>
      </c>
      <c r="S40" s="2740" t="s">
        <v>261</v>
      </c>
      <c r="T40" s="2722" t="s">
        <v>262</v>
      </c>
      <c r="U40" s="3073" t="s">
        <v>246</v>
      </c>
      <c r="V40" s="3072" t="s">
        <v>247</v>
      </c>
      <c r="W40" s="2244" t="s">
        <v>47</v>
      </c>
      <c r="X40" s="922" t="s">
        <v>48</v>
      </c>
      <c r="Y40" s="2244" t="s">
        <v>49</v>
      </c>
      <c r="Z40" s="922" t="s">
        <v>50</v>
      </c>
      <c r="AA40" s="2244" t="s">
        <v>51</v>
      </c>
      <c r="AB40" s="922" t="s">
        <v>52</v>
      </c>
      <c r="AC40" s="2244" t="s">
        <v>30</v>
      </c>
      <c r="AD40" s="922" t="s">
        <v>35</v>
      </c>
      <c r="AE40" s="2244" t="s">
        <v>31</v>
      </c>
      <c r="AF40" s="922" t="s">
        <v>36</v>
      </c>
      <c r="AG40" s="691"/>
      <c r="AH40" s="692"/>
      <c r="AI40" s="2746"/>
      <c r="AJ40" s="3060"/>
      <c r="AK40" s="3061"/>
      <c r="AL40" s="3062" t="n">
        <f t="shared" si="2"/>
        <v>0.0</v>
      </c>
      <c r="AM40" s="2744"/>
      <c r="AN40" s="3075" t="s">
        <v>263</v>
      </c>
    </row>
    <row r="41" spans="1:40" ht="54" hidden="1" customHeight="1" x14ac:dyDescent="0.15">
      <c r="A41" s="3068"/>
      <c r="B41" s="3168"/>
      <c r="C41" s="3169"/>
      <c r="D41" s="3168"/>
      <c r="E41" s="2705"/>
      <c r="F41" s="2705" t="s">
        <v>27</v>
      </c>
      <c r="G41" s="1887" t="s">
        <v>9234</v>
      </c>
      <c r="H41" s="1919" t="s">
        <v>9235</v>
      </c>
      <c r="I41" s="1887" t="str">
        <f t="shared" si="7"/>
        <v>7-DaHall 1-A-4-50-11</v>
      </c>
      <c r="J41" s="1919" t="str">
        <f t="shared" si="8"/>
        <v>7-DaHall 1-B-4-50-44</v>
      </c>
      <c r="K41" s="1889">
        <v>48</v>
      </c>
      <c r="L41" s="1890">
        <v>50</v>
      </c>
      <c r="M41" s="2740" t="s">
        <v>242</v>
      </c>
      <c r="N41" s="1891">
        <v>11</v>
      </c>
      <c r="O41" s="1929">
        <v>48</v>
      </c>
      <c r="P41" s="1930">
        <v>50</v>
      </c>
      <c r="Q41" s="2722" t="s">
        <v>243</v>
      </c>
      <c r="R41" s="1920">
        <v>44</v>
      </c>
      <c r="S41" s="2740" t="s">
        <v>264</v>
      </c>
      <c r="T41" s="2722" t="s">
        <v>265</v>
      </c>
      <c r="U41" s="3073" t="s">
        <v>246</v>
      </c>
      <c r="V41" s="3072" t="s">
        <v>247</v>
      </c>
      <c r="W41" s="2244" t="s">
        <v>47</v>
      </c>
      <c r="X41" s="922" t="s">
        <v>48</v>
      </c>
      <c r="Y41" s="2244" t="s">
        <v>49</v>
      </c>
      <c r="Z41" s="922" t="s">
        <v>50</v>
      </c>
      <c r="AA41" s="2244" t="s">
        <v>51</v>
      </c>
      <c r="AB41" s="922" t="s">
        <v>52</v>
      </c>
      <c r="AC41" s="2244" t="s">
        <v>30</v>
      </c>
      <c r="AD41" s="922" t="s">
        <v>35</v>
      </c>
      <c r="AE41" s="2244" t="s">
        <v>31</v>
      </c>
      <c r="AF41" s="922" t="s">
        <v>36</v>
      </c>
      <c r="AG41" s="691"/>
      <c r="AH41" s="692"/>
      <c r="AI41" s="2746"/>
      <c r="AJ41" s="3060"/>
      <c r="AK41" s="3061"/>
      <c r="AL41" s="3062" t="n">
        <f t="shared" si="2"/>
        <v>0.0</v>
      </c>
      <c r="AM41" s="2744"/>
      <c r="AN41" s="3077"/>
    </row>
    <row r="42" spans="1:40" ht="54" hidden="1" customHeight="1" x14ac:dyDescent="0.15">
      <c r="A42" s="3068"/>
      <c r="B42" s="3147"/>
      <c r="C42" s="3155"/>
      <c r="D42" s="3147"/>
      <c r="E42" s="2705"/>
      <c r="F42" s="2705" t="s">
        <v>27</v>
      </c>
      <c r="G42" s="1887" t="s">
        <v>9236</v>
      </c>
      <c r="H42" s="1919" t="s">
        <v>9237</v>
      </c>
      <c r="I42" s="1887" t="str">
        <f t="shared" si="7"/>
        <v>7-DaHall 1-A-4-50-18</v>
      </c>
      <c r="J42" s="1919" t="str">
        <f t="shared" si="8"/>
        <v>7-DaHall 1-B-4-50-45</v>
      </c>
      <c r="K42" s="1889">
        <v>48</v>
      </c>
      <c r="L42" s="1890">
        <v>50</v>
      </c>
      <c r="M42" s="2740" t="s">
        <v>242</v>
      </c>
      <c r="N42" s="1891">
        <v>18</v>
      </c>
      <c r="O42" s="1929">
        <v>48</v>
      </c>
      <c r="P42" s="1930">
        <v>50</v>
      </c>
      <c r="Q42" s="2722" t="s">
        <v>243</v>
      </c>
      <c r="R42" s="1920">
        <v>45</v>
      </c>
      <c r="S42" s="2740" t="s">
        <v>266</v>
      </c>
      <c r="T42" s="2722" t="s">
        <v>267</v>
      </c>
      <c r="U42" s="3073" t="s">
        <v>246</v>
      </c>
      <c r="V42" s="3072" t="s">
        <v>247</v>
      </c>
      <c r="W42" s="2244" t="s">
        <v>47</v>
      </c>
      <c r="X42" s="922" t="s">
        <v>48</v>
      </c>
      <c r="Y42" s="2244" t="s">
        <v>49</v>
      </c>
      <c r="Z42" s="922" t="s">
        <v>50</v>
      </c>
      <c r="AA42" s="2244" t="s">
        <v>51</v>
      </c>
      <c r="AB42" s="922" t="s">
        <v>52</v>
      </c>
      <c r="AC42" s="2244" t="s">
        <v>30</v>
      </c>
      <c r="AD42" s="922" t="s">
        <v>35</v>
      </c>
      <c r="AE42" s="2244" t="s">
        <v>31</v>
      </c>
      <c r="AF42" s="922" t="s">
        <v>36</v>
      </c>
      <c r="AG42" s="691"/>
      <c r="AH42" s="692"/>
      <c r="AI42" s="2746"/>
      <c r="AJ42" s="3060"/>
      <c r="AK42" s="3061"/>
      <c r="AL42" s="3062" t="n">
        <f t="shared" si="2"/>
        <v>0.0</v>
      </c>
      <c r="AM42" s="2744"/>
      <c r="AN42" s="3076"/>
    </row>
    <row r="43" spans="1:40" ht="54" hidden="1" customHeight="1" x14ac:dyDescent="0.15">
      <c r="A43" s="3068"/>
      <c r="B43" s="2705" t="s">
        <v>253</v>
      </c>
      <c r="C43" s="2239" t="s">
        <v>254</v>
      </c>
      <c r="D43" s="2705" t="s">
        <v>255</v>
      </c>
      <c r="E43" s="2705"/>
      <c r="F43" s="2705" t="s">
        <v>27</v>
      </c>
      <c r="G43" s="1887" t="s">
        <v>9238</v>
      </c>
      <c r="H43" s="1919" t="s">
        <v>9239</v>
      </c>
      <c r="I43" s="1887" t="str">
        <f t="shared" si="7"/>
        <v>7-DaHall 1-A-4-50-45</v>
      </c>
      <c r="J43" s="1919" t="str">
        <f t="shared" si="8"/>
        <v>7-DaHall 1-B-4-50-51</v>
      </c>
      <c r="K43" s="1889">
        <v>48</v>
      </c>
      <c r="L43" s="1890">
        <v>50</v>
      </c>
      <c r="M43" s="2740" t="s">
        <v>242</v>
      </c>
      <c r="N43" s="1891">
        <v>45</v>
      </c>
      <c r="O43" s="1929">
        <v>48</v>
      </c>
      <c r="P43" s="1930">
        <v>50</v>
      </c>
      <c r="Q43" s="2722" t="s">
        <v>243</v>
      </c>
      <c r="R43" s="1920">
        <v>51</v>
      </c>
      <c r="S43" s="2740" t="s">
        <v>256</v>
      </c>
      <c r="T43" s="2722" t="s">
        <v>257</v>
      </c>
      <c r="U43" s="3073" t="s">
        <v>246</v>
      </c>
      <c r="V43" s="3072" t="s">
        <v>247</v>
      </c>
      <c r="W43" s="2244" t="s">
        <v>47</v>
      </c>
      <c r="X43" s="922" t="s">
        <v>48</v>
      </c>
      <c r="Y43" s="2244" t="s">
        <v>49</v>
      </c>
      <c r="Z43" s="922" t="s">
        <v>50</v>
      </c>
      <c r="AA43" s="2244" t="s">
        <v>51</v>
      </c>
      <c r="AB43" s="922" t="s">
        <v>52</v>
      </c>
      <c r="AC43" s="2244" t="s">
        <v>30</v>
      </c>
      <c r="AD43" s="922" t="s">
        <v>35</v>
      </c>
      <c r="AE43" s="2244" t="s">
        <v>31</v>
      </c>
      <c r="AF43" s="922" t="s">
        <v>36</v>
      </c>
      <c r="AG43" s="681"/>
      <c r="AH43" s="682"/>
      <c r="AI43" s="2746"/>
      <c r="AJ43" s="3060"/>
      <c r="AK43" s="3061"/>
      <c r="AL43" s="3062" t="n">
        <f t="shared" si="2"/>
        <v>0.0</v>
      </c>
      <c r="AM43" s="2744"/>
      <c r="AN43" s="2747"/>
    </row>
    <row r="44" spans="1:40" ht="54" hidden="1" customHeight="1" x14ac:dyDescent="0.15">
      <c r="A44" s="3068"/>
      <c r="B44" s="2705" t="s">
        <v>248</v>
      </c>
      <c r="C44" s="2239" t="s">
        <v>249</v>
      </c>
      <c r="D44" s="2705" t="s">
        <v>250</v>
      </c>
      <c r="E44" s="2705"/>
      <c r="F44" s="2705" t="s">
        <v>27</v>
      </c>
      <c r="G44" s="1887" t="s">
        <v>9240</v>
      </c>
      <c r="H44" s="1919" t="s">
        <v>9241</v>
      </c>
      <c r="I44" s="1887" t="str">
        <f t="shared" si="7"/>
        <v>7-DaHall 1-A-4-35-52</v>
      </c>
      <c r="J44" s="1919" t="str">
        <f t="shared" si="8"/>
        <v>7-DaHall 1-B-4-35-52</v>
      </c>
      <c r="K44" s="1889">
        <v>48</v>
      </c>
      <c r="L44" s="1890">
        <v>35</v>
      </c>
      <c r="M44" s="2740" t="s">
        <v>242</v>
      </c>
      <c r="N44" s="1891">
        <v>52</v>
      </c>
      <c r="O44" s="1929">
        <v>48</v>
      </c>
      <c r="P44" s="1930">
        <v>35</v>
      </c>
      <c r="Q44" s="2722" t="s">
        <v>243</v>
      </c>
      <c r="R44" s="1920">
        <v>52</v>
      </c>
      <c r="S44" s="2740" t="s">
        <v>251</v>
      </c>
      <c r="T44" s="2722" t="s">
        <v>252</v>
      </c>
      <c r="U44" s="3073" t="s">
        <v>246</v>
      </c>
      <c r="V44" s="3072" t="s">
        <v>247</v>
      </c>
      <c r="W44" s="2244" t="s">
        <v>47</v>
      </c>
      <c r="X44" s="922" t="s">
        <v>48</v>
      </c>
      <c r="Y44" s="2244" t="s">
        <v>49</v>
      </c>
      <c r="Z44" s="922" t="s">
        <v>50</v>
      </c>
      <c r="AA44" s="2244" t="s">
        <v>51</v>
      </c>
      <c r="AB44" s="922" t="s">
        <v>52</v>
      </c>
      <c r="AC44" s="2244" t="s">
        <v>30</v>
      </c>
      <c r="AD44" s="922" t="s">
        <v>35</v>
      </c>
      <c r="AE44" s="2244" t="s">
        <v>31</v>
      </c>
      <c r="AF44" s="922" t="s">
        <v>36</v>
      </c>
      <c r="AG44" s="681"/>
      <c r="AH44" s="682"/>
      <c r="AI44" s="2746"/>
      <c r="AJ44" s="3060"/>
      <c r="AK44" s="3061"/>
      <c r="AL44" s="3062" t="n">
        <f t="shared" si="2"/>
        <v>0.0</v>
      </c>
      <c r="AM44" s="2744"/>
      <c r="AN44" s="2747"/>
    </row>
    <row r="45" spans="1:40" ht="54" hidden="1" customHeight="1" x14ac:dyDescent="0.15">
      <c r="A45" s="3068"/>
      <c r="B45" s="2705" t="s">
        <v>239</v>
      </c>
      <c r="C45" s="2239" t="s">
        <v>240</v>
      </c>
      <c r="D45" s="2705" t="s">
        <v>241</v>
      </c>
      <c r="E45" s="2705"/>
      <c r="F45" s="2705" t="s">
        <v>27</v>
      </c>
      <c r="G45" s="1887" t="s">
        <v>9242</v>
      </c>
      <c r="H45" s="1919" t="s">
        <v>9243</v>
      </c>
      <c r="I45" s="1887" t="str">
        <f t="shared" si="7"/>
        <v>7-DaHall 1-A-4-35-53</v>
      </c>
      <c r="J45" s="1919" t="str">
        <f t="shared" si="8"/>
        <v>7-DaHall 1-B-4-35-53</v>
      </c>
      <c r="K45" s="1889">
        <v>48</v>
      </c>
      <c r="L45" s="1890">
        <v>35</v>
      </c>
      <c r="M45" s="2740" t="s">
        <v>242</v>
      </c>
      <c r="N45" s="1891">
        <v>53</v>
      </c>
      <c r="O45" s="1929">
        <v>48</v>
      </c>
      <c r="P45" s="1930">
        <v>35</v>
      </c>
      <c r="Q45" s="2722" t="s">
        <v>243</v>
      </c>
      <c r="R45" s="1920">
        <v>53</v>
      </c>
      <c r="S45" s="2740" t="s">
        <v>244</v>
      </c>
      <c r="T45" s="2722" t="s">
        <v>245</v>
      </c>
      <c r="U45" s="3073" t="s">
        <v>246</v>
      </c>
      <c r="V45" s="3072" t="s">
        <v>247</v>
      </c>
      <c r="W45" s="2244" t="s">
        <v>47</v>
      </c>
      <c r="X45" s="922" t="s">
        <v>48</v>
      </c>
      <c r="Y45" s="2244" t="s">
        <v>49</v>
      </c>
      <c r="Z45" s="922" t="s">
        <v>50</v>
      </c>
      <c r="AA45" s="2244" t="s">
        <v>51</v>
      </c>
      <c r="AB45" s="922" t="s">
        <v>52</v>
      </c>
      <c r="AC45" s="2244" t="s">
        <v>30</v>
      </c>
      <c r="AD45" s="922" t="s">
        <v>35</v>
      </c>
      <c r="AE45" s="2244" t="s">
        <v>31</v>
      </c>
      <c r="AF45" s="922" t="s">
        <v>36</v>
      </c>
      <c r="AG45" s="681"/>
      <c r="AH45" s="682"/>
      <c r="AI45" s="2746"/>
      <c r="AJ45" s="3060"/>
      <c r="AK45" s="3061"/>
      <c r="AL45" s="3062" t="n">
        <f t="shared" si="2"/>
        <v>0.0</v>
      </c>
      <c r="AM45" s="2744"/>
      <c r="AN45" s="2747"/>
    </row>
    <row r="46" spans="1:40" ht="54" hidden="1" customHeight="1" x14ac:dyDescent="0.15">
      <c r="A46" s="3068"/>
      <c r="B46" s="2705" t="s">
        <v>768</v>
      </c>
      <c r="C46" s="2239" t="s">
        <v>769</v>
      </c>
      <c r="D46" s="2705" t="s">
        <v>770</v>
      </c>
      <c r="E46" s="2705"/>
      <c r="F46" s="2705" t="s">
        <v>27</v>
      </c>
      <c r="G46" s="1887" t="s">
        <v>9244</v>
      </c>
      <c r="H46" s="1919" t="s">
        <v>9245</v>
      </c>
      <c r="I46" s="1887" t="str">
        <f t="shared" si="7"/>
        <v>7-DaHall 1-A-3-50-47</v>
      </c>
      <c r="J46" s="1919" t="str">
        <f t="shared" si="8"/>
        <v>7-DaHall 1-B-3-50-47</v>
      </c>
      <c r="K46" s="1889">
        <v>48</v>
      </c>
      <c r="L46" s="1890">
        <v>50</v>
      </c>
      <c r="M46" s="2740" t="s">
        <v>190</v>
      </c>
      <c r="N46" s="1891">
        <v>47</v>
      </c>
      <c r="O46" s="1929">
        <v>48</v>
      </c>
      <c r="P46" s="1930">
        <v>50</v>
      </c>
      <c r="Q46" s="2722" t="s">
        <v>191</v>
      </c>
      <c r="R46" s="1920">
        <v>47</v>
      </c>
      <c r="S46" s="2740" t="s">
        <v>771</v>
      </c>
      <c r="T46" s="2722" t="s">
        <v>772</v>
      </c>
      <c r="U46" s="3066" t="s">
        <v>194</v>
      </c>
      <c r="V46" s="3067" t="s">
        <v>195</v>
      </c>
      <c r="W46" s="3066" t="s">
        <v>452</v>
      </c>
      <c r="X46" s="3067" t="s">
        <v>453</v>
      </c>
      <c r="Y46" s="3066" t="s">
        <v>49</v>
      </c>
      <c r="Z46" s="3067" t="s">
        <v>50</v>
      </c>
      <c r="AA46" s="3066" t="s">
        <v>51</v>
      </c>
      <c r="AB46" s="3067" t="s">
        <v>52</v>
      </c>
      <c r="AC46" s="3066" t="s">
        <v>30</v>
      </c>
      <c r="AD46" s="3067" t="s">
        <v>35</v>
      </c>
      <c r="AE46" s="2244" t="s">
        <v>31</v>
      </c>
      <c r="AF46" s="922" t="s">
        <v>36</v>
      </c>
      <c r="AG46" s="687"/>
      <c r="AH46" s="682"/>
      <c r="AI46" s="2746"/>
      <c r="AJ46" s="3060"/>
      <c r="AK46" s="3061"/>
      <c r="AL46" s="3062" t="n">
        <f t="shared" si="2"/>
        <v>0.0</v>
      </c>
      <c r="AM46" s="2744"/>
      <c r="AN46" s="2747"/>
    </row>
    <row r="47" spans="1:40" ht="54" hidden="1" customHeight="1" x14ac:dyDescent="0.15">
      <c r="A47" s="3068"/>
      <c r="B47" s="2705" t="s">
        <v>763</v>
      </c>
      <c r="C47" s="2239" t="s">
        <v>764</v>
      </c>
      <c r="D47" s="2705" t="s">
        <v>765</v>
      </c>
      <c r="E47" s="2705"/>
      <c r="F47" s="2705" t="s">
        <v>27</v>
      </c>
      <c r="G47" s="1887" t="s">
        <v>9246</v>
      </c>
      <c r="H47" s="1919" t="s">
        <v>9247</v>
      </c>
      <c r="I47" s="1887" t="str">
        <f t="shared" si="7"/>
        <v>7-DaHall 1-A-3-50-46</v>
      </c>
      <c r="J47" s="1919" t="str">
        <f t="shared" si="8"/>
        <v>7-DaHall 1-B-3-50-46</v>
      </c>
      <c r="K47" s="1889">
        <v>48</v>
      </c>
      <c r="L47" s="1890">
        <v>50</v>
      </c>
      <c r="M47" s="2740" t="s">
        <v>190</v>
      </c>
      <c r="N47" s="1891">
        <v>46</v>
      </c>
      <c r="O47" s="1929">
        <v>48</v>
      </c>
      <c r="P47" s="1930">
        <v>50</v>
      </c>
      <c r="Q47" s="2722" t="s">
        <v>191</v>
      </c>
      <c r="R47" s="1920">
        <v>46</v>
      </c>
      <c r="S47" s="2740" t="s">
        <v>766</v>
      </c>
      <c r="T47" s="2722" t="s">
        <v>767</v>
      </c>
      <c r="U47" s="3066" t="s">
        <v>194</v>
      </c>
      <c r="V47" s="3067" t="s">
        <v>195</v>
      </c>
      <c r="W47" s="3066" t="s">
        <v>452</v>
      </c>
      <c r="X47" s="3067" t="s">
        <v>453</v>
      </c>
      <c r="Y47" s="3066" t="s">
        <v>49</v>
      </c>
      <c r="Z47" s="3067" t="s">
        <v>50</v>
      </c>
      <c r="AA47" s="3066" t="s">
        <v>51</v>
      </c>
      <c r="AB47" s="3067" t="s">
        <v>52</v>
      </c>
      <c r="AC47" s="3066" t="s">
        <v>30</v>
      </c>
      <c r="AD47" s="3067" t="s">
        <v>35</v>
      </c>
      <c r="AE47" s="2244" t="s">
        <v>31</v>
      </c>
      <c r="AF47" s="922" t="s">
        <v>36</v>
      </c>
      <c r="AG47" s="687"/>
      <c r="AH47" s="682"/>
      <c r="AI47" s="2746"/>
      <c r="AJ47" s="3060"/>
      <c r="AK47" s="3061"/>
      <c r="AL47" s="3062" t="n">
        <f t="shared" si="2"/>
        <v>0.0</v>
      </c>
      <c r="AM47" s="2744"/>
      <c r="AN47" s="2747"/>
    </row>
    <row r="48" spans="1:40" ht="32.1" hidden="1" customHeight="1" x14ac:dyDescent="0.15">
      <c r="A48" s="3068"/>
      <c r="B48" s="2705" t="s">
        <v>758</v>
      </c>
      <c r="C48" s="2239" t="s">
        <v>759</v>
      </c>
      <c r="D48" s="2705" t="s">
        <v>760</v>
      </c>
      <c r="E48" s="2705"/>
      <c r="F48" s="2705" t="s">
        <v>27</v>
      </c>
      <c r="G48" s="1887" t="s">
        <v>9248</v>
      </c>
      <c r="H48" s="1919" t="s">
        <v>9249</v>
      </c>
      <c r="I48" s="1887" t="str">
        <f t="shared" si="7"/>
        <v>7-DaHall 1-A-3-50-44</v>
      </c>
      <c r="J48" s="1919" t="str">
        <f t="shared" si="8"/>
        <v>7-DaHall 1-B-3-50-44</v>
      </c>
      <c r="K48" s="1889">
        <v>48</v>
      </c>
      <c r="L48" s="1890">
        <v>50</v>
      </c>
      <c r="M48" s="2740" t="s">
        <v>190</v>
      </c>
      <c r="N48" s="1891">
        <v>44</v>
      </c>
      <c r="O48" s="1929">
        <v>48</v>
      </c>
      <c r="P48" s="1930">
        <v>50</v>
      </c>
      <c r="Q48" s="2722" t="s">
        <v>191</v>
      </c>
      <c r="R48" s="1920">
        <v>44</v>
      </c>
      <c r="S48" s="2740" t="s">
        <v>761</v>
      </c>
      <c r="T48" s="2722" t="s">
        <v>762</v>
      </c>
      <c r="U48" s="3066" t="s">
        <v>194</v>
      </c>
      <c r="V48" s="3067" t="s">
        <v>195</v>
      </c>
      <c r="W48" s="3066" t="s">
        <v>452</v>
      </c>
      <c r="X48" s="3067" t="s">
        <v>453</v>
      </c>
      <c r="Y48" s="3066" t="s">
        <v>49</v>
      </c>
      <c r="Z48" s="3067" t="s">
        <v>50</v>
      </c>
      <c r="AA48" s="3066" t="s">
        <v>51</v>
      </c>
      <c r="AB48" s="3067" t="s">
        <v>52</v>
      </c>
      <c r="AC48" s="3066" t="s">
        <v>30</v>
      </c>
      <c r="AD48" s="3067" t="s">
        <v>35</v>
      </c>
      <c r="AE48" s="2244" t="s">
        <v>31</v>
      </c>
      <c r="AF48" s="922" t="s">
        <v>36</v>
      </c>
      <c r="AG48" s="687"/>
      <c r="AH48" s="682"/>
      <c r="AI48" s="2746"/>
      <c r="AJ48" s="3060"/>
      <c r="AK48" s="3061"/>
      <c r="AL48" s="3062" t="n">
        <f t="shared" si="2"/>
        <v>0.0</v>
      </c>
      <c r="AM48" s="2744"/>
      <c r="AN48" s="2747"/>
    </row>
    <row r="49" spans="1:40" ht="40.5" x14ac:dyDescent="0.15">
      <c r="A49" s="3068"/>
      <c r="B49" s="2241" t="s">
        <v>2287</v>
      </c>
      <c r="C49" s="2241"/>
      <c r="D49" s="2241" t="s">
        <v>9250</v>
      </c>
      <c r="E49" s="2705" t="s">
        <v>27</v>
      </c>
      <c r="F49" s="2705"/>
      <c r="G49" s="1907" t="s">
        <v>9251</v>
      </c>
      <c r="H49" s="1915" t="s">
        <v>9252</v>
      </c>
      <c r="I49" s="1907" t="str">
        <f t="shared" si="7"/>
        <v>7-DaHall 1-PDU-01-30-48</v>
      </c>
      <c r="J49" s="1915" t="str">
        <f t="shared" si="8"/>
        <v>7-DaHall 1-PDU-02-30-48</v>
      </c>
      <c r="K49" s="1909">
        <v>220</v>
      </c>
      <c r="L49" s="1910">
        <v>30</v>
      </c>
      <c r="M49" s="709" t="s">
        <v>9177</v>
      </c>
      <c r="N49" s="1911">
        <v>48</v>
      </c>
      <c r="O49" s="1916">
        <v>220</v>
      </c>
      <c r="P49" s="1917">
        <v>30</v>
      </c>
      <c r="Q49" s="693" t="s">
        <v>9178</v>
      </c>
      <c r="R49" s="1918">
        <v>48</v>
      </c>
      <c r="S49" s="709" t="s">
        <v>9253</v>
      </c>
      <c r="T49" s="3078" t="s">
        <v>9254</v>
      </c>
      <c r="U49" s="3079"/>
      <c r="V49" s="3080"/>
      <c r="W49" s="3079"/>
      <c r="X49" s="3080"/>
      <c r="Y49" s="3079"/>
      <c r="Z49" s="3080"/>
      <c r="AA49" s="2699" t="s">
        <v>9255</v>
      </c>
      <c r="AB49" s="2701" t="s">
        <v>174</v>
      </c>
      <c r="AC49" s="2699" t="s">
        <v>111</v>
      </c>
      <c r="AD49" s="2701" t="s">
        <v>112</v>
      </c>
      <c r="AE49" s="2244" t="s">
        <v>31</v>
      </c>
      <c r="AF49" s="922" t="s">
        <v>36</v>
      </c>
      <c r="AG49" s="687" t="n">
        <f>SUM('7층_부하량(월간_AVG)'!N86:P86)</f>
        <v>2.0632905081866024</v>
      </c>
      <c r="AH49" s="682" t="n">
        <f>SUM('7층_부하량(월간_AVG)'!N54:P54)</f>
        <v>2.451338560346663</v>
      </c>
      <c r="AI49" s="1327" t="n">
        <f t="shared" ref="AI49" si="10">AG49+AH49</f>
        <v>4.5146290685332655</v>
      </c>
      <c r="AJ49" s="3056" t="n" cm="1">
        <f t="array" ref="AJ49">INDEX('각층분기별_유효전력량(전월)'!L2:L2000,MATCH(1,("7-DaHall 1-PDU-01"='각층분기별_유효전력량(전월)'!J2:J2000)*("[branch#048] [A] kWh last month"='각층분기별_유효전력량(전월)'!K2:K2000),0))</f>
        <v>529.6</v>
      </c>
      <c r="AK49" s="3057" t="n" cm="1">
        <f t="array" ref="AK49">INDEX('각층분기별_유효전력량(전월)'!L2:L2000,MATCH(1,("7-DaHall 1-PDU-02"='각층분기별_유효전력량(전월)'!J2:J2000)*("[branch#048] [A] kWh last month"='각층분기별_유효전력량(전월)'!K2:K2000),0))</f>
        <v>717.5</v>
      </c>
      <c r="AL49" s="3065" t="n">
        <f t="shared" si="2"/>
        <v>1247.1</v>
      </c>
      <c r="AM49" s="2744" t="s">
        <v>9256</v>
      </c>
      <c r="AN49" s="3081" t="s">
        <v>9257</v>
      </c>
    </row>
    <row r="50" spans="1:40" ht="54" hidden="1" customHeight="1" x14ac:dyDescent="0.15">
      <c r="A50" s="3068"/>
      <c r="B50" s="2705" t="s">
        <v>753</v>
      </c>
      <c r="C50" s="2239" t="s">
        <v>754</v>
      </c>
      <c r="D50" s="2705" t="s">
        <v>755</v>
      </c>
      <c r="E50" s="2705"/>
      <c r="F50" s="2705" t="s">
        <v>27</v>
      </c>
      <c r="G50" s="1887" t="s">
        <v>9258</v>
      </c>
      <c r="H50" s="1919" t="s">
        <v>9259</v>
      </c>
      <c r="I50" s="1887" t="str">
        <f t="shared" si="7"/>
        <v>7-DaHall 1-A-3-50-41</v>
      </c>
      <c r="J50" s="1919" t="str">
        <f t="shared" si="8"/>
        <v>7-DaHall 1-B-3-50-41</v>
      </c>
      <c r="K50" s="1889">
        <v>48</v>
      </c>
      <c r="L50" s="1890">
        <v>50</v>
      </c>
      <c r="M50" s="2740" t="s">
        <v>190</v>
      </c>
      <c r="N50" s="1891">
        <v>41</v>
      </c>
      <c r="O50" s="1929">
        <v>48</v>
      </c>
      <c r="P50" s="1930">
        <v>50</v>
      </c>
      <c r="Q50" s="2722" t="s">
        <v>191</v>
      </c>
      <c r="R50" s="1920">
        <v>41</v>
      </c>
      <c r="S50" s="2740" t="s">
        <v>756</v>
      </c>
      <c r="T50" s="2722" t="s">
        <v>757</v>
      </c>
      <c r="U50" s="2244" t="s">
        <v>194</v>
      </c>
      <c r="V50" s="922" t="s">
        <v>195</v>
      </c>
      <c r="W50" s="2244" t="s">
        <v>452</v>
      </c>
      <c r="X50" s="922" t="s">
        <v>453</v>
      </c>
      <c r="Y50" s="2244" t="s">
        <v>49</v>
      </c>
      <c r="Z50" s="922" t="s">
        <v>50</v>
      </c>
      <c r="AA50" s="2244" t="s">
        <v>51</v>
      </c>
      <c r="AB50" s="922" t="s">
        <v>52</v>
      </c>
      <c r="AC50" s="2244" t="s">
        <v>30</v>
      </c>
      <c r="AD50" s="922" t="s">
        <v>35</v>
      </c>
      <c r="AE50" s="2244" t="s">
        <v>31</v>
      </c>
      <c r="AF50" s="922" t="s">
        <v>36</v>
      </c>
      <c r="AG50" s="687"/>
      <c r="AH50" s="682"/>
      <c r="AI50" s="2746"/>
      <c r="AJ50" s="3060"/>
      <c r="AK50" s="3061"/>
      <c r="AL50" s="3062" t="n">
        <f t="shared" si="2"/>
        <v>0.0</v>
      </c>
      <c r="AM50" s="2744"/>
      <c r="AN50" s="2747"/>
    </row>
    <row r="51" spans="1:40" ht="54" hidden="1" customHeight="1" x14ac:dyDescent="0.15">
      <c r="A51" s="3068"/>
      <c r="B51" s="2705" t="s">
        <v>748</v>
      </c>
      <c r="C51" s="2239" t="s">
        <v>749</v>
      </c>
      <c r="D51" s="2705" t="s">
        <v>750</v>
      </c>
      <c r="E51" s="2705"/>
      <c r="F51" s="2705" t="s">
        <v>27</v>
      </c>
      <c r="G51" s="1887" t="s">
        <v>9260</v>
      </c>
      <c r="H51" s="1919" t="s">
        <v>9261</v>
      </c>
      <c r="I51" s="1887" t="str">
        <f t="shared" si="7"/>
        <v>7-DaHall 1-A-3-50-10</v>
      </c>
      <c r="J51" s="1919" t="str">
        <f t="shared" si="8"/>
        <v>7-DaHall 1-B-3-50-10</v>
      </c>
      <c r="K51" s="1889">
        <v>48</v>
      </c>
      <c r="L51" s="1890">
        <v>50</v>
      </c>
      <c r="M51" s="2740" t="s">
        <v>190</v>
      </c>
      <c r="N51" s="1891">
        <v>10</v>
      </c>
      <c r="O51" s="1929">
        <v>48</v>
      </c>
      <c r="P51" s="1930">
        <v>50</v>
      </c>
      <c r="Q51" s="2722" t="s">
        <v>191</v>
      </c>
      <c r="R51" s="1920">
        <v>10</v>
      </c>
      <c r="S51" s="2740" t="s">
        <v>751</v>
      </c>
      <c r="T51" s="2722" t="s">
        <v>752</v>
      </c>
      <c r="U51" s="2244" t="s">
        <v>194</v>
      </c>
      <c r="V51" s="922" t="s">
        <v>195</v>
      </c>
      <c r="W51" s="2244" t="s">
        <v>452</v>
      </c>
      <c r="X51" s="922" t="s">
        <v>453</v>
      </c>
      <c r="Y51" s="2244" t="s">
        <v>49</v>
      </c>
      <c r="Z51" s="922" t="s">
        <v>50</v>
      </c>
      <c r="AA51" s="2244" t="s">
        <v>51</v>
      </c>
      <c r="AB51" s="922" t="s">
        <v>52</v>
      </c>
      <c r="AC51" s="2244" t="s">
        <v>30</v>
      </c>
      <c r="AD51" s="922" t="s">
        <v>35</v>
      </c>
      <c r="AE51" s="2244" t="s">
        <v>31</v>
      </c>
      <c r="AF51" s="922" t="s">
        <v>36</v>
      </c>
      <c r="AG51" s="687"/>
      <c r="AH51" s="682"/>
      <c r="AI51" s="2746"/>
      <c r="AJ51" s="3060"/>
      <c r="AK51" s="3061"/>
      <c r="AL51" s="3062" t="n">
        <f t="shared" si="2"/>
        <v>0.0</v>
      </c>
      <c r="AM51" s="2744"/>
      <c r="AN51" s="2747"/>
    </row>
    <row r="52" spans="1:40" ht="54" hidden="1" customHeight="1" x14ac:dyDescent="0.15">
      <c r="A52" s="3068"/>
      <c r="B52" s="2705" t="s">
        <v>743</v>
      </c>
      <c r="C52" s="2239" t="s">
        <v>744</v>
      </c>
      <c r="D52" s="2705" t="s">
        <v>745</v>
      </c>
      <c r="E52" s="2705"/>
      <c r="F52" s="2705" t="s">
        <v>27</v>
      </c>
      <c r="G52" s="1887" t="s">
        <v>9262</v>
      </c>
      <c r="H52" s="1919" t="s">
        <v>9263</v>
      </c>
      <c r="I52" s="1887" t="str">
        <f t="shared" si="7"/>
        <v>7-DaHall 1-A-3-50-7</v>
      </c>
      <c r="J52" s="1919" t="str">
        <f t="shared" si="8"/>
        <v>7-DaHall 1-B-3-50-7</v>
      </c>
      <c r="K52" s="1889">
        <v>48</v>
      </c>
      <c r="L52" s="1890">
        <v>50</v>
      </c>
      <c r="M52" s="2740" t="s">
        <v>190</v>
      </c>
      <c r="N52" s="1891">
        <v>7</v>
      </c>
      <c r="O52" s="1929">
        <v>48</v>
      </c>
      <c r="P52" s="1930">
        <v>50</v>
      </c>
      <c r="Q52" s="2722" t="s">
        <v>191</v>
      </c>
      <c r="R52" s="1920">
        <v>7</v>
      </c>
      <c r="S52" s="2740" t="s">
        <v>746</v>
      </c>
      <c r="T52" s="2722" t="s">
        <v>747</v>
      </c>
      <c r="U52" s="2244" t="s">
        <v>194</v>
      </c>
      <c r="V52" s="922" t="s">
        <v>195</v>
      </c>
      <c r="W52" s="2244" t="s">
        <v>452</v>
      </c>
      <c r="X52" s="922" t="s">
        <v>453</v>
      </c>
      <c r="Y52" s="2244" t="s">
        <v>49</v>
      </c>
      <c r="Z52" s="922" t="s">
        <v>50</v>
      </c>
      <c r="AA52" s="2244" t="s">
        <v>51</v>
      </c>
      <c r="AB52" s="922" t="s">
        <v>52</v>
      </c>
      <c r="AC52" s="2244" t="s">
        <v>30</v>
      </c>
      <c r="AD52" s="922" t="s">
        <v>35</v>
      </c>
      <c r="AE52" s="2244" t="s">
        <v>31</v>
      </c>
      <c r="AF52" s="922" t="s">
        <v>36</v>
      </c>
      <c r="AG52" s="687"/>
      <c r="AH52" s="682"/>
      <c r="AI52" s="2746"/>
      <c r="AJ52" s="3060"/>
      <c r="AK52" s="3061"/>
      <c r="AL52" s="3062" t="n">
        <f t="shared" si="2"/>
        <v>0.0</v>
      </c>
      <c r="AM52" s="2744"/>
      <c r="AN52" s="2747"/>
    </row>
    <row r="53" spans="1:40" ht="54" hidden="1" customHeight="1" x14ac:dyDescent="0.15">
      <c r="A53" s="3068"/>
      <c r="B53" s="2705" t="s">
        <v>738</v>
      </c>
      <c r="C53" s="2239" t="s">
        <v>739</v>
      </c>
      <c r="D53" s="2705" t="s">
        <v>740</v>
      </c>
      <c r="E53" s="2705"/>
      <c r="F53" s="2705" t="s">
        <v>27</v>
      </c>
      <c r="G53" s="1887" t="s">
        <v>9264</v>
      </c>
      <c r="H53" s="1919" t="s">
        <v>9265</v>
      </c>
      <c r="I53" s="1887" t="str">
        <f t="shared" si="7"/>
        <v>7-DaHall 1-A-3-50-6</v>
      </c>
      <c r="J53" s="1919" t="str">
        <f t="shared" si="8"/>
        <v>7-DaHall 1-B-3-50-6</v>
      </c>
      <c r="K53" s="1889">
        <v>48</v>
      </c>
      <c r="L53" s="1890">
        <v>50</v>
      </c>
      <c r="M53" s="2740" t="s">
        <v>190</v>
      </c>
      <c r="N53" s="1891">
        <v>6</v>
      </c>
      <c r="O53" s="1929">
        <v>48</v>
      </c>
      <c r="P53" s="1930">
        <v>50</v>
      </c>
      <c r="Q53" s="2722" t="s">
        <v>191</v>
      </c>
      <c r="R53" s="1920">
        <v>6</v>
      </c>
      <c r="S53" s="2740" t="s">
        <v>741</v>
      </c>
      <c r="T53" s="2722" t="s">
        <v>742</v>
      </c>
      <c r="U53" s="2244" t="s">
        <v>194</v>
      </c>
      <c r="V53" s="922" t="s">
        <v>195</v>
      </c>
      <c r="W53" s="2244" t="s">
        <v>452</v>
      </c>
      <c r="X53" s="922" t="s">
        <v>453</v>
      </c>
      <c r="Y53" s="2244" t="s">
        <v>49</v>
      </c>
      <c r="Z53" s="922" t="s">
        <v>50</v>
      </c>
      <c r="AA53" s="2244" t="s">
        <v>51</v>
      </c>
      <c r="AB53" s="922" t="s">
        <v>52</v>
      </c>
      <c r="AC53" s="2244" t="s">
        <v>30</v>
      </c>
      <c r="AD53" s="922" t="s">
        <v>35</v>
      </c>
      <c r="AE53" s="2244" t="s">
        <v>31</v>
      </c>
      <c r="AF53" s="922" t="s">
        <v>36</v>
      </c>
      <c r="AG53" s="687"/>
      <c r="AH53" s="682"/>
      <c r="AI53" s="2746"/>
      <c r="AJ53" s="3060"/>
      <c r="AK53" s="3061"/>
      <c r="AL53" s="3062" t="n">
        <f t="shared" si="2"/>
        <v>0.0</v>
      </c>
      <c r="AM53" s="2744"/>
      <c r="AN53" s="2747"/>
    </row>
    <row r="54" spans="1:40" ht="54" hidden="1" customHeight="1" x14ac:dyDescent="0.15">
      <c r="A54" s="3068"/>
      <c r="B54" s="2705" t="s">
        <v>733</v>
      </c>
      <c r="C54" s="2239" t="s">
        <v>734</v>
      </c>
      <c r="D54" s="2705" t="s">
        <v>735</v>
      </c>
      <c r="E54" s="2705"/>
      <c r="F54" s="2705" t="s">
        <v>27</v>
      </c>
      <c r="G54" s="1887" t="s">
        <v>9266</v>
      </c>
      <c r="H54" s="1919" t="s">
        <v>9267</v>
      </c>
      <c r="I54" s="1887" t="str">
        <f t="shared" si="7"/>
        <v>7-DaHall 1-A-3-50-5</v>
      </c>
      <c r="J54" s="1919" t="str">
        <f t="shared" si="8"/>
        <v>7-DaHall 1-B-3-50-5</v>
      </c>
      <c r="K54" s="1889">
        <v>48</v>
      </c>
      <c r="L54" s="1890">
        <v>50</v>
      </c>
      <c r="M54" s="2740" t="s">
        <v>190</v>
      </c>
      <c r="N54" s="1891">
        <v>5</v>
      </c>
      <c r="O54" s="1929">
        <v>48</v>
      </c>
      <c r="P54" s="1930">
        <v>50</v>
      </c>
      <c r="Q54" s="2722" t="s">
        <v>191</v>
      </c>
      <c r="R54" s="1920">
        <v>5</v>
      </c>
      <c r="S54" s="2740" t="s">
        <v>736</v>
      </c>
      <c r="T54" s="2722" t="s">
        <v>737</v>
      </c>
      <c r="U54" s="2244" t="s">
        <v>194</v>
      </c>
      <c r="V54" s="922" t="s">
        <v>195</v>
      </c>
      <c r="W54" s="2244" t="s">
        <v>452</v>
      </c>
      <c r="X54" s="922" t="s">
        <v>453</v>
      </c>
      <c r="Y54" s="2244" t="s">
        <v>49</v>
      </c>
      <c r="Z54" s="922" t="s">
        <v>50</v>
      </c>
      <c r="AA54" s="2244" t="s">
        <v>51</v>
      </c>
      <c r="AB54" s="922" t="s">
        <v>52</v>
      </c>
      <c r="AC54" s="2244" t="s">
        <v>30</v>
      </c>
      <c r="AD54" s="922" t="s">
        <v>35</v>
      </c>
      <c r="AE54" s="2244" t="s">
        <v>31</v>
      </c>
      <c r="AF54" s="922" t="s">
        <v>36</v>
      </c>
      <c r="AG54" s="687"/>
      <c r="AH54" s="682"/>
      <c r="AI54" s="2746"/>
      <c r="AJ54" s="3060"/>
      <c r="AK54" s="3061"/>
      <c r="AL54" s="3062" t="n">
        <f t="shared" si="2"/>
        <v>0.0</v>
      </c>
      <c r="AM54" s="2744"/>
      <c r="AN54" s="2747"/>
    </row>
    <row r="55" spans="1:40" ht="27" hidden="1" customHeight="1" x14ac:dyDescent="0.15">
      <c r="A55" s="3068"/>
      <c r="B55" s="2705" t="s">
        <v>730</v>
      </c>
      <c r="C55" s="2705"/>
      <c r="D55" s="2705"/>
      <c r="E55" s="2705"/>
      <c r="F55" s="2705" t="s">
        <v>27</v>
      </c>
      <c r="G55" s="1887" t="s">
        <v>9268</v>
      </c>
      <c r="H55" s="1919" t="s">
        <v>9269</v>
      </c>
      <c r="I55" s="1887" t="str">
        <f t="shared" si="7"/>
        <v>7-DaHall 1-A-2-50-48</v>
      </c>
      <c r="J55" s="1919" t="str">
        <f t="shared" si="8"/>
        <v>7-DaHall 1-B-2-50-48</v>
      </c>
      <c r="K55" s="1889">
        <v>48</v>
      </c>
      <c r="L55" s="1890">
        <v>50</v>
      </c>
      <c r="M55" s="2740" t="s">
        <v>41</v>
      </c>
      <c r="N55" s="1891">
        <v>48</v>
      </c>
      <c r="O55" s="1929">
        <v>48</v>
      </c>
      <c r="P55" s="1930">
        <v>50</v>
      </c>
      <c r="Q55" s="2722" t="s">
        <v>42</v>
      </c>
      <c r="R55" s="1920">
        <v>48</v>
      </c>
      <c r="S55" s="2740" t="s">
        <v>731</v>
      </c>
      <c r="T55" s="2722" t="s">
        <v>732</v>
      </c>
      <c r="U55" s="2699" t="s">
        <v>45</v>
      </c>
      <c r="V55" s="2701" t="s">
        <v>46</v>
      </c>
      <c r="W55" s="2244" t="s">
        <v>452</v>
      </c>
      <c r="X55" s="922" t="s">
        <v>453</v>
      </c>
      <c r="Y55" s="2244" t="s">
        <v>49</v>
      </c>
      <c r="Z55" s="922" t="s">
        <v>50</v>
      </c>
      <c r="AA55" s="2244" t="s">
        <v>51</v>
      </c>
      <c r="AB55" s="922" t="s">
        <v>52</v>
      </c>
      <c r="AC55" s="2244" t="s">
        <v>30</v>
      </c>
      <c r="AD55" s="922" t="s">
        <v>35</v>
      </c>
      <c r="AE55" s="2244" t="s">
        <v>31</v>
      </c>
      <c r="AF55" s="922" t="s">
        <v>36</v>
      </c>
      <c r="AG55" s="687"/>
      <c r="AH55" s="682"/>
      <c r="AI55" s="2746"/>
      <c r="AJ55" s="3060"/>
      <c r="AK55" s="3061"/>
      <c r="AL55" s="3062" t="n">
        <f t="shared" si="2"/>
        <v>0.0</v>
      </c>
      <c r="AM55" s="2744" t="s">
        <v>561</v>
      </c>
      <c r="AN55" s="2747"/>
    </row>
    <row r="56" spans="1:40" ht="54" hidden="1" customHeight="1" x14ac:dyDescent="0.15">
      <c r="A56" s="3068"/>
      <c r="B56" s="3146" t="s">
        <v>722</v>
      </c>
      <c r="C56" s="3150"/>
      <c r="D56" s="3150"/>
      <c r="E56" s="2705"/>
      <c r="F56" s="2705" t="s">
        <v>27</v>
      </c>
      <c r="G56" s="1887" t="s">
        <v>9270</v>
      </c>
      <c r="H56" s="1919" t="s">
        <v>9271</v>
      </c>
      <c r="I56" s="1887" t="str">
        <f t="shared" si="7"/>
        <v>7-DaHall 1-A-2-35-47</v>
      </c>
      <c r="J56" s="1919" t="str">
        <f t="shared" si="8"/>
        <v>7-DaHall 1-B-2-35-47</v>
      </c>
      <c r="K56" s="1889">
        <v>48</v>
      </c>
      <c r="L56" s="1890">
        <v>35</v>
      </c>
      <c r="M56" s="2740" t="s">
        <v>41</v>
      </c>
      <c r="N56" s="1891">
        <v>47</v>
      </c>
      <c r="O56" s="1929">
        <v>48</v>
      </c>
      <c r="P56" s="1930">
        <v>35</v>
      </c>
      <c r="Q56" s="2722" t="s">
        <v>42</v>
      </c>
      <c r="R56" s="1920">
        <v>47</v>
      </c>
      <c r="S56" s="2740" t="s">
        <v>723</v>
      </c>
      <c r="T56" s="2722" t="s">
        <v>724</v>
      </c>
      <c r="U56" s="2699" t="s">
        <v>45</v>
      </c>
      <c r="V56" s="2701" t="s">
        <v>46</v>
      </c>
      <c r="W56" s="2699" t="s">
        <v>452</v>
      </c>
      <c r="X56" s="2701" t="s">
        <v>453</v>
      </c>
      <c r="Y56" s="2699" t="s">
        <v>49</v>
      </c>
      <c r="Z56" s="2701" t="s">
        <v>50</v>
      </c>
      <c r="AA56" s="2699" t="s">
        <v>51</v>
      </c>
      <c r="AB56" s="2701" t="s">
        <v>52</v>
      </c>
      <c r="AC56" s="2699" t="s">
        <v>30</v>
      </c>
      <c r="AD56" s="2701" t="s">
        <v>35</v>
      </c>
      <c r="AE56" s="2740" t="s">
        <v>31</v>
      </c>
      <c r="AF56" s="2722" t="s">
        <v>36</v>
      </c>
      <c r="AG56" s="700"/>
      <c r="AH56" s="682"/>
      <c r="AI56" s="2746"/>
      <c r="AJ56" s="3060"/>
      <c r="AK56" s="3061"/>
      <c r="AL56" s="3062" t="n">
        <f t="shared" si="2"/>
        <v>0.0</v>
      </c>
      <c r="AM56" s="2732" t="s">
        <v>725</v>
      </c>
      <c r="AN56" s="2729" t="s">
        <v>726</v>
      </c>
    </row>
    <row r="57" spans="1:40" ht="54" x14ac:dyDescent="0.15">
      <c r="A57" s="3068"/>
      <c r="B57" s="3168"/>
      <c r="C57" s="3170"/>
      <c r="D57" s="3170"/>
      <c r="E57" s="2705" t="s">
        <v>27</v>
      </c>
      <c r="F57" s="2705"/>
      <c r="G57" s="1939"/>
      <c r="H57" s="1933"/>
      <c r="I57" s="1939"/>
      <c r="J57" s="1933"/>
      <c r="K57" s="1940"/>
      <c r="L57" s="959"/>
      <c r="M57" s="959"/>
      <c r="N57" s="1941"/>
      <c r="O57" s="1934"/>
      <c r="P57" s="1924"/>
      <c r="Q57" s="915"/>
      <c r="R57" s="1925"/>
      <c r="S57" s="959" t="s">
        <v>727</v>
      </c>
      <c r="T57" s="915"/>
      <c r="U57" s="739"/>
      <c r="V57" s="739"/>
      <c r="W57" s="739"/>
      <c r="X57" s="739"/>
      <c r="Y57" s="739"/>
      <c r="Z57" s="739"/>
      <c r="AA57" s="739"/>
      <c r="AB57" s="739"/>
      <c r="AC57" s="739"/>
      <c r="AD57" s="739"/>
      <c r="AE57" s="915"/>
      <c r="AF57" s="915"/>
      <c r="AG57" s="968"/>
      <c r="AH57" s="970"/>
      <c r="AI57" s="1338"/>
      <c r="AJ57" s="3074"/>
      <c r="AK57" s="3057"/>
      <c r="AL57" s="3071" t="n">
        <f t="shared" si="2"/>
        <v>0.0</v>
      </c>
      <c r="AM57" s="3082"/>
      <c r="AN57" s="3077"/>
    </row>
    <row r="58" spans="1:40" ht="54" hidden="1" customHeight="1" x14ac:dyDescent="0.15">
      <c r="A58" s="3068"/>
      <c r="B58" s="3147"/>
      <c r="C58" s="3170"/>
      <c r="D58" s="3170"/>
      <c r="E58" s="2705"/>
      <c r="F58" s="2705" t="s">
        <v>27</v>
      </c>
      <c r="G58" s="1887" t="s">
        <v>9272</v>
      </c>
      <c r="H58" s="1919" t="s">
        <v>9273</v>
      </c>
      <c r="I58" s="1887" t="str">
        <f>"7-DaHall 1-"&amp;M58&amp;"-"&amp;L58&amp;"-"&amp;N58</f>
        <v>7-DaHall 1-A-2-35-53</v>
      </c>
      <c r="J58" s="1919" t="str">
        <f>"7-DaHall 1-"&amp;Q58&amp;"-"&amp;P58&amp;"-"&amp;R58</f>
        <v>7-DaHall 1-B-2-35-53</v>
      </c>
      <c r="K58" s="1889">
        <v>48</v>
      </c>
      <c r="L58" s="1890">
        <v>35</v>
      </c>
      <c r="M58" s="2740" t="s">
        <v>41</v>
      </c>
      <c r="N58" s="1891">
        <v>53</v>
      </c>
      <c r="O58" s="1929">
        <v>48</v>
      </c>
      <c r="P58" s="1930">
        <v>35</v>
      </c>
      <c r="Q58" s="2722" t="s">
        <v>42</v>
      </c>
      <c r="R58" s="1920">
        <v>53</v>
      </c>
      <c r="S58" s="2740" t="s">
        <v>728</v>
      </c>
      <c r="T58" s="2722" t="s">
        <v>729</v>
      </c>
      <c r="U58" s="2699" t="s">
        <v>45</v>
      </c>
      <c r="V58" s="2701" t="s">
        <v>46</v>
      </c>
      <c r="W58" s="2699" t="s">
        <v>452</v>
      </c>
      <c r="X58" s="2701" t="s">
        <v>453</v>
      </c>
      <c r="Y58" s="2699" t="s">
        <v>49</v>
      </c>
      <c r="Z58" s="2701" t="s">
        <v>50</v>
      </c>
      <c r="AA58" s="2699" t="s">
        <v>51</v>
      </c>
      <c r="AB58" s="2701" t="s">
        <v>52</v>
      </c>
      <c r="AC58" s="2699" t="s">
        <v>30</v>
      </c>
      <c r="AD58" s="2701" t="s">
        <v>35</v>
      </c>
      <c r="AE58" s="2740" t="s">
        <v>31</v>
      </c>
      <c r="AF58" s="2722" t="s">
        <v>36</v>
      </c>
      <c r="AG58" s="700"/>
      <c r="AH58" s="692"/>
      <c r="AI58" s="2746"/>
      <c r="AJ58" s="3060"/>
      <c r="AK58" s="3061"/>
      <c r="AL58" s="3062" t="n">
        <f t="shared" si="2"/>
        <v>0.0</v>
      </c>
      <c r="AM58" s="2737"/>
      <c r="AN58" s="2731"/>
    </row>
    <row r="59" spans="1:40" ht="54" hidden="1" customHeight="1" x14ac:dyDescent="0.15">
      <c r="A59" s="3068"/>
      <c r="B59" s="3146" t="s">
        <v>718</v>
      </c>
      <c r="C59" s="3146"/>
      <c r="D59" s="3146"/>
      <c r="E59" s="2705"/>
      <c r="F59" s="2705" t="s">
        <v>27</v>
      </c>
      <c r="G59" s="1887" t="s">
        <v>9274</v>
      </c>
      <c r="H59" s="1919" t="s">
        <v>9275</v>
      </c>
      <c r="I59" s="1887" t="str">
        <f>"7-DaHall 1-"&amp;M59&amp;"-"&amp;L59&amp;"-"&amp;N59</f>
        <v>7-DaHall 1-A-2-16-44</v>
      </c>
      <c r="J59" s="1919" t="str">
        <f>"7-DaHall 1-"&amp;Q59&amp;"-"&amp;P59&amp;"-"&amp;R59</f>
        <v>7-DaHall 1-B-2-16-46</v>
      </c>
      <c r="K59" s="1889">
        <v>48</v>
      </c>
      <c r="L59" s="1890">
        <v>16</v>
      </c>
      <c r="M59" s="2740" t="s">
        <v>41</v>
      </c>
      <c r="N59" s="1891">
        <v>44</v>
      </c>
      <c r="O59" s="1929">
        <v>48</v>
      </c>
      <c r="P59" s="1930">
        <v>16</v>
      </c>
      <c r="Q59" s="2722" t="s">
        <v>42</v>
      </c>
      <c r="R59" s="1920">
        <v>46</v>
      </c>
      <c r="S59" s="2740" t="s">
        <v>719</v>
      </c>
      <c r="T59" s="2722" t="s">
        <v>720</v>
      </c>
      <c r="U59" s="2699" t="s">
        <v>45</v>
      </c>
      <c r="V59" s="2701" t="s">
        <v>46</v>
      </c>
      <c r="W59" s="2699" t="s">
        <v>452</v>
      </c>
      <c r="X59" s="2701" t="s">
        <v>453</v>
      </c>
      <c r="Y59" s="2699" t="s">
        <v>49</v>
      </c>
      <c r="Z59" s="2701" t="s">
        <v>50</v>
      </c>
      <c r="AA59" s="2244" t="s">
        <v>51</v>
      </c>
      <c r="AB59" s="2701" t="s">
        <v>52</v>
      </c>
      <c r="AC59" s="2244" t="s">
        <v>30</v>
      </c>
      <c r="AD59" s="2701" t="s">
        <v>35</v>
      </c>
      <c r="AE59" s="2244" t="s">
        <v>31</v>
      </c>
      <c r="AF59" s="2722" t="s">
        <v>36</v>
      </c>
      <c r="AG59" s="687"/>
      <c r="AH59" s="682"/>
      <c r="AI59" s="2746"/>
      <c r="AJ59" s="3060"/>
      <c r="AK59" s="3061"/>
      <c r="AL59" s="3062" t="n">
        <f t="shared" si="2"/>
        <v>0.0</v>
      </c>
      <c r="AM59" s="2732" t="s">
        <v>561</v>
      </c>
      <c r="AN59" s="2747"/>
    </row>
    <row r="60" spans="1:40" ht="54" x14ac:dyDescent="0.15">
      <c r="A60" s="3068"/>
      <c r="B60" s="3147"/>
      <c r="C60" s="3147"/>
      <c r="D60" s="3147"/>
      <c r="E60" s="2705" t="s">
        <v>27</v>
      </c>
      <c r="F60" s="2705"/>
      <c r="G60" s="1939"/>
      <c r="H60" s="1933"/>
      <c r="I60" s="1939"/>
      <c r="J60" s="1933"/>
      <c r="K60" s="1940"/>
      <c r="L60" s="959"/>
      <c r="M60" s="959"/>
      <c r="N60" s="1941"/>
      <c r="O60" s="1934"/>
      <c r="P60" s="1924"/>
      <c r="Q60" s="915"/>
      <c r="R60" s="1925"/>
      <c r="S60" s="959" t="s">
        <v>721</v>
      </c>
      <c r="T60" s="915"/>
      <c r="U60" s="739"/>
      <c r="V60" s="739"/>
      <c r="W60" s="739"/>
      <c r="X60" s="739"/>
      <c r="Y60" s="739"/>
      <c r="Z60" s="739"/>
      <c r="AA60" s="739"/>
      <c r="AB60" s="739"/>
      <c r="AC60" s="739"/>
      <c r="AD60" s="739"/>
      <c r="AE60" s="915"/>
      <c r="AF60" s="915"/>
      <c r="AG60" s="968"/>
      <c r="AH60" s="970"/>
      <c r="AI60" s="1338"/>
      <c r="AJ60" s="3074"/>
      <c r="AK60" s="3057"/>
      <c r="AL60" s="3071" t="n">
        <f t="shared" si="2"/>
        <v>0.0</v>
      </c>
      <c r="AM60" s="3083"/>
      <c r="AN60" s="2729"/>
    </row>
    <row r="61" spans="1:40" ht="24.95" hidden="1" customHeight="1" x14ac:dyDescent="0.15">
      <c r="A61" s="3068"/>
      <c r="B61" s="3146" t="s">
        <v>713</v>
      </c>
      <c r="C61" s="3146"/>
      <c r="D61" s="3171"/>
      <c r="E61" s="2705"/>
      <c r="F61" s="2705" t="s">
        <v>27</v>
      </c>
      <c r="G61" s="1887" t="s">
        <v>9276</v>
      </c>
      <c r="H61" s="1919" t="s">
        <v>9277</v>
      </c>
      <c r="I61" s="1887" t="str">
        <f>"7-DaHall 1-"&amp;M61&amp;"-"&amp;L61&amp;"-"&amp;N61</f>
        <v>7-DaHall 1-A-2-35-58</v>
      </c>
      <c r="J61" s="1919" t="str">
        <f>"7-DaHall 1-"&amp;Q61&amp;"-"&amp;P61&amp;"-"&amp;R61</f>
        <v>7-DaHall 1-B-2-35-58</v>
      </c>
      <c r="K61" s="1889">
        <v>48</v>
      </c>
      <c r="L61" s="1890">
        <v>35</v>
      </c>
      <c r="M61" s="2740" t="s">
        <v>41</v>
      </c>
      <c r="N61" s="1891">
        <v>58</v>
      </c>
      <c r="O61" s="1929">
        <v>48</v>
      </c>
      <c r="P61" s="1930">
        <v>35</v>
      </c>
      <c r="Q61" s="2722" t="s">
        <v>42</v>
      </c>
      <c r="R61" s="1920">
        <v>58</v>
      </c>
      <c r="S61" s="2740" t="s">
        <v>714</v>
      </c>
      <c r="T61" s="2722" t="s">
        <v>715</v>
      </c>
      <c r="U61" s="2244" t="s">
        <v>45</v>
      </c>
      <c r="V61" s="922" t="s">
        <v>46</v>
      </c>
      <c r="W61" s="2244" t="s">
        <v>452</v>
      </c>
      <c r="X61" s="922" t="s">
        <v>453</v>
      </c>
      <c r="Y61" s="2244" t="s">
        <v>49</v>
      </c>
      <c r="Z61" s="922" t="s">
        <v>50</v>
      </c>
      <c r="AA61" s="2244" t="s">
        <v>51</v>
      </c>
      <c r="AB61" s="922" t="s">
        <v>52</v>
      </c>
      <c r="AC61" s="2244" t="s">
        <v>30</v>
      </c>
      <c r="AD61" s="922" t="s">
        <v>35</v>
      </c>
      <c r="AE61" s="2244" t="s">
        <v>31</v>
      </c>
      <c r="AF61" s="922" t="s">
        <v>36</v>
      </c>
      <c r="AG61" s="687"/>
      <c r="AH61" s="682"/>
      <c r="AI61" s="2746"/>
      <c r="AJ61" s="3060"/>
      <c r="AK61" s="3061"/>
      <c r="AL61" s="3062" t="n">
        <f t="shared" si="2"/>
        <v>0.0</v>
      </c>
      <c r="AM61" s="2732" t="s">
        <v>333</v>
      </c>
      <c r="AN61" s="2747"/>
    </row>
    <row r="62" spans="1:40" ht="40.5" x14ac:dyDescent="0.15">
      <c r="A62" s="3068"/>
      <c r="B62" s="3147"/>
      <c r="C62" s="3147"/>
      <c r="D62" s="3147"/>
      <c r="E62" s="2705" t="s">
        <v>27</v>
      </c>
      <c r="F62" s="2705"/>
      <c r="G62" s="1907" t="s">
        <v>9278</v>
      </c>
      <c r="H62" s="1933"/>
      <c r="I62" s="1907" t="str">
        <f>"7-DaHall 1-"&amp;M62&amp;"-"&amp;L62&amp;"-"&amp;N62</f>
        <v>7-DaHall 1-RPP-01-20-7</v>
      </c>
      <c r="J62" s="1933"/>
      <c r="K62" s="1909">
        <v>220</v>
      </c>
      <c r="L62" s="1910">
        <v>20</v>
      </c>
      <c r="M62" s="709" t="s">
        <v>9203</v>
      </c>
      <c r="N62" s="1911">
        <v>7</v>
      </c>
      <c r="O62" s="1934"/>
      <c r="P62" s="1924"/>
      <c r="Q62" s="915"/>
      <c r="R62" s="1925"/>
      <c r="S62" s="709" t="s">
        <v>716</v>
      </c>
      <c r="T62" s="915"/>
      <c r="U62" s="2740" t="s">
        <v>717</v>
      </c>
      <c r="V62" s="916"/>
      <c r="W62" s="2740" t="s">
        <v>468</v>
      </c>
      <c r="X62" s="916"/>
      <c r="Y62" s="2740" t="s">
        <v>469</v>
      </c>
      <c r="Z62" s="916"/>
      <c r="AA62" s="2244" t="s">
        <v>51</v>
      </c>
      <c r="AB62" s="916"/>
      <c r="AC62" s="2244" t="s">
        <v>30</v>
      </c>
      <c r="AD62" s="916"/>
      <c r="AE62" s="2244" t="s">
        <v>31</v>
      </c>
      <c r="AF62" s="915"/>
      <c r="AG62" s="687" t="n">
        <f>SUM('7층_부하량(월간_AVG)'!D9:F9)</f>
        <v>0.0</v>
      </c>
      <c r="AH62" s="941"/>
      <c r="AI62" s="1327" t="n">
        <f>AG62+AH62</f>
        <v>0.0</v>
      </c>
      <c r="AJ62" s="3056" t="n" cm="1">
        <f t="array" ref="AJ62">INDEX('각층분기별_유효전력량(전월)'!L2:L2000,MATCH(1,("7-DaHall 1-RPP-01"='각층분기별_유효전력량(전월)'!J2:J2000)*("[branch#007] [A] kWh last month"='각층분기별_유효전력량(전월)'!K2:K2000),0))</f>
        <v>0.0</v>
      </c>
      <c r="AK62" s="3057"/>
      <c r="AL62" s="3065" t="n">
        <f t="shared" si="2"/>
        <v>0.0</v>
      </c>
      <c r="AM62" s="3083"/>
      <c r="AN62" s="2747"/>
    </row>
    <row r="63" spans="1:40" ht="24.95" hidden="1" customHeight="1" x14ac:dyDescent="0.15">
      <c r="A63" s="3068"/>
      <c r="B63" s="2705" t="s">
        <v>708</v>
      </c>
      <c r="C63" s="2239" t="s">
        <v>709</v>
      </c>
      <c r="D63" s="2705" t="s">
        <v>710</v>
      </c>
      <c r="E63" s="2705"/>
      <c r="F63" s="2705" t="s">
        <v>27</v>
      </c>
      <c r="G63" s="1887" t="s">
        <v>9279</v>
      </c>
      <c r="H63" s="1919" t="s">
        <v>9280</v>
      </c>
      <c r="I63" s="1887" t="str">
        <f>"7-DaHall 1-"&amp;M63&amp;"-"&amp;L63&amp;"-"&amp;N63</f>
        <v>7-DaHall 1-A-2-50-23</v>
      </c>
      <c r="J63" s="1919" t="str">
        <f>"7-DaHall 1-"&amp;Q63&amp;"-"&amp;P63&amp;"-"&amp;R63</f>
        <v>7-DaHall 1-B-2-50-23</v>
      </c>
      <c r="K63" s="1889">
        <v>48</v>
      </c>
      <c r="L63" s="1890">
        <v>50</v>
      </c>
      <c r="M63" s="2740" t="s">
        <v>41</v>
      </c>
      <c r="N63" s="1891">
        <v>23</v>
      </c>
      <c r="O63" s="1929">
        <v>48</v>
      </c>
      <c r="P63" s="1930">
        <v>50</v>
      </c>
      <c r="Q63" s="2722" t="s">
        <v>42</v>
      </c>
      <c r="R63" s="1920">
        <v>23</v>
      </c>
      <c r="S63" s="2740" t="s">
        <v>711</v>
      </c>
      <c r="T63" s="2722" t="s">
        <v>712</v>
      </c>
      <c r="U63" s="2244" t="s">
        <v>45</v>
      </c>
      <c r="V63" s="922" t="s">
        <v>46</v>
      </c>
      <c r="W63" s="2244" t="s">
        <v>452</v>
      </c>
      <c r="X63" s="922" t="s">
        <v>453</v>
      </c>
      <c r="Y63" s="2244" t="s">
        <v>49</v>
      </c>
      <c r="Z63" s="922" t="s">
        <v>50</v>
      </c>
      <c r="AA63" s="2244" t="s">
        <v>51</v>
      </c>
      <c r="AB63" s="922" t="s">
        <v>52</v>
      </c>
      <c r="AC63" s="2244" t="s">
        <v>30</v>
      </c>
      <c r="AD63" s="922" t="s">
        <v>35</v>
      </c>
      <c r="AE63" s="2244" t="s">
        <v>31</v>
      </c>
      <c r="AF63" s="922" t="s">
        <v>36</v>
      </c>
      <c r="AG63" s="687"/>
      <c r="AH63" s="682"/>
      <c r="AI63" s="2746"/>
      <c r="AJ63" s="3060"/>
      <c r="AK63" s="3061"/>
      <c r="AL63" s="3062" t="n">
        <f t="shared" si="2"/>
        <v>0.0</v>
      </c>
      <c r="AM63" s="2744" t="s">
        <v>327</v>
      </c>
      <c r="AN63" s="2747"/>
    </row>
    <row r="64" spans="1:40" ht="24.95" hidden="1" customHeight="1" x14ac:dyDescent="0.15">
      <c r="A64" s="3068"/>
      <c r="B64" s="2705" t="s">
        <v>703</v>
      </c>
      <c r="C64" s="2239" t="s">
        <v>704</v>
      </c>
      <c r="D64" s="2705" t="s">
        <v>705</v>
      </c>
      <c r="E64" s="2705"/>
      <c r="F64" s="2705" t="s">
        <v>27</v>
      </c>
      <c r="G64" s="1887" t="s">
        <v>9281</v>
      </c>
      <c r="H64" s="1919" t="s">
        <v>9282</v>
      </c>
      <c r="I64" s="1887" t="str">
        <f>"7-DaHall 1-"&amp;M64&amp;"-"&amp;L64&amp;"-"&amp;N64</f>
        <v>7-DaHall 1-A-2-50-7</v>
      </c>
      <c r="J64" s="1919" t="str">
        <f>"7-DaHall 1-"&amp;Q64&amp;"-"&amp;P64&amp;"-"&amp;R64</f>
        <v>7-DaHall 1-B-2-50-7</v>
      </c>
      <c r="K64" s="1889">
        <v>48</v>
      </c>
      <c r="L64" s="1890">
        <v>50</v>
      </c>
      <c r="M64" s="2740" t="s">
        <v>41</v>
      </c>
      <c r="N64" s="1891">
        <v>7</v>
      </c>
      <c r="O64" s="1929">
        <v>48</v>
      </c>
      <c r="P64" s="1930">
        <v>50</v>
      </c>
      <c r="Q64" s="2722" t="s">
        <v>42</v>
      </c>
      <c r="R64" s="1920">
        <v>7</v>
      </c>
      <c r="S64" s="2740" t="s">
        <v>706</v>
      </c>
      <c r="T64" s="2722" t="s">
        <v>707</v>
      </c>
      <c r="U64" s="2244" t="s">
        <v>45</v>
      </c>
      <c r="V64" s="922" t="s">
        <v>46</v>
      </c>
      <c r="W64" s="2244" t="s">
        <v>452</v>
      </c>
      <c r="X64" s="922" t="s">
        <v>453</v>
      </c>
      <c r="Y64" s="2244" t="s">
        <v>49</v>
      </c>
      <c r="Z64" s="922" t="s">
        <v>50</v>
      </c>
      <c r="AA64" s="2244" t="s">
        <v>51</v>
      </c>
      <c r="AB64" s="922" t="s">
        <v>52</v>
      </c>
      <c r="AC64" s="2244" t="s">
        <v>30</v>
      </c>
      <c r="AD64" s="922" t="s">
        <v>35</v>
      </c>
      <c r="AE64" s="2244" t="s">
        <v>31</v>
      </c>
      <c r="AF64" s="922" t="s">
        <v>36</v>
      </c>
      <c r="AG64" s="687"/>
      <c r="AH64" s="682"/>
      <c r="AI64" s="2746"/>
      <c r="AJ64" s="3060"/>
      <c r="AK64" s="3061"/>
      <c r="AL64" s="3062" t="n">
        <f t="shared" si="2"/>
        <v>0.0</v>
      </c>
      <c r="AM64" s="2744" t="s">
        <v>333</v>
      </c>
      <c r="AN64" s="2747"/>
    </row>
    <row r="65" spans="1:40" ht="81" x14ac:dyDescent="0.15">
      <c r="A65" s="3068"/>
      <c r="B65" s="2705" t="s">
        <v>699</v>
      </c>
      <c r="C65" s="2239" t="s">
        <v>700</v>
      </c>
      <c r="D65" s="979" t="s">
        <v>701</v>
      </c>
      <c r="E65" s="2705" t="s">
        <v>27</v>
      </c>
      <c r="F65" s="2705"/>
      <c r="G65" s="1921"/>
      <c r="H65" s="1997"/>
      <c r="I65" s="1921"/>
      <c r="J65" s="1997"/>
      <c r="K65" s="1923"/>
      <c r="L65" s="915"/>
      <c r="M65" s="915"/>
      <c r="N65" s="1925"/>
      <c r="O65" s="1998"/>
      <c r="P65" s="1999"/>
      <c r="Q65" s="963"/>
      <c r="R65" s="2000"/>
      <c r="S65" s="915"/>
      <c r="T65" s="963" t="s">
        <v>702</v>
      </c>
      <c r="U65" s="739"/>
      <c r="V65" s="960"/>
      <c r="W65" s="739"/>
      <c r="X65" s="960"/>
      <c r="Y65" s="739"/>
      <c r="Z65" s="960"/>
      <c r="AA65" s="739"/>
      <c r="AB65" s="960"/>
      <c r="AC65" s="739"/>
      <c r="AD65" s="960"/>
      <c r="AE65" s="739"/>
      <c r="AF65" s="959"/>
      <c r="AG65" s="687"/>
      <c r="AH65" s="688"/>
      <c r="AI65" s="1327" t="n">
        <f>AG65+AH65</f>
        <v>0.0</v>
      </c>
      <c r="AJ65" s="3056"/>
      <c r="AK65" s="3057"/>
      <c r="AL65" s="3065" t="n">
        <f t="shared" si="2"/>
        <v>0.0</v>
      </c>
      <c r="AM65" s="2744" t="s">
        <v>554</v>
      </c>
      <c r="AN65" s="2747"/>
    </row>
    <row r="66" spans="1:40" ht="27" hidden="1" customHeight="1" x14ac:dyDescent="0.15">
      <c r="A66" s="3068"/>
      <c r="B66" s="3146" t="s">
        <v>691</v>
      </c>
      <c r="C66" s="3154" t="s">
        <v>692</v>
      </c>
      <c r="D66" s="3146" t="s">
        <v>693</v>
      </c>
      <c r="E66" s="2705"/>
      <c r="F66" s="2705" t="s">
        <v>27</v>
      </c>
      <c r="G66" s="1887" t="s">
        <v>9283</v>
      </c>
      <c r="H66" s="1919" t="s">
        <v>9284</v>
      </c>
      <c r="I66" s="1887" t="str">
        <f>"7-DaHall 1-"&amp;M66&amp;"-"&amp;L66&amp;"-"&amp;N66</f>
        <v>7-DaHall 1-A-2-35-62</v>
      </c>
      <c r="J66" s="1919" t="str">
        <f>"7-DaHall 1-"&amp;Q66&amp;"-"&amp;P66&amp;"-"&amp;R66</f>
        <v>7-DaHall 1-B-2-35-62</v>
      </c>
      <c r="K66" s="1889">
        <v>48</v>
      </c>
      <c r="L66" s="1890">
        <v>35</v>
      </c>
      <c r="M66" s="2740" t="s">
        <v>41</v>
      </c>
      <c r="N66" s="1891">
        <v>62</v>
      </c>
      <c r="O66" s="1929">
        <v>48</v>
      </c>
      <c r="P66" s="1930">
        <v>35</v>
      </c>
      <c r="Q66" s="2722" t="s">
        <v>42</v>
      </c>
      <c r="R66" s="1920">
        <v>62</v>
      </c>
      <c r="S66" s="2740" t="s">
        <v>694</v>
      </c>
      <c r="T66" s="2722" t="s">
        <v>695</v>
      </c>
      <c r="U66" s="2244" t="s">
        <v>45</v>
      </c>
      <c r="V66" s="922" t="s">
        <v>46</v>
      </c>
      <c r="W66" s="2244" t="s">
        <v>452</v>
      </c>
      <c r="X66" s="922" t="s">
        <v>453</v>
      </c>
      <c r="Y66" s="2244" t="s">
        <v>49</v>
      </c>
      <c r="Z66" s="922" t="s">
        <v>50</v>
      </c>
      <c r="AA66" s="2244" t="s">
        <v>51</v>
      </c>
      <c r="AB66" s="922" t="s">
        <v>52</v>
      </c>
      <c r="AC66" s="2244" t="s">
        <v>30</v>
      </c>
      <c r="AD66" s="922" t="s">
        <v>35</v>
      </c>
      <c r="AE66" s="2244" t="s">
        <v>31</v>
      </c>
      <c r="AF66" s="922" t="s">
        <v>36</v>
      </c>
      <c r="AG66" s="700"/>
      <c r="AH66" s="692"/>
      <c r="AI66" s="3144"/>
      <c r="AJ66" s="3060"/>
      <c r="AK66" s="3061"/>
      <c r="AL66" s="3062" t="n">
        <f t="shared" si="2"/>
        <v>0.0</v>
      </c>
      <c r="AM66" s="3084" t="s">
        <v>327</v>
      </c>
      <c r="AN66" s="3075" t="s">
        <v>696</v>
      </c>
    </row>
    <row r="67" spans="1:40" ht="54" hidden="1" customHeight="1" x14ac:dyDescent="0.15">
      <c r="A67" s="3068"/>
      <c r="B67" s="3147"/>
      <c r="C67" s="3155"/>
      <c r="D67" s="3147"/>
      <c r="E67" s="2705"/>
      <c r="F67" s="2705" t="s">
        <v>27</v>
      </c>
      <c r="G67" s="1887" t="s">
        <v>9285</v>
      </c>
      <c r="H67" s="1919" t="s">
        <v>9286</v>
      </c>
      <c r="I67" s="1887" t="str">
        <f>"7-DaHall 1-"&amp;M67&amp;"-"&amp;L67&amp;"-"&amp;N67</f>
        <v>7-DaHall 1-A-2-35-63</v>
      </c>
      <c r="J67" s="1919" t="str">
        <f>"7-DaHall 1-"&amp;Q67&amp;"-"&amp;P67&amp;"-"&amp;R67</f>
        <v>7-DaHall 1-B-2-35-63</v>
      </c>
      <c r="K67" s="1889">
        <v>48</v>
      </c>
      <c r="L67" s="1890">
        <v>35</v>
      </c>
      <c r="M67" s="2740" t="s">
        <v>41</v>
      </c>
      <c r="N67" s="1891">
        <v>63</v>
      </c>
      <c r="O67" s="1929">
        <v>48</v>
      </c>
      <c r="P67" s="1930">
        <v>35</v>
      </c>
      <c r="Q67" s="2722" t="s">
        <v>42</v>
      </c>
      <c r="R67" s="1920">
        <v>63</v>
      </c>
      <c r="S67" s="2740" t="s">
        <v>697</v>
      </c>
      <c r="T67" s="2722" t="s">
        <v>698</v>
      </c>
      <c r="U67" s="2244" t="s">
        <v>45</v>
      </c>
      <c r="V67" s="922" t="s">
        <v>46</v>
      </c>
      <c r="W67" s="2244" t="s">
        <v>452</v>
      </c>
      <c r="X67" s="922" t="s">
        <v>453</v>
      </c>
      <c r="Y67" s="2244" t="s">
        <v>49</v>
      </c>
      <c r="Z67" s="922" t="s">
        <v>50</v>
      </c>
      <c r="AA67" s="2244" t="s">
        <v>51</v>
      </c>
      <c r="AB67" s="922" t="s">
        <v>52</v>
      </c>
      <c r="AC67" s="2244" t="s">
        <v>30</v>
      </c>
      <c r="AD67" s="922" t="s">
        <v>35</v>
      </c>
      <c r="AE67" s="2244" t="s">
        <v>31</v>
      </c>
      <c r="AF67" s="922" t="s">
        <v>36</v>
      </c>
      <c r="AG67" s="700"/>
      <c r="AH67" s="692"/>
      <c r="AI67" s="3145"/>
      <c r="AJ67" s="3060"/>
      <c r="AK67" s="3061"/>
      <c r="AL67" s="3062" t="n">
        <f t="shared" si="2"/>
        <v>0.0</v>
      </c>
      <c r="AM67" s="3083"/>
      <c r="AN67" s="3076"/>
    </row>
    <row r="68" spans="1:40" ht="54" hidden="1" customHeight="1" x14ac:dyDescent="0.15">
      <c r="A68" s="3068"/>
      <c r="B68" s="3146" t="s">
        <v>614</v>
      </c>
      <c r="C68" s="3154" t="s">
        <v>615</v>
      </c>
      <c r="D68" s="3146" t="s">
        <v>616</v>
      </c>
      <c r="E68" s="2705"/>
      <c r="F68" s="2705" t="s">
        <v>27</v>
      </c>
      <c r="G68" s="1887" t="s">
        <v>9287</v>
      </c>
      <c r="H68" s="1919" t="s">
        <v>9288</v>
      </c>
      <c r="I68" s="1887" t="str">
        <f t="shared" ref="I68:I78" si="11">"7-DaHall 1-"&amp;M68&amp;"-"&amp;L68&amp;"-"&amp;N68</f>
        <v>7-DaHall 1-A-3-50-57</v>
      </c>
      <c r="J68" s="1919" t="str">
        <f t="shared" ref="J68:J78" si="12">"7-DaHall 1-"&amp;Q68&amp;"-"&amp;P68&amp;"-"&amp;R68</f>
        <v>7-DaHall 1-B-3-50-57</v>
      </c>
      <c r="K68" s="1889">
        <v>48</v>
      </c>
      <c r="L68" s="1890">
        <v>50</v>
      </c>
      <c r="M68" s="2740" t="s">
        <v>190</v>
      </c>
      <c r="N68" s="1891">
        <v>57</v>
      </c>
      <c r="O68" s="1929">
        <v>48</v>
      </c>
      <c r="P68" s="1930">
        <v>50</v>
      </c>
      <c r="Q68" s="2722" t="s">
        <v>191</v>
      </c>
      <c r="R68" s="1920">
        <v>57</v>
      </c>
      <c r="S68" s="2740" t="s">
        <v>617</v>
      </c>
      <c r="T68" s="2722" t="s">
        <v>618</v>
      </c>
      <c r="U68" s="2244" t="s">
        <v>194</v>
      </c>
      <c r="V68" s="922" t="s">
        <v>195</v>
      </c>
      <c r="W68" s="2244" t="s">
        <v>47</v>
      </c>
      <c r="X68" s="922" t="s">
        <v>48</v>
      </c>
      <c r="Y68" s="2244" t="s">
        <v>49</v>
      </c>
      <c r="Z68" s="922" t="s">
        <v>50</v>
      </c>
      <c r="AA68" s="2244" t="s">
        <v>51</v>
      </c>
      <c r="AB68" s="922" t="s">
        <v>52</v>
      </c>
      <c r="AC68" s="2244" t="s">
        <v>30</v>
      </c>
      <c r="AD68" s="922" t="s">
        <v>35</v>
      </c>
      <c r="AE68" s="2244" t="s">
        <v>31</v>
      </c>
      <c r="AF68" s="922" t="s">
        <v>36</v>
      </c>
      <c r="AG68" s="700"/>
      <c r="AH68" s="692"/>
      <c r="AI68" s="2746"/>
      <c r="AJ68" s="3060"/>
      <c r="AK68" s="3061"/>
      <c r="AL68" s="3062" t="n">
        <f t="shared" si="2"/>
        <v>0.0</v>
      </c>
      <c r="AM68" s="2744"/>
      <c r="AN68" s="3075" t="s">
        <v>602</v>
      </c>
    </row>
    <row r="69" spans="1:40" ht="54" hidden="1" customHeight="1" x14ac:dyDescent="0.15">
      <c r="A69" s="3068"/>
      <c r="B69" s="3147"/>
      <c r="C69" s="3155"/>
      <c r="D69" s="3147"/>
      <c r="E69" s="2705"/>
      <c r="F69" s="2705" t="s">
        <v>27</v>
      </c>
      <c r="G69" s="1887" t="s">
        <v>9289</v>
      </c>
      <c r="H69" s="1919" t="s">
        <v>9290</v>
      </c>
      <c r="I69" s="1887" t="str">
        <f t="shared" si="11"/>
        <v>7-DaHall 1-A-3-50-58</v>
      </c>
      <c r="J69" s="1919" t="str">
        <f t="shared" si="12"/>
        <v>7-DaHall 1-B-3-50-58</v>
      </c>
      <c r="K69" s="1889">
        <v>48</v>
      </c>
      <c r="L69" s="1890">
        <v>50</v>
      </c>
      <c r="M69" s="2740" t="s">
        <v>190</v>
      </c>
      <c r="N69" s="1891">
        <v>58</v>
      </c>
      <c r="O69" s="1929">
        <v>48</v>
      </c>
      <c r="P69" s="1930">
        <v>50</v>
      </c>
      <c r="Q69" s="2722" t="s">
        <v>191</v>
      </c>
      <c r="R69" s="1920">
        <v>58</v>
      </c>
      <c r="S69" s="2740" t="s">
        <v>619</v>
      </c>
      <c r="T69" s="2722" t="s">
        <v>620</v>
      </c>
      <c r="U69" s="2244" t="s">
        <v>194</v>
      </c>
      <c r="V69" s="922" t="s">
        <v>195</v>
      </c>
      <c r="W69" s="2244" t="s">
        <v>47</v>
      </c>
      <c r="X69" s="922" t="s">
        <v>48</v>
      </c>
      <c r="Y69" s="2244" t="s">
        <v>49</v>
      </c>
      <c r="Z69" s="922" t="s">
        <v>50</v>
      </c>
      <c r="AA69" s="2244" t="s">
        <v>51</v>
      </c>
      <c r="AB69" s="922" t="s">
        <v>52</v>
      </c>
      <c r="AC69" s="2244" t="s">
        <v>30</v>
      </c>
      <c r="AD69" s="922" t="s">
        <v>35</v>
      </c>
      <c r="AE69" s="2244" t="s">
        <v>31</v>
      </c>
      <c r="AF69" s="922" t="s">
        <v>36</v>
      </c>
      <c r="AG69" s="700"/>
      <c r="AH69" s="692"/>
      <c r="AI69" s="2746"/>
      <c r="AJ69" s="3060"/>
      <c r="AK69" s="3061"/>
      <c r="AL69" s="3062" t="n">
        <f t="shared" si="2"/>
        <v>0.0</v>
      </c>
      <c r="AM69" s="2744"/>
      <c r="AN69" s="3076"/>
    </row>
    <row r="70" spans="1:40" ht="54" hidden="1" customHeight="1" x14ac:dyDescent="0.15">
      <c r="A70" s="3068"/>
      <c r="B70" s="3146" t="s">
        <v>605</v>
      </c>
      <c r="C70" s="3154" t="s">
        <v>606</v>
      </c>
      <c r="D70" s="3146" t="s">
        <v>607</v>
      </c>
      <c r="E70" s="2705"/>
      <c r="F70" s="2705" t="s">
        <v>27</v>
      </c>
      <c r="G70" s="1887" t="s">
        <v>9291</v>
      </c>
      <c r="H70" s="1919" t="s">
        <v>9292</v>
      </c>
      <c r="I70" s="1887" t="str">
        <f t="shared" si="11"/>
        <v>7-DaHall 1-A-3-100-1</v>
      </c>
      <c r="J70" s="1919" t="str">
        <f t="shared" si="12"/>
        <v>7-DaHall 1-B-3-100-1</v>
      </c>
      <c r="K70" s="1889">
        <v>48</v>
      </c>
      <c r="L70" s="1890">
        <v>100</v>
      </c>
      <c r="M70" s="2740" t="s">
        <v>190</v>
      </c>
      <c r="N70" s="1891">
        <v>1</v>
      </c>
      <c r="O70" s="1929">
        <v>48</v>
      </c>
      <c r="P70" s="1930">
        <v>100</v>
      </c>
      <c r="Q70" s="2722" t="s">
        <v>191</v>
      </c>
      <c r="R70" s="1920">
        <v>1</v>
      </c>
      <c r="S70" s="2740" t="s">
        <v>608</v>
      </c>
      <c r="T70" s="2722" t="s">
        <v>609</v>
      </c>
      <c r="U70" s="2244" t="s">
        <v>194</v>
      </c>
      <c r="V70" s="922" t="s">
        <v>195</v>
      </c>
      <c r="W70" s="2244" t="s">
        <v>47</v>
      </c>
      <c r="X70" s="922" t="s">
        <v>48</v>
      </c>
      <c r="Y70" s="2244" t="s">
        <v>49</v>
      </c>
      <c r="Z70" s="922" t="s">
        <v>50</v>
      </c>
      <c r="AA70" s="2244" t="s">
        <v>51</v>
      </c>
      <c r="AB70" s="922" t="s">
        <v>52</v>
      </c>
      <c r="AC70" s="2244" t="s">
        <v>30</v>
      </c>
      <c r="AD70" s="922" t="s">
        <v>35</v>
      </c>
      <c r="AE70" s="2244" t="s">
        <v>31</v>
      </c>
      <c r="AF70" s="922" t="s">
        <v>36</v>
      </c>
      <c r="AG70" s="700"/>
      <c r="AH70" s="692"/>
      <c r="AI70" s="2746"/>
      <c r="AJ70" s="3060"/>
      <c r="AK70" s="3061"/>
      <c r="AL70" s="3062" t="n">
        <f t="shared" ref="AL70:AL133" si="13">SUBTOTAL(9,AJ70:AK70)</f>
        <v>0.0</v>
      </c>
      <c r="AM70" s="2744"/>
      <c r="AN70" s="3075" t="s">
        <v>263</v>
      </c>
    </row>
    <row r="71" spans="1:40" ht="54" hidden="1" customHeight="1" x14ac:dyDescent="0.15">
      <c r="A71" s="3068"/>
      <c r="B71" s="3168"/>
      <c r="C71" s="3169"/>
      <c r="D71" s="3168"/>
      <c r="E71" s="2705"/>
      <c r="F71" s="2705" t="s">
        <v>27</v>
      </c>
      <c r="G71" s="1887" t="s">
        <v>9293</v>
      </c>
      <c r="H71" s="1919" t="s">
        <v>9294</v>
      </c>
      <c r="I71" s="1887" t="str">
        <f t="shared" si="11"/>
        <v>7-DaHall 1-A-3-100-2</v>
      </c>
      <c r="J71" s="1919" t="str">
        <f t="shared" si="12"/>
        <v>7-DaHall 1-B-3-100-2</v>
      </c>
      <c r="K71" s="1889">
        <v>48</v>
      </c>
      <c r="L71" s="1890">
        <v>100</v>
      </c>
      <c r="M71" s="2740" t="s">
        <v>190</v>
      </c>
      <c r="N71" s="1891">
        <v>2</v>
      </c>
      <c r="O71" s="1929">
        <v>48</v>
      </c>
      <c r="P71" s="1930">
        <v>100</v>
      </c>
      <c r="Q71" s="2722" t="s">
        <v>191</v>
      </c>
      <c r="R71" s="1920">
        <v>2</v>
      </c>
      <c r="S71" s="2740" t="s">
        <v>610</v>
      </c>
      <c r="T71" s="2722" t="s">
        <v>611</v>
      </c>
      <c r="U71" s="2244" t="s">
        <v>194</v>
      </c>
      <c r="V71" s="922" t="s">
        <v>195</v>
      </c>
      <c r="W71" s="2244" t="s">
        <v>47</v>
      </c>
      <c r="X71" s="922" t="s">
        <v>48</v>
      </c>
      <c r="Y71" s="2244" t="s">
        <v>49</v>
      </c>
      <c r="Z71" s="922" t="s">
        <v>50</v>
      </c>
      <c r="AA71" s="2244" t="s">
        <v>51</v>
      </c>
      <c r="AB71" s="922" t="s">
        <v>52</v>
      </c>
      <c r="AC71" s="2244" t="s">
        <v>30</v>
      </c>
      <c r="AD71" s="922" t="s">
        <v>35</v>
      </c>
      <c r="AE71" s="2244" t="s">
        <v>31</v>
      </c>
      <c r="AF71" s="922" t="s">
        <v>36</v>
      </c>
      <c r="AG71" s="700"/>
      <c r="AH71" s="692"/>
      <c r="AI71" s="2746"/>
      <c r="AJ71" s="3060"/>
      <c r="AK71" s="3061"/>
      <c r="AL71" s="3062" t="n">
        <f t="shared" si="13"/>
        <v>0.0</v>
      </c>
      <c r="AM71" s="2744"/>
      <c r="AN71" s="3077"/>
    </row>
    <row r="72" spans="1:40" ht="54" hidden="1" customHeight="1" x14ac:dyDescent="0.15">
      <c r="A72" s="3068"/>
      <c r="B72" s="3147"/>
      <c r="C72" s="3155"/>
      <c r="D72" s="3147"/>
      <c r="E72" s="2705"/>
      <c r="F72" s="2705" t="s">
        <v>27</v>
      </c>
      <c r="G72" s="1887" t="s">
        <v>9295</v>
      </c>
      <c r="H72" s="1919" t="s">
        <v>9296</v>
      </c>
      <c r="I72" s="1887" t="str">
        <f t="shared" si="11"/>
        <v>7-DaHall 1-A-3-50-3</v>
      </c>
      <c r="J72" s="1919" t="str">
        <f t="shared" si="12"/>
        <v>7-DaHall 1-B-3-50-3</v>
      </c>
      <c r="K72" s="1889">
        <v>48</v>
      </c>
      <c r="L72" s="1890">
        <v>50</v>
      </c>
      <c r="M72" s="2740" t="s">
        <v>190</v>
      </c>
      <c r="N72" s="1891">
        <v>3</v>
      </c>
      <c r="O72" s="1929">
        <v>48</v>
      </c>
      <c r="P72" s="1930">
        <v>50</v>
      </c>
      <c r="Q72" s="2722" t="s">
        <v>191</v>
      </c>
      <c r="R72" s="1920">
        <v>3</v>
      </c>
      <c r="S72" s="2740" t="s">
        <v>612</v>
      </c>
      <c r="T72" s="2722" t="s">
        <v>613</v>
      </c>
      <c r="U72" s="2244" t="s">
        <v>194</v>
      </c>
      <c r="V72" s="922" t="s">
        <v>195</v>
      </c>
      <c r="W72" s="2244" t="s">
        <v>47</v>
      </c>
      <c r="X72" s="922" t="s">
        <v>48</v>
      </c>
      <c r="Y72" s="2244" t="s">
        <v>49</v>
      </c>
      <c r="Z72" s="922" t="s">
        <v>50</v>
      </c>
      <c r="AA72" s="2244" t="s">
        <v>51</v>
      </c>
      <c r="AB72" s="922" t="s">
        <v>52</v>
      </c>
      <c r="AC72" s="2244" t="s">
        <v>30</v>
      </c>
      <c r="AD72" s="922" t="s">
        <v>35</v>
      </c>
      <c r="AE72" s="2244" t="s">
        <v>31</v>
      </c>
      <c r="AF72" s="922" t="s">
        <v>36</v>
      </c>
      <c r="AG72" s="700"/>
      <c r="AH72" s="692"/>
      <c r="AI72" s="2746"/>
      <c r="AJ72" s="3060"/>
      <c r="AK72" s="3061"/>
      <c r="AL72" s="3062" t="n">
        <f t="shared" si="13"/>
        <v>0.0</v>
      </c>
      <c r="AM72" s="2744"/>
      <c r="AN72" s="3076"/>
    </row>
    <row r="73" spans="1:40" ht="54" hidden="1" customHeight="1" x14ac:dyDescent="0.15">
      <c r="A73" s="3068"/>
      <c r="B73" s="3146" t="s">
        <v>597</v>
      </c>
      <c r="C73" s="3154" t="s">
        <v>598</v>
      </c>
      <c r="D73" s="3146" t="s">
        <v>599</v>
      </c>
      <c r="E73" s="2705"/>
      <c r="F73" s="2705" t="s">
        <v>27</v>
      </c>
      <c r="G73" s="1887" t="s">
        <v>9297</v>
      </c>
      <c r="H73" s="1919" t="s">
        <v>9298</v>
      </c>
      <c r="I73" s="1887" t="str">
        <f t="shared" si="11"/>
        <v>7-DaHall 1-A-3-50-42</v>
      </c>
      <c r="J73" s="1919" t="str">
        <f t="shared" si="12"/>
        <v>7-DaHall 1-B-3-50-42</v>
      </c>
      <c r="K73" s="1889">
        <v>48</v>
      </c>
      <c r="L73" s="1890">
        <v>50</v>
      </c>
      <c r="M73" s="2740" t="s">
        <v>190</v>
      </c>
      <c r="N73" s="1891">
        <v>42</v>
      </c>
      <c r="O73" s="1929">
        <v>48</v>
      </c>
      <c r="P73" s="1930">
        <v>50</v>
      </c>
      <c r="Q73" s="2722" t="s">
        <v>191</v>
      </c>
      <c r="R73" s="1920">
        <v>42</v>
      </c>
      <c r="S73" s="2740" t="s">
        <v>600</v>
      </c>
      <c r="T73" s="2722" t="s">
        <v>601</v>
      </c>
      <c r="U73" s="2244" t="s">
        <v>194</v>
      </c>
      <c r="V73" s="922" t="s">
        <v>195</v>
      </c>
      <c r="W73" s="2244" t="s">
        <v>47</v>
      </c>
      <c r="X73" s="922" t="s">
        <v>48</v>
      </c>
      <c r="Y73" s="2244" t="s">
        <v>49</v>
      </c>
      <c r="Z73" s="922" t="s">
        <v>50</v>
      </c>
      <c r="AA73" s="2244" t="s">
        <v>51</v>
      </c>
      <c r="AB73" s="922" t="s">
        <v>52</v>
      </c>
      <c r="AC73" s="2244" t="s">
        <v>30</v>
      </c>
      <c r="AD73" s="922" t="s">
        <v>35</v>
      </c>
      <c r="AE73" s="2244" t="s">
        <v>31</v>
      </c>
      <c r="AF73" s="922" t="s">
        <v>36</v>
      </c>
      <c r="AG73" s="700"/>
      <c r="AH73" s="692"/>
      <c r="AI73" s="2746"/>
      <c r="AJ73" s="3060"/>
      <c r="AK73" s="3061"/>
      <c r="AL73" s="3062" t="n">
        <f t="shared" si="13"/>
        <v>0.0</v>
      </c>
      <c r="AM73" s="2744"/>
      <c r="AN73" s="3075" t="s">
        <v>602</v>
      </c>
    </row>
    <row r="74" spans="1:40" ht="54" hidden="1" customHeight="1" x14ac:dyDescent="0.15">
      <c r="A74" s="3068"/>
      <c r="B74" s="3147"/>
      <c r="C74" s="3155"/>
      <c r="D74" s="3147"/>
      <c r="E74" s="2705"/>
      <c r="F74" s="2705" t="s">
        <v>27</v>
      </c>
      <c r="G74" s="1887" t="s">
        <v>9299</v>
      </c>
      <c r="H74" s="1919" t="s">
        <v>9300</v>
      </c>
      <c r="I74" s="1887" t="str">
        <f t="shared" si="11"/>
        <v>7-DaHall 1-A-3-50-43</v>
      </c>
      <c r="J74" s="1919" t="str">
        <f t="shared" si="12"/>
        <v>7-DaHall 1-B-3-50-43</v>
      </c>
      <c r="K74" s="1889">
        <v>48</v>
      </c>
      <c r="L74" s="1890">
        <v>50</v>
      </c>
      <c r="M74" s="2740" t="s">
        <v>190</v>
      </c>
      <c r="N74" s="1891">
        <v>43</v>
      </c>
      <c r="O74" s="1929">
        <v>48</v>
      </c>
      <c r="P74" s="1930">
        <v>50</v>
      </c>
      <c r="Q74" s="2722" t="s">
        <v>191</v>
      </c>
      <c r="R74" s="1920">
        <v>43</v>
      </c>
      <c r="S74" s="2740" t="s">
        <v>603</v>
      </c>
      <c r="T74" s="2722" t="s">
        <v>604</v>
      </c>
      <c r="U74" s="2244" t="s">
        <v>194</v>
      </c>
      <c r="V74" s="922" t="s">
        <v>195</v>
      </c>
      <c r="W74" s="2244" t="s">
        <v>47</v>
      </c>
      <c r="X74" s="922" t="s">
        <v>48</v>
      </c>
      <c r="Y74" s="2244" t="s">
        <v>49</v>
      </c>
      <c r="Z74" s="922" t="s">
        <v>50</v>
      </c>
      <c r="AA74" s="2244" t="s">
        <v>51</v>
      </c>
      <c r="AB74" s="922" t="s">
        <v>52</v>
      </c>
      <c r="AC74" s="2244" t="s">
        <v>30</v>
      </c>
      <c r="AD74" s="922" t="s">
        <v>35</v>
      </c>
      <c r="AE74" s="2244" t="s">
        <v>31</v>
      </c>
      <c r="AF74" s="922" t="s">
        <v>36</v>
      </c>
      <c r="AG74" s="700"/>
      <c r="AH74" s="692"/>
      <c r="AI74" s="2746"/>
      <c r="AJ74" s="3060"/>
      <c r="AK74" s="3061"/>
      <c r="AL74" s="3062" t="n">
        <f t="shared" si="13"/>
        <v>0.0</v>
      </c>
      <c r="AM74" s="2744"/>
      <c r="AN74" s="3076"/>
    </row>
    <row r="75" spans="1:40" ht="54" hidden="1" customHeight="1" x14ac:dyDescent="0.15">
      <c r="A75" s="3068"/>
      <c r="B75" s="2705" t="s">
        <v>592</v>
      </c>
      <c r="C75" s="2239" t="s">
        <v>593</v>
      </c>
      <c r="D75" s="2705" t="s">
        <v>594</v>
      </c>
      <c r="E75" s="2705"/>
      <c r="F75" s="2705" t="s">
        <v>27</v>
      </c>
      <c r="G75" s="1887" t="s">
        <v>9301</v>
      </c>
      <c r="H75" s="1919" t="s">
        <v>9302</v>
      </c>
      <c r="I75" s="1887" t="str">
        <f t="shared" si="11"/>
        <v>7-DaHall 1-A-3-50-27</v>
      </c>
      <c r="J75" s="1919" t="str">
        <f t="shared" si="12"/>
        <v>7-DaHall 1-B-3-50-27</v>
      </c>
      <c r="K75" s="1889">
        <v>48</v>
      </c>
      <c r="L75" s="1890">
        <v>50</v>
      </c>
      <c r="M75" s="2740" t="s">
        <v>190</v>
      </c>
      <c r="N75" s="1891">
        <v>27</v>
      </c>
      <c r="O75" s="1929">
        <v>48</v>
      </c>
      <c r="P75" s="1930">
        <v>50</v>
      </c>
      <c r="Q75" s="2722" t="s">
        <v>191</v>
      </c>
      <c r="R75" s="1920">
        <v>27</v>
      </c>
      <c r="S75" s="2740" t="s">
        <v>595</v>
      </c>
      <c r="T75" s="2722" t="s">
        <v>596</v>
      </c>
      <c r="U75" s="2244" t="s">
        <v>194</v>
      </c>
      <c r="V75" s="922" t="s">
        <v>195</v>
      </c>
      <c r="W75" s="2244" t="s">
        <v>47</v>
      </c>
      <c r="X75" s="922" t="s">
        <v>48</v>
      </c>
      <c r="Y75" s="2244" t="s">
        <v>49</v>
      </c>
      <c r="Z75" s="922" t="s">
        <v>50</v>
      </c>
      <c r="AA75" s="2244" t="s">
        <v>51</v>
      </c>
      <c r="AB75" s="922" t="s">
        <v>52</v>
      </c>
      <c r="AC75" s="2244" t="s">
        <v>30</v>
      </c>
      <c r="AD75" s="922" t="s">
        <v>35</v>
      </c>
      <c r="AE75" s="2244" t="s">
        <v>31</v>
      </c>
      <c r="AF75" s="922" t="s">
        <v>36</v>
      </c>
      <c r="AG75" s="687"/>
      <c r="AH75" s="682"/>
      <c r="AI75" s="2746"/>
      <c r="AJ75" s="3060"/>
      <c r="AK75" s="3061"/>
      <c r="AL75" s="3062" t="n">
        <f t="shared" si="13"/>
        <v>0.0</v>
      </c>
      <c r="AM75" s="2744"/>
      <c r="AN75" s="2747"/>
    </row>
    <row r="76" spans="1:40" ht="54" hidden="1" customHeight="1" x14ac:dyDescent="0.15">
      <c r="A76" s="3068"/>
      <c r="B76" s="2705" t="s">
        <v>587</v>
      </c>
      <c r="C76" s="2239" t="s">
        <v>588</v>
      </c>
      <c r="D76" s="2705" t="s">
        <v>589</v>
      </c>
      <c r="E76" s="2705"/>
      <c r="F76" s="2705" t="s">
        <v>27</v>
      </c>
      <c r="G76" s="1887" t="s">
        <v>9303</v>
      </c>
      <c r="H76" s="1919" t="s">
        <v>9304</v>
      </c>
      <c r="I76" s="1887" t="str">
        <f t="shared" si="11"/>
        <v>7-DaHall 1-A-3-50-26</v>
      </c>
      <c r="J76" s="1919" t="str">
        <f t="shared" si="12"/>
        <v>7-DaHall 1-B-3-50-26</v>
      </c>
      <c r="K76" s="1889">
        <v>48</v>
      </c>
      <c r="L76" s="1890">
        <v>50</v>
      </c>
      <c r="M76" s="2740" t="s">
        <v>190</v>
      </c>
      <c r="N76" s="1891">
        <v>26</v>
      </c>
      <c r="O76" s="1929">
        <v>48</v>
      </c>
      <c r="P76" s="1930">
        <v>50</v>
      </c>
      <c r="Q76" s="2722" t="s">
        <v>191</v>
      </c>
      <c r="R76" s="1920">
        <v>26</v>
      </c>
      <c r="S76" s="2740" t="s">
        <v>590</v>
      </c>
      <c r="T76" s="2722" t="s">
        <v>591</v>
      </c>
      <c r="U76" s="2244" t="s">
        <v>194</v>
      </c>
      <c r="V76" s="922" t="s">
        <v>195</v>
      </c>
      <c r="W76" s="2244" t="s">
        <v>47</v>
      </c>
      <c r="X76" s="922" t="s">
        <v>48</v>
      </c>
      <c r="Y76" s="2244" t="s">
        <v>49</v>
      </c>
      <c r="Z76" s="922" t="s">
        <v>50</v>
      </c>
      <c r="AA76" s="2244" t="s">
        <v>51</v>
      </c>
      <c r="AB76" s="922" t="s">
        <v>52</v>
      </c>
      <c r="AC76" s="2244" t="s">
        <v>30</v>
      </c>
      <c r="AD76" s="922" t="s">
        <v>35</v>
      </c>
      <c r="AE76" s="2244" t="s">
        <v>31</v>
      </c>
      <c r="AF76" s="922" t="s">
        <v>36</v>
      </c>
      <c r="AG76" s="687"/>
      <c r="AH76" s="682"/>
      <c r="AI76" s="2746"/>
      <c r="AJ76" s="3060"/>
      <c r="AK76" s="3061"/>
      <c r="AL76" s="3062" t="n">
        <f t="shared" si="13"/>
        <v>0.0</v>
      </c>
      <c r="AM76" s="2744"/>
      <c r="AN76" s="2747"/>
    </row>
    <row r="77" spans="1:40" ht="27" hidden="1" customHeight="1" x14ac:dyDescent="0.15">
      <c r="A77" s="3068"/>
      <c r="B77" s="2705" t="s">
        <v>582</v>
      </c>
      <c r="C77" s="2239" t="s">
        <v>583</v>
      </c>
      <c r="D77" s="2705" t="s">
        <v>584</v>
      </c>
      <c r="E77" s="2705"/>
      <c r="F77" s="2705" t="s">
        <v>27</v>
      </c>
      <c r="G77" s="1887" t="s">
        <v>9305</v>
      </c>
      <c r="H77" s="1919" t="s">
        <v>9306</v>
      </c>
      <c r="I77" s="1887" t="str">
        <f t="shared" si="11"/>
        <v>7-DaHall 1-A-3-35-53</v>
      </c>
      <c r="J77" s="1919" t="str">
        <f t="shared" si="12"/>
        <v>7-DaHall 1-B-3-35-52</v>
      </c>
      <c r="K77" s="1889">
        <v>48</v>
      </c>
      <c r="L77" s="1890">
        <v>35</v>
      </c>
      <c r="M77" s="2740" t="s">
        <v>190</v>
      </c>
      <c r="N77" s="1891">
        <v>53</v>
      </c>
      <c r="O77" s="1929">
        <v>48</v>
      </c>
      <c r="P77" s="1930">
        <v>35</v>
      </c>
      <c r="Q77" s="2722" t="s">
        <v>191</v>
      </c>
      <c r="R77" s="1920">
        <v>52</v>
      </c>
      <c r="S77" s="2740" t="s">
        <v>585</v>
      </c>
      <c r="T77" s="2722" t="s">
        <v>586</v>
      </c>
      <c r="U77" s="2244" t="s">
        <v>194</v>
      </c>
      <c r="V77" s="922" t="s">
        <v>195</v>
      </c>
      <c r="W77" s="2244" t="s">
        <v>47</v>
      </c>
      <c r="X77" s="922" t="s">
        <v>48</v>
      </c>
      <c r="Y77" s="2244" t="s">
        <v>49</v>
      </c>
      <c r="Z77" s="922" t="s">
        <v>50</v>
      </c>
      <c r="AA77" s="2244" t="s">
        <v>51</v>
      </c>
      <c r="AB77" s="922" t="s">
        <v>52</v>
      </c>
      <c r="AC77" s="2244" t="s">
        <v>30</v>
      </c>
      <c r="AD77" s="922" t="s">
        <v>35</v>
      </c>
      <c r="AE77" s="2244" t="s">
        <v>31</v>
      </c>
      <c r="AF77" s="922" t="s">
        <v>36</v>
      </c>
      <c r="AG77" s="687"/>
      <c r="AH77" s="682"/>
      <c r="AI77" s="2746"/>
      <c r="AJ77" s="3060"/>
      <c r="AK77" s="3061"/>
      <c r="AL77" s="3062" t="n">
        <f t="shared" si="13"/>
        <v>0.0</v>
      </c>
      <c r="AM77" s="2744"/>
      <c r="AN77" s="2747"/>
    </row>
    <row r="78" spans="1:40" ht="39.950000000000003" hidden="1" customHeight="1" x14ac:dyDescent="0.15">
      <c r="A78" s="3068"/>
      <c r="B78" s="3146" t="s">
        <v>575</v>
      </c>
      <c r="C78" s="3158" t="s">
        <v>576</v>
      </c>
      <c r="D78" s="3160" t="s">
        <v>577</v>
      </c>
      <c r="E78" s="2738"/>
      <c r="F78" s="2738" t="s">
        <v>27</v>
      </c>
      <c r="G78" s="1887" t="s">
        <v>9307</v>
      </c>
      <c r="H78" s="1919" t="s">
        <v>9308</v>
      </c>
      <c r="I78" s="1887" t="str">
        <f t="shared" si="11"/>
        <v>7-DaHall 1-A-2-35-52</v>
      </c>
      <c r="J78" s="1919" t="str">
        <f t="shared" si="12"/>
        <v>7-DaHall 1-B-2-35-52</v>
      </c>
      <c r="K78" s="1889">
        <v>48</v>
      </c>
      <c r="L78" s="1890">
        <v>35</v>
      </c>
      <c r="M78" s="2740" t="s">
        <v>41</v>
      </c>
      <c r="N78" s="1891">
        <v>52</v>
      </c>
      <c r="O78" s="1929">
        <v>48</v>
      </c>
      <c r="P78" s="1930">
        <v>35</v>
      </c>
      <c r="Q78" s="2722" t="s">
        <v>42</v>
      </c>
      <c r="R78" s="1920">
        <v>52</v>
      </c>
      <c r="S78" s="2740" t="s">
        <v>578</v>
      </c>
      <c r="T78" s="2722" t="s">
        <v>579</v>
      </c>
      <c r="U78" s="2244" t="s">
        <v>45</v>
      </c>
      <c r="V78" s="922" t="s">
        <v>46</v>
      </c>
      <c r="W78" s="2244" t="s">
        <v>452</v>
      </c>
      <c r="X78" s="922" t="s">
        <v>453</v>
      </c>
      <c r="Y78" s="2244" t="s">
        <v>49</v>
      </c>
      <c r="Z78" s="922" t="s">
        <v>50</v>
      </c>
      <c r="AA78" s="2244" t="s">
        <v>51</v>
      </c>
      <c r="AB78" s="922" t="s">
        <v>52</v>
      </c>
      <c r="AC78" s="2244" t="s">
        <v>30</v>
      </c>
      <c r="AD78" s="922" t="s">
        <v>35</v>
      </c>
      <c r="AE78" s="2244" t="s">
        <v>31</v>
      </c>
      <c r="AF78" s="922" t="s">
        <v>36</v>
      </c>
      <c r="AG78" s="687"/>
      <c r="AH78" s="682"/>
      <c r="AI78" s="2746"/>
      <c r="AJ78" s="3060"/>
      <c r="AK78" s="3061"/>
      <c r="AL78" s="3062" t="n">
        <f t="shared" si="13"/>
        <v>0.0</v>
      </c>
      <c r="AM78" s="2732" t="s">
        <v>333</v>
      </c>
      <c r="AN78" s="2747"/>
    </row>
    <row r="79" spans="1:40" ht="28.5" customHeight="1" x14ac:dyDescent="0.15">
      <c r="A79" s="3068"/>
      <c r="B79" s="3147"/>
      <c r="C79" s="3159"/>
      <c r="D79" s="3161"/>
      <c r="E79" s="2738" t="s">
        <v>27</v>
      </c>
      <c r="F79" s="2738"/>
      <c r="G79" s="3162"/>
      <c r="H79" s="3163"/>
      <c r="I79" s="3164"/>
      <c r="J79" s="3165"/>
      <c r="K79" s="1973"/>
      <c r="L79" s="1974"/>
      <c r="M79" s="1974"/>
      <c r="N79" s="1975"/>
      <c r="O79" s="1976"/>
      <c r="P79" s="1977"/>
      <c r="Q79" s="1974"/>
      <c r="R79" s="1975"/>
      <c r="S79" s="3166" t="s">
        <v>580</v>
      </c>
      <c r="T79" s="3167"/>
      <c r="U79" s="960"/>
      <c r="V79" s="960"/>
      <c r="W79" s="960"/>
      <c r="X79" s="960"/>
      <c r="Y79" s="960"/>
      <c r="Z79" s="960"/>
      <c r="AA79" s="960"/>
      <c r="AB79" s="960"/>
      <c r="AC79" s="960"/>
      <c r="AD79" s="960"/>
      <c r="AE79" s="959"/>
      <c r="AF79" s="959"/>
      <c r="AG79" s="687"/>
      <c r="AH79" s="688"/>
      <c r="AI79" s="1327" t="n">
        <f t="shared" ref="AI79" si="14">AG79+AH79</f>
        <v>0.0</v>
      </c>
      <c r="AJ79" s="3056"/>
      <c r="AK79" s="3057"/>
      <c r="AL79" s="3065" t="n">
        <f t="shared" si="13"/>
        <v>0.0</v>
      </c>
      <c r="AM79" s="3083"/>
      <c r="AN79" s="695" t="s">
        <v>581</v>
      </c>
    </row>
    <row r="80" spans="1:40" ht="39.950000000000003" hidden="1" customHeight="1" x14ac:dyDescent="0.15">
      <c r="A80" s="3068"/>
      <c r="B80" s="2705" t="s">
        <v>570</v>
      </c>
      <c r="C80" s="2239" t="s">
        <v>571</v>
      </c>
      <c r="D80" s="2705" t="s">
        <v>572</v>
      </c>
      <c r="E80" s="2705"/>
      <c r="F80" s="2705" t="s">
        <v>27</v>
      </c>
      <c r="G80" s="1887" t="s">
        <v>9309</v>
      </c>
      <c r="H80" s="1919" t="s">
        <v>9310</v>
      </c>
      <c r="I80" s="1887" t="str">
        <f>"7-DaHall 1-"&amp;M80&amp;"-"&amp;L80&amp;"-"&amp;N80</f>
        <v>7-DaHall 1-A-2-35-49</v>
      </c>
      <c r="J80" s="1919" t="str">
        <f>"7-DaHall 1-"&amp;Q80&amp;"-"&amp;P80&amp;"-"&amp;R80</f>
        <v>7-DaHall 1-B-2-35-49</v>
      </c>
      <c r="K80" s="1889">
        <v>48</v>
      </c>
      <c r="L80" s="1890">
        <v>35</v>
      </c>
      <c r="M80" s="2740" t="s">
        <v>41</v>
      </c>
      <c r="N80" s="1891">
        <v>49</v>
      </c>
      <c r="O80" s="1929">
        <v>48</v>
      </c>
      <c r="P80" s="1930">
        <v>35</v>
      </c>
      <c r="Q80" s="2722" t="s">
        <v>42</v>
      </c>
      <c r="R80" s="1920">
        <v>49</v>
      </c>
      <c r="S80" s="2740" t="s">
        <v>573</v>
      </c>
      <c r="T80" s="2722" t="s">
        <v>574</v>
      </c>
      <c r="U80" s="2244" t="s">
        <v>45</v>
      </c>
      <c r="V80" s="922" t="s">
        <v>46</v>
      </c>
      <c r="W80" s="2244" t="s">
        <v>452</v>
      </c>
      <c r="X80" s="922" t="s">
        <v>453</v>
      </c>
      <c r="Y80" s="2244" t="s">
        <v>49</v>
      </c>
      <c r="Z80" s="922" t="s">
        <v>50</v>
      </c>
      <c r="AA80" s="2244" t="s">
        <v>51</v>
      </c>
      <c r="AB80" s="922" t="s">
        <v>52</v>
      </c>
      <c r="AC80" s="2244" t="s">
        <v>30</v>
      </c>
      <c r="AD80" s="922" t="s">
        <v>35</v>
      </c>
      <c r="AE80" s="2244" t="s">
        <v>31</v>
      </c>
      <c r="AF80" s="922" t="s">
        <v>36</v>
      </c>
      <c r="AG80" s="687"/>
      <c r="AH80" s="682"/>
      <c r="AI80" s="2746"/>
      <c r="AJ80" s="3060"/>
      <c r="AK80" s="3061"/>
      <c r="AL80" s="3062" t="n">
        <f t="shared" si="13"/>
        <v>0.0</v>
      </c>
      <c r="AM80" s="2744" t="s">
        <v>333</v>
      </c>
      <c r="AN80" s="2747"/>
    </row>
    <row r="81" spans="1:40" ht="13.5" hidden="1" customHeight="1" x14ac:dyDescent="0.15">
      <c r="A81" s="3068"/>
      <c r="B81" s="2705" t="s">
        <v>567</v>
      </c>
      <c r="C81" s="1182" t="s">
        <v>568</v>
      </c>
      <c r="D81" s="2705" t="s">
        <v>569</v>
      </c>
      <c r="E81" s="2705" t="s">
        <v>565</v>
      </c>
      <c r="F81" s="2705" t="s">
        <v>565</v>
      </c>
      <c r="G81" s="1967"/>
      <c r="H81" s="1968"/>
      <c r="I81" s="1967"/>
      <c r="J81" s="1968"/>
      <c r="K81" s="1969"/>
      <c r="L81" s="930"/>
      <c r="M81" s="930"/>
      <c r="N81" s="1970"/>
      <c r="O81" s="1971"/>
      <c r="P81" s="1972"/>
      <c r="Q81" s="930"/>
      <c r="R81" s="1970"/>
      <c r="S81" s="930"/>
      <c r="T81" s="930"/>
      <c r="U81" s="937"/>
      <c r="V81" s="937"/>
      <c r="W81" s="937"/>
      <c r="X81" s="937"/>
      <c r="Y81" s="937"/>
      <c r="Z81" s="937"/>
      <c r="AA81" s="937"/>
      <c r="AB81" s="937"/>
      <c r="AC81" s="937"/>
      <c r="AD81" s="937"/>
      <c r="AE81" s="930"/>
      <c r="AF81" s="930"/>
      <c r="AG81" s="977"/>
      <c r="AH81" s="978"/>
      <c r="AI81" s="1341"/>
      <c r="AJ81" s="3069"/>
      <c r="AK81" s="3070"/>
      <c r="AL81" s="3071" t="n">
        <f t="shared" si="13"/>
        <v>0.0</v>
      </c>
      <c r="AM81" s="2744" t="s">
        <v>566</v>
      </c>
      <c r="AN81" s="2747"/>
    </row>
    <row r="82" spans="1:40" ht="13.5" hidden="1" customHeight="1" x14ac:dyDescent="0.15">
      <c r="A82" s="3068"/>
      <c r="B82" s="2705" t="s">
        <v>562</v>
      </c>
      <c r="C82" s="1182" t="s">
        <v>563</v>
      </c>
      <c r="D82" s="2705" t="s">
        <v>564</v>
      </c>
      <c r="E82" s="2705" t="s">
        <v>565</v>
      </c>
      <c r="F82" s="2705" t="s">
        <v>565</v>
      </c>
      <c r="G82" s="1967"/>
      <c r="H82" s="1968"/>
      <c r="I82" s="1967"/>
      <c r="J82" s="1968"/>
      <c r="K82" s="1969"/>
      <c r="L82" s="930"/>
      <c r="M82" s="930"/>
      <c r="N82" s="1970"/>
      <c r="O82" s="1971"/>
      <c r="P82" s="1972"/>
      <c r="Q82" s="930"/>
      <c r="R82" s="1970"/>
      <c r="S82" s="930"/>
      <c r="T82" s="930"/>
      <c r="U82" s="937"/>
      <c r="V82" s="937"/>
      <c r="W82" s="937"/>
      <c r="X82" s="937"/>
      <c r="Y82" s="937"/>
      <c r="Z82" s="937"/>
      <c r="AA82" s="937"/>
      <c r="AB82" s="937"/>
      <c r="AC82" s="937"/>
      <c r="AD82" s="937"/>
      <c r="AE82" s="930"/>
      <c r="AF82" s="930"/>
      <c r="AG82" s="977"/>
      <c r="AH82" s="978"/>
      <c r="AI82" s="1341"/>
      <c r="AJ82" s="3069"/>
      <c r="AK82" s="3070"/>
      <c r="AL82" s="3071" t="n">
        <f t="shared" si="13"/>
        <v>0.0</v>
      </c>
      <c r="AM82" s="2744" t="s">
        <v>566</v>
      </c>
      <c r="AN82" s="2747"/>
    </row>
    <row r="83" spans="1:40" ht="54" hidden="1" customHeight="1" x14ac:dyDescent="0.15">
      <c r="A83" s="3068"/>
      <c r="B83" s="2705" t="s">
        <v>556</v>
      </c>
      <c r="C83" s="2239" t="s">
        <v>557</v>
      </c>
      <c r="D83" s="2705" t="s">
        <v>558</v>
      </c>
      <c r="E83" s="2705"/>
      <c r="F83" s="2705" t="s">
        <v>27</v>
      </c>
      <c r="G83" s="1887" t="s">
        <v>9311</v>
      </c>
      <c r="H83" s="1919" t="s">
        <v>9312</v>
      </c>
      <c r="I83" s="1887" t="str">
        <f>"7-DaHall 1-"&amp;M83&amp;"-"&amp;L83&amp;"-"&amp;N83</f>
        <v>7-DaHall 1-A-2-35-10</v>
      </c>
      <c r="J83" s="1919" t="str">
        <f>"7-DaHall 1-"&amp;Q83&amp;"-"&amp;P83&amp;"-"&amp;R83</f>
        <v>7-DaHall 1-B-2-35-10</v>
      </c>
      <c r="K83" s="1889">
        <v>48</v>
      </c>
      <c r="L83" s="1890">
        <v>35</v>
      </c>
      <c r="M83" s="2740" t="s">
        <v>41</v>
      </c>
      <c r="N83" s="1891">
        <v>10</v>
      </c>
      <c r="O83" s="1929">
        <v>48</v>
      </c>
      <c r="P83" s="1930">
        <v>35</v>
      </c>
      <c r="Q83" s="2722" t="s">
        <v>42</v>
      </c>
      <c r="R83" s="1920">
        <v>10</v>
      </c>
      <c r="S83" s="2740" t="s">
        <v>559</v>
      </c>
      <c r="T83" s="2722" t="s">
        <v>560</v>
      </c>
      <c r="U83" s="2740" t="s">
        <v>45</v>
      </c>
      <c r="V83" s="2722" t="s">
        <v>46</v>
      </c>
      <c r="W83" s="2740" t="s">
        <v>452</v>
      </c>
      <c r="X83" s="2722" t="s">
        <v>453</v>
      </c>
      <c r="Y83" s="2740" t="s">
        <v>49</v>
      </c>
      <c r="Z83" s="2722" t="s">
        <v>50</v>
      </c>
      <c r="AA83" s="2740" t="s">
        <v>51</v>
      </c>
      <c r="AB83" s="2722" t="s">
        <v>52</v>
      </c>
      <c r="AC83" s="2740" t="s">
        <v>30</v>
      </c>
      <c r="AD83" s="2722" t="s">
        <v>35</v>
      </c>
      <c r="AE83" s="2740" t="s">
        <v>31</v>
      </c>
      <c r="AF83" s="2722" t="s">
        <v>36</v>
      </c>
      <c r="AG83" s="687"/>
      <c r="AH83" s="682"/>
      <c r="AI83" s="2746"/>
      <c r="AJ83" s="3060"/>
      <c r="AK83" s="3061"/>
      <c r="AL83" s="3062" t="n">
        <f t="shared" si="13"/>
        <v>0.0</v>
      </c>
      <c r="AM83" s="2744" t="s">
        <v>561</v>
      </c>
      <c r="AN83" s="2747"/>
    </row>
    <row r="84" spans="1:40" ht="54" x14ac:dyDescent="0.15">
      <c r="A84" s="3068"/>
      <c r="B84" s="2705" t="s">
        <v>550</v>
      </c>
      <c r="C84" s="1184" t="s">
        <v>551</v>
      </c>
      <c r="D84" s="2705" t="s">
        <v>552</v>
      </c>
      <c r="E84" s="2705" t="s">
        <v>27</v>
      </c>
      <c r="F84" s="2705"/>
      <c r="G84" s="1939"/>
      <c r="H84" s="1933"/>
      <c r="I84" s="1939"/>
      <c r="J84" s="1933"/>
      <c r="K84" s="1940"/>
      <c r="L84" s="959"/>
      <c r="M84" s="959"/>
      <c r="N84" s="1941"/>
      <c r="O84" s="1934"/>
      <c r="P84" s="1924"/>
      <c r="Q84" s="915"/>
      <c r="R84" s="1925"/>
      <c r="S84" s="959" t="s">
        <v>553</v>
      </c>
      <c r="T84" s="915"/>
      <c r="U84" s="739"/>
      <c r="V84" s="739"/>
      <c r="W84" s="739"/>
      <c r="X84" s="739"/>
      <c r="Y84" s="739"/>
      <c r="Z84" s="739"/>
      <c r="AA84" s="739"/>
      <c r="AB84" s="739"/>
      <c r="AC84" s="739"/>
      <c r="AD84" s="739"/>
      <c r="AE84" s="915"/>
      <c r="AF84" s="915"/>
      <c r="AG84" s="968"/>
      <c r="AH84" s="969"/>
      <c r="AI84" s="1338"/>
      <c r="AJ84" s="3056"/>
      <c r="AK84" s="3057"/>
      <c r="AL84" s="3065" t="n">
        <f t="shared" si="13"/>
        <v>0.0</v>
      </c>
      <c r="AM84" s="2744" t="s">
        <v>554</v>
      </c>
      <c r="AN84" s="694" t="s">
        <v>555</v>
      </c>
    </row>
    <row r="85" spans="1:40" ht="54" hidden="1" customHeight="1" x14ac:dyDescent="0.15">
      <c r="A85" s="3068"/>
      <c r="B85" s="2705" t="s">
        <v>420</v>
      </c>
      <c r="C85" s="2239" t="s">
        <v>421</v>
      </c>
      <c r="D85" s="2705" t="s">
        <v>416</v>
      </c>
      <c r="E85" s="2705"/>
      <c r="F85" s="2705" t="s">
        <v>27</v>
      </c>
      <c r="G85" s="1887" t="s">
        <v>9313</v>
      </c>
      <c r="H85" s="1919" t="s">
        <v>9314</v>
      </c>
      <c r="I85" s="1887" t="str">
        <f t="shared" ref="I85:I91" si="15">"7-DaHall 1-"&amp;M85&amp;"-"&amp;L85&amp;"-"&amp;N85</f>
        <v>7-DaHall 1-A-3-100-60</v>
      </c>
      <c r="J85" s="1919" t="str">
        <f t="shared" ref="J85:J91" si="16">"7-DaHall 1-"&amp;Q85&amp;"-"&amp;P85&amp;"-"&amp;R85</f>
        <v>7-DaHall 1-B-3-100-60</v>
      </c>
      <c r="K85" s="1889">
        <v>48</v>
      </c>
      <c r="L85" s="1890">
        <v>100</v>
      </c>
      <c r="M85" s="2740" t="s">
        <v>190</v>
      </c>
      <c r="N85" s="1891">
        <v>60</v>
      </c>
      <c r="O85" s="1929">
        <v>48</v>
      </c>
      <c r="P85" s="1930">
        <v>100</v>
      </c>
      <c r="Q85" s="2722" t="s">
        <v>191</v>
      </c>
      <c r="R85" s="1920">
        <v>60</v>
      </c>
      <c r="S85" s="2740" t="s">
        <v>422</v>
      </c>
      <c r="T85" s="2722" t="s">
        <v>423</v>
      </c>
      <c r="U85" s="3073" t="s">
        <v>194</v>
      </c>
      <c r="V85" s="3072" t="s">
        <v>195</v>
      </c>
      <c r="W85" s="2244" t="s">
        <v>47</v>
      </c>
      <c r="X85" s="922" t="s">
        <v>48</v>
      </c>
      <c r="Y85" s="2244" t="s">
        <v>49</v>
      </c>
      <c r="Z85" s="922" t="s">
        <v>50</v>
      </c>
      <c r="AA85" s="2244" t="s">
        <v>51</v>
      </c>
      <c r="AB85" s="922" t="s">
        <v>52</v>
      </c>
      <c r="AC85" s="2244" t="s">
        <v>30</v>
      </c>
      <c r="AD85" s="922" t="s">
        <v>35</v>
      </c>
      <c r="AE85" s="2244" t="s">
        <v>31</v>
      </c>
      <c r="AF85" s="922" t="s">
        <v>36</v>
      </c>
      <c r="AG85" s="681"/>
      <c r="AH85" s="682"/>
      <c r="AI85" s="2746"/>
      <c r="AJ85" s="3060"/>
      <c r="AK85" s="3061"/>
      <c r="AL85" s="3062" t="n">
        <f t="shared" si="13"/>
        <v>0.0</v>
      </c>
      <c r="AM85" s="2739"/>
      <c r="AN85" s="3085" t="s">
        <v>9315</v>
      </c>
    </row>
    <row r="86" spans="1:40" ht="54" hidden="1" customHeight="1" x14ac:dyDescent="0.15">
      <c r="A86" s="3068"/>
      <c r="B86" s="2705" t="s">
        <v>414</v>
      </c>
      <c r="C86" s="2239" t="s">
        <v>415</v>
      </c>
      <c r="D86" s="2705" t="s">
        <v>416</v>
      </c>
      <c r="E86" s="2705"/>
      <c r="F86" s="2705" t="s">
        <v>27</v>
      </c>
      <c r="G86" s="1887" t="s">
        <v>9316</v>
      </c>
      <c r="H86" s="1919" t="s">
        <v>9317</v>
      </c>
      <c r="I86" s="1887" t="str">
        <f t="shared" si="15"/>
        <v>7-DaHall 1-A-3-100-28</v>
      </c>
      <c r="J86" s="1919" t="str">
        <f t="shared" si="16"/>
        <v>7-DaHall 1-B-3-100-28</v>
      </c>
      <c r="K86" s="1889">
        <v>48</v>
      </c>
      <c r="L86" s="1890">
        <v>100</v>
      </c>
      <c r="M86" s="2740" t="s">
        <v>190</v>
      </c>
      <c r="N86" s="1891">
        <v>28</v>
      </c>
      <c r="O86" s="1929">
        <v>48</v>
      </c>
      <c r="P86" s="1930">
        <v>100</v>
      </c>
      <c r="Q86" s="2722" t="s">
        <v>191</v>
      </c>
      <c r="R86" s="1920">
        <v>28</v>
      </c>
      <c r="S86" s="2740" t="s">
        <v>417</v>
      </c>
      <c r="T86" s="2722" t="s">
        <v>418</v>
      </c>
      <c r="U86" s="3073" t="s">
        <v>194</v>
      </c>
      <c r="V86" s="3072" t="s">
        <v>195</v>
      </c>
      <c r="W86" s="2244" t="s">
        <v>47</v>
      </c>
      <c r="X86" s="922" t="s">
        <v>48</v>
      </c>
      <c r="Y86" s="2244" t="s">
        <v>49</v>
      </c>
      <c r="Z86" s="922" t="s">
        <v>50</v>
      </c>
      <c r="AA86" s="2244" t="s">
        <v>51</v>
      </c>
      <c r="AB86" s="922" t="s">
        <v>52</v>
      </c>
      <c r="AC86" s="2244" t="s">
        <v>30</v>
      </c>
      <c r="AD86" s="922" t="s">
        <v>35</v>
      </c>
      <c r="AE86" s="2244" t="s">
        <v>31</v>
      </c>
      <c r="AF86" s="922" t="s">
        <v>36</v>
      </c>
      <c r="AG86" s="681"/>
      <c r="AH86" s="682"/>
      <c r="AI86" s="2746"/>
      <c r="AJ86" s="3060"/>
      <c r="AK86" s="3061"/>
      <c r="AL86" s="3062" t="n">
        <f t="shared" si="13"/>
        <v>0.0</v>
      </c>
      <c r="AM86" s="2744"/>
      <c r="AN86" s="3086" t="s">
        <v>419</v>
      </c>
    </row>
    <row r="87" spans="1:40" ht="54" hidden="1" customHeight="1" x14ac:dyDescent="0.15">
      <c r="A87" s="3068"/>
      <c r="B87" s="2705" t="s">
        <v>409</v>
      </c>
      <c r="C87" s="2239" t="s">
        <v>410</v>
      </c>
      <c r="D87" s="2705" t="s">
        <v>411</v>
      </c>
      <c r="E87" s="2705"/>
      <c r="F87" s="2705" t="s">
        <v>27</v>
      </c>
      <c r="G87" s="1887" t="s">
        <v>9318</v>
      </c>
      <c r="H87" s="1919" t="s">
        <v>9319</v>
      </c>
      <c r="I87" s="1887" t="str">
        <f t="shared" si="15"/>
        <v>7-DaHall 1-A-3-50-15</v>
      </c>
      <c r="J87" s="1919" t="str">
        <f t="shared" si="16"/>
        <v>7-DaHall 1-B-3-50-15</v>
      </c>
      <c r="K87" s="1889">
        <v>48</v>
      </c>
      <c r="L87" s="1890">
        <v>50</v>
      </c>
      <c r="M87" s="2740" t="s">
        <v>190</v>
      </c>
      <c r="N87" s="1891">
        <v>15</v>
      </c>
      <c r="O87" s="1929">
        <v>48</v>
      </c>
      <c r="P87" s="1930">
        <v>50</v>
      </c>
      <c r="Q87" s="2722" t="s">
        <v>191</v>
      </c>
      <c r="R87" s="1920">
        <v>15</v>
      </c>
      <c r="S87" s="2740" t="s">
        <v>412</v>
      </c>
      <c r="T87" s="2722" t="s">
        <v>413</v>
      </c>
      <c r="U87" s="3073" t="s">
        <v>194</v>
      </c>
      <c r="V87" s="3072" t="s">
        <v>195</v>
      </c>
      <c r="W87" s="2244" t="s">
        <v>47</v>
      </c>
      <c r="X87" s="922" t="s">
        <v>48</v>
      </c>
      <c r="Y87" s="2244" t="s">
        <v>49</v>
      </c>
      <c r="Z87" s="922" t="s">
        <v>50</v>
      </c>
      <c r="AA87" s="2244" t="s">
        <v>51</v>
      </c>
      <c r="AB87" s="922" t="s">
        <v>52</v>
      </c>
      <c r="AC87" s="2244" t="s">
        <v>30</v>
      </c>
      <c r="AD87" s="922" t="s">
        <v>35</v>
      </c>
      <c r="AE87" s="2244" t="s">
        <v>31</v>
      </c>
      <c r="AF87" s="922" t="s">
        <v>36</v>
      </c>
      <c r="AG87" s="681"/>
      <c r="AH87" s="682"/>
      <c r="AI87" s="2746"/>
      <c r="AJ87" s="3060"/>
      <c r="AK87" s="3061"/>
      <c r="AL87" s="3062" t="n">
        <f t="shared" si="13"/>
        <v>0.0</v>
      </c>
      <c r="AM87" s="2744"/>
      <c r="AN87" s="2747"/>
    </row>
    <row r="88" spans="1:40" ht="54" hidden="1" customHeight="1" x14ac:dyDescent="0.15">
      <c r="A88" s="3068"/>
      <c r="B88" s="2705" t="s">
        <v>404</v>
      </c>
      <c r="C88" s="2239" t="s">
        <v>405</v>
      </c>
      <c r="D88" s="2705" t="s">
        <v>406</v>
      </c>
      <c r="E88" s="2705"/>
      <c r="F88" s="2705" t="s">
        <v>27</v>
      </c>
      <c r="G88" s="1887" t="s">
        <v>9320</v>
      </c>
      <c r="H88" s="1919" t="s">
        <v>9321</v>
      </c>
      <c r="I88" s="1887" t="str">
        <f t="shared" si="15"/>
        <v>7-DaHall 1-A-3-50-16</v>
      </c>
      <c r="J88" s="1919" t="str">
        <f t="shared" si="16"/>
        <v>7-DaHall 1-B-3-50-16</v>
      </c>
      <c r="K88" s="1889">
        <v>48</v>
      </c>
      <c r="L88" s="1890">
        <v>50</v>
      </c>
      <c r="M88" s="2740" t="s">
        <v>190</v>
      </c>
      <c r="N88" s="1891">
        <v>16</v>
      </c>
      <c r="O88" s="1929">
        <v>48</v>
      </c>
      <c r="P88" s="1930">
        <v>50</v>
      </c>
      <c r="Q88" s="2722" t="s">
        <v>191</v>
      </c>
      <c r="R88" s="1920">
        <v>16</v>
      </c>
      <c r="S88" s="2740" t="s">
        <v>407</v>
      </c>
      <c r="T88" s="2722" t="s">
        <v>408</v>
      </c>
      <c r="U88" s="3073" t="s">
        <v>194</v>
      </c>
      <c r="V88" s="3072" t="s">
        <v>195</v>
      </c>
      <c r="W88" s="2244" t="s">
        <v>47</v>
      </c>
      <c r="X88" s="922" t="s">
        <v>48</v>
      </c>
      <c r="Y88" s="2244" t="s">
        <v>49</v>
      </c>
      <c r="Z88" s="922" t="s">
        <v>50</v>
      </c>
      <c r="AA88" s="2244" t="s">
        <v>51</v>
      </c>
      <c r="AB88" s="922" t="s">
        <v>52</v>
      </c>
      <c r="AC88" s="2244" t="s">
        <v>30</v>
      </c>
      <c r="AD88" s="922" t="s">
        <v>35</v>
      </c>
      <c r="AE88" s="2244" t="s">
        <v>31</v>
      </c>
      <c r="AF88" s="922" t="s">
        <v>36</v>
      </c>
      <c r="AG88" s="681"/>
      <c r="AH88" s="682"/>
      <c r="AI88" s="2746"/>
      <c r="AJ88" s="3060"/>
      <c r="AK88" s="3061"/>
      <c r="AL88" s="3062" t="n">
        <f t="shared" si="13"/>
        <v>0.0</v>
      </c>
      <c r="AM88" s="2744"/>
      <c r="AN88" s="2747"/>
    </row>
    <row r="89" spans="1:40" ht="54" hidden="1" customHeight="1" x14ac:dyDescent="0.15">
      <c r="A89" s="3068"/>
      <c r="B89" s="2705" t="s">
        <v>399</v>
      </c>
      <c r="C89" s="2239" t="s">
        <v>400</v>
      </c>
      <c r="D89" s="2705" t="s">
        <v>401</v>
      </c>
      <c r="E89" s="2705"/>
      <c r="F89" s="2705" t="s">
        <v>27</v>
      </c>
      <c r="G89" s="1887" t="s">
        <v>9322</v>
      </c>
      <c r="H89" s="1919" t="s">
        <v>9323</v>
      </c>
      <c r="I89" s="1887" t="str">
        <f t="shared" si="15"/>
        <v>7-DaHall 1-A-3-50-17</v>
      </c>
      <c r="J89" s="1919" t="str">
        <f t="shared" si="16"/>
        <v>7-DaHall 1-B-3-50-17</v>
      </c>
      <c r="K89" s="1889">
        <v>48</v>
      </c>
      <c r="L89" s="1890">
        <v>50</v>
      </c>
      <c r="M89" s="2740" t="s">
        <v>190</v>
      </c>
      <c r="N89" s="1891">
        <v>17</v>
      </c>
      <c r="O89" s="1929">
        <v>48</v>
      </c>
      <c r="P89" s="1930">
        <v>50</v>
      </c>
      <c r="Q89" s="2722" t="s">
        <v>191</v>
      </c>
      <c r="R89" s="1920">
        <v>17</v>
      </c>
      <c r="S89" s="2740" t="s">
        <v>402</v>
      </c>
      <c r="T89" s="2722" t="s">
        <v>403</v>
      </c>
      <c r="U89" s="3073" t="s">
        <v>194</v>
      </c>
      <c r="V89" s="3072" t="s">
        <v>195</v>
      </c>
      <c r="W89" s="2244" t="s">
        <v>47</v>
      </c>
      <c r="X89" s="922" t="s">
        <v>48</v>
      </c>
      <c r="Y89" s="2244" t="s">
        <v>49</v>
      </c>
      <c r="Z89" s="922" t="s">
        <v>50</v>
      </c>
      <c r="AA89" s="2244" t="s">
        <v>51</v>
      </c>
      <c r="AB89" s="922" t="s">
        <v>52</v>
      </c>
      <c r="AC89" s="2244" t="s">
        <v>30</v>
      </c>
      <c r="AD89" s="922" t="s">
        <v>35</v>
      </c>
      <c r="AE89" s="2244" t="s">
        <v>31</v>
      </c>
      <c r="AF89" s="922" t="s">
        <v>36</v>
      </c>
      <c r="AG89" s="681"/>
      <c r="AH89" s="682"/>
      <c r="AI89" s="2746"/>
      <c r="AJ89" s="3060"/>
      <c r="AK89" s="3061"/>
      <c r="AL89" s="3062" t="n">
        <f t="shared" si="13"/>
        <v>0.0</v>
      </c>
      <c r="AM89" s="2744"/>
      <c r="AN89" s="2747"/>
    </row>
    <row r="90" spans="1:40" ht="54" hidden="1" customHeight="1" x14ac:dyDescent="0.15">
      <c r="A90" s="3068"/>
      <c r="B90" s="2705" t="s">
        <v>394</v>
      </c>
      <c r="C90" s="2239" t="s">
        <v>395</v>
      </c>
      <c r="D90" s="2705" t="s">
        <v>396</v>
      </c>
      <c r="E90" s="2705"/>
      <c r="F90" s="2705" t="s">
        <v>27</v>
      </c>
      <c r="G90" s="1887" t="s">
        <v>9324</v>
      </c>
      <c r="H90" s="1919" t="s">
        <v>9325</v>
      </c>
      <c r="I90" s="1887" t="str">
        <f t="shared" si="15"/>
        <v>7-DaHall 1-A-3-35-23</v>
      </c>
      <c r="J90" s="1919" t="str">
        <f t="shared" si="16"/>
        <v>7-DaHall 1-B-3-35-24</v>
      </c>
      <c r="K90" s="1889">
        <v>48</v>
      </c>
      <c r="L90" s="1890">
        <v>35</v>
      </c>
      <c r="M90" s="2740" t="s">
        <v>190</v>
      </c>
      <c r="N90" s="1891">
        <v>23</v>
      </c>
      <c r="O90" s="1929">
        <v>48</v>
      </c>
      <c r="P90" s="1930">
        <v>35</v>
      </c>
      <c r="Q90" s="2722" t="s">
        <v>191</v>
      </c>
      <c r="R90" s="1920">
        <v>24</v>
      </c>
      <c r="S90" s="2740" t="s">
        <v>397</v>
      </c>
      <c r="T90" s="2722" t="s">
        <v>398</v>
      </c>
      <c r="U90" s="3073" t="s">
        <v>194</v>
      </c>
      <c r="V90" s="3072" t="s">
        <v>195</v>
      </c>
      <c r="W90" s="2244" t="s">
        <v>47</v>
      </c>
      <c r="X90" s="922" t="s">
        <v>48</v>
      </c>
      <c r="Y90" s="2244" t="s">
        <v>49</v>
      </c>
      <c r="Z90" s="922" t="s">
        <v>50</v>
      </c>
      <c r="AA90" s="2244" t="s">
        <v>51</v>
      </c>
      <c r="AB90" s="922" t="s">
        <v>52</v>
      </c>
      <c r="AC90" s="2244" t="s">
        <v>30</v>
      </c>
      <c r="AD90" s="922" t="s">
        <v>35</v>
      </c>
      <c r="AE90" s="2244" t="s">
        <v>31</v>
      </c>
      <c r="AF90" s="922" t="s">
        <v>36</v>
      </c>
      <c r="AG90" s="681"/>
      <c r="AH90" s="682"/>
      <c r="AI90" s="2746"/>
      <c r="AJ90" s="3060"/>
      <c r="AK90" s="3061"/>
      <c r="AL90" s="3062" t="n">
        <f t="shared" si="13"/>
        <v>0.0</v>
      </c>
      <c r="AM90" s="2744"/>
      <c r="AN90" s="2747"/>
    </row>
    <row r="91" spans="1:40" ht="27" hidden="1" customHeight="1" x14ac:dyDescent="0.15">
      <c r="A91" s="3068"/>
      <c r="B91" s="2705" t="s">
        <v>388</v>
      </c>
      <c r="C91" s="2239" t="s">
        <v>389</v>
      </c>
      <c r="D91" s="2705" t="s">
        <v>390</v>
      </c>
      <c r="E91" s="2705"/>
      <c r="F91" s="2705" t="s">
        <v>27</v>
      </c>
      <c r="G91" s="1887" t="s">
        <v>9326</v>
      </c>
      <c r="H91" s="1919" t="s">
        <v>9327</v>
      </c>
      <c r="I91" s="1887" t="str">
        <f t="shared" si="15"/>
        <v>7-DaHall 1-A-3-100-59</v>
      </c>
      <c r="J91" s="1919" t="str">
        <f t="shared" si="16"/>
        <v>7-DaHall 1-B-3-100-59</v>
      </c>
      <c r="K91" s="1889">
        <v>48</v>
      </c>
      <c r="L91" s="1890">
        <v>100</v>
      </c>
      <c r="M91" s="2740" t="s">
        <v>190</v>
      </c>
      <c r="N91" s="1891">
        <v>59</v>
      </c>
      <c r="O91" s="1929">
        <v>48</v>
      </c>
      <c r="P91" s="1930">
        <v>100</v>
      </c>
      <c r="Q91" s="2722" t="s">
        <v>191</v>
      </c>
      <c r="R91" s="1920">
        <v>59</v>
      </c>
      <c r="S91" s="2740" t="s">
        <v>391</v>
      </c>
      <c r="T91" s="2722" t="s">
        <v>392</v>
      </c>
      <c r="U91" s="3073" t="s">
        <v>194</v>
      </c>
      <c r="V91" s="3072" t="s">
        <v>195</v>
      </c>
      <c r="W91" s="2244" t="s">
        <v>47</v>
      </c>
      <c r="X91" s="922" t="s">
        <v>48</v>
      </c>
      <c r="Y91" s="2244" t="s">
        <v>49</v>
      </c>
      <c r="Z91" s="922" t="s">
        <v>50</v>
      </c>
      <c r="AA91" s="2244" t="s">
        <v>51</v>
      </c>
      <c r="AB91" s="922" t="s">
        <v>52</v>
      </c>
      <c r="AC91" s="2244" t="s">
        <v>30</v>
      </c>
      <c r="AD91" s="922" t="s">
        <v>35</v>
      </c>
      <c r="AE91" s="2244" t="s">
        <v>31</v>
      </c>
      <c r="AF91" s="922" t="s">
        <v>36</v>
      </c>
      <c r="AG91" s="681"/>
      <c r="AH91" s="682"/>
      <c r="AI91" s="2746"/>
      <c r="AJ91" s="3060"/>
      <c r="AK91" s="3061"/>
      <c r="AL91" s="3062" t="n">
        <f t="shared" si="13"/>
        <v>0.0</v>
      </c>
      <c r="AM91" s="2744"/>
      <c r="AN91" s="2747" t="s">
        <v>393</v>
      </c>
    </row>
    <row r="92" spans="1:40" ht="27" hidden="1" customHeight="1" x14ac:dyDescent="0.15">
      <c r="A92" s="3068"/>
      <c r="B92" s="2705" t="s">
        <v>386</v>
      </c>
      <c r="C92" s="2705" t="s">
        <v>387</v>
      </c>
      <c r="D92" s="2705"/>
      <c r="E92" s="2705"/>
      <c r="F92" s="2705"/>
      <c r="G92" s="1907"/>
      <c r="H92" s="1946"/>
      <c r="I92" s="1907"/>
      <c r="J92" s="1946"/>
      <c r="K92" s="1909"/>
      <c r="L92" s="1910"/>
      <c r="M92" s="709"/>
      <c r="N92" s="1911"/>
      <c r="O92" s="1947"/>
      <c r="P92" s="1910"/>
      <c r="Q92" s="709"/>
      <c r="R92" s="1911"/>
      <c r="S92" s="709"/>
      <c r="T92" s="709"/>
      <c r="U92" s="2245"/>
      <c r="V92" s="2245"/>
      <c r="W92" s="2245"/>
      <c r="X92" s="2245"/>
      <c r="Y92" s="2245"/>
      <c r="Z92" s="2245"/>
      <c r="AA92" s="2699"/>
      <c r="AB92" s="2245"/>
      <c r="AC92" s="2699"/>
      <c r="AD92" s="2245"/>
      <c r="AE92" s="2244" t="s">
        <v>31</v>
      </c>
      <c r="AF92" s="2245"/>
      <c r="AG92" s="687"/>
      <c r="AH92" s="688"/>
      <c r="AI92" s="1327"/>
      <c r="AJ92" s="3087"/>
      <c r="AK92" s="3088"/>
      <c r="AL92" s="3065" t="n">
        <f t="shared" si="13"/>
        <v>0.0</v>
      </c>
      <c r="AM92" s="2744"/>
      <c r="AN92" s="2747"/>
    </row>
    <row r="93" spans="1:40" ht="27" hidden="1" customHeight="1" x14ac:dyDescent="0.15">
      <c r="A93" s="3068"/>
      <c r="B93" s="2705" t="s">
        <v>384</v>
      </c>
      <c r="C93" s="2239" t="s">
        <v>385</v>
      </c>
      <c r="D93" s="2705"/>
      <c r="E93" s="2705"/>
      <c r="F93" s="2705" t="s">
        <v>27</v>
      </c>
      <c r="G93" s="1907"/>
      <c r="H93" s="1946"/>
      <c r="I93" s="1907"/>
      <c r="J93" s="1946"/>
      <c r="K93" s="1909"/>
      <c r="L93" s="1910"/>
      <c r="M93" s="709"/>
      <c r="N93" s="1911"/>
      <c r="O93" s="1947"/>
      <c r="P93" s="1910"/>
      <c r="Q93" s="709"/>
      <c r="R93" s="1911"/>
      <c r="S93" s="709"/>
      <c r="T93" s="709"/>
      <c r="U93" s="2245"/>
      <c r="V93" s="2245"/>
      <c r="W93" s="2245"/>
      <c r="X93" s="2245"/>
      <c r="Y93" s="2245"/>
      <c r="Z93" s="2245"/>
      <c r="AA93" s="2699"/>
      <c r="AB93" s="2245"/>
      <c r="AC93" s="2699"/>
      <c r="AD93" s="2245"/>
      <c r="AE93" s="2244" t="s">
        <v>31</v>
      </c>
      <c r="AF93" s="2245"/>
      <c r="AG93" s="687"/>
      <c r="AH93" s="688"/>
      <c r="AI93" s="1327"/>
      <c r="AJ93" s="3087"/>
      <c r="AK93" s="3088"/>
      <c r="AL93" s="3065" t="n">
        <f t="shared" si="13"/>
        <v>0.0</v>
      </c>
      <c r="AM93" s="2744"/>
      <c r="AN93" s="2747"/>
    </row>
    <row r="94" spans="1:40" ht="40.5" x14ac:dyDescent="0.15">
      <c r="A94" s="3068"/>
      <c r="B94" s="2705" t="s">
        <v>379</v>
      </c>
      <c r="C94" s="1184" t="s">
        <v>380</v>
      </c>
      <c r="D94" s="2705" t="s">
        <v>381</v>
      </c>
      <c r="E94" s="2705" t="s">
        <v>27</v>
      </c>
      <c r="F94" s="2705"/>
      <c r="G94" s="1907" t="s">
        <v>9328</v>
      </c>
      <c r="H94" s="1933"/>
      <c r="I94" s="1907" t="str">
        <f>"7-DaHall 1-"&amp;M94&amp;"-"&amp;L94&amp;"-"&amp;N94</f>
        <v>7-DaHall 1-PDU-01-30-29</v>
      </c>
      <c r="J94" s="1933"/>
      <c r="K94" s="1909">
        <v>220</v>
      </c>
      <c r="L94" s="1910">
        <v>30</v>
      </c>
      <c r="M94" s="709" t="s">
        <v>9177</v>
      </c>
      <c r="N94" s="1911">
        <v>29</v>
      </c>
      <c r="O94" s="1934"/>
      <c r="P94" s="1924"/>
      <c r="Q94" s="915"/>
      <c r="R94" s="1925"/>
      <c r="S94" s="709" t="s">
        <v>382</v>
      </c>
      <c r="T94" s="915"/>
      <c r="U94" s="739"/>
      <c r="V94" s="739"/>
      <c r="W94" s="739"/>
      <c r="X94" s="739"/>
      <c r="Y94" s="739"/>
      <c r="Z94" s="739"/>
      <c r="AA94" s="2740" t="s">
        <v>109</v>
      </c>
      <c r="AB94" s="739"/>
      <c r="AC94" s="2740" t="s">
        <v>111</v>
      </c>
      <c r="AD94" s="739"/>
      <c r="AE94" s="2244" t="s">
        <v>31</v>
      </c>
      <c r="AF94" s="739"/>
      <c r="AG94" s="687" t="n">
        <f>SUM('7층_부하량(월간_AVG)'!D77:F77)</f>
        <v>0.1275434329395414</v>
      </c>
      <c r="AH94" s="941"/>
      <c r="AI94" s="1327" t="n">
        <f>AG94+AH94</f>
        <v>0.1275434329395414</v>
      </c>
      <c r="AJ94" s="3056" t="n" cm="1">
        <f t="array" ref="AJ94">INDEX('각층분기별_유효전력량(전월)'!L2:L2000,MATCH(1,("7-DaHall 1-PDU-01"='각층분기별_유효전력량(전월)'!J2:J2000)*("[branch#029] [A] kWh last month"='각층분기별_유효전력량(전월)'!K2:K2000),0))</f>
        <v>44.9</v>
      </c>
      <c r="AK94" s="3057"/>
      <c r="AL94" s="3065" t="n">
        <f t="shared" si="13"/>
        <v>44.9</v>
      </c>
      <c r="AM94" s="2744" t="s">
        <v>383</v>
      </c>
      <c r="AN94" s="2747"/>
    </row>
    <row r="95" spans="1:40" ht="15.95" hidden="1" customHeight="1" x14ac:dyDescent="0.15">
      <c r="A95" s="3068"/>
      <c r="B95" s="2705" t="s">
        <v>378</v>
      </c>
      <c r="C95" s="2705"/>
      <c r="D95" s="2705"/>
      <c r="E95" s="2705"/>
      <c r="F95" s="2705"/>
      <c r="G95" s="1887"/>
      <c r="H95" s="1919"/>
      <c r="I95" s="1887"/>
      <c r="J95" s="1919"/>
      <c r="K95" s="1889"/>
      <c r="L95" s="1890"/>
      <c r="M95" s="2740"/>
      <c r="N95" s="1891"/>
      <c r="O95" s="1929"/>
      <c r="P95" s="1930"/>
      <c r="Q95" s="2722"/>
      <c r="R95" s="1920"/>
      <c r="S95" s="2740"/>
      <c r="T95" s="2722"/>
      <c r="U95" s="906"/>
      <c r="V95" s="699"/>
      <c r="W95" s="2699"/>
      <c r="X95" s="2701"/>
      <c r="Y95" s="2699"/>
      <c r="Z95" s="2701"/>
      <c r="AA95" s="2699"/>
      <c r="AB95" s="2701"/>
      <c r="AC95" s="2699"/>
      <c r="AD95" s="2701"/>
      <c r="AE95" s="2244"/>
      <c r="AF95" s="2701"/>
      <c r="AG95" s="687"/>
      <c r="AH95" s="682"/>
      <c r="AI95" s="2746"/>
      <c r="AJ95" s="3060"/>
      <c r="AK95" s="3061"/>
      <c r="AL95" s="3062" t="n">
        <f t="shared" si="13"/>
        <v>0.0</v>
      </c>
      <c r="AM95" s="2744"/>
      <c r="AN95" s="2747"/>
    </row>
    <row r="96" spans="1:40" ht="40.5" x14ac:dyDescent="0.15">
      <c r="A96" s="3068"/>
      <c r="B96" s="2705" t="s">
        <v>374</v>
      </c>
      <c r="C96" s="2241" t="s">
        <v>375</v>
      </c>
      <c r="D96" s="2705" t="s">
        <v>357</v>
      </c>
      <c r="E96" s="2705" t="s">
        <v>27</v>
      </c>
      <c r="F96" s="2705"/>
      <c r="G96" s="1907" t="s">
        <v>9329</v>
      </c>
      <c r="H96" s="1915" t="s">
        <v>9330</v>
      </c>
      <c r="I96" s="1907" t="str">
        <f>"7-DaHall 1-"&amp;M96&amp;"-"&amp;L96&amp;"-"&amp;N96</f>
        <v>7-DaHall 1-PDU-01-30-18</v>
      </c>
      <c r="J96" s="1915" t="str">
        <f>"7-DaHall 1-"&amp;Q96&amp;"-"&amp;P96&amp;"-"&amp;R96</f>
        <v>7-DaHall 1-PDU-02-30-18</v>
      </c>
      <c r="K96" s="1909">
        <v>220</v>
      </c>
      <c r="L96" s="1910">
        <v>30</v>
      </c>
      <c r="M96" s="709" t="s">
        <v>9177</v>
      </c>
      <c r="N96" s="1911">
        <v>18</v>
      </c>
      <c r="O96" s="1916">
        <v>220</v>
      </c>
      <c r="P96" s="1917">
        <v>30</v>
      </c>
      <c r="Q96" s="693" t="s">
        <v>9178</v>
      </c>
      <c r="R96" s="1918">
        <v>18</v>
      </c>
      <c r="S96" s="709" t="s">
        <v>376</v>
      </c>
      <c r="T96" s="693" t="s">
        <v>377</v>
      </c>
      <c r="U96" s="739"/>
      <c r="V96" s="739"/>
      <c r="W96" s="739"/>
      <c r="X96" s="739"/>
      <c r="Y96" s="739"/>
      <c r="Z96" s="739"/>
      <c r="AA96" s="2244" t="s">
        <v>173</v>
      </c>
      <c r="AB96" s="922" t="s">
        <v>174</v>
      </c>
      <c r="AC96" s="2244" t="s">
        <v>111</v>
      </c>
      <c r="AD96" s="922" t="s">
        <v>112</v>
      </c>
      <c r="AE96" s="2244" t="s">
        <v>31</v>
      </c>
      <c r="AF96" s="922" t="s">
        <v>36</v>
      </c>
      <c r="AG96" s="1220" t="n">
        <f>SUM('7층_부하량(월간_AVG)'!N71:P71)</f>
        <v>2.7001348231436015</v>
      </c>
      <c r="AH96" s="1223" t="n">
        <f>SUM('7층_부하량(월간_AVG)'!N39:P39)</f>
        <v>2.646656845602416</v>
      </c>
      <c r="AI96" s="1327" t="n">
        <f t="shared" ref="AI96:AI104" si="17">AG96+AH96</f>
        <v>5.346791668746018</v>
      </c>
      <c r="AJ96" s="3056" t="n" cm="1">
        <f t="array" ref="AJ96">INDEX('각층분기별_유효전력량(전월)'!L2:L2000,MATCH(1,("7-DaHall 1-PDU-01"='각층분기별_유효전력량(전월)'!J2:J2000)*("[branch#018] [A] kWh last month"='각층분기별_유효전력량(전월)'!K2:K2000),0))</f>
        <v>1080.1</v>
      </c>
      <c r="AK96" s="3057" t="n" cm="1">
        <f t="array" ref="AK96">INDEX('각층분기별_유효전력량(전월)'!L2:L2000,MATCH(1,("7-DaHall 1-PDU-02"='각층분기별_유효전력량(전월)'!J2:J2000)*("[branch#018] [A] kWh last month"='각층분기별_유효전력량(전월)'!K2:K2000),0))</f>
        <v>1045.0</v>
      </c>
      <c r="AL96" s="3065" t="n">
        <f t="shared" si="13"/>
        <v>2125.1</v>
      </c>
      <c r="AM96" s="2744" t="s">
        <v>360</v>
      </c>
      <c r="AN96" s="1224" t="s">
        <v>361</v>
      </c>
    </row>
    <row r="97" spans="1:40" ht="40.5" x14ac:dyDescent="0.15">
      <c r="A97" s="3068"/>
      <c r="B97" s="2705" t="s">
        <v>370</v>
      </c>
      <c r="C97" s="2241" t="s">
        <v>371</v>
      </c>
      <c r="D97" s="2705" t="s">
        <v>357</v>
      </c>
      <c r="E97" s="2705" t="s">
        <v>27</v>
      </c>
      <c r="F97" s="2705"/>
      <c r="G97" s="1907" t="s">
        <v>9331</v>
      </c>
      <c r="H97" s="1915" t="s">
        <v>9332</v>
      </c>
      <c r="I97" s="1907" t="str">
        <f>"7-DaHall 1-"&amp;M97&amp;"-"&amp;L97&amp;"-"&amp;N97</f>
        <v>7-DaHall 1-PDU-01-30-20</v>
      </c>
      <c r="J97" s="1915" t="str">
        <f>"7-DaHall 1-"&amp;Q97&amp;"-"&amp;P97&amp;"-"&amp;R97</f>
        <v>7-DaHall 1-PDU-02-30-20</v>
      </c>
      <c r="K97" s="1909">
        <v>220</v>
      </c>
      <c r="L97" s="1910">
        <v>30</v>
      </c>
      <c r="M97" s="709" t="s">
        <v>9177</v>
      </c>
      <c r="N97" s="1911">
        <v>20</v>
      </c>
      <c r="O97" s="1916">
        <v>220</v>
      </c>
      <c r="P97" s="1917">
        <v>30</v>
      </c>
      <c r="Q97" s="693" t="s">
        <v>9178</v>
      </c>
      <c r="R97" s="1918">
        <v>20</v>
      </c>
      <c r="S97" s="709" t="s">
        <v>372</v>
      </c>
      <c r="T97" s="693" t="s">
        <v>373</v>
      </c>
      <c r="U97" s="739"/>
      <c r="V97" s="739"/>
      <c r="W97" s="739"/>
      <c r="X97" s="739"/>
      <c r="Y97" s="739"/>
      <c r="Z97" s="739"/>
      <c r="AA97" s="2244" t="s">
        <v>173</v>
      </c>
      <c r="AB97" s="922" t="s">
        <v>174</v>
      </c>
      <c r="AC97" s="2244" t="s">
        <v>111</v>
      </c>
      <c r="AD97" s="922" t="s">
        <v>112</v>
      </c>
      <c r="AE97" s="2244" t="s">
        <v>31</v>
      </c>
      <c r="AF97" s="922" t="s">
        <v>36</v>
      </c>
      <c r="AG97" s="1220" t="n">
        <f>SUM('7층_부하량(월간_AVG)'!N72:P72)</f>
        <v>1.718442751446797</v>
      </c>
      <c r="AH97" s="1223" t="n">
        <f>SUM('7층_부하량(월간_AVG)'!N40:P40)</f>
        <v>1.9609136692230669</v>
      </c>
      <c r="AI97" s="1327" t="n">
        <f t="shared" si="17"/>
        <v>3.6793564206698637</v>
      </c>
      <c r="AJ97" s="3056" t="n" cm="1">
        <f t="array" ref="AJ97">INDEX('각층분기별_유효전력량(전월)'!L2:L2000,MATCH(1,("7-DaHall 1-PDU-01"='각층분기별_유효전력량(전월)'!J2:J2000)*("[branch#020] [A] kWh last month"='각층분기별_유효전력량(전월)'!K2:K2000),0))</f>
        <v>291.5</v>
      </c>
      <c r="AK97" s="3057" t="n" cm="1">
        <f t="array" ref="AK97">INDEX('각층분기별_유효전력량(전월)'!L2:L2000,MATCH(1,("7-DaHall 1-PDU-02"='각층분기별_유효전력량(전월)'!J2:J2000)*("[branch#020] [A] kWh last month"='각층분기별_유효전력량(전월)'!K2:K2000),0))</f>
        <v>313.1</v>
      </c>
      <c r="AL97" s="3065" t="n">
        <f t="shared" si="13"/>
        <v>604.6</v>
      </c>
      <c r="AM97" s="2744" t="s">
        <v>360</v>
      </c>
      <c r="AN97" s="1224" t="s">
        <v>361</v>
      </c>
    </row>
    <row r="98" spans="1:40" ht="40.5" x14ac:dyDescent="0.15">
      <c r="A98" s="3068"/>
      <c r="B98" s="2705" t="s">
        <v>366</v>
      </c>
      <c r="C98" s="2241" t="s">
        <v>367</v>
      </c>
      <c r="D98" s="2705" t="s">
        <v>357</v>
      </c>
      <c r="E98" s="2705" t="s">
        <v>27</v>
      </c>
      <c r="F98" s="2705"/>
      <c r="G98" s="1907" t="s">
        <v>9333</v>
      </c>
      <c r="H98" s="1915" t="s">
        <v>9334</v>
      </c>
      <c r="I98" s="1907" t="str">
        <f>"7-DaHall 1-"&amp;M98&amp;"-"&amp;L98&amp;"-"&amp;N98</f>
        <v>7-DaHall 1-PDU-01-30-22</v>
      </c>
      <c r="J98" s="1915" t="str">
        <f>"7-DaHall 1-"&amp;Q98&amp;"-"&amp;P98&amp;"-"&amp;R98</f>
        <v>7-DaHall 1-PDU-02-30-22</v>
      </c>
      <c r="K98" s="1909">
        <v>220</v>
      </c>
      <c r="L98" s="1910">
        <v>30</v>
      </c>
      <c r="M98" s="709" t="s">
        <v>9177</v>
      </c>
      <c r="N98" s="1911">
        <v>22</v>
      </c>
      <c r="O98" s="1916">
        <v>220</v>
      </c>
      <c r="P98" s="1917">
        <v>30</v>
      </c>
      <c r="Q98" s="693" t="s">
        <v>9178</v>
      </c>
      <c r="R98" s="1918">
        <v>22</v>
      </c>
      <c r="S98" s="709" t="s">
        <v>368</v>
      </c>
      <c r="T98" s="693" t="s">
        <v>369</v>
      </c>
      <c r="U98" s="739"/>
      <c r="V98" s="739"/>
      <c r="W98" s="739"/>
      <c r="X98" s="739"/>
      <c r="Y98" s="739"/>
      <c r="Z98" s="739"/>
      <c r="AA98" s="2244" t="s">
        <v>173</v>
      </c>
      <c r="AB98" s="922" t="s">
        <v>174</v>
      </c>
      <c r="AC98" s="2244" t="s">
        <v>111</v>
      </c>
      <c r="AD98" s="922" t="s">
        <v>112</v>
      </c>
      <c r="AE98" s="2244" t="s">
        <v>31</v>
      </c>
      <c r="AF98" s="922" t="s">
        <v>36</v>
      </c>
      <c r="AG98" s="1220" t="n">
        <f>SUM('7층_부하량(월간_AVG)'!N73:P73)</f>
        <v>1.6897335492524912</v>
      </c>
      <c r="AH98" s="1223" t="n">
        <f>SUM('7층_부하량(월간_AVG)'!N41:P41)</f>
        <v>1.9177739815594608</v>
      </c>
      <c r="AI98" s="1327" t="n">
        <f t="shared" si="17"/>
        <v>3.6075075308119517</v>
      </c>
      <c r="AJ98" s="3056" t="n" cm="1">
        <f t="array" ref="AJ98">INDEX('각층분기별_유효전력량(전월)'!L2:L2000,MATCH(1,("7-DaHall 1-PDU-01"='각층분기별_유효전력량(전월)'!J2:J2000)*("[branch#022] [A] kWh last month"='각층분기별_유효전력량(전월)'!K2:K2000),0))</f>
        <v>270.1</v>
      </c>
      <c r="AK98" s="3057" t="n" cm="1">
        <f t="array" ref="AK98">INDEX('각층분기별_유효전력량(전월)'!L2:L2000,MATCH(1,("7-DaHall 1-PDU-02"='각층분기별_유효전력량(전월)'!J2:J2000)*("[branch#022] [A] kWh last month"='각층분기별_유효전력량(전월)'!K2:K2000),0))</f>
        <v>307.2</v>
      </c>
      <c r="AL98" s="3065" t="n">
        <f t="shared" si="13"/>
        <v>577.3</v>
      </c>
      <c r="AM98" s="2744" t="s">
        <v>360</v>
      </c>
      <c r="AN98" s="1224" t="s">
        <v>361</v>
      </c>
    </row>
    <row r="99" spans="1:40" ht="40.5" x14ac:dyDescent="0.15">
      <c r="A99" s="3068"/>
      <c r="B99" s="2705" t="s">
        <v>362</v>
      </c>
      <c r="C99" s="2241" t="s">
        <v>363</v>
      </c>
      <c r="D99" s="2705" t="s">
        <v>357</v>
      </c>
      <c r="E99" s="2705" t="s">
        <v>27</v>
      </c>
      <c r="F99" s="2705"/>
      <c r="G99" s="1907" t="s">
        <v>9335</v>
      </c>
      <c r="H99" s="1915" t="s">
        <v>9336</v>
      </c>
      <c r="I99" s="1907" t="str">
        <f t="shared" ref="I99" si="18">"7-DaHall 1-"&amp;M99&amp;"-"&amp;L99&amp;"-"&amp;N99</f>
        <v>7-DaHall 1-PDU-01-30-24</v>
      </c>
      <c r="J99" s="1915" t="str">
        <f t="shared" ref="J99" si="19">"7-DaHall 1-"&amp;Q99&amp;"-"&amp;P99&amp;"-"&amp;R99</f>
        <v>7-DaHall 1-PDU-02-30-24</v>
      </c>
      <c r="K99" s="1909">
        <v>220</v>
      </c>
      <c r="L99" s="1910">
        <v>30</v>
      </c>
      <c r="M99" s="709" t="s">
        <v>9177</v>
      </c>
      <c r="N99" s="1911">
        <v>24</v>
      </c>
      <c r="O99" s="1916">
        <v>220</v>
      </c>
      <c r="P99" s="1917">
        <v>30</v>
      </c>
      <c r="Q99" s="693" t="s">
        <v>9178</v>
      </c>
      <c r="R99" s="1918">
        <v>24</v>
      </c>
      <c r="S99" s="709" t="s">
        <v>364</v>
      </c>
      <c r="T99" s="693" t="s">
        <v>365</v>
      </c>
      <c r="U99" s="739"/>
      <c r="V99" s="739"/>
      <c r="W99" s="739"/>
      <c r="X99" s="739"/>
      <c r="Y99" s="739"/>
      <c r="Z99" s="739"/>
      <c r="AA99" s="2244" t="s">
        <v>173</v>
      </c>
      <c r="AB99" s="922" t="s">
        <v>174</v>
      </c>
      <c r="AC99" s="2244" t="s">
        <v>111</v>
      </c>
      <c r="AD99" s="922" t="s">
        <v>112</v>
      </c>
      <c r="AE99" s="2244" t="s">
        <v>31</v>
      </c>
      <c r="AF99" s="922" t="s">
        <v>36</v>
      </c>
      <c r="AG99" s="1220" t="n">
        <f>SUM('7층_부하량(월간_AVG)'!N74:P74)</f>
        <v>2.650012601318398</v>
      </c>
      <c r="AH99" s="1223" t="n">
        <f>SUM('7층_부하량(월간_AVG)'!N42:P42)</f>
        <v>2.2106990843434486</v>
      </c>
      <c r="AI99" s="1327" t="n">
        <f t="shared" si="17"/>
        <v>4.860711685661847</v>
      </c>
      <c r="AJ99" s="3056" t="n" cm="1">
        <f t="array" ref="AJ99">INDEX('각층분기별_유효전력량(전월)'!L2:L2000,MATCH(1,("7-DaHall 1-PDU-01"='각층분기별_유효전력량(전월)'!J2:J2000)*("[branch#024] [A] kWh last month"='각층분기별_유효전력량(전월)'!K2:K2000),0))</f>
        <v>423.1</v>
      </c>
      <c r="AK99" s="3057" t="n" cm="1">
        <f t="array" ref="AK99">INDEX('각층분기별_유효전력량(전월)'!L2:L2000,MATCH(1,("7-DaHall 1-PDU-02"='각층분기별_유효전력량(전월)'!J2:J2000)*("[branch#024] [A] kWh last month"='각층분기별_유효전력량(전월)'!K2:K2000),0))</f>
        <v>339.2</v>
      </c>
      <c r="AL99" s="3065" t="n">
        <f t="shared" si="13"/>
        <v>762.3</v>
      </c>
      <c r="AM99" s="2744" t="s">
        <v>360</v>
      </c>
      <c r="AN99" s="1224" t="s">
        <v>361</v>
      </c>
    </row>
    <row r="100" spans="1:40" ht="40.5" x14ac:dyDescent="0.15">
      <c r="A100" s="3068"/>
      <c r="B100" s="2705" t="s">
        <v>355</v>
      </c>
      <c r="C100" s="2241" t="s">
        <v>356</v>
      </c>
      <c r="D100" s="2705" t="s">
        <v>357</v>
      </c>
      <c r="E100" s="2705" t="s">
        <v>27</v>
      </c>
      <c r="F100" s="2705"/>
      <c r="G100" s="1907" t="s">
        <v>9337</v>
      </c>
      <c r="H100" s="1915" t="s">
        <v>9338</v>
      </c>
      <c r="I100" s="1907" t="str">
        <f>"7-DaHall 1-"&amp;M100&amp;"-"&amp;L100&amp;"-"&amp;N100</f>
        <v>7-DaHall 1-PDU-01-30-26</v>
      </c>
      <c r="J100" s="1915" t="str">
        <f>"7-DaHall 1-"&amp;Q100&amp;"-"&amp;P100&amp;"-"&amp;R100</f>
        <v>7-DaHall 1-PDU-02-30-26</v>
      </c>
      <c r="K100" s="1909">
        <v>220</v>
      </c>
      <c r="L100" s="1910">
        <v>30</v>
      </c>
      <c r="M100" s="709" t="s">
        <v>9177</v>
      </c>
      <c r="N100" s="1911">
        <v>26</v>
      </c>
      <c r="O100" s="1916">
        <v>220</v>
      </c>
      <c r="P100" s="1917">
        <v>30</v>
      </c>
      <c r="Q100" s="693" t="s">
        <v>9178</v>
      </c>
      <c r="R100" s="1918">
        <v>26</v>
      </c>
      <c r="S100" s="709" t="s">
        <v>358</v>
      </c>
      <c r="T100" s="693" t="s">
        <v>359</v>
      </c>
      <c r="U100" s="739"/>
      <c r="V100" s="739"/>
      <c r="W100" s="739"/>
      <c r="X100" s="739"/>
      <c r="Y100" s="739"/>
      <c r="Z100" s="739"/>
      <c r="AA100" s="2244" t="s">
        <v>173</v>
      </c>
      <c r="AB100" s="922" t="s">
        <v>174</v>
      </c>
      <c r="AC100" s="2244" t="s">
        <v>111</v>
      </c>
      <c r="AD100" s="922" t="s">
        <v>112</v>
      </c>
      <c r="AE100" s="2244" t="s">
        <v>31</v>
      </c>
      <c r="AF100" s="922" t="s">
        <v>36</v>
      </c>
      <c r="AG100" s="1220" t="n">
        <f>SUM('7층_부하량(월간_AVG)'!N75:P75)</f>
        <v>3.3292442939519797</v>
      </c>
      <c r="AH100" s="1223" t="n">
        <f>SUM('7층_부하량(월간_AVG)'!N43:P43)</f>
        <v>3.043373083280092</v>
      </c>
      <c r="AI100" s="1327" t="n">
        <f t="shared" si="17"/>
        <v>6.372617377232071</v>
      </c>
      <c r="AJ100" s="3056" t="n" cm="1">
        <f t="array" ref="AJ100">INDEX('각층분기별_유효전력량(전월)'!L2:L2000,MATCH(1,("7-DaHall 1-PDU-01"='각층분기별_유효전력량(전월)'!J2:J2000)*("[branch#026] [A] kWh last month"='각층분기별_유효전력량(전월)'!K2:K2000),0))</f>
        <v>523.3</v>
      </c>
      <c r="AK100" s="3057" t="n" cm="1">
        <f t="array" ref="AK100">INDEX('각층분기별_유효전력량(전월)'!L2:L2000,MATCH(1,("7-DaHall 1-PDU-02"='각층분기별_유효전력량(전월)'!J2:J2000)*("[branch#026] [A] kWh last month"='각층분기별_유효전력량(전월)'!K2:K2000),0))</f>
        <v>560.3</v>
      </c>
      <c r="AL100" s="3065" t="n">
        <f t="shared" si="13"/>
        <v>1083.6</v>
      </c>
      <c r="AM100" s="2744" t="s">
        <v>360</v>
      </c>
      <c r="AN100" s="1224" t="s">
        <v>361</v>
      </c>
    </row>
    <row r="101" spans="1:40" ht="27.75" customHeight="1" x14ac:dyDescent="0.15">
      <c r="A101" s="3068"/>
      <c r="B101" s="2705" t="s">
        <v>348</v>
      </c>
      <c r="C101" s="2241" t="s">
        <v>349</v>
      </c>
      <c r="D101" s="2705" t="s">
        <v>350</v>
      </c>
      <c r="E101" s="2705" t="s">
        <v>27</v>
      </c>
      <c r="F101" s="2705"/>
      <c r="G101" s="1907" t="s">
        <v>9339</v>
      </c>
      <c r="H101" s="1915" t="s">
        <v>9340</v>
      </c>
      <c r="I101" s="1907" t="str">
        <f>"7-DaHall 1-"&amp;M101&amp;"-"&amp;L101&amp;"-"&amp;N101</f>
        <v>7-DaHall 1-PDU-01-30-28</v>
      </c>
      <c r="J101" s="1915" t="str">
        <f>"7-DaHall 1-"&amp;Q101&amp;"-"&amp;P101&amp;"-"&amp;R101</f>
        <v>7-DaHall 1-PDU-02-30-28</v>
      </c>
      <c r="K101" s="1909">
        <v>220</v>
      </c>
      <c r="L101" s="1910">
        <v>30</v>
      </c>
      <c r="M101" s="709" t="s">
        <v>9177</v>
      </c>
      <c r="N101" s="1911">
        <v>28</v>
      </c>
      <c r="O101" s="1916">
        <v>220</v>
      </c>
      <c r="P101" s="1917">
        <v>30</v>
      </c>
      <c r="Q101" s="693" t="s">
        <v>9178</v>
      </c>
      <c r="R101" s="1918">
        <v>28</v>
      </c>
      <c r="S101" s="709" t="s">
        <v>351</v>
      </c>
      <c r="T101" s="693" t="s">
        <v>352</v>
      </c>
      <c r="U101" s="739"/>
      <c r="V101" s="739"/>
      <c r="W101" s="739"/>
      <c r="X101" s="739"/>
      <c r="Y101" s="739"/>
      <c r="Z101" s="739"/>
      <c r="AA101" s="2244" t="s">
        <v>173</v>
      </c>
      <c r="AB101" s="922" t="s">
        <v>174</v>
      </c>
      <c r="AC101" s="2244" t="s">
        <v>111</v>
      </c>
      <c r="AD101" s="922" t="s">
        <v>112</v>
      </c>
      <c r="AE101" s="2244" t="s">
        <v>31</v>
      </c>
      <c r="AF101" s="922" t="s">
        <v>36</v>
      </c>
      <c r="AG101" s="1220" t="n">
        <f>SUM('7층_부하량(월간_AVG)'!N76:P76)</f>
        <v>5.4263676211081995</v>
      </c>
      <c r="AH101" s="1223" t="n">
        <f>SUM('7층_부하량(월간_AVG)'!N44:P44)</f>
        <v>5.662090203987628</v>
      </c>
      <c r="AI101" s="1327" t="n">
        <f t="shared" si="17"/>
        <v>11.088457825095826</v>
      </c>
      <c r="AJ101" s="3056" t="n" cm="1">
        <f t="array" ref="AJ101">INDEX('각층분기별_유효전력량(전월)'!L2:L2000,MATCH(1,("7-DaHall 1-PDU-01"='각층분기별_유효전력량(전월)'!J2:J2000)*("[branch#028] [A] kWh last month"='각층분기별_유효전력량(전월)'!K2:K2000),0))</f>
        <v>851.5</v>
      </c>
      <c r="AK101" s="3057" t="n" cm="1">
        <f t="array" ref="AK101">INDEX('각층분기별_유효전력량(전월)'!L2:L2000,MATCH(1,("7-DaHall 1-PDU-02"='각층분기별_유효전력량(전월)'!J2:J2000)*("[branch#028] [A] kWh last month"='각층분기별_유효전력량(전월)'!K2:K2000),0))</f>
        <v>893.8</v>
      </c>
      <c r="AL101" s="3065" t="n">
        <f t="shared" si="13"/>
        <v>1745.3</v>
      </c>
      <c r="AM101" s="2744" t="s">
        <v>353</v>
      </c>
      <c r="AN101" s="1224" t="s">
        <v>354</v>
      </c>
    </row>
    <row r="102" spans="1:40" ht="40.5" x14ac:dyDescent="0.15">
      <c r="A102" s="3068"/>
      <c r="B102" s="2711" t="s">
        <v>346</v>
      </c>
      <c r="C102" s="2243" t="s">
        <v>347</v>
      </c>
      <c r="D102" s="2733" t="s">
        <v>341</v>
      </c>
      <c r="E102" s="2733" t="s">
        <v>27</v>
      </c>
      <c r="F102" s="2184" t="s">
        <v>341</v>
      </c>
      <c r="G102" s="2185" t="s">
        <v>9341</v>
      </c>
      <c r="H102" s="2186" t="s">
        <v>9342</v>
      </c>
      <c r="I102" s="1907" t="str">
        <f>"7-DaHall 1-"&amp;M102&amp;"-"&amp;L102&amp;"-"&amp;N102</f>
        <v>7-DaHall 1-PDU-01-    30AT-40</v>
      </c>
      <c r="J102" s="1915" t="str">
        <f>"7-DaHall 1-"&amp;Q102&amp;"-"&amp;P102&amp;"-"&amp;R102</f>
        <v>7-DaHall 1-PDU-02-    30AT-40</v>
      </c>
      <c r="K102" s="2086" t="s">
        <v>342</v>
      </c>
      <c r="L102" s="2185" t="s">
        <v>343</v>
      </c>
      <c r="M102" s="2185" t="s">
        <v>9177</v>
      </c>
      <c r="N102" s="2190">
        <v>40</v>
      </c>
      <c r="O102" s="2191" t="s">
        <v>342</v>
      </c>
      <c r="P102" s="2191" t="s">
        <v>343</v>
      </c>
      <c r="Q102" s="2191" t="s">
        <v>9178</v>
      </c>
      <c r="R102" s="2186">
        <v>40</v>
      </c>
      <c r="S102" s="915"/>
      <c r="T102" s="971"/>
      <c r="U102" s="915"/>
      <c r="V102" s="971"/>
      <c r="W102" s="915"/>
      <c r="X102" s="971"/>
      <c r="Y102" s="915"/>
      <c r="Z102" s="971"/>
      <c r="AA102" s="2244" t="s">
        <v>173</v>
      </c>
      <c r="AB102" s="922" t="s">
        <v>174</v>
      </c>
      <c r="AC102" s="2244" t="s">
        <v>111</v>
      </c>
      <c r="AD102" s="922" t="s">
        <v>112</v>
      </c>
      <c r="AE102" s="2244" t="s">
        <v>31</v>
      </c>
      <c r="AF102" s="922" t="s">
        <v>36</v>
      </c>
      <c r="AG102" s="1220" t="n">
        <f>SUM('7층_부하량(월간_AVG)'!N82:P82)</f>
        <v>3.3337404242877358</v>
      </c>
      <c r="AH102" s="2194" t="n">
        <f>SUM('7층_부하량(월간_AVG)'!N50:P50)</f>
        <v>3.097088929113518</v>
      </c>
      <c r="AI102" s="1327" t="n">
        <f t="shared" si="17"/>
        <v>6.430829353401254</v>
      </c>
      <c r="AJ102" s="3056" t="n" cm="1">
        <f t="array" ref="AJ102">INDEX('각층분기별_유효전력량(전월)'!L2:L2000,MATCH(1,("7-DaHall 1-PDU-01"='각층분기별_유효전력량(전월)'!J2:J2000)*("[branch#040] [A] kWh last month"='각층분기별_유효전력량(전월)'!K2:K2000),0))</f>
        <v>523.3</v>
      </c>
      <c r="AK102" s="3057" t="n" cm="1">
        <f t="array" ref="AK102">INDEX('각층분기별_유효전력량(전월)'!L2:L2000,MATCH(1,("7-DaHall 1-PDU-02"='각층분기별_유효전력량(전월)'!J2:J2000)*("[branch#040] [A] kWh last month"='각층분기별_유효전력량(전월)'!K2:K2000),0))</f>
        <v>560.3</v>
      </c>
      <c r="AL102" s="3065" t="n">
        <f t="shared" si="13"/>
        <v>1083.6</v>
      </c>
      <c r="AM102" s="1357"/>
      <c r="AN102" s="1191"/>
    </row>
    <row r="103" spans="1:40" ht="40.5" x14ac:dyDescent="0.15">
      <c r="A103" s="3068"/>
      <c r="B103" s="2711" t="s">
        <v>344</v>
      </c>
      <c r="C103" s="2243" t="s">
        <v>345</v>
      </c>
      <c r="D103" s="2733" t="s">
        <v>341</v>
      </c>
      <c r="E103" s="2733" t="s">
        <v>27</v>
      </c>
      <c r="F103" s="2184" t="s">
        <v>341</v>
      </c>
      <c r="G103" s="2185" t="s">
        <v>9343</v>
      </c>
      <c r="H103" s="2186" t="s">
        <v>9344</v>
      </c>
      <c r="I103" s="1907" t="str">
        <f>"7-DaHall 1-"&amp;M103&amp;"-"&amp;L103&amp;"-"&amp;N103</f>
        <v>7-DaHall 1-PDU-01-    30AT-38</v>
      </c>
      <c r="J103" s="1915" t="str">
        <f>"7-DaHall 1-"&amp;Q103&amp;"-"&amp;P103&amp;"-"&amp;R103</f>
        <v>7-DaHall 1-PDU-02-    30AT-38</v>
      </c>
      <c r="K103" s="2086" t="s">
        <v>342</v>
      </c>
      <c r="L103" s="2185" t="s">
        <v>343</v>
      </c>
      <c r="M103" s="2185" t="s">
        <v>9177</v>
      </c>
      <c r="N103" s="2190">
        <v>38</v>
      </c>
      <c r="O103" s="2191" t="s">
        <v>342</v>
      </c>
      <c r="P103" s="2191" t="s">
        <v>343</v>
      </c>
      <c r="Q103" s="2191" t="s">
        <v>9178</v>
      </c>
      <c r="R103" s="2186">
        <v>38</v>
      </c>
      <c r="S103" s="915"/>
      <c r="T103" s="971"/>
      <c r="U103" s="915"/>
      <c r="V103" s="971"/>
      <c r="W103" s="915"/>
      <c r="X103" s="971"/>
      <c r="Y103" s="915"/>
      <c r="Z103" s="971"/>
      <c r="AA103" s="2244" t="s">
        <v>173</v>
      </c>
      <c r="AB103" s="922" t="s">
        <v>174</v>
      </c>
      <c r="AC103" s="2244" t="s">
        <v>111</v>
      </c>
      <c r="AD103" s="922" t="s">
        <v>112</v>
      </c>
      <c r="AE103" s="2244" t="s">
        <v>31</v>
      </c>
      <c r="AF103" s="922" t="s">
        <v>36</v>
      </c>
      <c r="AG103" s="1220" t="n">
        <f>SUM('7층_부하량(월간_AVG)'!N81:P81)</f>
        <v>2.606591865245277</v>
      </c>
      <c r="AH103" s="2194" t="n">
        <f>SUM('7층_부하량(월간_AVG)'!N49:P49)</f>
        <v>3.521365430818389</v>
      </c>
      <c r="AI103" s="1327" t="n">
        <f t="shared" si="17"/>
        <v>6.127957296063666</v>
      </c>
      <c r="AJ103" s="3056" t="n" cm="1">
        <f t="array" ref="AJ103">INDEX('각층분기별_유효전력량(전월)'!L2:L2000,MATCH(1,("7-DaHall 1-PDU-01"='각층분기별_유효전력량(전월)'!J2:J2000)*("[branch#038] [A] kWh last month"='각층분기별_유효전력량(전월)'!K2:K2000),0))</f>
        <v>395.8</v>
      </c>
      <c r="AK103" s="3057" t="n" cm="1">
        <f t="array" ref="AK103">INDEX('각층분기별_유효전력량(전월)'!L2:L2000,MATCH(1,("7-DaHall 1-PDU-02"='각층분기별_유효전력량(전월)'!J2:J2000)*("[branch#038] [A] kWh last month"='각층분기별_유효전력량(전월)'!K2:K2000),0))</f>
        <v>550.1</v>
      </c>
      <c r="AL103" s="3065" t="n">
        <f t="shared" si="13"/>
        <v>945.9000000000001</v>
      </c>
      <c r="AM103" s="1357"/>
      <c r="AN103" s="1190"/>
    </row>
    <row r="104" spans="1:40" ht="40.5" x14ac:dyDescent="0.15">
      <c r="A104" s="3068"/>
      <c r="B104" s="2705" t="s">
        <v>340</v>
      </c>
      <c r="C104" s="2744" t="s">
        <v>341</v>
      </c>
      <c r="D104" s="2744" t="s">
        <v>341</v>
      </c>
      <c r="E104" s="2744" t="s">
        <v>27</v>
      </c>
      <c r="F104" s="2744" t="s">
        <v>341</v>
      </c>
      <c r="G104" s="1907" t="s">
        <v>9345</v>
      </c>
      <c r="H104" s="2183" t="s">
        <v>9346</v>
      </c>
      <c r="I104" s="1907" t="str">
        <f t="shared" ref="I104:I117" si="20">"7-DaHall 1-"&amp;M104&amp;"-"&amp;L104&amp;"-"&amp;N104</f>
        <v>7-DaHall 1-PDU-01-    30AT-36</v>
      </c>
      <c r="J104" s="1915" t="str">
        <f t="shared" ref="J104:J117" si="21">"7-DaHall 1-"&amp;Q104&amp;"-"&amp;P104&amp;"-"&amp;R104</f>
        <v>7-DaHall 1-PDU-02-    30AT-36</v>
      </c>
      <c r="K104" s="1907" t="s">
        <v>342</v>
      </c>
      <c r="L104" s="2187" t="s">
        <v>343</v>
      </c>
      <c r="M104" s="2187" t="s">
        <v>9177</v>
      </c>
      <c r="N104" s="2188">
        <v>36</v>
      </c>
      <c r="O104" s="2189" t="s">
        <v>342</v>
      </c>
      <c r="P104" s="2189" t="s">
        <v>343</v>
      </c>
      <c r="Q104" s="2189" t="s">
        <v>9178</v>
      </c>
      <c r="R104" s="2183">
        <v>36</v>
      </c>
      <c r="S104" s="709"/>
      <c r="T104" s="693"/>
      <c r="U104" s="2192"/>
      <c r="V104" s="2719"/>
      <c r="W104" s="1068"/>
      <c r="X104" s="2193"/>
      <c r="Y104" s="1068"/>
      <c r="Z104" s="2193"/>
      <c r="AA104" s="2244" t="s">
        <v>173</v>
      </c>
      <c r="AB104" s="922" t="s">
        <v>174</v>
      </c>
      <c r="AC104" s="2244" t="s">
        <v>111</v>
      </c>
      <c r="AD104" s="922" t="s">
        <v>112</v>
      </c>
      <c r="AE104" s="2244" t="s">
        <v>31</v>
      </c>
      <c r="AF104" s="922" t="s">
        <v>36</v>
      </c>
      <c r="AG104" s="1220" t="n">
        <f>SUM('7층_부하량(월간_AVG)'!N80:P80)</f>
        <v>1.6549319905541042</v>
      </c>
      <c r="AH104" s="2194" t="n">
        <f>SUM('7층_부하량(월간_AVG)'!N48:P48)</f>
        <v>1.645091779744772</v>
      </c>
      <c r="AI104" s="1327" t="n">
        <f t="shared" si="17"/>
        <v>3.300023770298876</v>
      </c>
      <c r="AJ104" s="3056" t="n" cm="1">
        <f t="array" ref="AJ104">INDEX('각층분기별_유효전력량(전월)'!L2:L2000,MATCH(1,("7-DaHall 1-PDU-01"='각층분기별_유효전력량(전월)'!J2:J2000)*("[branch#036] [A] kWh last month"='각층분기별_유효전력량(전월)'!K2:K2000),0))</f>
        <v>273.4</v>
      </c>
      <c r="AK104" s="3057" t="n" cm="1">
        <f t="array" ref="AK104">INDEX('각층분기별_유효전력량(전월)'!L2:L2000,MATCH(1,("7-DaHall 1-PDU-02"='각층분기별_유효전력량(전월)'!J2:J2000)*("[branch#036] [A] kWh last month"='각층분기별_유효전력량(전월)'!K2:K2000),0))</f>
        <v>272.2</v>
      </c>
      <c r="AL104" s="3065" t="n">
        <f t="shared" si="13"/>
        <v>545.5999999999999</v>
      </c>
      <c r="AM104" s="2744"/>
      <c r="AN104" s="2729"/>
    </row>
    <row r="105" spans="1:40" ht="54" hidden="1" customHeight="1" x14ac:dyDescent="0.15">
      <c r="A105" s="3068"/>
      <c r="B105" s="2705" t="s">
        <v>234</v>
      </c>
      <c r="C105" s="2239" t="s">
        <v>235</v>
      </c>
      <c r="D105" s="2705" t="s">
        <v>236</v>
      </c>
      <c r="E105" s="2705"/>
      <c r="F105" s="2705" t="s">
        <v>27</v>
      </c>
      <c r="G105" s="1887" t="s">
        <v>9347</v>
      </c>
      <c r="H105" s="1919" t="s">
        <v>9348</v>
      </c>
      <c r="I105" s="1887" t="str">
        <f t="shared" si="20"/>
        <v>7-DaHall 1-A-3-35-22</v>
      </c>
      <c r="J105" s="1919" t="str">
        <f t="shared" si="21"/>
        <v>7-DaHall 1-B-3-35-22</v>
      </c>
      <c r="K105" s="1889">
        <v>48</v>
      </c>
      <c r="L105" s="1890">
        <v>35</v>
      </c>
      <c r="M105" s="2740" t="s">
        <v>190</v>
      </c>
      <c r="N105" s="1891">
        <v>22</v>
      </c>
      <c r="O105" s="1929">
        <v>48</v>
      </c>
      <c r="P105" s="1930">
        <v>35</v>
      </c>
      <c r="Q105" s="2722" t="s">
        <v>191</v>
      </c>
      <c r="R105" s="1920">
        <v>22</v>
      </c>
      <c r="S105" s="2740" t="s">
        <v>237</v>
      </c>
      <c r="T105" s="2722" t="s">
        <v>238</v>
      </c>
      <c r="U105" s="3073" t="s">
        <v>194</v>
      </c>
      <c r="V105" s="3072" t="s">
        <v>195</v>
      </c>
      <c r="W105" s="2244" t="s">
        <v>47</v>
      </c>
      <c r="X105" s="922" t="s">
        <v>48</v>
      </c>
      <c r="Y105" s="2244" t="s">
        <v>49</v>
      </c>
      <c r="Z105" s="922" t="s">
        <v>50</v>
      </c>
      <c r="AA105" s="2244" t="s">
        <v>51</v>
      </c>
      <c r="AB105" s="922" t="s">
        <v>52</v>
      </c>
      <c r="AC105" s="2244" t="s">
        <v>30</v>
      </c>
      <c r="AD105" s="922" t="s">
        <v>35</v>
      </c>
      <c r="AE105" s="2244" t="s">
        <v>31</v>
      </c>
      <c r="AF105" s="922" t="s">
        <v>36</v>
      </c>
      <c r="AG105" s="681"/>
      <c r="AH105" s="682"/>
      <c r="AI105" s="2746"/>
      <c r="AJ105" s="3060"/>
      <c r="AK105" s="3061"/>
      <c r="AL105" s="3062" t="n">
        <f t="shared" si="13"/>
        <v>0.0</v>
      </c>
      <c r="AM105" s="2744"/>
      <c r="AN105" s="2747"/>
    </row>
    <row r="106" spans="1:40" ht="54" hidden="1" customHeight="1" x14ac:dyDescent="0.15">
      <c r="A106" s="3068"/>
      <c r="B106" s="2705" t="s">
        <v>229</v>
      </c>
      <c r="C106" s="2239" t="s">
        <v>230</v>
      </c>
      <c r="D106" s="2705" t="s">
        <v>231</v>
      </c>
      <c r="E106" s="2705"/>
      <c r="F106" s="2705" t="s">
        <v>27</v>
      </c>
      <c r="G106" s="1887" t="s">
        <v>9349</v>
      </c>
      <c r="H106" s="1919" t="s">
        <v>9350</v>
      </c>
      <c r="I106" s="1887" t="str">
        <f t="shared" si="20"/>
        <v>7-DaHall 1-A-3-35-51</v>
      </c>
      <c r="J106" s="1919" t="str">
        <f t="shared" si="21"/>
        <v>7-DaHall 1-B-3-35-51</v>
      </c>
      <c r="K106" s="1889">
        <v>48</v>
      </c>
      <c r="L106" s="1890">
        <v>35</v>
      </c>
      <c r="M106" s="2740" t="s">
        <v>190</v>
      </c>
      <c r="N106" s="1891">
        <v>51</v>
      </c>
      <c r="O106" s="1929">
        <v>48</v>
      </c>
      <c r="P106" s="1930">
        <v>35</v>
      </c>
      <c r="Q106" s="2722" t="s">
        <v>191</v>
      </c>
      <c r="R106" s="1920">
        <v>51</v>
      </c>
      <c r="S106" s="2740" t="s">
        <v>232</v>
      </c>
      <c r="T106" s="2722" t="s">
        <v>233</v>
      </c>
      <c r="U106" s="3073" t="s">
        <v>194</v>
      </c>
      <c r="V106" s="3072" t="s">
        <v>195</v>
      </c>
      <c r="W106" s="2244" t="s">
        <v>47</v>
      </c>
      <c r="X106" s="922" t="s">
        <v>48</v>
      </c>
      <c r="Y106" s="2244" t="s">
        <v>49</v>
      </c>
      <c r="Z106" s="922" t="s">
        <v>50</v>
      </c>
      <c r="AA106" s="2244" t="s">
        <v>51</v>
      </c>
      <c r="AB106" s="922" t="s">
        <v>52</v>
      </c>
      <c r="AC106" s="2244" t="s">
        <v>30</v>
      </c>
      <c r="AD106" s="922" t="s">
        <v>35</v>
      </c>
      <c r="AE106" s="2244" t="s">
        <v>31</v>
      </c>
      <c r="AF106" s="922" t="s">
        <v>36</v>
      </c>
      <c r="AG106" s="681"/>
      <c r="AH106" s="682"/>
      <c r="AI106" s="2746"/>
      <c r="AJ106" s="3060"/>
      <c r="AK106" s="3061"/>
      <c r="AL106" s="3062" t="n">
        <f t="shared" si="13"/>
        <v>0.0</v>
      </c>
      <c r="AM106" s="2744"/>
      <c r="AN106" s="2747"/>
    </row>
    <row r="107" spans="1:40" ht="54" hidden="1" customHeight="1" x14ac:dyDescent="0.15">
      <c r="A107" s="3068"/>
      <c r="B107" s="2705" t="s">
        <v>224</v>
      </c>
      <c r="C107" s="2239" t="s">
        <v>225</v>
      </c>
      <c r="D107" s="2705" t="s">
        <v>226</v>
      </c>
      <c r="E107" s="2705"/>
      <c r="F107" s="2705" t="s">
        <v>27</v>
      </c>
      <c r="G107" s="1887" t="s">
        <v>9351</v>
      </c>
      <c r="H107" s="1919" t="s">
        <v>9352</v>
      </c>
      <c r="I107" s="1887" t="str">
        <f t="shared" si="20"/>
        <v>7-DaHall 1-A-3-35-50</v>
      </c>
      <c r="J107" s="1919" t="str">
        <f t="shared" si="21"/>
        <v>7-DaHall 1-B-3-35-50</v>
      </c>
      <c r="K107" s="1889">
        <v>48</v>
      </c>
      <c r="L107" s="1890">
        <v>35</v>
      </c>
      <c r="M107" s="2740" t="s">
        <v>190</v>
      </c>
      <c r="N107" s="1891">
        <v>50</v>
      </c>
      <c r="O107" s="1929">
        <v>48</v>
      </c>
      <c r="P107" s="1930">
        <v>35</v>
      </c>
      <c r="Q107" s="2722" t="s">
        <v>191</v>
      </c>
      <c r="R107" s="1920">
        <v>50</v>
      </c>
      <c r="S107" s="2740" t="s">
        <v>227</v>
      </c>
      <c r="T107" s="2722" t="s">
        <v>228</v>
      </c>
      <c r="U107" s="3073" t="s">
        <v>194</v>
      </c>
      <c r="V107" s="3072" t="s">
        <v>195</v>
      </c>
      <c r="W107" s="2244" t="s">
        <v>47</v>
      </c>
      <c r="X107" s="922" t="s">
        <v>48</v>
      </c>
      <c r="Y107" s="2244" t="s">
        <v>49</v>
      </c>
      <c r="Z107" s="922" t="s">
        <v>50</v>
      </c>
      <c r="AA107" s="2244" t="s">
        <v>51</v>
      </c>
      <c r="AB107" s="922" t="s">
        <v>52</v>
      </c>
      <c r="AC107" s="2244" t="s">
        <v>30</v>
      </c>
      <c r="AD107" s="922" t="s">
        <v>35</v>
      </c>
      <c r="AE107" s="2244" t="s">
        <v>31</v>
      </c>
      <c r="AF107" s="922" t="s">
        <v>36</v>
      </c>
      <c r="AG107" s="681"/>
      <c r="AH107" s="682"/>
      <c r="AI107" s="2746"/>
      <c r="AJ107" s="3060"/>
      <c r="AK107" s="3061"/>
      <c r="AL107" s="3062" t="n">
        <f t="shared" si="13"/>
        <v>0.0</v>
      </c>
      <c r="AM107" s="2744"/>
      <c r="AN107" s="2747"/>
    </row>
    <row r="108" spans="1:40" ht="54" hidden="1" customHeight="1" x14ac:dyDescent="0.15">
      <c r="A108" s="3068"/>
      <c r="B108" s="2705" t="s">
        <v>219</v>
      </c>
      <c r="C108" s="2239" t="s">
        <v>220</v>
      </c>
      <c r="D108" s="2705" t="s">
        <v>221</v>
      </c>
      <c r="E108" s="2705"/>
      <c r="F108" s="2705" t="s">
        <v>27</v>
      </c>
      <c r="G108" s="1887" t="s">
        <v>9353</v>
      </c>
      <c r="H108" s="1919" t="s">
        <v>9354</v>
      </c>
      <c r="I108" s="1887" t="str">
        <f t="shared" si="20"/>
        <v>7-DaHall 1-A-3-50-49</v>
      </c>
      <c r="J108" s="1919" t="str">
        <f t="shared" si="21"/>
        <v>7-DaHall 1-B-3-35-49</v>
      </c>
      <c r="K108" s="1889">
        <v>48</v>
      </c>
      <c r="L108" s="1890">
        <v>50</v>
      </c>
      <c r="M108" s="2740" t="s">
        <v>190</v>
      </c>
      <c r="N108" s="1891">
        <v>49</v>
      </c>
      <c r="O108" s="1929">
        <v>48</v>
      </c>
      <c r="P108" s="1930">
        <v>35</v>
      </c>
      <c r="Q108" s="2722" t="s">
        <v>191</v>
      </c>
      <c r="R108" s="1920">
        <v>49</v>
      </c>
      <c r="S108" s="2740" t="s">
        <v>222</v>
      </c>
      <c r="T108" s="2722" t="s">
        <v>223</v>
      </c>
      <c r="U108" s="3073" t="s">
        <v>194</v>
      </c>
      <c r="V108" s="3072" t="s">
        <v>195</v>
      </c>
      <c r="W108" s="2244" t="s">
        <v>47</v>
      </c>
      <c r="X108" s="922" t="s">
        <v>48</v>
      </c>
      <c r="Y108" s="2244" t="s">
        <v>49</v>
      </c>
      <c r="Z108" s="922" t="s">
        <v>50</v>
      </c>
      <c r="AA108" s="2244" t="s">
        <v>51</v>
      </c>
      <c r="AB108" s="922" t="s">
        <v>52</v>
      </c>
      <c r="AC108" s="2244" t="s">
        <v>30</v>
      </c>
      <c r="AD108" s="922" t="s">
        <v>35</v>
      </c>
      <c r="AE108" s="2244" t="s">
        <v>31</v>
      </c>
      <c r="AF108" s="922" t="s">
        <v>36</v>
      </c>
      <c r="AG108" s="681"/>
      <c r="AH108" s="682"/>
      <c r="AI108" s="2746"/>
      <c r="AJ108" s="3060"/>
      <c r="AK108" s="3061"/>
      <c r="AL108" s="3062" t="n">
        <f t="shared" si="13"/>
        <v>0.0</v>
      </c>
      <c r="AM108" s="2744"/>
      <c r="AN108" s="2747"/>
    </row>
    <row r="109" spans="1:40" ht="54" hidden="1" customHeight="1" x14ac:dyDescent="0.15">
      <c r="A109" s="3068"/>
      <c r="B109" s="2705" t="s">
        <v>214</v>
      </c>
      <c r="C109" s="2239" t="s">
        <v>215</v>
      </c>
      <c r="D109" s="2705" t="s">
        <v>216</v>
      </c>
      <c r="E109" s="2705"/>
      <c r="F109" s="2705" t="s">
        <v>27</v>
      </c>
      <c r="G109" s="1887" t="s">
        <v>9355</v>
      </c>
      <c r="H109" s="1919" t="s">
        <v>9356</v>
      </c>
      <c r="I109" s="1887" t="str">
        <f t="shared" si="20"/>
        <v>7-DaHall 1-A-3-50-21</v>
      </c>
      <c r="J109" s="1919" t="str">
        <f t="shared" si="21"/>
        <v>7-DaHall 1-B-3-50-21</v>
      </c>
      <c r="K109" s="1889">
        <v>48</v>
      </c>
      <c r="L109" s="1890">
        <v>50</v>
      </c>
      <c r="M109" s="2740" t="s">
        <v>190</v>
      </c>
      <c r="N109" s="1891">
        <v>21</v>
      </c>
      <c r="O109" s="1929">
        <v>48</v>
      </c>
      <c r="P109" s="1930">
        <v>50</v>
      </c>
      <c r="Q109" s="2722" t="s">
        <v>191</v>
      </c>
      <c r="R109" s="1920">
        <v>21</v>
      </c>
      <c r="S109" s="2740" t="s">
        <v>217</v>
      </c>
      <c r="T109" s="2722" t="s">
        <v>218</v>
      </c>
      <c r="U109" s="3073" t="s">
        <v>194</v>
      </c>
      <c r="V109" s="3072" t="s">
        <v>195</v>
      </c>
      <c r="W109" s="2244" t="s">
        <v>47</v>
      </c>
      <c r="X109" s="922" t="s">
        <v>48</v>
      </c>
      <c r="Y109" s="2244" t="s">
        <v>49</v>
      </c>
      <c r="Z109" s="922" t="s">
        <v>50</v>
      </c>
      <c r="AA109" s="2244" t="s">
        <v>51</v>
      </c>
      <c r="AB109" s="922" t="s">
        <v>52</v>
      </c>
      <c r="AC109" s="2244" t="s">
        <v>30</v>
      </c>
      <c r="AD109" s="922" t="s">
        <v>35</v>
      </c>
      <c r="AE109" s="2244" t="s">
        <v>31</v>
      </c>
      <c r="AF109" s="922" t="s">
        <v>36</v>
      </c>
      <c r="AG109" s="681"/>
      <c r="AH109" s="682"/>
      <c r="AI109" s="2746"/>
      <c r="AJ109" s="3060"/>
      <c r="AK109" s="3061"/>
      <c r="AL109" s="3062" t="n">
        <f t="shared" si="13"/>
        <v>0.0</v>
      </c>
      <c r="AM109" s="2744"/>
      <c r="AN109" s="2747"/>
    </row>
    <row r="110" spans="1:40" ht="54" hidden="1" customHeight="1" x14ac:dyDescent="0.15">
      <c r="A110" s="3068"/>
      <c r="B110" s="2705" t="s">
        <v>209</v>
      </c>
      <c r="C110" s="2239" t="s">
        <v>210</v>
      </c>
      <c r="D110" s="2705" t="s">
        <v>211</v>
      </c>
      <c r="E110" s="2705"/>
      <c r="F110" s="2705" t="s">
        <v>27</v>
      </c>
      <c r="G110" s="1887" t="s">
        <v>9357</v>
      </c>
      <c r="H110" s="1919" t="s">
        <v>9358</v>
      </c>
      <c r="I110" s="1887" t="str">
        <f t="shared" si="20"/>
        <v>7-DaHall 1-A-3-35-20</v>
      </c>
      <c r="J110" s="1919" t="str">
        <f t="shared" si="21"/>
        <v>7-DaHall 1-B-3-50-20</v>
      </c>
      <c r="K110" s="1889">
        <v>48</v>
      </c>
      <c r="L110" s="1890">
        <v>35</v>
      </c>
      <c r="M110" s="2740" t="s">
        <v>190</v>
      </c>
      <c r="N110" s="1891">
        <v>20</v>
      </c>
      <c r="O110" s="1929">
        <v>48</v>
      </c>
      <c r="P110" s="1930">
        <v>50</v>
      </c>
      <c r="Q110" s="2722" t="s">
        <v>191</v>
      </c>
      <c r="R110" s="1920">
        <v>20</v>
      </c>
      <c r="S110" s="2740" t="s">
        <v>212</v>
      </c>
      <c r="T110" s="2722" t="s">
        <v>213</v>
      </c>
      <c r="U110" s="3073" t="s">
        <v>194</v>
      </c>
      <c r="V110" s="3072" t="s">
        <v>195</v>
      </c>
      <c r="W110" s="2244" t="s">
        <v>47</v>
      </c>
      <c r="X110" s="922" t="s">
        <v>48</v>
      </c>
      <c r="Y110" s="2244" t="s">
        <v>49</v>
      </c>
      <c r="Z110" s="922" t="s">
        <v>50</v>
      </c>
      <c r="AA110" s="2244" t="s">
        <v>51</v>
      </c>
      <c r="AB110" s="922" t="s">
        <v>52</v>
      </c>
      <c r="AC110" s="2244" t="s">
        <v>30</v>
      </c>
      <c r="AD110" s="922" t="s">
        <v>35</v>
      </c>
      <c r="AE110" s="2244" t="s">
        <v>31</v>
      </c>
      <c r="AF110" s="922" t="s">
        <v>36</v>
      </c>
      <c r="AG110" s="681"/>
      <c r="AH110" s="682"/>
      <c r="AI110" s="2746"/>
      <c r="AJ110" s="3060"/>
      <c r="AK110" s="3061"/>
      <c r="AL110" s="3062" t="n">
        <f t="shared" si="13"/>
        <v>0.0</v>
      </c>
      <c r="AM110" s="2744"/>
      <c r="AN110" s="2747"/>
    </row>
    <row r="111" spans="1:40" ht="54" hidden="1" customHeight="1" x14ac:dyDescent="0.15">
      <c r="A111" s="3068"/>
      <c r="B111" s="3146" t="s">
        <v>201</v>
      </c>
      <c r="C111" s="3154" t="s">
        <v>202</v>
      </c>
      <c r="D111" s="3146" t="s">
        <v>203</v>
      </c>
      <c r="E111" s="2705"/>
      <c r="F111" s="2705" t="s">
        <v>27</v>
      </c>
      <c r="G111" s="1887" t="s">
        <v>9359</v>
      </c>
      <c r="H111" s="1919" t="s">
        <v>9360</v>
      </c>
      <c r="I111" s="1887" t="str">
        <f t="shared" si="20"/>
        <v>7-DaHall 1-A-3-35-52</v>
      </c>
      <c r="J111" s="1919" t="str">
        <f t="shared" si="21"/>
        <v>7-DaHall 1-B-3-35-23</v>
      </c>
      <c r="K111" s="1889">
        <v>48</v>
      </c>
      <c r="L111" s="1890">
        <v>35</v>
      </c>
      <c r="M111" s="2740" t="s">
        <v>190</v>
      </c>
      <c r="N111" s="1891">
        <v>52</v>
      </c>
      <c r="O111" s="1929">
        <v>48</v>
      </c>
      <c r="P111" s="1930">
        <v>35</v>
      </c>
      <c r="Q111" s="2722" t="s">
        <v>191</v>
      </c>
      <c r="R111" s="1920">
        <v>23</v>
      </c>
      <c r="S111" s="2740" t="s">
        <v>204</v>
      </c>
      <c r="T111" s="2722" t="s">
        <v>205</v>
      </c>
      <c r="U111" s="3073" t="s">
        <v>194</v>
      </c>
      <c r="V111" s="3072" t="s">
        <v>195</v>
      </c>
      <c r="W111" s="2244" t="s">
        <v>47</v>
      </c>
      <c r="X111" s="922" t="s">
        <v>48</v>
      </c>
      <c r="Y111" s="2244" t="s">
        <v>49</v>
      </c>
      <c r="Z111" s="922" t="s">
        <v>50</v>
      </c>
      <c r="AA111" s="2244" t="s">
        <v>51</v>
      </c>
      <c r="AB111" s="922" t="s">
        <v>52</v>
      </c>
      <c r="AC111" s="2244" t="s">
        <v>30</v>
      </c>
      <c r="AD111" s="922" t="s">
        <v>35</v>
      </c>
      <c r="AE111" s="2244" t="s">
        <v>31</v>
      </c>
      <c r="AF111" s="922" t="s">
        <v>36</v>
      </c>
      <c r="AG111" s="691"/>
      <c r="AH111" s="692"/>
      <c r="AI111" s="2746"/>
      <c r="AJ111" s="3060"/>
      <c r="AK111" s="3061"/>
      <c r="AL111" s="3062" t="n">
        <f t="shared" si="13"/>
        <v>0.0</v>
      </c>
      <c r="AM111" s="2744"/>
      <c r="AN111" s="3075" t="s">
        <v>206</v>
      </c>
    </row>
    <row r="112" spans="1:40" ht="54" hidden="1" customHeight="1" x14ac:dyDescent="0.15">
      <c r="A112" s="3068"/>
      <c r="B112" s="3147"/>
      <c r="C112" s="3155"/>
      <c r="D112" s="3147"/>
      <c r="E112" s="2705"/>
      <c r="F112" s="2705" t="s">
        <v>27</v>
      </c>
      <c r="G112" s="1887" t="s">
        <v>9361</v>
      </c>
      <c r="H112" s="1919" t="s">
        <v>9362</v>
      </c>
      <c r="I112" s="1887" t="str">
        <f t="shared" si="20"/>
        <v>7-DaHall 1-A-3-35-55</v>
      </c>
      <c r="J112" s="1919" t="str">
        <f t="shared" si="21"/>
        <v>7-DaHall 1-B-3-35-54</v>
      </c>
      <c r="K112" s="1889">
        <v>48</v>
      </c>
      <c r="L112" s="1890">
        <v>35</v>
      </c>
      <c r="M112" s="2740" t="s">
        <v>190</v>
      </c>
      <c r="N112" s="1891">
        <v>55</v>
      </c>
      <c r="O112" s="1929">
        <v>48</v>
      </c>
      <c r="P112" s="1930">
        <v>35</v>
      </c>
      <c r="Q112" s="2722" t="s">
        <v>191</v>
      </c>
      <c r="R112" s="1920">
        <v>54</v>
      </c>
      <c r="S112" s="2740" t="s">
        <v>207</v>
      </c>
      <c r="T112" s="2722" t="s">
        <v>208</v>
      </c>
      <c r="U112" s="3073" t="s">
        <v>194</v>
      </c>
      <c r="V112" s="3072" t="s">
        <v>195</v>
      </c>
      <c r="W112" s="2244" t="s">
        <v>47</v>
      </c>
      <c r="X112" s="922" t="s">
        <v>48</v>
      </c>
      <c r="Y112" s="2244" t="s">
        <v>49</v>
      </c>
      <c r="Z112" s="922" t="s">
        <v>50</v>
      </c>
      <c r="AA112" s="2244" t="s">
        <v>51</v>
      </c>
      <c r="AB112" s="922" t="s">
        <v>52</v>
      </c>
      <c r="AC112" s="2244" t="s">
        <v>30</v>
      </c>
      <c r="AD112" s="922" t="s">
        <v>35</v>
      </c>
      <c r="AE112" s="2244" t="s">
        <v>31</v>
      </c>
      <c r="AF112" s="922" t="s">
        <v>36</v>
      </c>
      <c r="AG112" s="691"/>
      <c r="AH112" s="692"/>
      <c r="AI112" s="2746"/>
      <c r="AJ112" s="3060"/>
      <c r="AK112" s="3061"/>
      <c r="AL112" s="3062" t="n">
        <f t="shared" si="13"/>
        <v>0.0</v>
      </c>
      <c r="AM112" s="2744"/>
      <c r="AN112" s="3076"/>
    </row>
    <row r="113" spans="1:40" ht="54" hidden="1" customHeight="1" x14ac:dyDescent="0.15">
      <c r="A113" s="3068"/>
      <c r="B113" s="2705" t="s">
        <v>196</v>
      </c>
      <c r="C113" s="2239" t="s">
        <v>197</v>
      </c>
      <c r="D113" s="2705" t="s">
        <v>198</v>
      </c>
      <c r="E113" s="2705"/>
      <c r="F113" s="2705" t="s">
        <v>27</v>
      </c>
      <c r="G113" s="1887" t="s">
        <v>9363</v>
      </c>
      <c r="H113" s="1919" t="s">
        <v>9364</v>
      </c>
      <c r="I113" s="1887" t="str">
        <f t="shared" si="20"/>
        <v>7-DaHall 1-A-3-35-19</v>
      </c>
      <c r="J113" s="1919" t="str">
        <f t="shared" si="21"/>
        <v>7-DaHall 1-B-3-50-19</v>
      </c>
      <c r="K113" s="1889">
        <v>48</v>
      </c>
      <c r="L113" s="1890">
        <v>35</v>
      </c>
      <c r="M113" s="2740" t="s">
        <v>190</v>
      </c>
      <c r="N113" s="1891">
        <v>19</v>
      </c>
      <c r="O113" s="1929">
        <v>48</v>
      </c>
      <c r="P113" s="1930">
        <v>50</v>
      </c>
      <c r="Q113" s="2722" t="s">
        <v>191</v>
      </c>
      <c r="R113" s="1920">
        <v>19</v>
      </c>
      <c r="S113" s="2740" t="s">
        <v>199</v>
      </c>
      <c r="T113" s="2722" t="s">
        <v>200</v>
      </c>
      <c r="U113" s="3073" t="s">
        <v>194</v>
      </c>
      <c r="V113" s="3072" t="s">
        <v>195</v>
      </c>
      <c r="W113" s="2244" t="s">
        <v>47</v>
      </c>
      <c r="X113" s="922" t="s">
        <v>48</v>
      </c>
      <c r="Y113" s="2244" t="s">
        <v>49</v>
      </c>
      <c r="Z113" s="922" t="s">
        <v>50</v>
      </c>
      <c r="AA113" s="2244" t="s">
        <v>51</v>
      </c>
      <c r="AB113" s="922" t="s">
        <v>52</v>
      </c>
      <c r="AC113" s="2244" t="s">
        <v>30</v>
      </c>
      <c r="AD113" s="922" t="s">
        <v>35</v>
      </c>
      <c r="AE113" s="2244" t="s">
        <v>31</v>
      </c>
      <c r="AF113" s="922" t="s">
        <v>36</v>
      </c>
      <c r="AG113" s="681"/>
      <c r="AH113" s="682"/>
      <c r="AI113" s="2746"/>
      <c r="AJ113" s="3060"/>
      <c r="AK113" s="3061"/>
      <c r="AL113" s="3062" t="n">
        <f t="shared" si="13"/>
        <v>0.0</v>
      </c>
      <c r="AM113" s="2744"/>
      <c r="AN113" s="2747"/>
    </row>
    <row r="114" spans="1:40" ht="54" hidden="1" customHeight="1" x14ac:dyDescent="0.15">
      <c r="A114" s="3068"/>
      <c r="B114" s="2705" t="s">
        <v>187</v>
      </c>
      <c r="C114" s="2239" t="s">
        <v>188</v>
      </c>
      <c r="D114" s="2705" t="s">
        <v>189</v>
      </c>
      <c r="E114" s="2705"/>
      <c r="F114" s="2705" t="s">
        <v>27</v>
      </c>
      <c r="G114" s="1887" t="s">
        <v>9365</v>
      </c>
      <c r="H114" s="1919" t="s">
        <v>9366</v>
      </c>
      <c r="I114" s="1887" t="str">
        <f t="shared" si="20"/>
        <v>7-DaHall 1-A-3-35-18</v>
      </c>
      <c r="J114" s="1919" t="str">
        <f t="shared" si="21"/>
        <v>7-DaHall 1-B-3-35-18</v>
      </c>
      <c r="K114" s="1889">
        <v>48</v>
      </c>
      <c r="L114" s="1890">
        <v>35</v>
      </c>
      <c r="M114" s="2740" t="s">
        <v>190</v>
      </c>
      <c r="N114" s="1891">
        <v>18</v>
      </c>
      <c r="O114" s="1929">
        <v>48</v>
      </c>
      <c r="P114" s="1930">
        <v>35</v>
      </c>
      <c r="Q114" s="2722" t="s">
        <v>191</v>
      </c>
      <c r="R114" s="1920">
        <v>18</v>
      </c>
      <c r="S114" s="2740" t="s">
        <v>192</v>
      </c>
      <c r="T114" s="2722" t="s">
        <v>193</v>
      </c>
      <c r="U114" s="3073" t="s">
        <v>194</v>
      </c>
      <c r="V114" s="3072" t="s">
        <v>195</v>
      </c>
      <c r="W114" s="2244" t="s">
        <v>47</v>
      </c>
      <c r="X114" s="922" t="s">
        <v>48</v>
      </c>
      <c r="Y114" s="2244" t="s">
        <v>49</v>
      </c>
      <c r="Z114" s="922" t="s">
        <v>50</v>
      </c>
      <c r="AA114" s="2244" t="s">
        <v>51</v>
      </c>
      <c r="AB114" s="922" t="s">
        <v>52</v>
      </c>
      <c r="AC114" s="2244" t="s">
        <v>30</v>
      </c>
      <c r="AD114" s="922" t="s">
        <v>35</v>
      </c>
      <c r="AE114" s="2244" t="s">
        <v>31</v>
      </c>
      <c r="AF114" s="922" t="s">
        <v>36</v>
      </c>
      <c r="AG114" s="681"/>
      <c r="AH114" s="682"/>
      <c r="AI114" s="2746"/>
      <c r="AJ114" s="3060"/>
      <c r="AK114" s="3061"/>
      <c r="AL114" s="3062" t="n">
        <f t="shared" si="13"/>
        <v>0.0</v>
      </c>
      <c r="AM114" s="2744"/>
      <c r="AN114" s="2747"/>
    </row>
    <row r="115" spans="1:40" ht="32.1" hidden="1" customHeight="1" x14ac:dyDescent="0.15">
      <c r="A115" s="3068"/>
      <c r="B115" s="2705" t="s">
        <v>182</v>
      </c>
      <c r="C115" s="2239" t="s">
        <v>183</v>
      </c>
      <c r="D115" s="2705" t="s">
        <v>184</v>
      </c>
      <c r="E115" s="2705"/>
      <c r="F115" s="2705" t="s">
        <v>27</v>
      </c>
      <c r="G115" s="1887" t="s">
        <v>9367</v>
      </c>
      <c r="H115" s="1919" t="s">
        <v>9368</v>
      </c>
      <c r="I115" s="1887" t="str">
        <f t="shared" si="20"/>
        <v>7-DaHall 1-A-2-50-22</v>
      </c>
      <c r="J115" s="1919" t="str">
        <f t="shared" si="21"/>
        <v>7-DaHall 1-B-2-50-22</v>
      </c>
      <c r="K115" s="1889">
        <v>48</v>
      </c>
      <c r="L115" s="1890">
        <v>50</v>
      </c>
      <c r="M115" s="2740" t="s">
        <v>41</v>
      </c>
      <c r="N115" s="1891">
        <v>22</v>
      </c>
      <c r="O115" s="1929">
        <v>48</v>
      </c>
      <c r="P115" s="1930">
        <v>50</v>
      </c>
      <c r="Q115" s="2722" t="s">
        <v>42</v>
      </c>
      <c r="R115" s="1920">
        <v>22</v>
      </c>
      <c r="S115" s="2740" t="s">
        <v>185</v>
      </c>
      <c r="T115" s="2722" t="s">
        <v>186</v>
      </c>
      <c r="U115" s="2703" t="s">
        <v>45</v>
      </c>
      <c r="V115" s="2712" t="s">
        <v>46</v>
      </c>
      <c r="W115" s="2244" t="s">
        <v>47</v>
      </c>
      <c r="X115" s="922" t="s">
        <v>48</v>
      </c>
      <c r="Y115" s="2244" t="s">
        <v>49</v>
      </c>
      <c r="Z115" s="922" t="s">
        <v>50</v>
      </c>
      <c r="AA115" s="2244" t="s">
        <v>51</v>
      </c>
      <c r="AB115" s="922" t="s">
        <v>52</v>
      </c>
      <c r="AC115" s="2244" t="s">
        <v>30</v>
      </c>
      <c r="AD115" s="922" t="s">
        <v>35</v>
      </c>
      <c r="AE115" s="2244" t="s">
        <v>31</v>
      </c>
      <c r="AF115" s="922" t="s">
        <v>36</v>
      </c>
      <c r="AG115" s="681"/>
      <c r="AH115" s="682"/>
      <c r="AI115" s="2746"/>
      <c r="AJ115" s="3060"/>
      <c r="AK115" s="3061"/>
      <c r="AL115" s="3062" t="n">
        <f t="shared" si="13"/>
        <v>0.0</v>
      </c>
      <c r="AM115" s="2744"/>
      <c r="AN115" s="2747"/>
    </row>
    <row r="116" spans="1:40" ht="40.5" x14ac:dyDescent="0.15">
      <c r="A116" s="3068"/>
      <c r="B116" s="2705" t="s">
        <v>176</v>
      </c>
      <c r="C116" s="1184" t="s">
        <v>177</v>
      </c>
      <c r="D116" s="2705" t="s">
        <v>178</v>
      </c>
      <c r="E116" s="2705" t="s">
        <v>27</v>
      </c>
      <c r="F116" s="2705"/>
      <c r="G116" s="1907" t="s">
        <v>9369</v>
      </c>
      <c r="H116" s="1915" t="s">
        <v>9370</v>
      </c>
      <c r="I116" s="1907" t="str">
        <f t="shared" si="20"/>
        <v>7-DaHall 1-PDU-01-30-14</v>
      </c>
      <c r="J116" s="1915" t="str">
        <f t="shared" si="21"/>
        <v>7-DaHall 1-PDU-02-30-14</v>
      </c>
      <c r="K116" s="1909">
        <v>220</v>
      </c>
      <c r="L116" s="1910">
        <v>30</v>
      </c>
      <c r="M116" s="709" t="s">
        <v>9177</v>
      </c>
      <c r="N116" s="1911">
        <v>14</v>
      </c>
      <c r="O116" s="1916">
        <v>220</v>
      </c>
      <c r="P116" s="1917">
        <v>30</v>
      </c>
      <c r="Q116" s="693" t="s">
        <v>9178</v>
      </c>
      <c r="R116" s="1918">
        <v>14</v>
      </c>
      <c r="S116" s="709" t="s">
        <v>179</v>
      </c>
      <c r="T116" s="693" t="s">
        <v>180</v>
      </c>
      <c r="U116" s="915"/>
      <c r="V116" s="971"/>
      <c r="W116" s="915"/>
      <c r="X116" s="971"/>
      <c r="Y116" s="915"/>
      <c r="Z116" s="971"/>
      <c r="AA116" s="2244" t="s">
        <v>173</v>
      </c>
      <c r="AB116" s="922" t="s">
        <v>174</v>
      </c>
      <c r="AC116" s="2244" t="s">
        <v>111</v>
      </c>
      <c r="AD116" s="922" t="s">
        <v>112</v>
      </c>
      <c r="AE116" s="2244" t="s">
        <v>31</v>
      </c>
      <c r="AF116" s="922" t="s">
        <v>36</v>
      </c>
      <c r="AG116" s="687" t="n">
        <f>SUM('7층_부하량(월간_AVG)'!N69:P69)</f>
        <v>4.089178681175843</v>
      </c>
      <c r="AH116" s="682" t="n">
        <f>SUM('7층_부하량(월간_AVG)'!N37:P37)</f>
        <v>3.219577070437216</v>
      </c>
      <c r="AI116" s="1327" t="n">
        <f t="shared" ref="AI116:AI117" si="22">AG116+AH116</f>
        <v>7.3087557516130595</v>
      </c>
      <c r="AJ116" s="3056" t="n" cm="1">
        <f t="array" ref="AJ116">INDEX('각층분기별_유효전력량(전월)'!L2:L2000,MATCH(1,("7-DaHall 1-PDU-01"='각층분기별_유효전력량(전월)'!J2:J2000)*("[branch#014] [A] kWh last month"='각층분기별_유효전력량(전월)'!K2:K2000),0))</f>
        <v>599.3</v>
      </c>
      <c r="AK116" s="3057" t="n" cm="1">
        <f t="array" ref="AK116">INDEX('각층분기별_유효전력량(전월)'!L2:L2000,MATCH(1,("7-DaHall 1-PDU-02"='각층분기별_유효전력량(전월)'!J2:J2000)*("[branch#014] [A] kWh last month"='각층분기별_유효전력량(전월)'!K2:K2000),0))</f>
        <v>594.7</v>
      </c>
      <c r="AL116" s="3065" t="n">
        <f t="shared" si="13"/>
        <v>1194.0</v>
      </c>
      <c r="AM116" s="2744"/>
      <c r="AN116" s="1187" t="s">
        <v>181</v>
      </c>
    </row>
    <row r="117" spans="1:40" ht="27" customHeight="1" x14ac:dyDescent="0.15">
      <c r="A117" s="3068"/>
      <c r="B117" s="2705" t="s">
        <v>168</v>
      </c>
      <c r="C117" s="1184" t="s">
        <v>169</v>
      </c>
      <c r="D117" s="2705" t="s">
        <v>170</v>
      </c>
      <c r="E117" s="2705" t="s">
        <v>27</v>
      </c>
      <c r="F117" s="2705"/>
      <c r="G117" s="1907" t="s">
        <v>9371</v>
      </c>
      <c r="H117" s="1915" t="s">
        <v>9372</v>
      </c>
      <c r="I117" s="1907" t="str">
        <f t="shared" si="20"/>
        <v>7-DaHall 1-PDU-01-30-16</v>
      </c>
      <c r="J117" s="1915" t="str">
        <f t="shared" si="21"/>
        <v>7-DaHall 1-PDU-02-30-16</v>
      </c>
      <c r="K117" s="1909">
        <v>220</v>
      </c>
      <c r="L117" s="1910">
        <v>30</v>
      </c>
      <c r="M117" s="709" t="s">
        <v>9177</v>
      </c>
      <c r="N117" s="1911">
        <v>16</v>
      </c>
      <c r="O117" s="1916">
        <v>220</v>
      </c>
      <c r="P117" s="1917">
        <v>30</v>
      </c>
      <c r="Q117" s="693" t="s">
        <v>9178</v>
      </c>
      <c r="R117" s="1918">
        <v>16</v>
      </c>
      <c r="S117" s="709" t="s">
        <v>171</v>
      </c>
      <c r="T117" s="693" t="s">
        <v>172</v>
      </c>
      <c r="U117" s="915"/>
      <c r="V117" s="971"/>
      <c r="W117" s="915"/>
      <c r="X117" s="971"/>
      <c r="Y117" s="915"/>
      <c r="Z117" s="971"/>
      <c r="AA117" s="2244" t="s">
        <v>173</v>
      </c>
      <c r="AB117" s="922" t="s">
        <v>174</v>
      </c>
      <c r="AC117" s="2244" t="s">
        <v>111</v>
      </c>
      <c r="AD117" s="922" t="s">
        <v>112</v>
      </c>
      <c r="AE117" s="2244" t="s">
        <v>31</v>
      </c>
      <c r="AF117" s="922" t="s">
        <v>36</v>
      </c>
      <c r="AG117" s="687" t="n">
        <f>SUM('7층_부하량(월간_AVG)'!N70:P70)</f>
        <v>2.7079420132022562</v>
      </c>
      <c r="AH117" s="682" t="n">
        <f>SUM('7층_부하량(월간_AVG)'!N38:P38)</f>
        <v>3.0964540289736746</v>
      </c>
      <c r="AI117" s="1327" t="n">
        <f t="shared" si="22"/>
        <v>5.804396042175931</v>
      </c>
      <c r="AJ117" s="3056" t="n" cm="1">
        <f t="array" ref="AJ117">INDEX('각층분기별_유효전력량(전월)'!L2:L2000,MATCH(1,("7-DaHall 1-PDU-01"='각층분기별_유효전력량(전월)'!J2:J2000)*("[branch#016] [A] kWh last month"='각층분기별_유효전력량(전월)'!K2:K2000),0))</f>
        <v>687.5</v>
      </c>
      <c r="AK117" s="3057" t="n" cm="1">
        <f t="array" ref="AK117">INDEX('각층분기별_유효전력량(전월)'!L2:L2000,MATCH(1,("7-DaHall 1-PDU-02"='각층분기별_유효전력량(전월)'!J2:J2000)*("[branch#016] [A] kWh last month"='각층분기별_유효전력량(전월)'!K2:K2000),0))</f>
        <v>527.1</v>
      </c>
      <c r="AL117" s="3065" t="n">
        <f t="shared" si="13"/>
        <v>1214.6</v>
      </c>
      <c r="AM117" s="2744"/>
      <c r="AN117" s="1188" t="s">
        <v>175</v>
      </c>
    </row>
    <row r="118" spans="1:40" ht="27" hidden="1" customHeight="1" x14ac:dyDescent="0.15">
      <c r="A118" s="3068"/>
      <c r="B118" s="2705"/>
      <c r="C118" s="690" t="s">
        <v>167</v>
      </c>
      <c r="D118" s="690"/>
      <c r="E118" s="690"/>
      <c r="F118" s="690"/>
      <c r="G118" s="1921"/>
      <c r="H118" s="1922"/>
      <c r="I118" s="1921"/>
      <c r="J118" s="1922"/>
      <c r="K118" s="1923"/>
      <c r="L118" s="1924"/>
      <c r="M118" s="915"/>
      <c r="N118" s="1925"/>
      <c r="O118" s="1926"/>
      <c r="P118" s="1927"/>
      <c r="Q118" s="971"/>
      <c r="R118" s="1928"/>
      <c r="S118" s="915"/>
      <c r="T118" s="971"/>
      <c r="U118" s="915"/>
      <c r="V118" s="971"/>
      <c r="W118" s="915"/>
      <c r="X118" s="971"/>
      <c r="Y118" s="915"/>
      <c r="Z118" s="971"/>
      <c r="AA118" s="915"/>
      <c r="AB118" s="971"/>
      <c r="AC118" s="915"/>
      <c r="AD118" s="971"/>
      <c r="AE118" s="2244" t="s">
        <v>31</v>
      </c>
      <c r="AF118" s="922" t="s">
        <v>36</v>
      </c>
      <c r="AG118" s="973"/>
      <c r="AH118" s="969"/>
      <c r="AI118" s="1339"/>
      <c r="AJ118" s="3069"/>
      <c r="AK118" s="3070"/>
      <c r="AL118" s="3071" t="n">
        <f t="shared" si="13"/>
        <v>0.0</v>
      </c>
      <c r="AM118" s="2744"/>
      <c r="AN118" s="1187"/>
    </row>
    <row r="119" spans="1:40" ht="27" hidden="1" customHeight="1" x14ac:dyDescent="0.15">
      <c r="A119" s="3068"/>
      <c r="B119" s="2705"/>
      <c r="C119" s="690" t="s">
        <v>166</v>
      </c>
      <c r="D119" s="690"/>
      <c r="E119" s="690"/>
      <c r="F119" s="690"/>
      <c r="G119" s="1921"/>
      <c r="H119" s="1922"/>
      <c r="I119" s="1921"/>
      <c r="J119" s="1922"/>
      <c r="K119" s="1923"/>
      <c r="L119" s="1924"/>
      <c r="M119" s="915"/>
      <c r="N119" s="1925"/>
      <c r="O119" s="1926"/>
      <c r="P119" s="1927"/>
      <c r="Q119" s="971"/>
      <c r="R119" s="1928"/>
      <c r="S119" s="915"/>
      <c r="T119" s="971"/>
      <c r="U119" s="915"/>
      <c r="V119" s="971"/>
      <c r="W119" s="915"/>
      <c r="X119" s="971"/>
      <c r="Y119" s="915"/>
      <c r="Z119" s="971"/>
      <c r="AA119" s="915"/>
      <c r="AB119" s="971"/>
      <c r="AC119" s="915"/>
      <c r="AD119" s="971"/>
      <c r="AE119" s="2244" t="s">
        <v>31</v>
      </c>
      <c r="AF119" s="922" t="s">
        <v>36</v>
      </c>
      <c r="AG119" s="973"/>
      <c r="AH119" s="969"/>
      <c r="AI119" s="1339"/>
      <c r="AJ119" s="3069"/>
      <c r="AK119" s="3070"/>
      <c r="AL119" s="3071" t="n">
        <f t="shared" si="13"/>
        <v>0.0</v>
      </c>
      <c r="AM119" s="2744"/>
      <c r="AN119" s="1187"/>
    </row>
    <row r="120" spans="1:40" ht="27" hidden="1" customHeight="1" x14ac:dyDescent="0.15">
      <c r="A120" s="3068"/>
      <c r="B120" s="2705"/>
      <c r="C120" s="690" t="s">
        <v>165</v>
      </c>
      <c r="D120" s="690"/>
      <c r="E120" s="690"/>
      <c r="F120" s="690"/>
      <c r="G120" s="1921"/>
      <c r="H120" s="1922"/>
      <c r="I120" s="1921"/>
      <c r="J120" s="1922"/>
      <c r="K120" s="1923"/>
      <c r="L120" s="1924"/>
      <c r="M120" s="915"/>
      <c r="N120" s="1925"/>
      <c r="O120" s="1926"/>
      <c r="P120" s="1927"/>
      <c r="Q120" s="971"/>
      <c r="R120" s="1928"/>
      <c r="S120" s="915"/>
      <c r="T120" s="971"/>
      <c r="U120" s="915"/>
      <c r="V120" s="971"/>
      <c r="W120" s="915"/>
      <c r="X120" s="971"/>
      <c r="Y120" s="915"/>
      <c r="Z120" s="971"/>
      <c r="AA120" s="915"/>
      <c r="AB120" s="971"/>
      <c r="AC120" s="915"/>
      <c r="AD120" s="971"/>
      <c r="AE120" s="2244" t="s">
        <v>31</v>
      </c>
      <c r="AF120" s="922" t="s">
        <v>36</v>
      </c>
      <c r="AG120" s="973"/>
      <c r="AH120" s="969"/>
      <c r="AI120" s="1339"/>
      <c r="AJ120" s="3069"/>
      <c r="AK120" s="3070"/>
      <c r="AL120" s="3071" t="n">
        <f t="shared" si="13"/>
        <v>0.0</v>
      </c>
      <c r="AM120" s="2744"/>
      <c r="AN120" s="1186"/>
    </row>
    <row r="121" spans="1:40" ht="27" hidden="1" customHeight="1" x14ac:dyDescent="0.15">
      <c r="A121" s="3068"/>
      <c r="B121" s="2705"/>
      <c r="C121" s="1182" t="s">
        <v>164</v>
      </c>
      <c r="D121" s="1182"/>
      <c r="E121" s="1182"/>
      <c r="F121" s="1182"/>
      <c r="G121" s="1921"/>
      <c r="H121" s="1922"/>
      <c r="I121" s="1921"/>
      <c r="J121" s="1922"/>
      <c r="K121" s="1923"/>
      <c r="L121" s="1924"/>
      <c r="M121" s="915"/>
      <c r="N121" s="1925"/>
      <c r="O121" s="1926"/>
      <c r="P121" s="1927"/>
      <c r="Q121" s="971"/>
      <c r="R121" s="1928"/>
      <c r="S121" s="915"/>
      <c r="T121" s="971"/>
      <c r="U121" s="915"/>
      <c r="V121" s="971"/>
      <c r="W121" s="915"/>
      <c r="X121" s="971"/>
      <c r="Y121" s="915"/>
      <c r="Z121" s="971"/>
      <c r="AA121" s="915"/>
      <c r="AB121" s="971"/>
      <c r="AC121" s="915"/>
      <c r="AD121" s="971"/>
      <c r="AE121" s="2244" t="s">
        <v>31</v>
      </c>
      <c r="AF121" s="922" t="s">
        <v>36</v>
      </c>
      <c r="AG121" s="973"/>
      <c r="AH121" s="969"/>
      <c r="AI121" s="1339"/>
      <c r="AJ121" s="3069"/>
      <c r="AK121" s="3070"/>
      <c r="AL121" s="3071" t="n">
        <f t="shared" si="13"/>
        <v>0.0</v>
      </c>
      <c r="AM121" s="2744"/>
      <c r="AN121" s="2747"/>
    </row>
    <row r="122" spans="1:40" ht="27" hidden="1" customHeight="1" x14ac:dyDescent="0.15">
      <c r="A122" s="3068"/>
      <c r="B122" s="2705" t="s">
        <v>159</v>
      </c>
      <c r="C122" s="2705" t="s">
        <v>160</v>
      </c>
      <c r="D122" s="2705" t="s">
        <v>161</v>
      </c>
      <c r="E122" s="2705"/>
      <c r="F122" s="2705" t="s">
        <v>27</v>
      </c>
      <c r="G122" s="1887" t="s">
        <v>9373</v>
      </c>
      <c r="H122" s="1919" t="s">
        <v>9374</v>
      </c>
      <c r="I122" s="1887" t="str">
        <f t="shared" ref="I122:I130" si="23">"7-DaHall 1-"&amp;M122&amp;"-"&amp;L122&amp;"-"&amp;N122</f>
        <v>7-DaHall 1-A-2-50-12</v>
      </c>
      <c r="J122" s="1919" t="str">
        <f t="shared" ref="J122:J130" si="24">"7-DaHall 1-"&amp;Q122&amp;"-"&amp;P122&amp;"-"&amp;R122</f>
        <v>7-DaHall 1-B-2-50-12</v>
      </c>
      <c r="K122" s="1889">
        <v>48</v>
      </c>
      <c r="L122" s="1890">
        <v>50</v>
      </c>
      <c r="M122" s="2740" t="s">
        <v>41</v>
      </c>
      <c r="N122" s="1891">
        <v>12</v>
      </c>
      <c r="O122" s="1892">
        <v>48</v>
      </c>
      <c r="P122" s="1893">
        <v>50</v>
      </c>
      <c r="Q122" s="2722" t="s">
        <v>42</v>
      </c>
      <c r="R122" s="1920">
        <v>12</v>
      </c>
      <c r="S122" s="2740" t="s">
        <v>162</v>
      </c>
      <c r="T122" s="2722" t="s">
        <v>163</v>
      </c>
      <c r="U122" s="2703" t="s">
        <v>45</v>
      </c>
      <c r="V122" s="2712" t="s">
        <v>46</v>
      </c>
      <c r="W122" s="2699" t="s">
        <v>47</v>
      </c>
      <c r="X122" s="2701" t="s">
        <v>48</v>
      </c>
      <c r="Y122" s="2699" t="s">
        <v>49</v>
      </c>
      <c r="Z122" s="2701" t="s">
        <v>50</v>
      </c>
      <c r="AA122" s="2740" t="s">
        <v>51</v>
      </c>
      <c r="AB122" s="2722" t="s">
        <v>52</v>
      </c>
      <c r="AC122" s="2740" t="s">
        <v>30</v>
      </c>
      <c r="AD122" s="2722" t="s">
        <v>35</v>
      </c>
      <c r="AE122" s="2244" t="s">
        <v>31</v>
      </c>
      <c r="AF122" s="922" t="s">
        <v>36</v>
      </c>
      <c r="AG122" s="681"/>
      <c r="AH122" s="682"/>
      <c r="AI122" s="2746"/>
      <c r="AJ122" s="3060"/>
      <c r="AK122" s="3061"/>
      <c r="AL122" s="3062" t="n">
        <f t="shared" si="13"/>
        <v>0.0</v>
      </c>
      <c r="AM122" s="2744"/>
      <c r="AN122" s="2747"/>
    </row>
    <row r="123" spans="1:40" ht="27.75" hidden="1" customHeight="1" thickBot="1" x14ac:dyDescent="0.2">
      <c r="A123" s="3068" t="s">
        <v>37</v>
      </c>
      <c r="B123" s="2741" t="s">
        <v>98</v>
      </c>
      <c r="C123" s="2240" t="s">
        <v>99</v>
      </c>
      <c r="D123" s="2741" t="s">
        <v>100</v>
      </c>
      <c r="E123" s="2741"/>
      <c r="F123" s="2741" t="s">
        <v>27</v>
      </c>
      <c r="G123" s="1895" t="s">
        <v>9375</v>
      </c>
      <c r="H123" s="1896" t="s">
        <v>9376</v>
      </c>
      <c r="I123" s="1895" t="str">
        <f t="shared" si="23"/>
        <v>7-DaHall 1-A-2-50-66</v>
      </c>
      <c r="J123" s="1896" t="str">
        <f t="shared" si="24"/>
        <v>7-DaHall 1-B-2-50-66</v>
      </c>
      <c r="K123" s="1897">
        <v>48</v>
      </c>
      <c r="L123" s="1898">
        <v>50</v>
      </c>
      <c r="M123" s="909" t="s">
        <v>41</v>
      </c>
      <c r="N123" s="1899">
        <v>66</v>
      </c>
      <c r="O123" s="1900">
        <v>48</v>
      </c>
      <c r="P123" s="1901">
        <v>50</v>
      </c>
      <c r="Q123" s="910" t="s">
        <v>42</v>
      </c>
      <c r="R123" s="1902">
        <v>66</v>
      </c>
      <c r="S123" s="909" t="s">
        <v>101</v>
      </c>
      <c r="T123" s="910" t="s">
        <v>102</v>
      </c>
      <c r="U123" s="3089" t="s">
        <v>45</v>
      </c>
      <c r="V123" s="3090" t="s">
        <v>46</v>
      </c>
      <c r="W123" s="3089" t="s">
        <v>47</v>
      </c>
      <c r="X123" s="3090" t="s">
        <v>48</v>
      </c>
      <c r="Y123" s="3089" t="s">
        <v>49</v>
      </c>
      <c r="Z123" s="3090" t="s">
        <v>50</v>
      </c>
      <c r="AA123" s="3089" t="s">
        <v>51</v>
      </c>
      <c r="AB123" s="3090" t="s">
        <v>52</v>
      </c>
      <c r="AC123" s="3089" t="s">
        <v>30</v>
      </c>
      <c r="AD123" s="3090" t="s">
        <v>35</v>
      </c>
      <c r="AE123" s="3089" t="s">
        <v>31</v>
      </c>
      <c r="AF123" s="3090" t="s">
        <v>36</v>
      </c>
      <c r="AG123" s="683"/>
      <c r="AH123" s="684"/>
      <c r="AI123" s="1336"/>
      <c r="AJ123" s="3087"/>
      <c r="AK123" s="3088"/>
      <c r="AL123" s="3065" t="n">
        <f t="shared" si="13"/>
        <v>0.0</v>
      </c>
      <c r="AM123" s="2745"/>
      <c r="AN123" s="685"/>
    </row>
    <row r="124" spans="1:40" ht="54.75" hidden="1" customHeight="1" thickBot="1" x14ac:dyDescent="0.2">
      <c r="A124" s="3044"/>
      <c r="B124" s="2705" t="s">
        <v>93</v>
      </c>
      <c r="C124" s="2239" t="s">
        <v>94</v>
      </c>
      <c r="D124" s="2705" t="s">
        <v>95</v>
      </c>
      <c r="E124" s="2705"/>
      <c r="F124" s="2705" t="s">
        <v>27</v>
      </c>
      <c r="G124" s="1887" t="s">
        <v>9377</v>
      </c>
      <c r="H124" s="1888" t="s">
        <v>9378</v>
      </c>
      <c r="I124" s="1887" t="str">
        <f t="shared" si="23"/>
        <v>7-DaHall 1-A-2-50-67</v>
      </c>
      <c r="J124" s="1888" t="str">
        <f t="shared" si="24"/>
        <v>7-DaHall 1-B-2-50-67</v>
      </c>
      <c r="K124" s="1889">
        <v>48</v>
      </c>
      <c r="L124" s="1890">
        <v>50</v>
      </c>
      <c r="M124" s="2740" t="s">
        <v>41</v>
      </c>
      <c r="N124" s="1891">
        <v>67</v>
      </c>
      <c r="O124" s="1892">
        <v>48</v>
      </c>
      <c r="P124" s="1893">
        <v>50</v>
      </c>
      <c r="Q124" s="908" t="s">
        <v>42</v>
      </c>
      <c r="R124" s="1894">
        <v>67</v>
      </c>
      <c r="S124" s="2740" t="s">
        <v>96</v>
      </c>
      <c r="T124" s="908" t="s">
        <v>97</v>
      </c>
      <c r="U124" s="3089" t="s">
        <v>45</v>
      </c>
      <c r="V124" s="3090" t="s">
        <v>46</v>
      </c>
      <c r="W124" s="3089" t="s">
        <v>47</v>
      </c>
      <c r="X124" s="3090" t="s">
        <v>48</v>
      </c>
      <c r="Y124" s="3089" t="s">
        <v>49</v>
      </c>
      <c r="Z124" s="3090" t="s">
        <v>50</v>
      </c>
      <c r="AA124" s="3089" t="s">
        <v>51</v>
      </c>
      <c r="AB124" s="3090" t="s">
        <v>52</v>
      </c>
      <c r="AC124" s="3089" t="s">
        <v>30</v>
      </c>
      <c r="AD124" s="3090" t="s">
        <v>35</v>
      </c>
      <c r="AE124" s="3089" t="s">
        <v>31</v>
      </c>
      <c r="AF124" s="3090" t="s">
        <v>36</v>
      </c>
      <c r="AG124" s="681"/>
      <c r="AH124" s="682"/>
      <c r="AI124" s="2746"/>
      <c r="AJ124" s="3087"/>
      <c r="AK124" s="3088"/>
      <c r="AL124" s="3065" t="n">
        <f t="shared" si="13"/>
        <v>0.0</v>
      </c>
      <c r="AM124" s="2744"/>
      <c r="AN124" s="2747"/>
    </row>
    <row r="125" spans="1:40" ht="54" hidden="1" customHeight="1" x14ac:dyDescent="0.15">
      <c r="A125" s="3068"/>
      <c r="B125" s="2705" t="s">
        <v>88</v>
      </c>
      <c r="C125" s="2239" t="s">
        <v>89</v>
      </c>
      <c r="D125" s="2705" t="s">
        <v>90</v>
      </c>
      <c r="E125" s="2705"/>
      <c r="F125" s="2705" t="s">
        <v>27</v>
      </c>
      <c r="G125" s="1887" t="s">
        <v>9379</v>
      </c>
      <c r="H125" s="1888" t="s">
        <v>9380</v>
      </c>
      <c r="I125" s="1887" t="str">
        <f t="shared" si="23"/>
        <v>7-DaHall 1-A-2-35-65</v>
      </c>
      <c r="J125" s="1888" t="str">
        <f t="shared" si="24"/>
        <v>7-DaHall 1-B-2-35-65</v>
      </c>
      <c r="K125" s="1889">
        <v>48</v>
      </c>
      <c r="L125" s="1890">
        <v>35</v>
      </c>
      <c r="M125" s="2740" t="s">
        <v>41</v>
      </c>
      <c r="N125" s="1891">
        <v>65</v>
      </c>
      <c r="O125" s="1892">
        <v>48</v>
      </c>
      <c r="P125" s="1893">
        <v>35</v>
      </c>
      <c r="Q125" s="908" t="s">
        <v>42</v>
      </c>
      <c r="R125" s="1894">
        <v>65</v>
      </c>
      <c r="S125" s="2740" t="s">
        <v>91</v>
      </c>
      <c r="T125" s="908" t="s">
        <v>92</v>
      </c>
      <c r="U125" s="3089" t="s">
        <v>45</v>
      </c>
      <c r="V125" s="3090" t="s">
        <v>46</v>
      </c>
      <c r="W125" s="3089" t="s">
        <v>47</v>
      </c>
      <c r="X125" s="3090" t="s">
        <v>48</v>
      </c>
      <c r="Y125" s="3089" t="s">
        <v>49</v>
      </c>
      <c r="Z125" s="3090" t="s">
        <v>50</v>
      </c>
      <c r="AA125" s="3089" t="s">
        <v>51</v>
      </c>
      <c r="AB125" s="3090" t="s">
        <v>52</v>
      </c>
      <c r="AC125" s="3089" t="s">
        <v>30</v>
      </c>
      <c r="AD125" s="3090" t="s">
        <v>35</v>
      </c>
      <c r="AE125" s="3089" t="s">
        <v>31</v>
      </c>
      <c r="AF125" s="3090" t="s">
        <v>36</v>
      </c>
      <c r="AG125" s="681"/>
      <c r="AH125" s="682"/>
      <c r="AI125" s="2746"/>
      <c r="AJ125" s="3087"/>
      <c r="AK125" s="3088"/>
      <c r="AL125" s="3065" t="n">
        <f t="shared" si="13"/>
        <v>0.0</v>
      </c>
      <c r="AM125" s="2744"/>
      <c r="AN125" s="2747"/>
    </row>
    <row r="126" spans="1:40" ht="54" hidden="1" customHeight="1" x14ac:dyDescent="0.15">
      <c r="A126" s="3068"/>
      <c r="B126" s="2705" t="s">
        <v>83</v>
      </c>
      <c r="C126" s="2239" t="s">
        <v>84</v>
      </c>
      <c r="D126" s="2705" t="s">
        <v>85</v>
      </c>
      <c r="E126" s="2705"/>
      <c r="F126" s="2705" t="s">
        <v>27</v>
      </c>
      <c r="G126" s="1887" t="s">
        <v>9381</v>
      </c>
      <c r="H126" s="1888" t="s">
        <v>9382</v>
      </c>
      <c r="I126" s="1887" t="str">
        <f t="shared" si="23"/>
        <v>7-DaHall 1-A-2-50-64</v>
      </c>
      <c r="J126" s="1888" t="str">
        <f t="shared" si="24"/>
        <v>7-DaHall 1-B-2-50-64</v>
      </c>
      <c r="K126" s="1889">
        <v>48</v>
      </c>
      <c r="L126" s="1890">
        <v>50</v>
      </c>
      <c r="M126" s="2740" t="s">
        <v>41</v>
      </c>
      <c r="N126" s="1891">
        <v>64</v>
      </c>
      <c r="O126" s="1892">
        <v>48</v>
      </c>
      <c r="P126" s="1893">
        <v>50</v>
      </c>
      <c r="Q126" s="908" t="s">
        <v>42</v>
      </c>
      <c r="R126" s="1894">
        <v>64</v>
      </c>
      <c r="S126" s="2740" t="s">
        <v>86</v>
      </c>
      <c r="T126" s="908" t="s">
        <v>87</v>
      </c>
      <c r="U126" s="3089" t="s">
        <v>45</v>
      </c>
      <c r="V126" s="3090" t="s">
        <v>46</v>
      </c>
      <c r="W126" s="3089" t="s">
        <v>47</v>
      </c>
      <c r="X126" s="3090" t="s">
        <v>48</v>
      </c>
      <c r="Y126" s="3089" t="s">
        <v>49</v>
      </c>
      <c r="Z126" s="3090" t="s">
        <v>50</v>
      </c>
      <c r="AA126" s="3089" t="s">
        <v>51</v>
      </c>
      <c r="AB126" s="3090" t="s">
        <v>52</v>
      </c>
      <c r="AC126" s="3089" t="s">
        <v>30</v>
      </c>
      <c r="AD126" s="3090" t="s">
        <v>35</v>
      </c>
      <c r="AE126" s="3089" t="s">
        <v>31</v>
      </c>
      <c r="AF126" s="3090" t="s">
        <v>36</v>
      </c>
      <c r="AG126" s="681"/>
      <c r="AH126" s="682"/>
      <c r="AI126" s="2746"/>
      <c r="AJ126" s="3087"/>
      <c r="AK126" s="3088"/>
      <c r="AL126" s="3065" t="n">
        <f t="shared" si="13"/>
        <v>0.0</v>
      </c>
      <c r="AM126" s="2744"/>
      <c r="AN126" s="2747"/>
    </row>
    <row r="127" spans="1:40" ht="54" hidden="1" customHeight="1" x14ac:dyDescent="0.15">
      <c r="A127" s="3068"/>
      <c r="B127" s="2705" t="s">
        <v>78</v>
      </c>
      <c r="C127" s="2239" t="s">
        <v>79</v>
      </c>
      <c r="D127" s="2705" t="s">
        <v>80</v>
      </c>
      <c r="E127" s="2705"/>
      <c r="F127" s="2705" t="s">
        <v>27</v>
      </c>
      <c r="G127" s="1887" t="s">
        <v>9383</v>
      </c>
      <c r="H127" s="1888" t="s">
        <v>9384</v>
      </c>
      <c r="I127" s="1887" t="str">
        <f t="shared" si="23"/>
        <v>7-DaHall 1-A-2-35-60</v>
      </c>
      <c r="J127" s="1888" t="str">
        <f t="shared" si="24"/>
        <v>7-DaHall 1-B-2-35-60</v>
      </c>
      <c r="K127" s="1889">
        <v>48</v>
      </c>
      <c r="L127" s="1890">
        <v>35</v>
      </c>
      <c r="M127" s="2740" t="s">
        <v>41</v>
      </c>
      <c r="N127" s="1891">
        <v>60</v>
      </c>
      <c r="O127" s="1892">
        <v>48</v>
      </c>
      <c r="P127" s="1893">
        <v>35</v>
      </c>
      <c r="Q127" s="908" t="s">
        <v>42</v>
      </c>
      <c r="R127" s="1894">
        <v>60</v>
      </c>
      <c r="S127" s="2740" t="s">
        <v>81</v>
      </c>
      <c r="T127" s="908" t="s">
        <v>82</v>
      </c>
      <c r="U127" s="3089" t="s">
        <v>45</v>
      </c>
      <c r="V127" s="3090" t="s">
        <v>46</v>
      </c>
      <c r="W127" s="3089" t="s">
        <v>47</v>
      </c>
      <c r="X127" s="3090" t="s">
        <v>48</v>
      </c>
      <c r="Y127" s="3089" t="s">
        <v>49</v>
      </c>
      <c r="Z127" s="3090" t="s">
        <v>50</v>
      </c>
      <c r="AA127" s="3089" t="s">
        <v>51</v>
      </c>
      <c r="AB127" s="3090" t="s">
        <v>52</v>
      </c>
      <c r="AC127" s="3089" t="s">
        <v>30</v>
      </c>
      <c r="AD127" s="3090" t="s">
        <v>35</v>
      </c>
      <c r="AE127" s="3089" t="s">
        <v>31</v>
      </c>
      <c r="AF127" s="3090" t="s">
        <v>36</v>
      </c>
      <c r="AG127" s="681"/>
      <c r="AH127" s="682"/>
      <c r="AI127" s="2746"/>
      <c r="AJ127" s="3087"/>
      <c r="AK127" s="3088"/>
      <c r="AL127" s="3065" t="n">
        <f t="shared" si="13"/>
        <v>0.0</v>
      </c>
      <c r="AM127" s="2744"/>
      <c r="AN127" s="2747"/>
    </row>
    <row r="128" spans="1:40" ht="54" hidden="1" customHeight="1" x14ac:dyDescent="0.15">
      <c r="A128" s="3068"/>
      <c r="B128" s="2705" t="s">
        <v>73</v>
      </c>
      <c r="C128" s="2239" t="s">
        <v>74</v>
      </c>
      <c r="D128" s="2705" t="s">
        <v>75</v>
      </c>
      <c r="E128" s="2705"/>
      <c r="F128" s="2705" t="s">
        <v>27</v>
      </c>
      <c r="G128" s="1887" t="s">
        <v>9385</v>
      </c>
      <c r="H128" s="1888" t="s">
        <v>9386</v>
      </c>
      <c r="I128" s="1887" t="str">
        <f t="shared" si="23"/>
        <v>7-DaHall 1-A-2-35-61</v>
      </c>
      <c r="J128" s="1888" t="str">
        <f t="shared" si="24"/>
        <v>7-DaHall 1-B-2-35-61</v>
      </c>
      <c r="K128" s="1889">
        <v>48</v>
      </c>
      <c r="L128" s="1890">
        <v>35</v>
      </c>
      <c r="M128" s="2740" t="s">
        <v>41</v>
      </c>
      <c r="N128" s="1891">
        <v>61</v>
      </c>
      <c r="O128" s="1892">
        <v>48</v>
      </c>
      <c r="P128" s="1893">
        <v>35</v>
      </c>
      <c r="Q128" s="908" t="s">
        <v>42</v>
      </c>
      <c r="R128" s="1894">
        <v>61</v>
      </c>
      <c r="S128" s="2740" t="s">
        <v>76</v>
      </c>
      <c r="T128" s="908" t="s">
        <v>77</v>
      </c>
      <c r="U128" s="3089" t="s">
        <v>45</v>
      </c>
      <c r="V128" s="3090" t="s">
        <v>46</v>
      </c>
      <c r="W128" s="3089" t="s">
        <v>47</v>
      </c>
      <c r="X128" s="3090" t="s">
        <v>48</v>
      </c>
      <c r="Y128" s="3089" t="s">
        <v>49</v>
      </c>
      <c r="Z128" s="3090" t="s">
        <v>50</v>
      </c>
      <c r="AA128" s="3089" t="s">
        <v>51</v>
      </c>
      <c r="AB128" s="3090" t="s">
        <v>52</v>
      </c>
      <c r="AC128" s="3089" t="s">
        <v>30</v>
      </c>
      <c r="AD128" s="3090" t="s">
        <v>35</v>
      </c>
      <c r="AE128" s="3089" t="s">
        <v>31</v>
      </c>
      <c r="AF128" s="3090" t="s">
        <v>36</v>
      </c>
      <c r="AG128" s="681"/>
      <c r="AH128" s="682"/>
      <c r="AI128" s="2746"/>
      <c r="AJ128" s="3087"/>
      <c r="AK128" s="3088"/>
      <c r="AL128" s="3065" t="n">
        <f t="shared" si="13"/>
        <v>0.0</v>
      </c>
      <c r="AM128" s="2744"/>
      <c r="AN128" s="2747"/>
    </row>
    <row r="129" spans="1:40" ht="54" hidden="1" customHeight="1" x14ac:dyDescent="0.15">
      <c r="A129" s="3068"/>
      <c r="B129" s="2705" t="s">
        <v>68</v>
      </c>
      <c r="C129" s="2239" t="s">
        <v>69</v>
      </c>
      <c r="D129" s="2705" t="s">
        <v>70</v>
      </c>
      <c r="E129" s="2705"/>
      <c r="F129" s="2705" t="s">
        <v>27</v>
      </c>
      <c r="G129" s="1887" t="s">
        <v>9387</v>
      </c>
      <c r="H129" s="1888" t="s">
        <v>9388</v>
      </c>
      <c r="I129" s="1887" t="str">
        <f t="shared" si="23"/>
        <v>7-DaHall 1-A-2-35-59</v>
      </c>
      <c r="J129" s="1888" t="str">
        <f t="shared" si="24"/>
        <v>7-DaHall 1-B-2-35-59</v>
      </c>
      <c r="K129" s="1889">
        <v>48</v>
      </c>
      <c r="L129" s="1890">
        <v>35</v>
      </c>
      <c r="M129" s="2740" t="s">
        <v>41</v>
      </c>
      <c r="N129" s="1891">
        <v>59</v>
      </c>
      <c r="O129" s="1892">
        <v>48</v>
      </c>
      <c r="P129" s="1893">
        <v>35</v>
      </c>
      <c r="Q129" s="908" t="s">
        <v>42</v>
      </c>
      <c r="R129" s="1894">
        <v>59</v>
      </c>
      <c r="S129" s="2740" t="s">
        <v>71</v>
      </c>
      <c r="T129" s="908" t="s">
        <v>72</v>
      </c>
      <c r="U129" s="3089" t="s">
        <v>45</v>
      </c>
      <c r="V129" s="3090" t="s">
        <v>46</v>
      </c>
      <c r="W129" s="3089" t="s">
        <v>47</v>
      </c>
      <c r="X129" s="3090" t="s">
        <v>48</v>
      </c>
      <c r="Y129" s="3089" t="s">
        <v>49</v>
      </c>
      <c r="Z129" s="3090" t="s">
        <v>50</v>
      </c>
      <c r="AA129" s="3089" t="s">
        <v>51</v>
      </c>
      <c r="AB129" s="3090" t="s">
        <v>52</v>
      </c>
      <c r="AC129" s="3089" t="s">
        <v>30</v>
      </c>
      <c r="AD129" s="3090" t="s">
        <v>35</v>
      </c>
      <c r="AE129" s="3089" t="s">
        <v>31</v>
      </c>
      <c r="AF129" s="3090" t="s">
        <v>36</v>
      </c>
      <c r="AG129" s="681"/>
      <c r="AH129" s="682"/>
      <c r="AI129" s="2746"/>
      <c r="AJ129" s="3087"/>
      <c r="AK129" s="3088"/>
      <c r="AL129" s="3065" t="n">
        <f t="shared" si="13"/>
        <v>0.0</v>
      </c>
      <c r="AM129" s="2744"/>
      <c r="AN129" s="2747"/>
    </row>
    <row r="130" spans="1:40" ht="54" hidden="1" customHeight="1" x14ac:dyDescent="0.15">
      <c r="A130" s="3068"/>
      <c r="B130" s="2705" t="s">
        <v>63</v>
      </c>
      <c r="C130" s="2239" t="s">
        <v>64</v>
      </c>
      <c r="D130" s="2705" t="s">
        <v>65</v>
      </c>
      <c r="E130" s="2705"/>
      <c r="F130" s="2705" t="s">
        <v>27</v>
      </c>
      <c r="G130" s="1887" t="s">
        <v>9389</v>
      </c>
      <c r="H130" s="1888" t="s">
        <v>9390</v>
      </c>
      <c r="I130" s="1887" t="str">
        <f t="shared" si="23"/>
        <v>7-DaHall 1-A-2-35-56</v>
      </c>
      <c r="J130" s="1888" t="str">
        <f t="shared" si="24"/>
        <v>7-DaHall 1-B-2-35-56</v>
      </c>
      <c r="K130" s="1889">
        <v>48</v>
      </c>
      <c r="L130" s="1890">
        <v>35</v>
      </c>
      <c r="M130" s="2740" t="s">
        <v>41</v>
      </c>
      <c r="N130" s="1891">
        <v>56</v>
      </c>
      <c r="O130" s="1892">
        <v>48</v>
      </c>
      <c r="P130" s="1893">
        <v>35</v>
      </c>
      <c r="Q130" s="908" t="s">
        <v>42</v>
      </c>
      <c r="R130" s="1894">
        <v>56</v>
      </c>
      <c r="S130" s="2740" t="s">
        <v>66</v>
      </c>
      <c r="T130" s="908" t="s">
        <v>67</v>
      </c>
      <c r="U130" s="3089" t="s">
        <v>45</v>
      </c>
      <c r="V130" s="3090" t="s">
        <v>46</v>
      </c>
      <c r="W130" s="3089" t="s">
        <v>47</v>
      </c>
      <c r="X130" s="3090" t="s">
        <v>48</v>
      </c>
      <c r="Y130" s="3089" t="s">
        <v>49</v>
      </c>
      <c r="Z130" s="3090" t="s">
        <v>50</v>
      </c>
      <c r="AA130" s="3089" t="s">
        <v>51</v>
      </c>
      <c r="AB130" s="3090" t="s">
        <v>52</v>
      </c>
      <c r="AC130" s="3089" t="s">
        <v>30</v>
      </c>
      <c r="AD130" s="3090" t="s">
        <v>35</v>
      </c>
      <c r="AE130" s="3089" t="s">
        <v>31</v>
      </c>
      <c r="AF130" s="3090" t="s">
        <v>36</v>
      </c>
      <c r="AG130" s="681"/>
      <c r="AH130" s="682"/>
      <c r="AI130" s="2746"/>
      <c r="AJ130" s="3087"/>
      <c r="AK130" s="3088"/>
      <c r="AL130" s="3065" t="n">
        <f t="shared" si="13"/>
        <v>0.0</v>
      </c>
      <c r="AM130" s="2744"/>
      <c r="AN130" s="2747"/>
    </row>
    <row r="131" spans="1:40" ht="54" hidden="1" customHeight="1" x14ac:dyDescent="0.15">
      <c r="A131" s="3068"/>
      <c r="B131" s="2705" t="s">
        <v>58</v>
      </c>
      <c r="C131" s="2239" t="s">
        <v>59</v>
      </c>
      <c r="D131" s="2705" t="s">
        <v>60</v>
      </c>
      <c r="E131" s="2705"/>
      <c r="F131" s="2705" t="s">
        <v>27</v>
      </c>
      <c r="G131" s="1887" t="s">
        <v>9391</v>
      </c>
      <c r="H131" s="1888" t="s">
        <v>9392</v>
      </c>
      <c r="I131" s="1887" t="str">
        <f>"7-DaHall 1-"&amp;M131&amp;"-"&amp;L131&amp;"-"&amp;N131</f>
        <v>7-DaHall 1-A-2-35-55</v>
      </c>
      <c r="J131" s="1888" t="str">
        <f>"7-DaHall 1-"&amp;Q131&amp;"-"&amp;P131&amp;"-"&amp;R131</f>
        <v>7-DaHall 1-B-2-35-55</v>
      </c>
      <c r="K131" s="1889">
        <v>48</v>
      </c>
      <c r="L131" s="1890">
        <v>35</v>
      </c>
      <c r="M131" s="2740" t="s">
        <v>41</v>
      </c>
      <c r="N131" s="1891">
        <v>55</v>
      </c>
      <c r="O131" s="1892">
        <v>48</v>
      </c>
      <c r="P131" s="1893">
        <v>35</v>
      </c>
      <c r="Q131" s="908" t="s">
        <v>42</v>
      </c>
      <c r="R131" s="1894">
        <v>55</v>
      </c>
      <c r="S131" s="2740" t="s">
        <v>61</v>
      </c>
      <c r="T131" s="908" t="s">
        <v>62</v>
      </c>
      <c r="U131" s="3089" t="s">
        <v>45</v>
      </c>
      <c r="V131" s="3090" t="s">
        <v>46</v>
      </c>
      <c r="W131" s="3089" t="s">
        <v>47</v>
      </c>
      <c r="X131" s="3090" t="s">
        <v>48</v>
      </c>
      <c r="Y131" s="3089" t="s">
        <v>49</v>
      </c>
      <c r="Z131" s="3090" t="s">
        <v>50</v>
      </c>
      <c r="AA131" s="3089" t="s">
        <v>51</v>
      </c>
      <c r="AB131" s="3090" t="s">
        <v>52</v>
      </c>
      <c r="AC131" s="3089" t="s">
        <v>30</v>
      </c>
      <c r="AD131" s="3090" t="s">
        <v>35</v>
      </c>
      <c r="AE131" s="3089" t="s">
        <v>31</v>
      </c>
      <c r="AF131" s="3090" t="s">
        <v>36</v>
      </c>
      <c r="AG131" s="681"/>
      <c r="AH131" s="682"/>
      <c r="AI131" s="2746"/>
      <c r="AJ131" s="3087"/>
      <c r="AK131" s="3088"/>
      <c r="AL131" s="3065" t="n">
        <f t="shared" si="13"/>
        <v>0.0</v>
      </c>
      <c r="AM131" s="2744"/>
      <c r="AN131" s="2747"/>
    </row>
    <row r="132" spans="1:40" ht="54" hidden="1" customHeight="1" x14ac:dyDescent="0.15">
      <c r="A132" s="3068"/>
      <c r="B132" s="2705" t="s">
        <v>53</v>
      </c>
      <c r="C132" s="2239" t="s">
        <v>54</v>
      </c>
      <c r="D132" s="2705" t="s">
        <v>55</v>
      </c>
      <c r="E132" s="2705"/>
      <c r="F132" s="2705" t="s">
        <v>27</v>
      </c>
      <c r="G132" s="1887" t="s">
        <v>9393</v>
      </c>
      <c r="H132" s="1888" t="s">
        <v>9394</v>
      </c>
      <c r="I132" s="1887" t="str">
        <f>"7-DaHall 1-"&amp;M132&amp;"-"&amp;L132&amp;"-"&amp;N132</f>
        <v>7-DaHall 1-A-2-35-54</v>
      </c>
      <c r="J132" s="1888" t="str">
        <f>"7-DaHall 1-"&amp;Q132&amp;"-"&amp;P132&amp;"-"&amp;R132</f>
        <v>7-DaHall 1-B-2-35-54</v>
      </c>
      <c r="K132" s="1889">
        <v>48</v>
      </c>
      <c r="L132" s="1890">
        <v>35</v>
      </c>
      <c r="M132" s="2740" t="s">
        <v>41</v>
      </c>
      <c r="N132" s="1891">
        <v>54</v>
      </c>
      <c r="O132" s="1892">
        <v>48</v>
      </c>
      <c r="P132" s="1893">
        <v>35</v>
      </c>
      <c r="Q132" s="908" t="s">
        <v>42</v>
      </c>
      <c r="R132" s="1894">
        <v>54</v>
      </c>
      <c r="S132" s="2740" t="s">
        <v>56</v>
      </c>
      <c r="T132" s="908" t="s">
        <v>57</v>
      </c>
      <c r="U132" s="3089" t="s">
        <v>45</v>
      </c>
      <c r="V132" s="3090" t="s">
        <v>46</v>
      </c>
      <c r="W132" s="3089" t="s">
        <v>47</v>
      </c>
      <c r="X132" s="3090" t="s">
        <v>48</v>
      </c>
      <c r="Y132" s="3089" t="s">
        <v>49</v>
      </c>
      <c r="Z132" s="3090" t="s">
        <v>50</v>
      </c>
      <c r="AA132" s="3089" t="s">
        <v>51</v>
      </c>
      <c r="AB132" s="3090" t="s">
        <v>52</v>
      </c>
      <c r="AC132" s="3089" t="s">
        <v>30</v>
      </c>
      <c r="AD132" s="3090" t="s">
        <v>35</v>
      </c>
      <c r="AE132" s="3089" t="s">
        <v>31</v>
      </c>
      <c r="AF132" s="3090" t="s">
        <v>36</v>
      </c>
      <c r="AG132" s="681"/>
      <c r="AH132" s="682"/>
      <c r="AI132" s="2746"/>
      <c r="AJ132" s="3087"/>
      <c r="AK132" s="3088"/>
      <c r="AL132" s="3065" t="n">
        <f t="shared" si="13"/>
        <v>0.0</v>
      </c>
      <c r="AM132" s="2744"/>
      <c r="AN132" s="2747"/>
    </row>
    <row r="133" spans="1:40" ht="54" hidden="1" customHeight="1" x14ac:dyDescent="0.15">
      <c r="A133" s="3068"/>
      <c r="B133" s="2711" t="s">
        <v>38</v>
      </c>
      <c r="C133" s="2716" t="s">
        <v>39</v>
      </c>
      <c r="D133" s="2711" t="s">
        <v>40</v>
      </c>
      <c r="E133" s="2711"/>
      <c r="F133" s="2711" t="s">
        <v>27</v>
      </c>
      <c r="G133" s="1879" t="s">
        <v>9395</v>
      </c>
      <c r="H133" s="1880" t="s">
        <v>9396</v>
      </c>
      <c r="I133" s="1879" t="str">
        <f>"7-DaHall 1-"&amp;M133&amp;"-"&amp;L133&amp;"-"&amp;N133</f>
        <v>7-DaHall 1-A-2-35-57</v>
      </c>
      <c r="J133" s="1880" t="str">
        <f>"7-DaHall 1-"&amp;Q133&amp;"-"&amp;P133&amp;"-"&amp;R133</f>
        <v>7-DaHall 1-B-2-35-57</v>
      </c>
      <c r="K133" s="1881">
        <v>48</v>
      </c>
      <c r="L133" s="1882">
        <v>35</v>
      </c>
      <c r="M133" s="2700" t="s">
        <v>41</v>
      </c>
      <c r="N133" s="1883">
        <v>57</v>
      </c>
      <c r="O133" s="1884">
        <v>48</v>
      </c>
      <c r="P133" s="1885">
        <v>35</v>
      </c>
      <c r="Q133" s="1329" t="s">
        <v>42</v>
      </c>
      <c r="R133" s="1886">
        <v>57</v>
      </c>
      <c r="S133" s="2700" t="s">
        <v>43</v>
      </c>
      <c r="T133" s="1329" t="s">
        <v>44</v>
      </c>
      <c r="U133" s="3089" t="s">
        <v>45</v>
      </c>
      <c r="V133" s="3090" t="s">
        <v>46</v>
      </c>
      <c r="W133" s="3089" t="s">
        <v>47</v>
      </c>
      <c r="X133" s="3090" t="s">
        <v>48</v>
      </c>
      <c r="Y133" s="3089" t="s">
        <v>49</v>
      </c>
      <c r="Z133" s="3090" t="s">
        <v>50</v>
      </c>
      <c r="AA133" s="3089" t="s">
        <v>51</v>
      </c>
      <c r="AB133" s="3090" t="s">
        <v>52</v>
      </c>
      <c r="AC133" s="3089" t="s">
        <v>30</v>
      </c>
      <c r="AD133" s="3090" t="s">
        <v>35</v>
      </c>
      <c r="AE133" s="3089" t="s">
        <v>31</v>
      </c>
      <c r="AF133" s="3090" t="s">
        <v>36</v>
      </c>
      <c r="AG133" s="1330"/>
      <c r="AH133" s="1331"/>
      <c r="AI133" s="2736"/>
      <c r="AJ133" s="3087"/>
      <c r="AK133" s="3088"/>
      <c r="AL133" s="3065" t="n">
        <f t="shared" si="13"/>
        <v>0.0</v>
      </c>
      <c r="AM133" s="2733"/>
      <c r="AN133" s="2730"/>
    </row>
    <row r="134" spans="1:40" ht="13.5" hidden="1" customHeight="1" x14ac:dyDescent="0.15">
      <c r="A134" s="3068"/>
      <c r="B134" s="2705"/>
      <c r="C134" s="937" t="s">
        <v>690</v>
      </c>
      <c r="D134" s="937"/>
      <c r="E134" s="937"/>
      <c r="F134" s="937"/>
      <c r="G134" s="1921"/>
      <c r="H134" s="1933"/>
      <c r="I134" s="1921"/>
      <c r="J134" s="1933"/>
      <c r="K134" s="1923"/>
      <c r="L134" s="915"/>
      <c r="M134" s="915"/>
      <c r="N134" s="1925"/>
      <c r="O134" s="1934"/>
      <c r="P134" s="1924"/>
      <c r="Q134" s="915"/>
      <c r="R134" s="1925"/>
      <c r="S134" s="915"/>
      <c r="T134" s="915"/>
      <c r="U134" s="739"/>
      <c r="V134" s="739"/>
      <c r="W134" s="739"/>
      <c r="X134" s="739"/>
      <c r="Y134" s="739"/>
      <c r="Z134" s="739"/>
      <c r="AA134" s="739"/>
      <c r="AB134" s="739"/>
      <c r="AC134" s="739"/>
      <c r="AD134" s="739"/>
      <c r="AE134" s="915"/>
      <c r="AF134" s="915"/>
      <c r="AG134" s="968"/>
      <c r="AH134" s="970"/>
      <c r="AI134" s="1338"/>
      <c r="AJ134" s="3069"/>
      <c r="AK134" s="3070"/>
      <c r="AL134" s="3071" t="n">
        <f t="shared" ref="AL134:AL197" si="25">SUBTOTAL(9,AJ134:AK134)</f>
        <v>0.0</v>
      </c>
      <c r="AM134" s="2744"/>
      <c r="AN134" s="2747"/>
    </row>
    <row r="135" spans="1:40" ht="54" hidden="1" customHeight="1" x14ac:dyDescent="0.15">
      <c r="A135" s="3068"/>
      <c r="B135" s="3146" t="s">
        <v>682</v>
      </c>
      <c r="C135" s="3154" t="s">
        <v>683</v>
      </c>
      <c r="D135" s="3156" t="s">
        <v>684</v>
      </c>
      <c r="E135" s="2705"/>
      <c r="F135" s="2705" t="s">
        <v>27</v>
      </c>
      <c r="G135" s="1887" t="s">
        <v>9397</v>
      </c>
      <c r="H135" s="1919" t="s">
        <v>9398</v>
      </c>
      <c r="I135" s="1887" t="str">
        <f>"7-DaHall 1-"&amp;M135&amp;"-"&amp;L135&amp;"-"&amp;N135</f>
        <v>7-DaHall 1-A-1-50-20</v>
      </c>
      <c r="J135" s="1919" t="str">
        <f>"7-DaHall 1-"&amp;Q135&amp;"-"&amp;P135&amp;"-"&amp;R135</f>
        <v>7-DaHall 1-B-1-50-20</v>
      </c>
      <c r="K135" s="1889">
        <v>48</v>
      </c>
      <c r="L135" s="1890">
        <v>50</v>
      </c>
      <c r="M135" s="2740" t="s">
        <v>305</v>
      </c>
      <c r="N135" s="1891">
        <v>20</v>
      </c>
      <c r="O135" s="1929">
        <v>48</v>
      </c>
      <c r="P135" s="1930">
        <v>50</v>
      </c>
      <c r="Q135" s="2722" t="s">
        <v>306</v>
      </c>
      <c r="R135" s="1920">
        <v>20</v>
      </c>
      <c r="S135" s="2740" t="s">
        <v>685</v>
      </c>
      <c r="T135" s="2722" t="s">
        <v>686</v>
      </c>
      <c r="U135" s="2244" t="s">
        <v>309</v>
      </c>
      <c r="V135" s="3072" t="s">
        <v>310</v>
      </c>
      <c r="W135" s="2244" t="s">
        <v>47</v>
      </c>
      <c r="X135" s="922" t="s">
        <v>48</v>
      </c>
      <c r="Y135" s="2244" t="s">
        <v>49</v>
      </c>
      <c r="Z135" s="922" t="s">
        <v>50</v>
      </c>
      <c r="AA135" s="2244" t="s">
        <v>51</v>
      </c>
      <c r="AB135" s="922" t="s">
        <v>52</v>
      </c>
      <c r="AC135" s="2244" t="s">
        <v>30</v>
      </c>
      <c r="AD135" s="922" t="s">
        <v>35</v>
      </c>
      <c r="AE135" s="2244" t="s">
        <v>31</v>
      </c>
      <c r="AF135" s="922" t="s">
        <v>36</v>
      </c>
      <c r="AG135" s="687"/>
      <c r="AH135" s="682"/>
      <c r="AI135" s="2746"/>
      <c r="AJ135" s="3060"/>
      <c r="AK135" s="3061"/>
      <c r="AL135" s="3062" t="n">
        <f t="shared" si="25"/>
        <v>0.0</v>
      </c>
      <c r="AM135" s="2744" t="s">
        <v>333</v>
      </c>
      <c r="AN135" s="2747"/>
    </row>
    <row r="136" spans="1:40" ht="40.5" x14ac:dyDescent="0.15">
      <c r="A136" s="3068"/>
      <c r="B136" s="3147"/>
      <c r="C136" s="3155"/>
      <c r="D136" s="3157"/>
      <c r="E136" s="2705" t="s">
        <v>27</v>
      </c>
      <c r="F136" s="2705"/>
      <c r="G136" s="1939"/>
      <c r="H136" s="1997"/>
      <c r="I136" s="1939"/>
      <c r="J136" s="1997"/>
      <c r="K136" s="1940"/>
      <c r="L136" s="959"/>
      <c r="M136" s="959"/>
      <c r="N136" s="1941"/>
      <c r="O136" s="1998"/>
      <c r="P136" s="1999"/>
      <c r="Q136" s="963"/>
      <c r="R136" s="2000"/>
      <c r="S136" s="959" t="s">
        <v>687</v>
      </c>
      <c r="T136" s="963" t="s">
        <v>688</v>
      </c>
      <c r="U136" s="2700"/>
      <c r="V136" s="2704"/>
      <c r="W136" s="2700"/>
      <c r="X136" s="2704"/>
      <c r="Y136" s="2700"/>
      <c r="Z136" s="1185"/>
      <c r="AA136" s="2700"/>
      <c r="AB136" s="2702"/>
      <c r="AC136" s="2700"/>
      <c r="AD136" s="2702"/>
      <c r="AE136" s="2700"/>
      <c r="AF136" s="2702"/>
      <c r="AG136" s="687"/>
      <c r="AH136" s="682"/>
      <c r="AI136" s="1327" t="n">
        <f t="shared" ref="AI136" si="26">AG136+AH136</f>
        <v>0.0</v>
      </c>
      <c r="AJ136" s="3056"/>
      <c r="AK136" s="3057"/>
      <c r="AL136" s="3065" t="n">
        <f t="shared" si="25"/>
        <v>0.0</v>
      </c>
      <c r="AM136" s="2744"/>
      <c r="AN136" s="2747" t="s">
        <v>689</v>
      </c>
    </row>
    <row r="137" spans="1:40" ht="27" hidden="1" customHeight="1" x14ac:dyDescent="0.15">
      <c r="A137" s="3068"/>
      <c r="B137" s="3146" t="s">
        <v>672</v>
      </c>
      <c r="C137" s="3158" t="s">
        <v>673</v>
      </c>
      <c r="D137" s="3150" t="s">
        <v>674</v>
      </c>
      <c r="E137" s="2705"/>
      <c r="F137" s="2705" t="s">
        <v>27</v>
      </c>
      <c r="G137" s="1887" t="s">
        <v>9399</v>
      </c>
      <c r="H137" s="1919" t="s">
        <v>9400</v>
      </c>
      <c r="I137" s="1887" t="str">
        <f>"7-DaHall 1-"&amp;M137&amp;"-"&amp;L137&amp;"-"&amp;N137</f>
        <v>7-DaHall 1-A-1-35-11(1)</v>
      </c>
      <c r="J137" s="1919" t="str">
        <f>"7-DaHall 1-"&amp;Q137&amp;"-"&amp;P137&amp;"-"&amp;R137</f>
        <v>7-DaHall 1-B-1-35-14(1)</v>
      </c>
      <c r="K137" s="1889">
        <v>48</v>
      </c>
      <c r="L137" s="1890">
        <v>35</v>
      </c>
      <c r="M137" s="2740" t="s">
        <v>305</v>
      </c>
      <c r="N137" s="1891" t="s">
        <v>675</v>
      </c>
      <c r="O137" s="1929">
        <v>48</v>
      </c>
      <c r="P137" s="1930">
        <v>35</v>
      </c>
      <c r="Q137" s="2722" t="s">
        <v>306</v>
      </c>
      <c r="R137" s="1920" t="s">
        <v>676</v>
      </c>
      <c r="S137" s="2740" t="s">
        <v>677</v>
      </c>
      <c r="T137" s="2722" t="s">
        <v>678</v>
      </c>
      <c r="U137" s="2244" t="s">
        <v>309</v>
      </c>
      <c r="V137" s="3072" t="s">
        <v>310</v>
      </c>
      <c r="W137" s="2244" t="s">
        <v>47</v>
      </c>
      <c r="X137" s="922" t="s">
        <v>48</v>
      </c>
      <c r="Y137" s="2244" t="s">
        <v>49</v>
      </c>
      <c r="Z137" s="922" t="s">
        <v>50</v>
      </c>
      <c r="AA137" s="2244" t="s">
        <v>51</v>
      </c>
      <c r="AB137" s="922" t="s">
        <v>52</v>
      </c>
      <c r="AC137" s="2244" t="s">
        <v>30</v>
      </c>
      <c r="AD137" s="922" t="s">
        <v>35</v>
      </c>
      <c r="AE137" s="2244" t="s">
        <v>31</v>
      </c>
      <c r="AF137" s="922" t="s">
        <v>36</v>
      </c>
      <c r="AG137" s="700"/>
      <c r="AH137" s="692"/>
      <c r="AI137" s="3144"/>
      <c r="AJ137" s="3060"/>
      <c r="AK137" s="3061"/>
      <c r="AL137" s="3062" t="n">
        <f t="shared" si="25"/>
        <v>0.0</v>
      </c>
      <c r="AM137" s="3084" t="s">
        <v>321</v>
      </c>
      <c r="AN137" s="3075" t="s">
        <v>206</v>
      </c>
    </row>
    <row r="138" spans="1:40" ht="54" hidden="1" customHeight="1" x14ac:dyDescent="0.15">
      <c r="A138" s="3068"/>
      <c r="B138" s="3147"/>
      <c r="C138" s="3159"/>
      <c r="D138" s="3151"/>
      <c r="E138" s="2705"/>
      <c r="F138" s="2705" t="s">
        <v>27</v>
      </c>
      <c r="G138" s="1887" t="s">
        <v>9401</v>
      </c>
      <c r="H138" s="1919" t="s">
        <v>9402</v>
      </c>
      <c r="I138" s="1887" t="str">
        <f>"7-DaHall 1-"&amp;M138&amp;"-"&amp;L138&amp;"-"&amp;N138</f>
        <v>7-DaHall 1-A-1-35-15(2)</v>
      </c>
      <c r="J138" s="1919" t="str">
        <f>"7-DaHall 1-"&amp;Q138&amp;"-"&amp;P138&amp;"-"&amp;R138</f>
        <v>7-DaHall 1-B-1-35-15(2)</v>
      </c>
      <c r="K138" s="1889">
        <v>48</v>
      </c>
      <c r="L138" s="1890">
        <v>35</v>
      </c>
      <c r="M138" s="2740" t="s">
        <v>305</v>
      </c>
      <c r="N138" s="1891" t="s">
        <v>679</v>
      </c>
      <c r="O138" s="1929">
        <v>48</v>
      </c>
      <c r="P138" s="1930">
        <v>35</v>
      </c>
      <c r="Q138" s="2722" t="s">
        <v>306</v>
      </c>
      <c r="R138" s="1920" t="s">
        <v>679</v>
      </c>
      <c r="S138" s="2740" t="s">
        <v>680</v>
      </c>
      <c r="T138" s="2722" t="s">
        <v>681</v>
      </c>
      <c r="U138" s="2244" t="s">
        <v>309</v>
      </c>
      <c r="V138" s="3072" t="s">
        <v>310</v>
      </c>
      <c r="W138" s="2244" t="s">
        <v>47</v>
      </c>
      <c r="X138" s="922" t="s">
        <v>48</v>
      </c>
      <c r="Y138" s="2244" t="s">
        <v>49</v>
      </c>
      <c r="Z138" s="922" t="s">
        <v>50</v>
      </c>
      <c r="AA138" s="2244" t="s">
        <v>51</v>
      </c>
      <c r="AB138" s="922" t="s">
        <v>52</v>
      </c>
      <c r="AC138" s="2244" t="s">
        <v>30</v>
      </c>
      <c r="AD138" s="922" t="s">
        <v>35</v>
      </c>
      <c r="AE138" s="2244" t="s">
        <v>31</v>
      </c>
      <c r="AF138" s="922" t="s">
        <v>36</v>
      </c>
      <c r="AG138" s="700"/>
      <c r="AH138" s="692"/>
      <c r="AI138" s="3145"/>
      <c r="AJ138" s="3060"/>
      <c r="AK138" s="3061"/>
      <c r="AL138" s="3062" t="n">
        <f t="shared" si="25"/>
        <v>0.0</v>
      </c>
      <c r="AM138" s="3083"/>
      <c r="AN138" s="3076"/>
    </row>
    <row r="139" spans="1:40" ht="13.5" hidden="1" customHeight="1" x14ac:dyDescent="0.15">
      <c r="A139" s="3068"/>
      <c r="B139" s="2705"/>
      <c r="C139" s="937" t="s">
        <v>671</v>
      </c>
      <c r="D139" s="937"/>
      <c r="E139" s="2705"/>
      <c r="F139" s="2705"/>
      <c r="G139" s="1990"/>
      <c r="H139" s="1991"/>
      <c r="I139" s="1990"/>
      <c r="J139" s="1991"/>
      <c r="K139" s="1992"/>
      <c r="L139" s="921"/>
      <c r="M139" s="921"/>
      <c r="N139" s="1993"/>
      <c r="O139" s="1994"/>
      <c r="P139" s="1995"/>
      <c r="Q139" s="940"/>
      <c r="R139" s="1996"/>
      <c r="S139" s="921"/>
      <c r="T139" s="940"/>
      <c r="U139" s="921"/>
      <c r="V139" s="1200"/>
      <c r="W139" s="921"/>
      <c r="X139" s="1194"/>
      <c r="Y139" s="921"/>
      <c r="Z139" s="1194"/>
      <c r="AA139" s="921"/>
      <c r="AB139" s="1194"/>
      <c r="AC139" s="921"/>
      <c r="AD139" s="1194"/>
      <c r="AE139" s="940"/>
      <c r="AF139" s="1194"/>
      <c r="AG139" s="973"/>
      <c r="AH139" s="969"/>
      <c r="AI139" s="1339"/>
      <c r="AJ139" s="3069"/>
      <c r="AK139" s="3070"/>
      <c r="AL139" s="3071" t="n">
        <f t="shared" si="25"/>
        <v>0.0</v>
      </c>
      <c r="AM139" s="2744"/>
      <c r="AN139" s="2747"/>
    </row>
    <row r="140" spans="1:40" ht="54" hidden="1" customHeight="1" thickBot="1" x14ac:dyDescent="0.2">
      <c r="A140" s="3068"/>
      <c r="B140" s="2705" t="s">
        <v>666</v>
      </c>
      <c r="C140" s="2239" t="s">
        <v>667</v>
      </c>
      <c r="D140" s="2705" t="s">
        <v>668</v>
      </c>
      <c r="E140" s="2705"/>
      <c r="F140" s="2705" t="s">
        <v>27</v>
      </c>
      <c r="G140" s="1942" t="s">
        <v>9403</v>
      </c>
      <c r="H140" s="1943" t="s">
        <v>9404</v>
      </c>
      <c r="I140" s="1942" t="str">
        <f>"7-DaHall 1-"&amp;M140&amp;"-"&amp;L140&amp;"-"&amp;N140</f>
        <v>7-DaHall 1-B-1-35-16</v>
      </c>
      <c r="J140" s="1943" t="str">
        <f>"7-DaHall 1-"&amp;Q140&amp;"-"&amp;P140&amp;"-"&amp;R140</f>
        <v>7-DaHall 1-A-1-35-16</v>
      </c>
      <c r="K140" s="1944">
        <v>48</v>
      </c>
      <c r="L140" s="1930">
        <v>35</v>
      </c>
      <c r="M140" s="2722" t="s">
        <v>306</v>
      </c>
      <c r="N140" s="1920">
        <v>16</v>
      </c>
      <c r="O140" s="1945">
        <v>48</v>
      </c>
      <c r="P140" s="1890">
        <v>35</v>
      </c>
      <c r="Q140" s="2740" t="s">
        <v>305</v>
      </c>
      <c r="R140" s="1891">
        <v>16</v>
      </c>
      <c r="S140" s="2722" t="s">
        <v>669</v>
      </c>
      <c r="T140" s="2740" t="s">
        <v>670</v>
      </c>
      <c r="U140" s="699" t="s">
        <v>310</v>
      </c>
      <c r="V140" s="906" t="s">
        <v>309</v>
      </c>
      <c r="W140" s="2722" t="s">
        <v>48</v>
      </c>
      <c r="X140" s="2740" t="s">
        <v>47</v>
      </c>
      <c r="Y140" s="2722" t="s">
        <v>50</v>
      </c>
      <c r="Z140" s="2740" t="s">
        <v>49</v>
      </c>
      <c r="AA140" s="2722" t="s">
        <v>52</v>
      </c>
      <c r="AB140" s="2740" t="s">
        <v>51</v>
      </c>
      <c r="AC140" s="2722" t="s">
        <v>35</v>
      </c>
      <c r="AD140" s="2740" t="s">
        <v>30</v>
      </c>
      <c r="AE140" s="2722" t="s">
        <v>36</v>
      </c>
      <c r="AF140" s="2740" t="s">
        <v>31</v>
      </c>
      <c r="AG140" s="920"/>
      <c r="AH140" s="942"/>
      <c r="AI140" s="2746"/>
      <c r="AJ140" s="3060"/>
      <c r="AK140" s="3061"/>
      <c r="AL140" s="3062" t="n">
        <f t="shared" si="25"/>
        <v>0.0</v>
      </c>
      <c r="AM140" s="2744" t="s">
        <v>321</v>
      </c>
      <c r="AN140" s="2747"/>
    </row>
    <row r="141" spans="1:40" ht="54" hidden="1" customHeight="1" thickBot="1" x14ac:dyDescent="0.2">
      <c r="A141" s="3068"/>
      <c r="B141" s="2705" t="s">
        <v>661</v>
      </c>
      <c r="C141" s="2239" t="s">
        <v>662</v>
      </c>
      <c r="D141" s="2705" t="s">
        <v>663</v>
      </c>
      <c r="E141" s="2705"/>
      <c r="F141" s="2705" t="s">
        <v>27</v>
      </c>
      <c r="G141" s="1887" t="s">
        <v>9405</v>
      </c>
      <c r="H141" s="1919" t="s">
        <v>9406</v>
      </c>
      <c r="I141" s="1887" t="str">
        <f>"7-DaHall 1-"&amp;M141&amp;"-"&amp;L141&amp;"-"&amp;N141</f>
        <v>7-DaHall 1-A-1-50-17</v>
      </c>
      <c r="J141" s="1919" t="str">
        <f>"7-DaHall 1-"&amp;Q141&amp;"-"&amp;P141&amp;"-"&amp;R141</f>
        <v>7-DaHall 1-B-1-50-17</v>
      </c>
      <c r="K141" s="1889">
        <v>48</v>
      </c>
      <c r="L141" s="1890">
        <v>50</v>
      </c>
      <c r="M141" s="2740" t="s">
        <v>305</v>
      </c>
      <c r="N141" s="1891">
        <v>17</v>
      </c>
      <c r="O141" s="1929">
        <v>48</v>
      </c>
      <c r="P141" s="1930">
        <v>50</v>
      </c>
      <c r="Q141" s="2722" t="s">
        <v>306</v>
      </c>
      <c r="R141" s="1920">
        <v>17</v>
      </c>
      <c r="S141" s="2740" t="s">
        <v>664</v>
      </c>
      <c r="T141" s="2722" t="s">
        <v>665</v>
      </c>
      <c r="U141" s="3091" t="s">
        <v>309</v>
      </c>
      <c r="V141" s="3092" t="s">
        <v>310</v>
      </c>
      <c r="W141" s="3093" t="s">
        <v>47</v>
      </c>
      <c r="X141" s="3094" t="s">
        <v>48</v>
      </c>
      <c r="Y141" s="3093" t="s">
        <v>49</v>
      </c>
      <c r="Z141" s="3094" t="s">
        <v>50</v>
      </c>
      <c r="AA141" s="3093" t="s">
        <v>51</v>
      </c>
      <c r="AB141" s="3094" t="s">
        <v>52</v>
      </c>
      <c r="AC141" s="3093" t="s">
        <v>30</v>
      </c>
      <c r="AD141" s="3094" t="s">
        <v>35</v>
      </c>
      <c r="AE141" s="3093" t="s">
        <v>31</v>
      </c>
      <c r="AF141" s="3094" t="s">
        <v>36</v>
      </c>
      <c r="AG141" s="687"/>
      <c r="AH141" s="682"/>
      <c r="AI141" s="2746"/>
      <c r="AJ141" s="3060"/>
      <c r="AK141" s="3061"/>
      <c r="AL141" s="3062" t="n">
        <f t="shared" si="25"/>
        <v>0.0</v>
      </c>
      <c r="AM141" s="2744" t="s">
        <v>321</v>
      </c>
      <c r="AN141" s="2747"/>
    </row>
    <row r="142" spans="1:40" ht="54" hidden="1" customHeight="1" thickBot="1" x14ac:dyDescent="0.2">
      <c r="A142" s="3068"/>
      <c r="B142" s="2705" t="s">
        <v>656</v>
      </c>
      <c r="C142" s="2239" t="s">
        <v>657</v>
      </c>
      <c r="D142" s="2705" t="s">
        <v>658</v>
      </c>
      <c r="E142" s="2705"/>
      <c r="F142" s="2705" t="s">
        <v>27</v>
      </c>
      <c r="G142" s="1887" t="s">
        <v>9407</v>
      </c>
      <c r="H142" s="1919" t="s">
        <v>9408</v>
      </c>
      <c r="I142" s="1887" t="str">
        <f>"7-DaHall 1-"&amp;M142&amp;"-"&amp;L142&amp;"-"&amp;N142</f>
        <v>7-DaHall 1-A-1-50-56</v>
      </c>
      <c r="J142" s="1919" t="str">
        <f>"7-DaHall 1-"&amp;Q142&amp;"-"&amp;P142&amp;"-"&amp;R142</f>
        <v>7-DaHall 1-B-1-50-56</v>
      </c>
      <c r="K142" s="1889">
        <v>48</v>
      </c>
      <c r="L142" s="1890">
        <v>50</v>
      </c>
      <c r="M142" s="2740" t="s">
        <v>305</v>
      </c>
      <c r="N142" s="1891">
        <v>56</v>
      </c>
      <c r="O142" s="1929">
        <v>48</v>
      </c>
      <c r="P142" s="1930">
        <v>50</v>
      </c>
      <c r="Q142" s="2722" t="s">
        <v>306</v>
      </c>
      <c r="R142" s="1920">
        <v>56</v>
      </c>
      <c r="S142" s="2740" t="s">
        <v>659</v>
      </c>
      <c r="T142" s="2722" t="s">
        <v>660</v>
      </c>
      <c r="U142" s="3091" t="s">
        <v>309</v>
      </c>
      <c r="V142" s="3092" t="s">
        <v>310</v>
      </c>
      <c r="W142" s="3093" t="s">
        <v>47</v>
      </c>
      <c r="X142" s="3094" t="s">
        <v>48</v>
      </c>
      <c r="Y142" s="3093" t="s">
        <v>49</v>
      </c>
      <c r="Z142" s="3094" t="s">
        <v>50</v>
      </c>
      <c r="AA142" s="3093" t="s">
        <v>51</v>
      </c>
      <c r="AB142" s="3094" t="s">
        <v>52</v>
      </c>
      <c r="AC142" s="3093" t="s">
        <v>30</v>
      </c>
      <c r="AD142" s="3094" t="s">
        <v>35</v>
      </c>
      <c r="AE142" s="3093" t="s">
        <v>31</v>
      </c>
      <c r="AF142" s="3094" t="s">
        <v>36</v>
      </c>
      <c r="AG142" s="687"/>
      <c r="AH142" s="682"/>
      <c r="AI142" s="2746"/>
      <c r="AJ142" s="3060"/>
      <c r="AK142" s="3061"/>
      <c r="AL142" s="3062" t="n">
        <f t="shared" si="25"/>
        <v>0.0</v>
      </c>
      <c r="AM142" s="2744" t="s">
        <v>321</v>
      </c>
      <c r="AN142" s="2747"/>
    </row>
    <row r="143" spans="1:40" ht="27" hidden="1" customHeight="1" x14ac:dyDescent="0.15">
      <c r="A143" s="3052" t="s">
        <v>650</v>
      </c>
      <c r="B143" s="678" t="s">
        <v>651</v>
      </c>
      <c r="C143" s="2246" t="s">
        <v>652</v>
      </c>
      <c r="D143" s="678" t="s">
        <v>653</v>
      </c>
      <c r="E143" s="678"/>
      <c r="F143" s="678" t="s">
        <v>27</v>
      </c>
      <c r="G143" s="1984" t="s">
        <v>9409</v>
      </c>
      <c r="H143" s="1985" t="s">
        <v>9410</v>
      </c>
      <c r="I143" s="1984" t="str">
        <f>"7-DaHall 1-"&amp;M143&amp;"-"&amp;L143&amp;"-"&amp;N143</f>
        <v>7-DaHall 1-A-1-100-19</v>
      </c>
      <c r="J143" s="1985" t="str">
        <f>"7-DaHall 1-"&amp;Q143&amp;"-"&amp;P143&amp;"-"&amp;R143</f>
        <v>7-DaHall 1-B-1-100-19</v>
      </c>
      <c r="K143" s="1986">
        <v>48</v>
      </c>
      <c r="L143" s="1890">
        <v>100</v>
      </c>
      <c r="M143" s="907" t="s">
        <v>305</v>
      </c>
      <c r="N143" s="1987">
        <v>19</v>
      </c>
      <c r="O143" s="1988">
        <v>48</v>
      </c>
      <c r="P143" s="1930">
        <v>100</v>
      </c>
      <c r="Q143" s="918" t="s">
        <v>306</v>
      </c>
      <c r="R143" s="1989">
        <v>19</v>
      </c>
      <c r="S143" s="907" t="s">
        <v>654</v>
      </c>
      <c r="T143" s="918" t="s">
        <v>655</v>
      </c>
      <c r="U143" s="3091" t="s">
        <v>309</v>
      </c>
      <c r="V143" s="3092" t="s">
        <v>310</v>
      </c>
      <c r="W143" s="3093" t="s">
        <v>47</v>
      </c>
      <c r="X143" s="3094" t="s">
        <v>48</v>
      </c>
      <c r="Y143" s="3093" t="s">
        <v>49</v>
      </c>
      <c r="Z143" s="3094" t="s">
        <v>50</v>
      </c>
      <c r="AA143" s="3093" t="s">
        <v>51</v>
      </c>
      <c r="AB143" s="3094" t="s">
        <v>52</v>
      </c>
      <c r="AC143" s="3093" t="s">
        <v>30</v>
      </c>
      <c r="AD143" s="3094" t="s">
        <v>35</v>
      </c>
      <c r="AE143" s="3093" t="s">
        <v>31</v>
      </c>
      <c r="AF143" s="3094" t="s">
        <v>36</v>
      </c>
      <c r="AG143" s="686"/>
      <c r="AH143" s="679"/>
      <c r="AI143" s="2736"/>
      <c r="AJ143" s="3060"/>
      <c r="AK143" s="3061"/>
      <c r="AL143" s="3062" t="n">
        <f t="shared" si="25"/>
        <v>0.0</v>
      </c>
      <c r="AM143" s="900" t="s">
        <v>327</v>
      </c>
      <c r="AN143" s="680"/>
    </row>
    <row r="144" spans="1:40" ht="40.5" x14ac:dyDescent="0.15">
      <c r="A144" s="3068"/>
      <c r="B144" s="2705" t="s">
        <v>541</v>
      </c>
      <c r="C144" s="1192" t="s">
        <v>542</v>
      </c>
      <c r="D144" s="2710" t="s">
        <v>543</v>
      </c>
      <c r="E144" s="2705" t="s">
        <v>27</v>
      </c>
      <c r="F144" s="2705"/>
      <c r="G144" s="1907" t="s">
        <v>9411</v>
      </c>
      <c r="H144" s="1915" t="s">
        <v>9412</v>
      </c>
      <c r="I144" s="1907" t="str">
        <f>"7-DaHall 1-"&amp;M144&amp;"-"&amp;L144&amp;"-"&amp;N144</f>
        <v>7-DaHall 1-RPP-01-30-32</v>
      </c>
      <c r="J144" s="1915" t="str">
        <f>"7-DaHall 1-"&amp;Q144&amp;"-"&amp;P144&amp;"-"&amp;R144</f>
        <v>7-DaHall 1-RPP-02-30-26</v>
      </c>
      <c r="K144" s="1909">
        <v>220</v>
      </c>
      <c r="L144" s="1910">
        <v>30</v>
      </c>
      <c r="M144" s="709" t="s">
        <v>9203</v>
      </c>
      <c r="N144" s="1911">
        <v>32</v>
      </c>
      <c r="O144" s="1916">
        <v>220</v>
      </c>
      <c r="P144" s="1917">
        <v>30</v>
      </c>
      <c r="Q144" s="693" t="s">
        <v>9204</v>
      </c>
      <c r="R144" s="1918">
        <v>26</v>
      </c>
      <c r="S144" s="709" t="s">
        <v>544</v>
      </c>
      <c r="T144" s="693" t="s">
        <v>545</v>
      </c>
      <c r="U144" s="2740" t="s">
        <v>546</v>
      </c>
      <c r="V144" s="2722" t="s">
        <v>547</v>
      </c>
      <c r="W144" s="2740" t="s">
        <v>468</v>
      </c>
      <c r="X144" s="2722" t="s">
        <v>479</v>
      </c>
      <c r="Y144" s="2740" t="s">
        <v>469</v>
      </c>
      <c r="Z144" s="2722" t="s">
        <v>480</v>
      </c>
      <c r="AA144" s="2740" t="s">
        <v>470</v>
      </c>
      <c r="AB144" s="2722" t="s">
        <v>548</v>
      </c>
      <c r="AC144" s="2740" t="s">
        <v>30</v>
      </c>
      <c r="AD144" s="2722" t="s">
        <v>35</v>
      </c>
      <c r="AE144" s="2740" t="s">
        <v>31</v>
      </c>
      <c r="AF144" s="2722" t="s">
        <v>36</v>
      </c>
      <c r="AG144" s="687" t="n">
        <f>SUM('7층_부하량(월간_AVG)'!N21:P21)</f>
        <v>0.0</v>
      </c>
      <c r="AH144" s="682" t="n">
        <f>SUM('7층_부하량(월간_AVG)'!N107:P107)</f>
        <v>1.203442232453935</v>
      </c>
      <c r="AI144" s="1327" t="n">
        <f>AG144+AH144</f>
        <v>1.203442232453935</v>
      </c>
      <c r="AJ144" s="3056" t="n" cm="1">
        <f t="array" ref="AJ144">INDEX('각층분기별_유효전력량(전월)'!L2:L2000,MATCH(1,("7-DaHall 1-RPP-01"='각층분기별_유효전력량(전월)'!J2:J2000)*("[branch#032] [A] kWh last month"='각층분기별_유효전력량(전월)'!K2:K2000),0))</f>
        <v>0.0</v>
      </c>
      <c r="AK144" s="3057" t="n" cm="1">
        <f t="array" ref="AK144">INDEX('각층분기별_유효전력량(전월)'!L2:L2000,MATCH(1,("7-DaHall 1-RPP-02"='각층분기별_유효전력량(전월)'!J2:J2000)*("[branch#026] [A] kWh last month"='각층분기별_유효전력량(전월)'!K2:K2000),0))</f>
        <v>640.4</v>
      </c>
      <c r="AL144" s="3065" t="n">
        <f t="shared" si="25"/>
        <v>640.4</v>
      </c>
      <c r="AM144" s="2733" t="s">
        <v>549</v>
      </c>
      <c r="AN144" s="2747"/>
    </row>
    <row r="145" spans="1:40" ht="54" x14ac:dyDescent="0.15">
      <c r="A145" s="3068"/>
      <c r="B145" s="2705" t="s">
        <v>535</v>
      </c>
      <c r="C145" s="1184" t="s">
        <v>536</v>
      </c>
      <c r="D145" s="2705" t="s">
        <v>537</v>
      </c>
      <c r="E145" s="2705" t="s">
        <v>27</v>
      </c>
      <c r="F145" s="2705"/>
      <c r="G145" s="1939"/>
      <c r="H145" s="1964"/>
      <c r="I145" s="1939"/>
      <c r="J145" s="1964"/>
      <c r="K145" s="1940"/>
      <c r="L145" s="959"/>
      <c r="M145" s="959"/>
      <c r="N145" s="1941"/>
      <c r="O145" s="1965"/>
      <c r="P145" s="1966"/>
      <c r="Q145" s="959"/>
      <c r="R145" s="1941"/>
      <c r="S145" s="959" t="s">
        <v>538</v>
      </c>
      <c r="T145" s="959" t="s">
        <v>539</v>
      </c>
      <c r="U145" s="739"/>
      <c r="V145" s="739"/>
      <c r="W145" s="739"/>
      <c r="X145" s="739"/>
      <c r="Y145" s="739"/>
      <c r="Z145" s="739"/>
      <c r="AA145" s="739"/>
      <c r="AB145" s="739"/>
      <c r="AC145" s="739"/>
      <c r="AD145" s="739"/>
      <c r="AE145" s="915"/>
      <c r="AF145" s="915"/>
      <c r="AG145" s="968"/>
      <c r="AH145" s="969"/>
      <c r="AI145" s="1338"/>
      <c r="AJ145" s="3056"/>
      <c r="AK145" s="3057"/>
      <c r="AL145" s="3065" t="n">
        <f t="shared" si="25"/>
        <v>0.0</v>
      </c>
      <c r="AM145" s="2744"/>
      <c r="AN145" s="694" t="s">
        <v>540</v>
      </c>
    </row>
    <row r="146" spans="1:40" ht="39.950000000000003" customHeight="1" x14ac:dyDescent="0.15">
      <c r="A146" s="3068"/>
      <c r="B146" s="2705" t="s">
        <v>528</v>
      </c>
      <c r="C146" s="1184" t="s">
        <v>529</v>
      </c>
      <c r="D146" s="2705" t="s">
        <v>530</v>
      </c>
      <c r="E146" s="2705" t="s">
        <v>27</v>
      </c>
      <c r="F146" s="2705"/>
      <c r="G146" s="1907" t="s">
        <v>9413</v>
      </c>
      <c r="H146" s="1915" t="s">
        <v>9414</v>
      </c>
      <c r="I146" s="1907" t="str">
        <f t="shared" ref="I146" si="27">"7-DaHall 1-"&amp;M146&amp;"-"&amp;L146&amp;"-"&amp;N146</f>
        <v>7-DaHall 1-RPP-01-30-12</v>
      </c>
      <c r="J146" s="1915" t="str">
        <f t="shared" ref="J146" si="28">"7-DaHall 1-"&amp;Q146&amp;"-"&amp;P146&amp;"-"&amp;R146</f>
        <v>7-DaHall 1-RPP-02-20-17</v>
      </c>
      <c r="K146" s="1909">
        <v>220</v>
      </c>
      <c r="L146" s="1910">
        <v>30</v>
      </c>
      <c r="M146" s="709" t="s">
        <v>9203</v>
      </c>
      <c r="N146" s="1911">
        <v>12</v>
      </c>
      <c r="O146" s="1916">
        <v>220</v>
      </c>
      <c r="P146" s="1917">
        <v>20</v>
      </c>
      <c r="Q146" s="693" t="s">
        <v>9204</v>
      </c>
      <c r="R146" s="1918">
        <v>17</v>
      </c>
      <c r="S146" s="709" t="s">
        <v>531</v>
      </c>
      <c r="T146" s="693" t="s">
        <v>532</v>
      </c>
      <c r="U146" s="2740" t="s">
        <v>533</v>
      </c>
      <c r="V146" s="2722" t="s">
        <v>534</v>
      </c>
      <c r="W146" s="2244" t="s">
        <v>468</v>
      </c>
      <c r="X146" s="922" t="s">
        <v>479</v>
      </c>
      <c r="Y146" s="2244" t="s">
        <v>469</v>
      </c>
      <c r="Z146" s="922" t="s">
        <v>480</v>
      </c>
      <c r="AA146" s="2244" t="s">
        <v>51</v>
      </c>
      <c r="AB146" s="922" t="s">
        <v>52</v>
      </c>
      <c r="AC146" s="2244" t="s">
        <v>30</v>
      </c>
      <c r="AD146" s="922" t="s">
        <v>35</v>
      </c>
      <c r="AE146" s="2244" t="s">
        <v>31</v>
      </c>
      <c r="AF146" s="922" t="s">
        <v>36</v>
      </c>
      <c r="AG146" s="687" t="n">
        <f>SUM('7층_부하량(월간_AVG)'!N11:P11)</f>
        <v>3.5738968881687865</v>
      </c>
      <c r="AH146" s="682" t="n">
        <f>SUM('7층_부하량(월간_AVG)'!D103:F103)</f>
        <v>3.1282912346973086</v>
      </c>
      <c r="AI146" s="1327" t="n">
        <f t="shared" ref="AI146" si="29">AG146+AH146</f>
        <v>6.7021881228660956</v>
      </c>
      <c r="AJ146" s="3056" t="n" cm="1">
        <f t="array" ref="AJ146">INDEX('각층분기별_유효전력량(전월)'!L2:L2000,MATCH(1,("7-DaHall 1-RPP-01"='각층분기별_유효전력량(전월)'!J2:J2000)*("[branch#012] [A] kWh last month"='각층분기별_유효전력량(전월)'!K2:K2000),0))</f>
        <v>571.8</v>
      </c>
      <c r="AK146" s="3057" t="n" cm="1">
        <f t="array" ref="AK146">INDEX('각층분기별_유효전력량(전월)'!L2:L2000,MATCH(1,("7-DaHall 1-RPP-02"='각층분기별_유효전력량(전월)'!J2:J2000)*("[branch#017] [A] kWh last month"='각층분기별_유효전력량(전월)'!K2:K2000),0))</f>
        <v>435.0</v>
      </c>
      <c r="AL146" s="3065" t="n">
        <f t="shared" si="25"/>
        <v>1006.8</v>
      </c>
      <c r="AM146" s="2744"/>
      <c r="AN146" s="2747"/>
    </row>
    <row r="147" spans="1:40" ht="54" hidden="1" customHeight="1" x14ac:dyDescent="0.15">
      <c r="A147" s="3068"/>
      <c r="B147" s="3146" t="s">
        <v>519</v>
      </c>
      <c r="C147" s="3148" t="s">
        <v>520</v>
      </c>
      <c r="D147" s="3150" t="s">
        <v>521</v>
      </c>
      <c r="E147" s="2738"/>
      <c r="F147" s="2738" t="s">
        <v>27</v>
      </c>
      <c r="G147" s="1887" t="s">
        <v>9415</v>
      </c>
      <c r="H147" s="1919" t="s">
        <v>9416</v>
      </c>
      <c r="I147" s="1887" t="str">
        <f>"7-DaHall 1-"&amp;M147&amp;"-"&amp;L147&amp;"-"&amp;N147</f>
        <v>7-DaHall 1-A-1-35-44</v>
      </c>
      <c r="J147" s="1919" t="str">
        <f>"7-DaHall 1-"&amp;Q147&amp;"-"&amp;P147&amp;"-"&amp;R147</f>
        <v>7-DaHall 1-B-1-35-6</v>
      </c>
      <c r="K147" s="1889">
        <v>48</v>
      </c>
      <c r="L147" s="1890">
        <v>35</v>
      </c>
      <c r="M147" s="2740" t="s">
        <v>305</v>
      </c>
      <c r="N147" s="1891">
        <v>44</v>
      </c>
      <c r="O147" s="1929">
        <v>48</v>
      </c>
      <c r="P147" s="1930">
        <v>35</v>
      </c>
      <c r="Q147" s="2722" t="s">
        <v>306</v>
      </c>
      <c r="R147" s="1920">
        <v>6</v>
      </c>
      <c r="S147" s="2740" t="s">
        <v>522</v>
      </c>
      <c r="T147" s="2722" t="s">
        <v>523</v>
      </c>
      <c r="U147" s="2740" t="s">
        <v>309</v>
      </c>
      <c r="V147" s="2722" t="s">
        <v>310</v>
      </c>
      <c r="W147" s="2740" t="s">
        <v>452</v>
      </c>
      <c r="X147" s="2722" t="s">
        <v>453</v>
      </c>
      <c r="Y147" s="2740" t="s">
        <v>49</v>
      </c>
      <c r="Z147" s="2722" t="s">
        <v>50</v>
      </c>
      <c r="AA147" s="2244" t="s">
        <v>51</v>
      </c>
      <c r="AB147" s="922" t="s">
        <v>52</v>
      </c>
      <c r="AC147" s="2244" t="s">
        <v>30</v>
      </c>
      <c r="AD147" s="922" t="s">
        <v>35</v>
      </c>
      <c r="AE147" s="2244" t="s">
        <v>31</v>
      </c>
      <c r="AF147" s="922" t="s">
        <v>36</v>
      </c>
      <c r="AG147" s="687"/>
      <c r="AH147" s="682"/>
      <c r="AI147" s="2746"/>
      <c r="AJ147" s="3060"/>
      <c r="AK147" s="3061"/>
      <c r="AL147" s="3062" t="n">
        <f t="shared" si="25"/>
        <v>0.0</v>
      </c>
      <c r="AM147" s="2744"/>
      <c r="AN147" s="2747"/>
    </row>
    <row r="148" spans="1:40" ht="39.950000000000003" customHeight="1" x14ac:dyDescent="0.15">
      <c r="A148" s="3068"/>
      <c r="B148" s="3147"/>
      <c r="C148" s="3149"/>
      <c r="D148" s="3151"/>
      <c r="E148" s="2707" t="s">
        <v>27</v>
      </c>
      <c r="F148" s="2707"/>
      <c r="G148" s="1907" t="s">
        <v>9417</v>
      </c>
      <c r="H148" s="1915" t="s">
        <v>9418</v>
      </c>
      <c r="I148" s="1907" t="str">
        <f>"7-DaHall 1-"&amp;M148&amp;"-"&amp;L148&amp;"-"&amp;N148</f>
        <v>7-DaHall 1-RPP-01-30-10</v>
      </c>
      <c r="J148" s="1915" t="str">
        <f>"7-DaHall 1-"&amp;Q148&amp;"-"&amp;P148&amp;"-"&amp;R148</f>
        <v>7-DaHall 1-RPP-02-20-15</v>
      </c>
      <c r="K148" s="1909">
        <v>220</v>
      </c>
      <c r="L148" s="1910">
        <v>30</v>
      </c>
      <c r="M148" s="709" t="s">
        <v>9203</v>
      </c>
      <c r="N148" s="1911">
        <v>10</v>
      </c>
      <c r="O148" s="1916">
        <v>220</v>
      </c>
      <c r="P148" s="1917">
        <v>20</v>
      </c>
      <c r="Q148" s="693" t="s">
        <v>9204</v>
      </c>
      <c r="R148" s="1918">
        <v>15</v>
      </c>
      <c r="S148" s="709" t="s">
        <v>524</v>
      </c>
      <c r="T148" s="693" t="s">
        <v>525</v>
      </c>
      <c r="U148" s="2740" t="s">
        <v>526</v>
      </c>
      <c r="V148" s="2722" t="s">
        <v>527</v>
      </c>
      <c r="W148" s="2244" t="s">
        <v>468</v>
      </c>
      <c r="X148" s="922" t="s">
        <v>479</v>
      </c>
      <c r="Y148" s="2244" t="s">
        <v>469</v>
      </c>
      <c r="Z148" s="922" t="s">
        <v>480</v>
      </c>
      <c r="AA148" s="2244" t="s">
        <v>51</v>
      </c>
      <c r="AB148" s="922" t="s">
        <v>52</v>
      </c>
      <c r="AC148" s="2244" t="s">
        <v>30</v>
      </c>
      <c r="AD148" s="922" t="s">
        <v>35</v>
      </c>
      <c r="AE148" s="2244" t="s">
        <v>31</v>
      </c>
      <c r="AF148" s="922" t="s">
        <v>36</v>
      </c>
      <c r="AG148" s="687" t="n">
        <f>SUM('7층_부하량(월간_AVG)'!N10:P10)</f>
        <v>1.5543268481938066</v>
      </c>
      <c r="AH148" s="682" t="n">
        <f>SUM('7층_부하량(월간_AVG)'!D102:F102)</f>
        <v>1.723402733589854</v>
      </c>
      <c r="AI148" s="1327" t="n">
        <f t="shared" ref="AI148" si="30">AG148+AH148</f>
        <v>3.2777295817836607</v>
      </c>
      <c r="AJ148" s="3056" t="n" cm="1">
        <f t="array" ref="AJ148">INDEX('각층분기별_유효전력량(전월)'!L2:L2000,MATCH(1,("7-DaHall 1-RPP-01"='각층분기별_유효전력량(전월)'!J2:J2000)*("[branch#010] [A] kWh last month"='각층분기별_유효전력량(전월)'!K2:K2000),0))</f>
        <v>268.8</v>
      </c>
      <c r="AK148" s="3057" t="n" cm="1">
        <f t="array" ref="AK148">INDEX('각층분기별_유효전력량(전월)'!L2:L2000,MATCH(1,("7-DaHall 1-RPP-02"='각층분기별_유효전력량(전월)'!J2:J2000)*("[branch#015] [A] kWh last month"='각층분기별_유효전력량(전월)'!K2:K2000),0))</f>
        <v>312.2</v>
      </c>
      <c r="AL148" s="3065" t="n">
        <f t="shared" si="25"/>
        <v>581.0</v>
      </c>
      <c r="AM148" s="2744"/>
      <c r="AN148" s="2747"/>
    </row>
    <row r="149" spans="1:40" ht="54" hidden="1" customHeight="1" x14ac:dyDescent="0.15">
      <c r="A149" s="3068"/>
      <c r="B149" s="3146" t="s">
        <v>510</v>
      </c>
      <c r="C149" s="3148" t="s">
        <v>511</v>
      </c>
      <c r="D149" s="3150" t="s">
        <v>512</v>
      </c>
      <c r="E149" s="2738"/>
      <c r="F149" s="2738" t="s">
        <v>27</v>
      </c>
      <c r="G149" s="1887" t="s">
        <v>9419</v>
      </c>
      <c r="H149" s="1919" t="s">
        <v>9420</v>
      </c>
      <c r="I149" s="1887" t="str">
        <f>"7-DaHall 1-"&amp;M149&amp;"-"&amp;L149&amp;"-"&amp;N149</f>
        <v>7-DaHall 1-A-1-35-43</v>
      </c>
      <c r="J149" s="1919" t="str">
        <f>"7-DaHall 1-"&amp;Q149&amp;"-"&amp;P149&amp;"-"&amp;R149</f>
        <v>7-DaHall 1-B-1-35-5</v>
      </c>
      <c r="K149" s="1889">
        <v>48</v>
      </c>
      <c r="L149" s="1890">
        <v>35</v>
      </c>
      <c r="M149" s="2740" t="s">
        <v>305</v>
      </c>
      <c r="N149" s="1891">
        <v>43</v>
      </c>
      <c r="O149" s="1929">
        <v>48</v>
      </c>
      <c r="P149" s="1930">
        <v>35</v>
      </c>
      <c r="Q149" s="2722" t="s">
        <v>306</v>
      </c>
      <c r="R149" s="1920">
        <v>5</v>
      </c>
      <c r="S149" s="2740" t="s">
        <v>513</v>
      </c>
      <c r="T149" s="2722" t="s">
        <v>514</v>
      </c>
      <c r="U149" s="2699" t="s">
        <v>309</v>
      </c>
      <c r="V149" s="2701" t="s">
        <v>310</v>
      </c>
      <c r="W149" s="2699" t="s">
        <v>452</v>
      </c>
      <c r="X149" s="2701" t="s">
        <v>453</v>
      </c>
      <c r="Y149" s="2699" t="s">
        <v>49</v>
      </c>
      <c r="Z149" s="2701" t="s">
        <v>50</v>
      </c>
      <c r="AA149" s="2244" t="s">
        <v>51</v>
      </c>
      <c r="AB149" s="922" t="s">
        <v>52</v>
      </c>
      <c r="AC149" s="2244" t="s">
        <v>30</v>
      </c>
      <c r="AD149" s="922" t="s">
        <v>35</v>
      </c>
      <c r="AE149" s="2244" t="s">
        <v>31</v>
      </c>
      <c r="AF149" s="922" t="s">
        <v>36</v>
      </c>
      <c r="AG149" s="681"/>
      <c r="AH149" s="682"/>
      <c r="AI149" s="2746"/>
      <c r="AJ149" s="3060"/>
      <c r="AK149" s="3061"/>
      <c r="AL149" s="3062" t="n">
        <f t="shared" si="25"/>
        <v>0.0</v>
      </c>
      <c r="AM149" s="2744"/>
      <c r="AN149" s="2747"/>
    </row>
    <row r="150" spans="1:40" ht="40.5" x14ac:dyDescent="0.15">
      <c r="A150" s="3068"/>
      <c r="B150" s="3147"/>
      <c r="C150" s="3149"/>
      <c r="D150" s="3151"/>
      <c r="E150" s="2707" t="s">
        <v>27</v>
      </c>
      <c r="F150" s="2707"/>
      <c r="G150" s="1907" t="s">
        <v>9421</v>
      </c>
      <c r="H150" s="1915" t="s">
        <v>9422</v>
      </c>
      <c r="I150" s="1907" t="str">
        <f>"7-DaHall 1-"&amp;M150&amp;"-"&amp;L150&amp;"-"&amp;N150</f>
        <v>7-DaHall 1-RPP-01-30-8</v>
      </c>
      <c r="J150" s="1915" t="str">
        <f>"7-DaHall 1-"&amp;Q150&amp;"-"&amp;P150&amp;"-"&amp;R150</f>
        <v>7-DaHall 1-RPP-02-20-13</v>
      </c>
      <c r="K150" s="1909">
        <v>220</v>
      </c>
      <c r="L150" s="1910">
        <v>30</v>
      </c>
      <c r="M150" s="709" t="s">
        <v>9203</v>
      </c>
      <c r="N150" s="1911">
        <v>8</v>
      </c>
      <c r="O150" s="1916">
        <v>220</v>
      </c>
      <c r="P150" s="1917">
        <v>20</v>
      </c>
      <c r="Q150" s="693" t="s">
        <v>9204</v>
      </c>
      <c r="R150" s="1918">
        <v>13</v>
      </c>
      <c r="S150" s="709" t="s">
        <v>515</v>
      </c>
      <c r="T150" s="693" t="s">
        <v>516</v>
      </c>
      <c r="U150" s="2740" t="s">
        <v>517</v>
      </c>
      <c r="V150" s="2722" t="s">
        <v>518</v>
      </c>
      <c r="W150" s="2740" t="s">
        <v>468</v>
      </c>
      <c r="X150" s="2722" t="s">
        <v>479</v>
      </c>
      <c r="Y150" s="2740" t="s">
        <v>469</v>
      </c>
      <c r="Z150" s="2722" t="s">
        <v>480</v>
      </c>
      <c r="AA150" s="2244" t="s">
        <v>51</v>
      </c>
      <c r="AB150" s="922" t="s">
        <v>52</v>
      </c>
      <c r="AC150" s="2244" t="s">
        <v>30</v>
      </c>
      <c r="AD150" s="922" t="s">
        <v>35</v>
      </c>
      <c r="AE150" s="2244" t="s">
        <v>31</v>
      </c>
      <c r="AF150" s="922" t="s">
        <v>36</v>
      </c>
      <c r="AG150" s="687" t="n">
        <f>SUM('7층_부하량(월간_AVG)'!N9:P9)</f>
        <v>2.2949706804150782</v>
      </c>
      <c r="AH150" s="682" t="n">
        <f>SUM('7층_부하량(월간_AVG)'!D101:F101)</f>
        <v>2.775163637283658</v>
      </c>
      <c r="AI150" s="1327" t="n">
        <f t="shared" ref="AI150" si="31">AG150+AH150</f>
        <v>5.070134317698736</v>
      </c>
      <c r="AJ150" s="3056" t="n" cm="1">
        <f t="array" ref="AJ150">INDEX('각층분기별_유효전력량(전월)'!L2:L2000,MATCH(1,("7-DaHall 1-RPP-01"='각층분기별_유효전력량(전월)'!J2:J2000)*("[branch#008] [A] kWh last month"='각층분기별_유효전력량(전월)'!K2:K2000),0))</f>
        <v>340.5</v>
      </c>
      <c r="AK150" s="3057" t="n" cm="1">
        <f t="array" ref="AK150">INDEX('각층분기별_유효전력량(전월)'!L2:L2000,MATCH(1,("7-DaHall 1-RPP-02"='각층분기별_유효전력량(전월)'!J2:J2000)*("[branch#013] [A] kWh last month"='각층분기별_유효전력량(전월)'!K2:K2000),0))</f>
        <v>392.3</v>
      </c>
      <c r="AL150" s="3065" t="n">
        <f t="shared" si="25"/>
        <v>732.8</v>
      </c>
      <c r="AM150" s="2744"/>
      <c r="AN150" s="2747"/>
    </row>
    <row r="151" spans="1:40" ht="40.5" x14ac:dyDescent="0.15">
      <c r="A151" s="3068"/>
      <c r="B151" s="2705" t="s">
        <v>504</v>
      </c>
      <c r="C151" s="2709" t="s">
        <v>505</v>
      </c>
      <c r="D151" s="2710" t="s">
        <v>506</v>
      </c>
      <c r="E151" s="2705" t="s">
        <v>27</v>
      </c>
      <c r="F151" s="2705"/>
      <c r="G151" s="1948" t="s">
        <v>9423</v>
      </c>
      <c r="H151" s="1946" t="s">
        <v>9424</v>
      </c>
      <c r="I151" s="1946" t="str">
        <f>"7-DaHall 1-"&amp;Q151&amp;"-"&amp;P151&amp;"-"&amp;R151</f>
        <v>7-DaHall 1-PDU-01-30-8</v>
      </c>
      <c r="J151" s="1948" t="str">
        <f>"7-DaHall 1-"&amp;M151&amp;"-"&amp;L151&amp;"-"&amp;N151</f>
        <v>7-DaHall 1-RPP-02-20-9</v>
      </c>
      <c r="K151" s="1949">
        <v>220</v>
      </c>
      <c r="L151" s="1917">
        <v>20</v>
      </c>
      <c r="M151" s="693" t="s">
        <v>9204</v>
      </c>
      <c r="N151" s="1918">
        <v>9</v>
      </c>
      <c r="O151" s="1947">
        <v>220</v>
      </c>
      <c r="P151" s="1910">
        <v>30</v>
      </c>
      <c r="Q151" s="709" t="s">
        <v>9177</v>
      </c>
      <c r="R151" s="1911">
        <v>8</v>
      </c>
      <c r="S151" s="693" t="s">
        <v>507</v>
      </c>
      <c r="T151" s="709" t="s">
        <v>508</v>
      </c>
      <c r="U151" s="2722" t="s">
        <v>509</v>
      </c>
      <c r="V151" s="739"/>
      <c r="W151" s="2722" t="s">
        <v>479</v>
      </c>
      <c r="X151" s="739"/>
      <c r="Y151" s="2701" t="s">
        <v>480</v>
      </c>
      <c r="Z151" s="739"/>
      <c r="AA151" s="2701" t="s">
        <v>52</v>
      </c>
      <c r="AB151" s="2740" t="s">
        <v>173</v>
      </c>
      <c r="AC151" s="2701" t="s">
        <v>35</v>
      </c>
      <c r="AD151" s="2740" t="s">
        <v>111</v>
      </c>
      <c r="AE151" s="2722" t="s">
        <v>36</v>
      </c>
      <c r="AF151" s="2740" t="s">
        <v>31</v>
      </c>
      <c r="AG151" s="942" t="n">
        <f>SUM('7층_부하량(월간_AVG)'!N66:P66)</f>
        <v>1.6519201727634416</v>
      </c>
      <c r="AH151" s="920" t="n">
        <f>SUM('7층_부하량(월간_AVG)'!D99:F99)</f>
        <v>1.4677948534172658</v>
      </c>
      <c r="AI151" s="1327" t="n">
        <f>AH151+AG151</f>
        <v>3.1197150261807076</v>
      </c>
      <c r="AJ151" s="3056" t="n" cm="1">
        <f t="array" ref="AJ151">INDEX('각층분기별_유효전력량(전월)'!L2:L2000,MATCH(1,("7-DaHall 1-PDU-01"='각층분기별_유효전력량(전월)'!J2:J2000)*("[branch#008] [A] kWh last month"='각층분기별_유효전력량(전월)'!K2:K2000),0))</f>
        <v>273.3</v>
      </c>
      <c r="AK151" s="3057" t="n" cm="1">
        <f t="array" ref="AK151">INDEX('각층분기별_유효전력량(전월)'!L2:L2000,MATCH(1,("7-DaHall 1-RPP-02"='각층분기별_유효전력량(전월)'!J2:J2000)*("[branch#009] [A] kWh last month"='각층분기별_유효전력량(전월)'!K2:K2000),0))</f>
        <v>435.0</v>
      </c>
      <c r="AL151" s="3065" t="n">
        <f t="shared" si="25"/>
        <v>708.3</v>
      </c>
      <c r="AM151" s="2744"/>
      <c r="AN151" s="2747"/>
    </row>
    <row r="152" spans="1:40" ht="41.25" thickBot="1" x14ac:dyDescent="0.2">
      <c r="A152" s="3068"/>
      <c r="B152" s="2705" t="s">
        <v>501</v>
      </c>
      <c r="C152" s="1184" t="s">
        <v>502</v>
      </c>
      <c r="D152" s="2705" t="s">
        <v>503</v>
      </c>
      <c r="E152" s="2705" t="s">
        <v>27</v>
      </c>
      <c r="F152" s="2705"/>
      <c r="G152" s="1961"/>
      <c r="H152" s="1957"/>
      <c r="I152" s="1961"/>
      <c r="J152" s="1957"/>
      <c r="K152" s="1962"/>
      <c r="L152" s="975"/>
      <c r="M152" s="975"/>
      <c r="N152" s="1963"/>
      <c r="O152" s="1958"/>
      <c r="P152" s="1959"/>
      <c r="Q152" s="961"/>
      <c r="R152" s="1960"/>
      <c r="S152" s="975"/>
      <c r="T152" s="961" t="s">
        <v>500</v>
      </c>
      <c r="U152" s="975"/>
      <c r="V152" s="960"/>
      <c r="W152" s="975"/>
      <c r="X152" s="960"/>
      <c r="Y152" s="975"/>
      <c r="Z152" s="960"/>
      <c r="AA152" s="975"/>
      <c r="AB152" s="960"/>
      <c r="AC152" s="975"/>
      <c r="AD152" s="960"/>
      <c r="AE152" s="975"/>
      <c r="AF152" s="959"/>
      <c r="AG152" s="975"/>
      <c r="AH152" s="688"/>
      <c r="AI152" s="1327" t="n">
        <f t="shared" ref="AI152:AI162" si="32">AG152+AH152</f>
        <v>0.0</v>
      </c>
      <c r="AJ152" s="3056"/>
      <c r="AK152" s="3057"/>
      <c r="AL152" s="3065" t="n">
        <f t="shared" si="25"/>
        <v>0.0</v>
      </c>
      <c r="AM152" s="2744" t="s">
        <v>124</v>
      </c>
      <c r="AN152" s="2747"/>
    </row>
    <row r="153" spans="1:40" ht="41.25" thickBot="1" x14ac:dyDescent="0.2">
      <c r="A153" s="3052" t="s">
        <v>496</v>
      </c>
      <c r="B153" s="678" t="s">
        <v>497</v>
      </c>
      <c r="C153" s="1183" t="s">
        <v>498</v>
      </c>
      <c r="D153" s="678" t="s">
        <v>499</v>
      </c>
      <c r="E153" s="678" t="s">
        <v>27</v>
      </c>
      <c r="F153" s="2711"/>
      <c r="G153" s="1903"/>
      <c r="H153" s="1957"/>
      <c r="I153" s="1903"/>
      <c r="J153" s="1957"/>
      <c r="K153" s="1904"/>
      <c r="L153" s="914"/>
      <c r="M153" s="914"/>
      <c r="N153" s="1906"/>
      <c r="O153" s="1958"/>
      <c r="P153" s="1959"/>
      <c r="Q153" s="961"/>
      <c r="R153" s="1960"/>
      <c r="S153" s="914"/>
      <c r="T153" s="961" t="s">
        <v>500</v>
      </c>
      <c r="U153" s="914"/>
      <c r="V153" s="962"/>
      <c r="W153" s="914"/>
      <c r="X153" s="962"/>
      <c r="Y153" s="914"/>
      <c r="Z153" s="962"/>
      <c r="AA153" s="914"/>
      <c r="AB153" s="962"/>
      <c r="AC153" s="914"/>
      <c r="AD153" s="962"/>
      <c r="AE153" s="914"/>
      <c r="AF153" s="961"/>
      <c r="AG153" s="914"/>
      <c r="AH153" s="698"/>
      <c r="AI153" s="2721" t="n">
        <f t="shared" si="32"/>
        <v>0.0</v>
      </c>
      <c r="AJ153" s="3056"/>
      <c r="AK153" s="3057"/>
      <c r="AL153" s="3065" t="n">
        <f t="shared" si="25"/>
        <v>0.0</v>
      </c>
      <c r="AM153" s="900" t="s">
        <v>124</v>
      </c>
      <c r="AN153" s="680"/>
    </row>
    <row r="154" spans="1:40" ht="54.75" hidden="1" customHeight="1" thickBot="1" x14ac:dyDescent="0.2">
      <c r="A154" s="3068"/>
      <c r="B154" s="2705" t="s">
        <v>334</v>
      </c>
      <c r="C154" s="2239" t="s">
        <v>335</v>
      </c>
      <c r="D154" s="2705" t="s">
        <v>336</v>
      </c>
      <c r="E154" s="2705"/>
      <c r="F154" s="2705" t="s">
        <v>27</v>
      </c>
      <c r="G154" s="1887" t="s">
        <v>9425</v>
      </c>
      <c r="H154" s="1919" t="s">
        <v>9426</v>
      </c>
      <c r="I154" s="1887" t="str">
        <f>"7-DaHall 1-"&amp;M154&amp;"-"&amp;L154&amp;"-"&amp;N154</f>
        <v>7-DaHall 1-A-1-100-24</v>
      </c>
      <c r="J154" s="1919" t="str">
        <f>"7-DaHall 1-"&amp;Q154&amp;"-"&amp;P154&amp;"-"&amp;R154</f>
        <v>7-DaHall 1-B-1-100-24</v>
      </c>
      <c r="K154" s="1889">
        <v>48</v>
      </c>
      <c r="L154" s="1890">
        <v>100</v>
      </c>
      <c r="M154" s="2740" t="s">
        <v>305</v>
      </c>
      <c r="N154" s="1891">
        <v>24</v>
      </c>
      <c r="O154" s="1929">
        <v>48</v>
      </c>
      <c r="P154" s="1930">
        <v>100</v>
      </c>
      <c r="Q154" s="2722" t="s">
        <v>306</v>
      </c>
      <c r="R154" s="1920">
        <v>24</v>
      </c>
      <c r="S154" s="2740" t="s">
        <v>337</v>
      </c>
      <c r="T154" s="2722" t="s">
        <v>338</v>
      </c>
      <c r="U154" s="3073" t="s">
        <v>309</v>
      </c>
      <c r="V154" s="3072" t="s">
        <v>310</v>
      </c>
      <c r="W154" s="2244" t="s">
        <v>47</v>
      </c>
      <c r="X154" s="922" t="s">
        <v>48</v>
      </c>
      <c r="Y154" s="2244" t="s">
        <v>49</v>
      </c>
      <c r="Z154" s="922" t="s">
        <v>50</v>
      </c>
      <c r="AA154" s="2244" t="s">
        <v>51</v>
      </c>
      <c r="AB154" s="922" t="s">
        <v>52</v>
      </c>
      <c r="AC154" s="2244" t="s">
        <v>30</v>
      </c>
      <c r="AD154" s="922" t="s">
        <v>35</v>
      </c>
      <c r="AE154" s="3093" t="s">
        <v>31</v>
      </c>
      <c r="AF154" s="3094" t="s">
        <v>36</v>
      </c>
      <c r="AG154" s="687"/>
      <c r="AH154" s="682"/>
      <c r="AI154" s="2746"/>
      <c r="AJ154" s="3060"/>
      <c r="AK154" s="3061"/>
      <c r="AL154" s="3062" t="n">
        <f t="shared" si="25"/>
        <v>0.0</v>
      </c>
      <c r="AM154" s="2744" t="s">
        <v>339</v>
      </c>
      <c r="AN154" s="2729"/>
    </row>
    <row r="155" spans="1:40" ht="54.75" hidden="1" customHeight="1" thickBot="1" x14ac:dyDescent="0.2">
      <c r="A155" s="3068"/>
      <c r="B155" s="2705" t="s">
        <v>328</v>
      </c>
      <c r="C155" s="2239" t="s">
        <v>329</v>
      </c>
      <c r="D155" s="2705" t="s">
        <v>330</v>
      </c>
      <c r="E155" s="2705"/>
      <c r="F155" s="2705" t="s">
        <v>27</v>
      </c>
      <c r="G155" s="1887" t="s">
        <v>9427</v>
      </c>
      <c r="H155" s="1919" t="s">
        <v>9428</v>
      </c>
      <c r="I155" s="1887" t="str">
        <f t="shared" ref="I155:I167" si="33">"7-DaHall 1-"&amp;M155&amp;"-"&amp;L155&amp;"-"&amp;N155</f>
        <v>7-DaHall 1-A-1-100-7</v>
      </c>
      <c r="J155" s="1919" t="str">
        <f t="shared" ref="J155:J167" si="34">"7-DaHall 1-"&amp;Q155&amp;"-"&amp;P155&amp;"-"&amp;R155</f>
        <v>7-DaHall 1-B-1-100-7</v>
      </c>
      <c r="K155" s="1889">
        <v>48</v>
      </c>
      <c r="L155" s="1890">
        <v>100</v>
      </c>
      <c r="M155" s="2740" t="s">
        <v>305</v>
      </c>
      <c r="N155" s="1891">
        <v>7</v>
      </c>
      <c r="O155" s="1929">
        <v>48</v>
      </c>
      <c r="P155" s="1930">
        <v>100</v>
      </c>
      <c r="Q155" s="2722" t="s">
        <v>306</v>
      </c>
      <c r="R155" s="1920">
        <v>7</v>
      </c>
      <c r="S155" s="2740" t="s">
        <v>331</v>
      </c>
      <c r="T155" s="2722" t="s">
        <v>332</v>
      </c>
      <c r="U155" s="3073" t="s">
        <v>309</v>
      </c>
      <c r="V155" s="3072" t="s">
        <v>310</v>
      </c>
      <c r="W155" s="2244" t="s">
        <v>47</v>
      </c>
      <c r="X155" s="922" t="s">
        <v>48</v>
      </c>
      <c r="Y155" s="2244" t="s">
        <v>49</v>
      </c>
      <c r="Z155" s="922" t="s">
        <v>50</v>
      </c>
      <c r="AA155" s="2244" t="s">
        <v>51</v>
      </c>
      <c r="AB155" s="922" t="s">
        <v>52</v>
      </c>
      <c r="AC155" s="2244" t="s">
        <v>30</v>
      </c>
      <c r="AD155" s="922" t="s">
        <v>35</v>
      </c>
      <c r="AE155" s="3093" t="s">
        <v>31</v>
      </c>
      <c r="AF155" s="3094" t="s">
        <v>36</v>
      </c>
      <c r="AG155" s="687"/>
      <c r="AH155" s="682"/>
      <c r="AI155" s="2746"/>
      <c r="AJ155" s="3060"/>
      <c r="AK155" s="3061"/>
      <c r="AL155" s="3062" t="n">
        <f t="shared" si="25"/>
        <v>0.0</v>
      </c>
      <c r="AM155" s="2744" t="s">
        <v>333</v>
      </c>
      <c r="AN155" s="2747"/>
    </row>
    <row r="156" spans="1:40" ht="54.75" hidden="1" customHeight="1" thickBot="1" x14ac:dyDescent="0.2">
      <c r="A156" s="3068"/>
      <c r="B156" s="2705" t="s">
        <v>322</v>
      </c>
      <c r="C156" s="2239" t="s">
        <v>323</v>
      </c>
      <c r="D156" s="2705" t="s">
        <v>324</v>
      </c>
      <c r="E156" s="2705"/>
      <c r="F156" s="2705" t="s">
        <v>27</v>
      </c>
      <c r="G156" s="1887" t="s">
        <v>9429</v>
      </c>
      <c r="H156" s="1919" t="s">
        <v>9430</v>
      </c>
      <c r="I156" s="1887" t="str">
        <f t="shared" si="33"/>
        <v>7-DaHall 1-A-1-50-57</v>
      </c>
      <c r="J156" s="1919" t="str">
        <f t="shared" si="34"/>
        <v>7-DaHall 1-B-1-50-57</v>
      </c>
      <c r="K156" s="1889">
        <v>48</v>
      </c>
      <c r="L156" s="1890">
        <v>50</v>
      </c>
      <c r="M156" s="2740" t="s">
        <v>305</v>
      </c>
      <c r="N156" s="1891">
        <v>57</v>
      </c>
      <c r="O156" s="1929">
        <v>48</v>
      </c>
      <c r="P156" s="1930">
        <v>50</v>
      </c>
      <c r="Q156" s="2722" t="s">
        <v>306</v>
      </c>
      <c r="R156" s="1920">
        <v>57</v>
      </c>
      <c r="S156" s="2740" t="s">
        <v>325</v>
      </c>
      <c r="T156" s="2722" t="s">
        <v>326</v>
      </c>
      <c r="U156" s="3073" t="s">
        <v>309</v>
      </c>
      <c r="V156" s="3072" t="s">
        <v>310</v>
      </c>
      <c r="W156" s="2244" t="s">
        <v>47</v>
      </c>
      <c r="X156" s="922" t="s">
        <v>48</v>
      </c>
      <c r="Y156" s="2244" t="s">
        <v>49</v>
      </c>
      <c r="Z156" s="922" t="s">
        <v>50</v>
      </c>
      <c r="AA156" s="2244" t="s">
        <v>51</v>
      </c>
      <c r="AB156" s="922" t="s">
        <v>52</v>
      </c>
      <c r="AC156" s="2244" t="s">
        <v>30</v>
      </c>
      <c r="AD156" s="922" t="s">
        <v>35</v>
      </c>
      <c r="AE156" s="3093" t="s">
        <v>31</v>
      </c>
      <c r="AF156" s="3094" t="s">
        <v>36</v>
      </c>
      <c r="AG156" s="687"/>
      <c r="AH156" s="682"/>
      <c r="AI156" s="2746"/>
      <c r="AJ156" s="3060"/>
      <c r="AK156" s="3061"/>
      <c r="AL156" s="3062" t="n">
        <f t="shared" si="25"/>
        <v>0.0</v>
      </c>
      <c r="AM156" s="2744" t="s">
        <v>327</v>
      </c>
      <c r="AN156" s="2747"/>
    </row>
    <row r="157" spans="1:40" ht="54.75" hidden="1" customHeight="1" thickBot="1" x14ac:dyDescent="0.2">
      <c r="A157" s="3068"/>
      <c r="B157" s="2705" t="s">
        <v>316</v>
      </c>
      <c r="C157" s="2239" t="s">
        <v>317</v>
      </c>
      <c r="D157" s="2705" t="s">
        <v>318</v>
      </c>
      <c r="E157" s="2705"/>
      <c r="F157" s="2705" t="s">
        <v>27</v>
      </c>
      <c r="G157" s="1887" t="s">
        <v>9431</v>
      </c>
      <c r="H157" s="1919" t="s">
        <v>9432</v>
      </c>
      <c r="I157" s="1887" t="str">
        <f t="shared" si="33"/>
        <v>7-DaHall 1-A-1-50-21</v>
      </c>
      <c r="J157" s="1919" t="str">
        <f t="shared" si="34"/>
        <v>7-DaHall 1-B-1-50-21</v>
      </c>
      <c r="K157" s="1889">
        <v>48</v>
      </c>
      <c r="L157" s="1890">
        <v>50</v>
      </c>
      <c r="M157" s="2740" t="s">
        <v>305</v>
      </c>
      <c r="N157" s="1891">
        <v>21</v>
      </c>
      <c r="O157" s="1929">
        <v>48</v>
      </c>
      <c r="P157" s="1930">
        <v>50</v>
      </c>
      <c r="Q157" s="2722" t="s">
        <v>306</v>
      </c>
      <c r="R157" s="1920">
        <v>21</v>
      </c>
      <c r="S157" s="2740" t="s">
        <v>319</v>
      </c>
      <c r="T157" s="2722" t="s">
        <v>320</v>
      </c>
      <c r="U157" s="3073" t="s">
        <v>309</v>
      </c>
      <c r="V157" s="3072" t="s">
        <v>310</v>
      </c>
      <c r="W157" s="2244" t="s">
        <v>47</v>
      </c>
      <c r="X157" s="922" t="s">
        <v>48</v>
      </c>
      <c r="Y157" s="2244" t="s">
        <v>49</v>
      </c>
      <c r="Z157" s="922" t="s">
        <v>50</v>
      </c>
      <c r="AA157" s="2244" t="s">
        <v>51</v>
      </c>
      <c r="AB157" s="922" t="s">
        <v>52</v>
      </c>
      <c r="AC157" s="2244" t="s">
        <v>30</v>
      </c>
      <c r="AD157" s="922" t="s">
        <v>35</v>
      </c>
      <c r="AE157" s="3093" t="s">
        <v>31</v>
      </c>
      <c r="AF157" s="3094" t="s">
        <v>36</v>
      </c>
      <c r="AG157" s="687"/>
      <c r="AH157" s="682"/>
      <c r="AI157" s="2746"/>
      <c r="AJ157" s="3060"/>
      <c r="AK157" s="3061"/>
      <c r="AL157" s="3062" t="n">
        <f t="shared" si="25"/>
        <v>0.0</v>
      </c>
      <c r="AM157" s="2744" t="s">
        <v>321</v>
      </c>
      <c r="AN157" s="2747"/>
    </row>
    <row r="158" spans="1:40" ht="27" hidden="1" customHeight="1" thickBot="1" x14ac:dyDescent="0.2">
      <c r="A158" s="3068"/>
      <c r="B158" s="2705" t="s">
        <v>311</v>
      </c>
      <c r="C158" s="2239" t="s">
        <v>312</v>
      </c>
      <c r="D158" s="2705" t="s">
        <v>313</v>
      </c>
      <c r="E158" s="2705"/>
      <c r="F158" s="2705" t="s">
        <v>27</v>
      </c>
      <c r="G158" s="1887" t="s">
        <v>9433</v>
      </c>
      <c r="H158" s="1919" t="s">
        <v>9434</v>
      </c>
      <c r="I158" s="1887" t="str">
        <f t="shared" si="33"/>
        <v>7-DaHall 1-A-1-100-18</v>
      </c>
      <c r="J158" s="1919" t="str">
        <f t="shared" si="34"/>
        <v>7-DaHall 1-B-1-100-18</v>
      </c>
      <c r="K158" s="1889">
        <v>48</v>
      </c>
      <c r="L158" s="1890">
        <v>100</v>
      </c>
      <c r="M158" s="2740" t="s">
        <v>305</v>
      </c>
      <c r="N158" s="1891">
        <v>18</v>
      </c>
      <c r="O158" s="1929">
        <v>48</v>
      </c>
      <c r="P158" s="1930">
        <v>100</v>
      </c>
      <c r="Q158" s="2722" t="s">
        <v>306</v>
      </c>
      <c r="R158" s="1920">
        <v>18</v>
      </c>
      <c r="S158" s="2740" t="s">
        <v>314</v>
      </c>
      <c r="T158" s="2722" t="s">
        <v>315</v>
      </c>
      <c r="U158" s="3073" t="s">
        <v>309</v>
      </c>
      <c r="V158" s="3072" t="s">
        <v>310</v>
      </c>
      <c r="W158" s="2244" t="s">
        <v>47</v>
      </c>
      <c r="X158" s="922" t="s">
        <v>48</v>
      </c>
      <c r="Y158" s="2244" t="s">
        <v>49</v>
      </c>
      <c r="Z158" s="922" t="s">
        <v>50</v>
      </c>
      <c r="AA158" s="2244" t="s">
        <v>51</v>
      </c>
      <c r="AB158" s="922" t="s">
        <v>52</v>
      </c>
      <c r="AC158" s="2244" t="s">
        <v>30</v>
      </c>
      <c r="AD158" s="922" t="s">
        <v>35</v>
      </c>
      <c r="AE158" s="3093" t="s">
        <v>31</v>
      </c>
      <c r="AF158" s="3094" t="s">
        <v>36</v>
      </c>
      <c r="AG158" s="687"/>
      <c r="AH158" s="682"/>
      <c r="AI158" s="2746"/>
      <c r="AJ158" s="3060"/>
      <c r="AK158" s="3061"/>
      <c r="AL158" s="3062" t="n">
        <f t="shared" si="25"/>
        <v>0.0</v>
      </c>
      <c r="AM158" s="2744"/>
      <c r="AN158" s="2747"/>
    </row>
    <row r="159" spans="1:40" ht="27" hidden="1" customHeight="1" thickBot="1" x14ac:dyDescent="0.2">
      <c r="A159" s="3068"/>
      <c r="B159" s="2705" t="s">
        <v>302</v>
      </c>
      <c r="C159" s="2239" t="s">
        <v>303</v>
      </c>
      <c r="D159" s="2705" t="s">
        <v>304</v>
      </c>
      <c r="E159" s="2705"/>
      <c r="F159" s="2705" t="s">
        <v>27</v>
      </c>
      <c r="G159" s="1887" t="s">
        <v>9435</v>
      </c>
      <c r="H159" s="1919" t="s">
        <v>9436</v>
      </c>
      <c r="I159" s="1887" t="str">
        <f t="shared" si="33"/>
        <v>7-DaHall 1-A-1-100-23</v>
      </c>
      <c r="J159" s="1919" t="str">
        <f t="shared" si="34"/>
        <v>7-DaHall 1-B-1-100-23</v>
      </c>
      <c r="K159" s="1889">
        <v>48</v>
      </c>
      <c r="L159" s="1890">
        <v>100</v>
      </c>
      <c r="M159" s="2740" t="s">
        <v>305</v>
      </c>
      <c r="N159" s="1891">
        <v>23</v>
      </c>
      <c r="O159" s="1929">
        <v>48</v>
      </c>
      <c r="P159" s="1930">
        <v>100</v>
      </c>
      <c r="Q159" s="2722" t="s">
        <v>306</v>
      </c>
      <c r="R159" s="1920">
        <v>23</v>
      </c>
      <c r="S159" s="2740" t="s">
        <v>307</v>
      </c>
      <c r="T159" s="2722" t="s">
        <v>308</v>
      </c>
      <c r="U159" s="3073" t="s">
        <v>309</v>
      </c>
      <c r="V159" s="3072" t="s">
        <v>310</v>
      </c>
      <c r="W159" s="2244" t="s">
        <v>47</v>
      </c>
      <c r="X159" s="922" t="s">
        <v>48</v>
      </c>
      <c r="Y159" s="2244" t="s">
        <v>49</v>
      </c>
      <c r="Z159" s="922" t="s">
        <v>50</v>
      </c>
      <c r="AA159" s="2244" t="s">
        <v>51</v>
      </c>
      <c r="AB159" s="922" t="s">
        <v>52</v>
      </c>
      <c r="AC159" s="2244" t="s">
        <v>30</v>
      </c>
      <c r="AD159" s="922" t="s">
        <v>35</v>
      </c>
      <c r="AE159" s="3093" t="s">
        <v>31</v>
      </c>
      <c r="AF159" s="3094" t="s">
        <v>36</v>
      </c>
      <c r="AG159" s="687"/>
      <c r="AH159" s="682"/>
      <c r="AI159" s="2746"/>
      <c r="AJ159" s="3060"/>
      <c r="AK159" s="3061"/>
      <c r="AL159" s="3062" t="n">
        <f t="shared" si="25"/>
        <v>0.0</v>
      </c>
      <c r="AM159" s="2744"/>
      <c r="AN159" s="2747"/>
    </row>
    <row r="160" spans="1:40" ht="41.25" thickBot="1" x14ac:dyDescent="0.2">
      <c r="A160" s="3052" t="s">
        <v>295</v>
      </c>
      <c r="B160" s="678" t="s">
        <v>296</v>
      </c>
      <c r="C160" s="2242" t="s">
        <v>297</v>
      </c>
      <c r="D160" s="678" t="s">
        <v>298</v>
      </c>
      <c r="E160" s="678" t="s">
        <v>27</v>
      </c>
      <c r="F160" s="678"/>
      <c r="G160" s="1907" t="s">
        <v>9437</v>
      </c>
      <c r="H160" s="1915" t="s">
        <v>9438</v>
      </c>
      <c r="I160" s="1907" t="str">
        <f t="shared" si="33"/>
        <v>7-DaHall 1-PDU-01-30-30</v>
      </c>
      <c r="J160" s="1915" t="str">
        <f t="shared" si="34"/>
        <v>7-DaHall 1-PDU-02-30-30</v>
      </c>
      <c r="K160" s="1909">
        <v>220</v>
      </c>
      <c r="L160" s="1910">
        <v>30</v>
      </c>
      <c r="M160" s="709" t="s">
        <v>9177</v>
      </c>
      <c r="N160" s="1911">
        <v>30</v>
      </c>
      <c r="O160" s="1916">
        <v>220</v>
      </c>
      <c r="P160" s="1917">
        <v>30</v>
      </c>
      <c r="Q160" s="693" t="s">
        <v>9178</v>
      </c>
      <c r="R160" s="1918">
        <v>30</v>
      </c>
      <c r="S160" s="709" t="s">
        <v>299</v>
      </c>
      <c r="T160" s="693" t="s">
        <v>300</v>
      </c>
      <c r="U160" s="739"/>
      <c r="V160" s="739"/>
      <c r="W160" s="739"/>
      <c r="X160" s="739"/>
      <c r="Y160" s="739"/>
      <c r="Z160" s="739"/>
      <c r="AA160" s="912" t="s">
        <v>109</v>
      </c>
      <c r="AB160" s="918" t="s">
        <v>110</v>
      </c>
      <c r="AC160" s="912" t="s">
        <v>111</v>
      </c>
      <c r="AD160" s="918" t="s">
        <v>301</v>
      </c>
      <c r="AE160" s="3093" t="s">
        <v>31</v>
      </c>
      <c r="AF160" s="3094" t="s">
        <v>36</v>
      </c>
      <c r="AG160" s="686" t="n">
        <f>SUM('7층_부하량(월간_AVG)'!N77:P77)</f>
        <v>0.34145795691452385</v>
      </c>
      <c r="AH160" s="1379" t="n">
        <f>SUM('7층_부하량(월간_AVG)'!N45:P45)</f>
        <v>0.5586005772034726</v>
      </c>
      <c r="AI160" s="1328" t="n">
        <f t="shared" si="32"/>
        <v>0.9000585341179964</v>
      </c>
      <c r="AJ160" s="3056" t="n" cm="1">
        <f t="array" ref="AJ160">INDEX('각층분기별_유효전력량(전월)'!L2:L2000,MATCH(1,("7-DaHall 1-PDU-01"='각층분기별_유효전력량(전월)'!J2:J2000)*("[branch#030] [A] kWh last month"='각층분기별_유효전력량(전월)'!K2:K2000),0))</f>
        <v>41.8</v>
      </c>
      <c r="AK160" s="3057" t="n" cm="1">
        <f t="array" ref="AK160">INDEX('각층분기별_유효전력량(전월)'!L2:L2000,MATCH(1,("7-DaHall 1-PDU-02"='각층분기별_유효전력량(전월)'!J2:J2000)*("[branch#030] [A] kWh last month"='각층분기별_유효전력량(전월)'!K2:K2000),0))</f>
        <v>56.9</v>
      </c>
      <c r="AL160" s="3071" t="n">
        <f t="shared" si="25"/>
        <v>98.69999999999999</v>
      </c>
      <c r="AM160" s="900"/>
      <c r="AN160" s="680"/>
    </row>
    <row r="161" spans="1:40" ht="41.25" thickBot="1" x14ac:dyDescent="0.2">
      <c r="A161" s="3068"/>
      <c r="B161" s="2705" t="s">
        <v>153</v>
      </c>
      <c r="C161" s="2241" t="s">
        <v>154</v>
      </c>
      <c r="D161" s="2705" t="s">
        <v>155</v>
      </c>
      <c r="E161" s="2705" t="s">
        <v>27</v>
      </c>
      <c r="F161" s="2705"/>
      <c r="G161" s="1907" t="s">
        <v>9439</v>
      </c>
      <c r="H161" s="1915" t="s">
        <v>9440</v>
      </c>
      <c r="I161" s="1907" t="str">
        <f t="shared" si="33"/>
        <v>7-DaHall 1-PDU-01-30-13</v>
      </c>
      <c r="J161" s="1915" t="str">
        <f t="shared" si="34"/>
        <v>7-DaHall 1-PDU-02-30-13</v>
      </c>
      <c r="K161" s="1909">
        <v>220</v>
      </c>
      <c r="L161" s="1910">
        <v>30</v>
      </c>
      <c r="M161" s="709" t="s">
        <v>9177</v>
      </c>
      <c r="N161" s="1911">
        <v>13</v>
      </c>
      <c r="O161" s="1916">
        <v>220</v>
      </c>
      <c r="P161" s="1917">
        <v>30</v>
      </c>
      <c r="Q161" s="693" t="s">
        <v>9178</v>
      </c>
      <c r="R161" s="1918">
        <v>13</v>
      </c>
      <c r="S161" s="709" t="s">
        <v>156</v>
      </c>
      <c r="T161" s="693" t="s">
        <v>157</v>
      </c>
      <c r="U161" s="739"/>
      <c r="V161" s="739"/>
      <c r="W161" s="739"/>
      <c r="X161" s="739"/>
      <c r="Y161" s="739"/>
      <c r="Z161" s="739"/>
      <c r="AA161" s="3093" t="s">
        <v>109</v>
      </c>
      <c r="AB161" s="3094" t="s">
        <v>110</v>
      </c>
      <c r="AC161" s="3093" t="s">
        <v>111</v>
      </c>
      <c r="AD161" s="3094" t="s">
        <v>112</v>
      </c>
      <c r="AE161" s="3093" t="s">
        <v>31</v>
      </c>
      <c r="AF161" s="3094" t="s">
        <v>36</v>
      </c>
      <c r="AG161" s="687" t="n">
        <f>SUM('7층_부하량(월간_AVG)'!D69:F69)</f>
        <v>5.752867340856349</v>
      </c>
      <c r="AH161" s="688" t="n">
        <f>SUM('7층_부하량(월간_AVG)'!D37:F37)</f>
        <v>4.692340245787883</v>
      </c>
      <c r="AI161" s="1327" t="n">
        <f t="shared" si="32"/>
        <v>10.445207586644232</v>
      </c>
      <c r="AJ161" s="3056" t="n" cm="1">
        <f t="array" ref="AJ161">INDEX('각층분기별_유효전력량(전월)'!L2:L2000,MATCH(1,("7-DaHall 1-PDU-01"='각층분기별_유효전력량(전월)'!J2:J2000)*("[branch#013] [A] kWh last month"='각층분기별_유효전력량(전월)'!K2:K2000),0))</f>
        <v>1054.1</v>
      </c>
      <c r="AK161" s="3057" t="n" cm="1">
        <f t="array" ref="AK161">INDEX('각층분기별_유효전력량(전월)'!L2:L2000,MATCH(1,("7-DaHall 1-PDU-02"='각층분기별_유효전력량(전월)'!J2:J2000)*("[branch#013] [A] kWh last month"='각층분기별_유효전력량(전월)'!K2:K2000),0))</f>
        <v>814.0</v>
      </c>
      <c r="AL161" s="3065" t="n">
        <f t="shared" si="25"/>
        <v>1868.1</v>
      </c>
      <c r="AM161" s="2744" t="s">
        <v>124</v>
      </c>
      <c r="AN161" s="689" t="s">
        <v>158</v>
      </c>
    </row>
    <row r="162" spans="1:40" ht="41.25" thickBot="1" x14ac:dyDescent="0.2">
      <c r="A162" s="3068"/>
      <c r="B162" s="2705" t="s">
        <v>147</v>
      </c>
      <c r="C162" s="2241" t="s">
        <v>148</v>
      </c>
      <c r="D162" s="2705" t="s">
        <v>149</v>
      </c>
      <c r="E162" s="2705" t="s">
        <v>27</v>
      </c>
      <c r="F162" s="2705"/>
      <c r="G162" s="1907" t="s">
        <v>9441</v>
      </c>
      <c r="H162" s="1915" t="s">
        <v>9442</v>
      </c>
      <c r="I162" s="1907" t="str">
        <f t="shared" si="33"/>
        <v>7-DaHall 1-PDU-01-30-11</v>
      </c>
      <c r="J162" s="1915" t="str">
        <f t="shared" si="34"/>
        <v>7-DaHall 1-PDU-02-30-11</v>
      </c>
      <c r="K162" s="1909">
        <v>220</v>
      </c>
      <c r="L162" s="1910">
        <v>30</v>
      </c>
      <c r="M162" s="709" t="s">
        <v>9177</v>
      </c>
      <c r="N162" s="1911">
        <v>11</v>
      </c>
      <c r="O162" s="1916">
        <v>220</v>
      </c>
      <c r="P162" s="1917">
        <v>30</v>
      </c>
      <c r="Q162" s="693" t="s">
        <v>9178</v>
      </c>
      <c r="R162" s="1918">
        <v>11</v>
      </c>
      <c r="S162" s="709" t="s">
        <v>150</v>
      </c>
      <c r="T162" s="693" t="s">
        <v>151</v>
      </c>
      <c r="U162" s="739"/>
      <c r="V162" s="739"/>
      <c r="W162" s="739"/>
      <c r="X162" s="739"/>
      <c r="Y162" s="739"/>
      <c r="Z162" s="739"/>
      <c r="AA162" s="3093" t="s">
        <v>109</v>
      </c>
      <c r="AB162" s="3094" t="s">
        <v>110</v>
      </c>
      <c r="AC162" s="3093" t="s">
        <v>111</v>
      </c>
      <c r="AD162" s="3094" t="s">
        <v>112</v>
      </c>
      <c r="AE162" s="3093" t="s">
        <v>31</v>
      </c>
      <c r="AF162" s="3094" t="s">
        <v>36</v>
      </c>
      <c r="AG162" s="687" t="n">
        <f>SUM('7층_부하량(월간_AVG)'!D68:F68)</f>
        <v>6.333575182567163</v>
      </c>
      <c r="AH162" s="688" t="n">
        <f>SUM('7층_부하량(월간_AVG)'!D36:F36)</f>
        <v>5.427523487211216</v>
      </c>
      <c r="AI162" s="1327" t="n">
        <f t="shared" si="32"/>
        <v>11.761098669778379</v>
      </c>
      <c r="AJ162" s="3056" t="n" cm="1">
        <f t="array" ref="AJ162">INDEX('각층분기별_유효전력량(전월)'!L2:L2000,MATCH(1,("7-DaHall 1-PDU-01"='각층분기별_유효전력량(전월)'!J2:J2000)*("[branch#011] [A] kWh last month"='각층분기별_유효전력량(전월)'!K2:K2000),0))</f>
        <v>1007.2</v>
      </c>
      <c r="AK162" s="3057" t="n" cm="1">
        <f t="array" ref="AK162">INDEX('각층분기별_유효전력량(전월)'!L2:L2000,MATCH(1,("7-DaHall 1-PDU-02"='각층분기별_유효전력량(전월)'!J2:J2000)*("[branch#011] [A] kWh last month"='각층분기별_유효전력량(전월)'!K2:K2000),0))</f>
        <v>806.8</v>
      </c>
      <c r="AL162" s="3065" t="n">
        <f t="shared" si="25"/>
        <v>1814.0</v>
      </c>
      <c r="AM162" s="2744" t="s">
        <v>124</v>
      </c>
      <c r="AN162" s="689" t="s">
        <v>152</v>
      </c>
    </row>
    <row r="163" spans="1:40" ht="41.25" thickBot="1" x14ac:dyDescent="0.2">
      <c r="A163" s="3068"/>
      <c r="B163" s="3146" t="s">
        <v>140</v>
      </c>
      <c r="C163" s="3152" t="s">
        <v>141</v>
      </c>
      <c r="D163" s="3146" t="s">
        <v>142</v>
      </c>
      <c r="E163" s="2705" t="s">
        <v>27</v>
      </c>
      <c r="F163" s="2705"/>
      <c r="G163" s="1907" t="s">
        <v>9443</v>
      </c>
      <c r="H163" s="1915" t="s">
        <v>9444</v>
      </c>
      <c r="I163" s="1907" t="str">
        <f t="shared" si="33"/>
        <v>7-DaHall 1-PDU-01-30-17</v>
      </c>
      <c r="J163" s="1915" t="str">
        <f t="shared" si="34"/>
        <v>7-DaHall 1-PDU-02-30-17</v>
      </c>
      <c r="K163" s="1909">
        <v>220</v>
      </c>
      <c r="L163" s="1910">
        <v>30</v>
      </c>
      <c r="M163" s="709" t="s">
        <v>9177</v>
      </c>
      <c r="N163" s="1911">
        <v>17</v>
      </c>
      <c r="O163" s="1916">
        <v>220</v>
      </c>
      <c r="P163" s="1917">
        <v>30</v>
      </c>
      <c r="Q163" s="693" t="s">
        <v>9178</v>
      </c>
      <c r="R163" s="1918">
        <v>17</v>
      </c>
      <c r="S163" s="709" t="s">
        <v>143</v>
      </c>
      <c r="T163" s="693" t="s">
        <v>144</v>
      </c>
      <c r="U163" s="739"/>
      <c r="V163" s="739"/>
      <c r="W163" s="739"/>
      <c r="X163" s="739"/>
      <c r="Y163" s="739"/>
      <c r="Z163" s="739"/>
      <c r="AA163" s="3093" t="s">
        <v>109</v>
      </c>
      <c r="AB163" s="3094" t="s">
        <v>110</v>
      </c>
      <c r="AC163" s="3093" t="s">
        <v>111</v>
      </c>
      <c r="AD163" s="3094" t="s">
        <v>112</v>
      </c>
      <c r="AE163" s="3093" t="s">
        <v>31</v>
      </c>
      <c r="AF163" s="3094" t="s">
        <v>36</v>
      </c>
      <c r="AG163" s="687" t="n">
        <f>SUM('7층_부하량(월간_AVG)'!D71:F71)</f>
        <v>3.9791247554867604</v>
      </c>
      <c r="AH163" s="688" t="n">
        <f>SUM('7층_부하량(월간_AVG)'!D39:F39)</f>
        <v>4.288680204436017</v>
      </c>
      <c r="AI163" s="3136" t="n">
        <f>AG163+AH163+AG164+AH164</f>
        <v>14.586668890630776</v>
      </c>
      <c r="AJ163" s="3056" t="n" cm="1">
        <f t="array" ref="AJ163">INDEX('각층분기별_유효전력량(전월)'!L2:L2000,MATCH(1,("7-DaHall 1-PDU-01"='각층분기별_유효전력량(전월)'!J2:J2000)*("[branch#017] [A] kWh last month"='각층분기별_유효전력량(전월)'!K2:K2000),0))</f>
        <v>1333.7</v>
      </c>
      <c r="AK163" s="3057" t="n" cm="1">
        <f t="array" ref="AK163">INDEX('각층분기별_유효전력량(전월)'!L2:L2000,MATCH(1,("7-DaHall 1-PDU-02"='각층분기별_유효전력량(전월)'!J2:J2000)*("[branch#017] [A] kWh last month"='각층분기별_유효전력량(전월)'!K2:K2000),0))</f>
        <v>1286.7</v>
      </c>
      <c r="AL163" s="3065" t="n">
        <f t="shared" si="25"/>
        <v>2620.4</v>
      </c>
      <c r="AM163" s="3084" t="s">
        <v>124</v>
      </c>
      <c r="AN163" s="2747"/>
    </row>
    <row r="164" spans="1:40" ht="41.25" thickBot="1" x14ac:dyDescent="0.2">
      <c r="A164" s="3068"/>
      <c r="B164" s="3147"/>
      <c r="C164" s="3153"/>
      <c r="D164" s="3147"/>
      <c r="E164" s="2705" t="s">
        <v>27</v>
      </c>
      <c r="F164" s="2705"/>
      <c r="G164" s="1907" t="s">
        <v>9445</v>
      </c>
      <c r="H164" s="1915" t="s">
        <v>9446</v>
      </c>
      <c r="I164" s="1907" t="str">
        <f t="shared" si="33"/>
        <v>7-DaHall 1-PDU-01-30-27</v>
      </c>
      <c r="J164" s="1915" t="str">
        <f t="shared" si="34"/>
        <v>7-DaHall 1-PDU-02-30-27</v>
      </c>
      <c r="K164" s="1909">
        <v>220</v>
      </c>
      <c r="L164" s="1910">
        <v>30</v>
      </c>
      <c r="M164" s="709" t="s">
        <v>9177</v>
      </c>
      <c r="N164" s="1911">
        <v>27</v>
      </c>
      <c r="O164" s="1916">
        <v>220</v>
      </c>
      <c r="P164" s="1917">
        <v>30</v>
      </c>
      <c r="Q164" s="693" t="s">
        <v>9178</v>
      </c>
      <c r="R164" s="1918">
        <v>27</v>
      </c>
      <c r="S164" s="709" t="s">
        <v>145</v>
      </c>
      <c r="T164" s="693" t="s">
        <v>146</v>
      </c>
      <c r="U164" s="739"/>
      <c r="V164" s="739"/>
      <c r="W164" s="739"/>
      <c r="X164" s="739"/>
      <c r="Y164" s="739"/>
      <c r="Z164" s="739"/>
      <c r="AA164" s="3093" t="s">
        <v>109</v>
      </c>
      <c r="AB164" s="3094" t="s">
        <v>110</v>
      </c>
      <c r="AC164" s="3093" t="s">
        <v>111</v>
      </c>
      <c r="AD164" s="3094" t="s">
        <v>112</v>
      </c>
      <c r="AE164" s="3093" t="s">
        <v>31</v>
      </c>
      <c r="AF164" s="3094" t="s">
        <v>36</v>
      </c>
      <c r="AG164" s="687" t="n">
        <f>SUM('7층_부하량(월간_AVG)'!D76:F76)</f>
        <v>3.212252815220905</v>
      </c>
      <c r="AH164" s="688" t="n">
        <f>SUM('7층_부하량(월간_AVG)'!D44:F44)</f>
        <v>3.106611115487092</v>
      </c>
      <c r="AI164" s="3137"/>
      <c r="AJ164" s="3056" t="n" cm="1">
        <f t="array" ref="AJ164">INDEX('각층분기별_유효전력량(전월)'!L2:L2000,MATCH(1,("7-DaHall 1-PDU-01"='각층분기별_유효전력량(전월)'!J2:J2000)*("[branch#027] [A] kWh last month"='각층분기별_유효전력량(전월)'!K2:K2000),0))</f>
        <v>534.9</v>
      </c>
      <c r="AK164" s="3057" t="n" cm="1">
        <f t="array" ref="AK164">INDEX('각층분기별_유효전력량(전월)'!L2:L2000,MATCH(1,("7-DaHall 1-PDU-02"='각층분기별_유효전력량(전월)'!J2:J2000)*("[branch#027] [A] kWh last month"='각층분기별_유효전력량(전월)'!K2:K2000),0))</f>
        <v>594.7</v>
      </c>
      <c r="AL164" s="3065" t="n">
        <f t="shared" si="25"/>
        <v>1129.6</v>
      </c>
      <c r="AM164" s="3083"/>
      <c r="AN164" s="2747"/>
    </row>
    <row r="165" spans="1:40" ht="41.25" thickBot="1" x14ac:dyDescent="0.2">
      <c r="A165" s="3068"/>
      <c r="B165" s="2705" t="s">
        <v>135</v>
      </c>
      <c r="C165" s="2724" t="s">
        <v>136</v>
      </c>
      <c r="D165" s="2710" t="s">
        <v>137</v>
      </c>
      <c r="E165" s="2705" t="s">
        <v>27</v>
      </c>
      <c r="F165" s="2705"/>
      <c r="G165" s="1907" t="s">
        <v>9447</v>
      </c>
      <c r="H165" s="1915" t="s">
        <v>9448</v>
      </c>
      <c r="I165" s="1907" t="str">
        <f t="shared" si="33"/>
        <v>7-DaHall 1-PDU-01-30-19</v>
      </c>
      <c r="J165" s="1915" t="str">
        <f t="shared" si="34"/>
        <v>7-DaHall 1-PDU-02-30-19</v>
      </c>
      <c r="K165" s="1909">
        <v>220</v>
      </c>
      <c r="L165" s="1910">
        <v>30</v>
      </c>
      <c r="M165" s="709" t="s">
        <v>9177</v>
      </c>
      <c r="N165" s="1911">
        <v>19</v>
      </c>
      <c r="O165" s="1916">
        <v>220</v>
      </c>
      <c r="P165" s="1917">
        <v>30</v>
      </c>
      <c r="Q165" s="693" t="s">
        <v>9178</v>
      </c>
      <c r="R165" s="1918">
        <v>19</v>
      </c>
      <c r="S165" s="709" t="s">
        <v>138</v>
      </c>
      <c r="T165" s="693" t="s">
        <v>139</v>
      </c>
      <c r="U165" s="739"/>
      <c r="V165" s="739"/>
      <c r="W165" s="739"/>
      <c r="X165" s="739"/>
      <c r="Y165" s="739"/>
      <c r="Z165" s="739"/>
      <c r="AA165" s="3093" t="s">
        <v>109</v>
      </c>
      <c r="AB165" s="3094" t="s">
        <v>110</v>
      </c>
      <c r="AC165" s="3093" t="s">
        <v>111</v>
      </c>
      <c r="AD165" s="3094" t="s">
        <v>112</v>
      </c>
      <c r="AE165" s="3093" t="s">
        <v>31</v>
      </c>
      <c r="AF165" s="3094" t="s">
        <v>36</v>
      </c>
      <c r="AG165" s="687" t="n">
        <f>SUM('7층_부하량(월간_AVG)'!D72:F72)</f>
        <v>3.819517716284986</v>
      </c>
      <c r="AH165" s="688" t="n">
        <f>SUM('7층_부하량(월간_AVG)'!D40:F40)</f>
        <v>8.604769380759699</v>
      </c>
      <c r="AI165" s="1327" t="n">
        <f>AG165+AH165</f>
        <v>12.424287097044685</v>
      </c>
      <c r="AJ165" s="3056" t="n" cm="1">
        <f t="array" ref="AJ165">INDEX('각층분기별_유효전력량(전월)'!L2:L2000,MATCH(1,("7-DaHall 1-PDU-01"='각층분기별_유효전력량(전월)'!J2:J2000)*("[branch#019] [A] kWh last month"='각층분기별_유효전력량(전월)'!K2:K2000),0))</f>
        <v>576.5</v>
      </c>
      <c r="AK165" s="3057" t="n" cm="1">
        <f t="array" ref="AK165">INDEX('각층분기별_유효전력량(전월)'!L2:L2000,MATCH(1,("7-DaHall 1-PDU-02"='각층분기별_유효전력량(전월)'!J2:J2000)*("[branch#019] [A] kWh last month"='각층분기별_유효전력량(전월)'!K2:K2000),0))</f>
        <v>1413.1</v>
      </c>
      <c r="AL165" s="3065" t="n">
        <f t="shared" si="25"/>
        <v>1989.6</v>
      </c>
      <c r="AM165" s="2732" t="s">
        <v>124</v>
      </c>
      <c r="AN165" s="2747"/>
    </row>
    <row r="166" spans="1:40" ht="41.25" thickBot="1" x14ac:dyDescent="0.2">
      <c r="A166" s="3068"/>
      <c r="B166" s="2705" t="s">
        <v>130</v>
      </c>
      <c r="C166" s="2241" t="s">
        <v>131</v>
      </c>
      <c r="D166" s="2705" t="s">
        <v>132</v>
      </c>
      <c r="E166" s="2705" t="s">
        <v>27</v>
      </c>
      <c r="F166" s="2705"/>
      <c r="G166" s="1907" t="s">
        <v>9449</v>
      </c>
      <c r="H166" s="1915" t="s">
        <v>9450</v>
      </c>
      <c r="I166" s="1907" t="str">
        <f t="shared" si="33"/>
        <v>7-DaHall 1-PDU-01-30-21</v>
      </c>
      <c r="J166" s="1915" t="str">
        <f t="shared" si="34"/>
        <v>7-DaHall 1-PDU-02-30-21</v>
      </c>
      <c r="K166" s="1909">
        <v>220</v>
      </c>
      <c r="L166" s="1910">
        <v>30</v>
      </c>
      <c r="M166" s="709" t="s">
        <v>9177</v>
      </c>
      <c r="N166" s="1911">
        <v>21</v>
      </c>
      <c r="O166" s="1916">
        <v>220</v>
      </c>
      <c r="P166" s="1917">
        <v>30</v>
      </c>
      <c r="Q166" s="693" t="s">
        <v>9178</v>
      </c>
      <c r="R166" s="1918">
        <v>21</v>
      </c>
      <c r="S166" s="709" t="s">
        <v>133</v>
      </c>
      <c r="T166" s="693" t="s">
        <v>134</v>
      </c>
      <c r="U166" s="739"/>
      <c r="V166" s="739"/>
      <c r="W166" s="739"/>
      <c r="X166" s="739"/>
      <c r="Y166" s="739"/>
      <c r="Z166" s="739"/>
      <c r="AA166" s="3093" t="s">
        <v>109</v>
      </c>
      <c r="AB166" s="3094" t="s">
        <v>110</v>
      </c>
      <c r="AC166" s="3093" t="s">
        <v>111</v>
      </c>
      <c r="AD166" s="3094" t="s">
        <v>112</v>
      </c>
      <c r="AE166" s="3093" t="s">
        <v>31</v>
      </c>
      <c r="AF166" s="3094" t="s">
        <v>36</v>
      </c>
      <c r="AG166" s="687" t="n">
        <f>SUM('7층_부하량(월간_AVG)'!D73:F73)</f>
        <v>3.461950600602198</v>
      </c>
      <c r="AH166" s="688" t="n">
        <f>SUM('7층_부하량(월간_AVG)'!D41:F41)</f>
        <v>4.031293740106393</v>
      </c>
      <c r="AI166" s="1327" t="n">
        <f>AG166+AH166</f>
        <v>7.493244340708591</v>
      </c>
      <c r="AJ166" s="3056" t="n" cm="1">
        <f t="array" ref="AJ166">INDEX('각층분기별_유효전력량(전월)'!L2:L2000,MATCH(1,("7-DaHall 1-PDU-01"='각층분기별_유효전력량(전월)'!J2:J2000)*("[branch#021] [A] kWh last month"='각층분기별_유효전력량(전월)'!K2:K2000),0))</f>
        <v>651.4</v>
      </c>
      <c r="AK166" s="3057" t="n" cm="1">
        <f t="array" ref="AK166">INDEX('각층분기별_유효전력량(전월)'!L2:L2000,MATCH(1,("7-DaHall 1-PDU-02"='각층분기별_유효전력량(전월)'!J2:J2000)*("[branch#021] [A] kWh last month"='각층분기별_유효전력량(전월)'!K2:K2000),0))</f>
        <v>670.0</v>
      </c>
      <c r="AL166" s="3065" t="n">
        <f t="shared" si="25"/>
        <v>1321.4</v>
      </c>
      <c r="AM166" s="2744" t="s">
        <v>124</v>
      </c>
      <c r="AN166" s="2747"/>
    </row>
    <row r="167" spans="1:40" ht="41.25" thickBot="1" x14ac:dyDescent="0.2">
      <c r="A167" s="3068"/>
      <c r="B167" s="2705" t="s">
        <v>125</v>
      </c>
      <c r="C167" s="2241" t="s">
        <v>126</v>
      </c>
      <c r="D167" s="2705" t="s">
        <v>127</v>
      </c>
      <c r="E167" s="2705" t="s">
        <v>27</v>
      </c>
      <c r="F167" s="2705"/>
      <c r="G167" s="1907" t="s">
        <v>9451</v>
      </c>
      <c r="H167" s="1915" t="s">
        <v>9452</v>
      </c>
      <c r="I167" s="1907" t="str">
        <f t="shared" si="33"/>
        <v>7-DaHall 1-PDU-01-30-23</v>
      </c>
      <c r="J167" s="1915" t="str">
        <f t="shared" si="34"/>
        <v>7-DaHall 1-PDU-02-30-23</v>
      </c>
      <c r="K167" s="1909">
        <v>220</v>
      </c>
      <c r="L167" s="1910">
        <v>30</v>
      </c>
      <c r="M167" s="709" t="s">
        <v>9177</v>
      </c>
      <c r="N167" s="1911">
        <v>23</v>
      </c>
      <c r="O167" s="1916">
        <v>220</v>
      </c>
      <c r="P167" s="1917">
        <v>30</v>
      </c>
      <c r="Q167" s="693" t="s">
        <v>9178</v>
      </c>
      <c r="R167" s="1918">
        <v>23</v>
      </c>
      <c r="S167" s="709" t="s">
        <v>128</v>
      </c>
      <c r="T167" s="693" t="s">
        <v>129</v>
      </c>
      <c r="U167" s="739"/>
      <c r="V167" s="739"/>
      <c r="W167" s="739"/>
      <c r="X167" s="739"/>
      <c r="Y167" s="739"/>
      <c r="Z167" s="739"/>
      <c r="AA167" s="3093" t="s">
        <v>109</v>
      </c>
      <c r="AB167" s="3094" t="s">
        <v>110</v>
      </c>
      <c r="AC167" s="3093" t="s">
        <v>111</v>
      </c>
      <c r="AD167" s="3094" t="s">
        <v>112</v>
      </c>
      <c r="AE167" s="3093" t="s">
        <v>31</v>
      </c>
      <c r="AF167" s="3094" t="s">
        <v>36</v>
      </c>
      <c r="AG167" s="687" t="n">
        <f>SUM('7층_부하량(월간_AVG)'!D74:F74)</f>
        <v>1.8627944028324999</v>
      </c>
      <c r="AH167" s="688" t="n">
        <f>SUM('7층_부하량(월간_AVG)'!D42:F42)</f>
        <v>2.623828546722674</v>
      </c>
      <c r="AI167" s="1327" t="n">
        <f t="shared" ref="AI167" si="35">AG167+AH167</f>
        <v>4.486622949555174</v>
      </c>
      <c r="AJ167" s="3056" t="n" cm="1">
        <f t="array" ref="AJ167">INDEX('각층분기별_유효전력량(전월)'!L2:L2000,MATCH(1,("7-DaHall 1-PDU-01"='각층분기별_유효전력량(전월)'!J2:J2000)*("[branch#023] [A] kWh last month"='각층분기별_유효전력량(전월)'!K2:K2000),0))</f>
        <v>321.0</v>
      </c>
      <c r="AK167" s="3057" t="n" cm="1">
        <f t="array" ref="AK167">INDEX('각층분기별_유효전력량(전월)'!L2:L2000,MATCH(1,("7-DaHall 1-PDU-02"='각층분기별_유효전력량(전월)'!J2:J2000)*("[branch#023] [A] kWh last month"='각층분기별_유효전력량(전월)'!K2:K2000),0))</f>
        <v>434.4</v>
      </c>
      <c r="AL167" s="3065" t="n">
        <f t="shared" si="25"/>
        <v>755.4</v>
      </c>
      <c r="AM167" s="2744" t="s">
        <v>124</v>
      </c>
      <c r="AN167" s="2747"/>
    </row>
    <row r="168" spans="1:40" ht="27" customHeight="1" thickBot="1" x14ac:dyDescent="0.2">
      <c r="A168" s="3068"/>
      <c r="B168" s="2705" t="s">
        <v>119</v>
      </c>
      <c r="C168" s="2241" t="s">
        <v>120</v>
      </c>
      <c r="D168" s="2705" t="s">
        <v>121</v>
      </c>
      <c r="E168" s="2705" t="s">
        <v>27</v>
      </c>
      <c r="F168" s="2705"/>
      <c r="G168" s="1907" t="s">
        <v>9453</v>
      </c>
      <c r="H168" s="1915" t="s">
        <v>9454</v>
      </c>
      <c r="I168" s="1907" t="str">
        <f>"7-DaHall 1-"&amp;M168&amp;"-"&amp;L168&amp;"-"&amp;N168</f>
        <v>7-DaHall 1-PDU-01-30-25</v>
      </c>
      <c r="J168" s="1915" t="str">
        <f>"7-DaHall 1-"&amp;Q168&amp;"-"&amp;P168&amp;"-"&amp;R168</f>
        <v>7-DaHall 1-PDU-02-30-25</v>
      </c>
      <c r="K168" s="1909">
        <v>220</v>
      </c>
      <c r="L168" s="1910">
        <v>30</v>
      </c>
      <c r="M168" s="709" t="s">
        <v>9177</v>
      </c>
      <c r="N168" s="1911">
        <v>25</v>
      </c>
      <c r="O168" s="1916">
        <v>220</v>
      </c>
      <c r="P168" s="1917">
        <v>30</v>
      </c>
      <c r="Q168" s="693" t="s">
        <v>9178</v>
      </c>
      <c r="R168" s="1918">
        <v>25</v>
      </c>
      <c r="S168" s="709" t="s">
        <v>122</v>
      </c>
      <c r="T168" s="693" t="s">
        <v>123</v>
      </c>
      <c r="U168" s="739"/>
      <c r="V168" s="739"/>
      <c r="W168" s="739"/>
      <c r="X168" s="739"/>
      <c r="Y168" s="739"/>
      <c r="Z168" s="739"/>
      <c r="AA168" s="3093" t="s">
        <v>109</v>
      </c>
      <c r="AB168" s="3094" t="s">
        <v>110</v>
      </c>
      <c r="AC168" s="3093" t="s">
        <v>111</v>
      </c>
      <c r="AD168" s="3094" t="s">
        <v>112</v>
      </c>
      <c r="AE168" s="3093" t="s">
        <v>31</v>
      </c>
      <c r="AF168" s="3094" t="s">
        <v>36</v>
      </c>
      <c r="AG168" s="687" t="n">
        <f>SUM('7층_부하량(월간_AVG)'!D75:F75)</f>
        <v>1.9762325377804615</v>
      </c>
      <c r="AH168" s="688" t="n">
        <f>SUM('7층_부하량(월간_AVG)'!D43:F43)</f>
        <v>2.0639808639304387</v>
      </c>
      <c r="AI168" s="1327" t="n">
        <f>AG168+AH168</f>
        <v>4.040213401710901</v>
      </c>
      <c r="AJ168" s="3056" t="n" cm="1">
        <f t="array" ref="AJ168">INDEX('각층분기별_유효전력량(전월)'!L2:L2000,MATCH(1,("7-DaHall 1-PDU-01"='각층분기별_유효전력량(전월)'!J2:J2000)*("[branch#025] [A] kWh last month"='각층분기별_유효전력량(전월)'!K2:K2000),0))</f>
        <v>314.0</v>
      </c>
      <c r="AK168" s="3057" t="n" cm="1">
        <f t="array" ref="AK168">INDEX('각층분기별_유효전력량(전월)'!L2:L2000,MATCH(1,("7-DaHall 1-PDU-02"='각층분기별_유효전력량(전월)'!J2:J2000)*("[branch#025] [A] kWh last month"='각층분기별_유효전력량(전월)'!K2:K2000),0))</f>
        <v>346.1</v>
      </c>
      <c r="AL168" s="3065" t="n">
        <f t="shared" si="25"/>
        <v>660.1</v>
      </c>
      <c r="AM168" s="2744" t="s">
        <v>124</v>
      </c>
      <c r="AN168" s="2747"/>
    </row>
    <row r="169" spans="1:40" ht="27" customHeight="1" thickBot="1" x14ac:dyDescent="0.2">
      <c r="A169" s="3068"/>
      <c r="B169" s="2705" t="s">
        <v>114</v>
      </c>
      <c r="C169" s="2241" t="s">
        <v>115</v>
      </c>
      <c r="D169" s="2705" t="s">
        <v>116</v>
      </c>
      <c r="E169" s="2705" t="s">
        <v>27</v>
      </c>
      <c r="F169" s="2705"/>
      <c r="G169" s="1907" t="s">
        <v>9455</v>
      </c>
      <c r="H169" s="1908" t="s">
        <v>9456</v>
      </c>
      <c r="I169" s="1907" t="str">
        <f>"7-DaHall 1-"&amp;M169&amp;"-"&amp;L169&amp;"-"&amp;N169</f>
        <v>7-DaHall 1-PDU-01-30-32</v>
      </c>
      <c r="J169" s="1908" t="str">
        <f>"7-DaHall 1-"&amp;Q169&amp;"-"&amp;P169&amp;"-"&amp;R169</f>
        <v>7-DaHall 1-PDU-02-30-32</v>
      </c>
      <c r="K169" s="1909">
        <v>220</v>
      </c>
      <c r="L169" s="1910">
        <v>30</v>
      </c>
      <c r="M169" s="709" t="s">
        <v>9177</v>
      </c>
      <c r="N169" s="1911">
        <v>32</v>
      </c>
      <c r="O169" s="1912">
        <v>220</v>
      </c>
      <c r="P169" s="1913">
        <v>30</v>
      </c>
      <c r="Q169" s="1400" t="s">
        <v>9178</v>
      </c>
      <c r="R169" s="1914">
        <v>32</v>
      </c>
      <c r="S169" s="709" t="s">
        <v>107</v>
      </c>
      <c r="T169" s="1400" t="s">
        <v>108</v>
      </c>
      <c r="U169" s="739"/>
      <c r="V169" s="739"/>
      <c r="W169" s="739"/>
      <c r="X169" s="739"/>
      <c r="Y169" s="739"/>
      <c r="Z169" s="739"/>
      <c r="AA169" s="3093" t="s">
        <v>109</v>
      </c>
      <c r="AB169" s="3094" t="s">
        <v>110</v>
      </c>
      <c r="AC169" s="3093" t="s">
        <v>111</v>
      </c>
      <c r="AD169" s="3094" t="s">
        <v>112</v>
      </c>
      <c r="AE169" s="3093" t="s">
        <v>31</v>
      </c>
      <c r="AF169" s="3094" t="s">
        <v>36</v>
      </c>
      <c r="AG169" s="687" t="n">
        <f>SUM('7층_부하량(월간_AVG)'!N78:P78)</f>
        <v>2.205046651723998</v>
      </c>
      <c r="AH169" s="688" t="n">
        <f>SUM('7층_부하량(월간_AVG)'!N46:P46)</f>
        <v>2.1670946093726235</v>
      </c>
      <c r="AI169" s="1327" t="n">
        <f t="shared" ref="AI169" si="36">AG169+AH169</f>
        <v>4.372141261096622</v>
      </c>
      <c r="AJ169" s="3056" t="n" cm="1">
        <f t="array" ref="AJ169">INDEX('각층분기별_유효전력량(전월)'!L2:L2000,MATCH(1,("7-DaHall 1-PDU-01"='각층분기별_유효전력량(전월)'!J2:J2000)*("[branch#032] [A] kWh last month"='각층분기별_유효전력량(전월)'!K2:K2000),0))</f>
        <v>407.0</v>
      </c>
      <c r="AK169" s="3057" t="n" cm="1">
        <f t="array" ref="AK169">INDEX('각층분기별_유효전력량(전월)'!L2:L2000,MATCH(1,("7-DaHall 1-PDU-02"='각층분기별_유효전력량(전월)'!J2:J2000)*("[branch#032] [A] kWh last month"='각층분기별_유효전력량(전월)'!K2:K2000),0))</f>
        <v>537.3</v>
      </c>
      <c r="AL169" s="3065" t="n">
        <f t="shared" si="25"/>
        <v>944.3</v>
      </c>
      <c r="AM169" s="2744" t="s">
        <v>117</v>
      </c>
      <c r="AN169" s="1401" t="s">
        <v>118</v>
      </c>
    </row>
    <row r="170" spans="1:40" ht="41.25" thickBot="1" x14ac:dyDescent="0.2">
      <c r="A170" s="3052" t="s">
        <v>103</v>
      </c>
      <c r="B170" s="2363" t="s">
        <v>104</v>
      </c>
      <c r="C170" s="2363" t="s">
        <v>105</v>
      </c>
      <c r="D170" s="678" t="s">
        <v>106</v>
      </c>
      <c r="E170" s="678" t="s">
        <v>27</v>
      </c>
      <c r="F170" s="678"/>
      <c r="G170" s="1907" t="s">
        <v>9457</v>
      </c>
      <c r="H170" s="1908" t="s">
        <v>9458</v>
      </c>
      <c r="I170" s="1907" t="str">
        <f>"7-DaHall 1-"&amp;M170&amp;"-"&amp;L170&amp;"-"&amp;N170</f>
        <v>7-DaHall 1-PDU-01-30-41</v>
      </c>
      <c r="J170" s="1908" t="str">
        <f>"7-DaHall 1-"&amp;Q170&amp;"-"&amp;P170&amp;"-"&amp;R170</f>
        <v>7-DaHall 1-PDU-02-30-41</v>
      </c>
      <c r="K170" s="1909">
        <v>220</v>
      </c>
      <c r="L170" s="1910">
        <v>30</v>
      </c>
      <c r="M170" s="709" t="s">
        <v>9177</v>
      </c>
      <c r="N170" s="1911">
        <v>41</v>
      </c>
      <c r="O170" s="1912">
        <v>220</v>
      </c>
      <c r="P170" s="1913">
        <v>30</v>
      </c>
      <c r="Q170" s="1400" t="s">
        <v>9178</v>
      </c>
      <c r="R170" s="1914">
        <v>41</v>
      </c>
      <c r="S170" s="709" t="s">
        <v>107</v>
      </c>
      <c r="T170" s="1400" t="s">
        <v>108</v>
      </c>
      <c r="U170" s="738"/>
      <c r="V170" s="738"/>
      <c r="W170" s="738"/>
      <c r="X170" s="738"/>
      <c r="Y170" s="738"/>
      <c r="Z170" s="738"/>
      <c r="AA170" s="3093" t="s">
        <v>109</v>
      </c>
      <c r="AB170" s="3094" t="s">
        <v>110</v>
      </c>
      <c r="AC170" s="3093" t="s">
        <v>111</v>
      </c>
      <c r="AD170" s="3094" t="s">
        <v>112</v>
      </c>
      <c r="AE170" s="3093" t="s">
        <v>31</v>
      </c>
      <c r="AF170" s="3094" t="s">
        <v>36</v>
      </c>
      <c r="AG170" s="687" t="n">
        <f>SUM('7층_부하량(월간_AVG)'!D83:F83)</f>
        <v>1.9029177931972705</v>
      </c>
      <c r="AH170" s="688" t="n">
        <f>SUM('7층_부하량(월간_AVG)'!D51:F51)</f>
        <v>5.4581717910553</v>
      </c>
      <c r="AI170" s="1327" t="n">
        <f>AG170+AH170</f>
        <v>7.36108958425257</v>
      </c>
      <c r="AJ170" s="3056" t="n" cm="1">
        <f t="array" ref="AJ170">INDEX('각층분기별_유효전력량(전월)'!L2:L2000,MATCH(1,("7-DaHall 1-PDU-01"='각층분기별_유효전력량(전월)'!J2:J2000)*("[branch#041] [A] kWh last month"='각층분기별_유효전력량(전월)'!K2:K2000),0))</f>
        <v>851.5</v>
      </c>
      <c r="AK170" s="3057" t="n" cm="1">
        <f t="array" ref="AK170">INDEX('각층분기별_유효전력량(전월)'!L2:L2000,MATCH(1,("7-DaHall 1-PDU-02"='각층분기별_유효전력량(전월)'!J2:J2000)*("[branch#041] [A] kWh last month"='각층분기별_유효전력량(전월)'!K2:K2000),0))</f>
        <v>893.8</v>
      </c>
      <c r="AL170" s="3065" t="n">
        <f t="shared" si="25"/>
        <v>1745.3</v>
      </c>
      <c r="AM170" s="900"/>
      <c r="AN170" s="2362" t="s">
        <v>113</v>
      </c>
    </row>
    <row r="171" spans="1:40" ht="41.25" thickBot="1" x14ac:dyDescent="0.2">
      <c r="A171" s="3095" t="s">
        <v>803</v>
      </c>
      <c r="B171" s="678" t="s">
        <v>804</v>
      </c>
      <c r="C171" s="1183" t="s">
        <v>805</v>
      </c>
      <c r="D171" s="678" t="s">
        <v>806</v>
      </c>
      <c r="E171" s="678" t="s">
        <v>807</v>
      </c>
      <c r="F171" s="678"/>
      <c r="G171" s="2011" t="s">
        <v>9459</v>
      </c>
      <c r="H171" s="2012" t="s">
        <v>9460</v>
      </c>
      <c r="I171" s="2011" t="str">
        <f t="shared" ref="I171:I175" si="37">"7-DaHall 1-"&amp;M171&amp;"-"&amp;L171&amp;"-"&amp;N171</f>
        <v>7-DaHall 1-RPP-01-20-19</v>
      </c>
      <c r="J171" s="2012" t="str">
        <f t="shared" ref="J171:J175" si="38">"7-DaHall 1-"&amp;Q171&amp;"-"&amp;P171&amp;"-"&amp;R171</f>
        <v>7-DaHall 1-RPP-02-30-10</v>
      </c>
      <c r="K171" s="2013">
        <v>220</v>
      </c>
      <c r="L171" s="2014">
        <v>20</v>
      </c>
      <c r="M171" s="1068" t="s">
        <v>9203</v>
      </c>
      <c r="N171" s="2015">
        <v>19</v>
      </c>
      <c r="O171" s="2016">
        <v>220</v>
      </c>
      <c r="P171" s="2017">
        <v>30</v>
      </c>
      <c r="Q171" s="710" t="s">
        <v>9204</v>
      </c>
      <c r="R171" s="2018">
        <v>10</v>
      </c>
      <c r="S171" s="912" t="s">
        <v>808</v>
      </c>
      <c r="T171" s="710" t="s">
        <v>809</v>
      </c>
      <c r="U171" s="907" t="s">
        <v>810</v>
      </c>
      <c r="V171" s="918" t="s">
        <v>811</v>
      </c>
      <c r="W171" s="907" t="s">
        <v>468</v>
      </c>
      <c r="X171" s="918" t="s">
        <v>479</v>
      </c>
      <c r="Y171" s="907" t="s">
        <v>469</v>
      </c>
      <c r="Z171" s="918" t="s">
        <v>480</v>
      </c>
      <c r="AA171" s="907" t="s">
        <v>51</v>
      </c>
      <c r="AB171" s="918" t="s">
        <v>52</v>
      </c>
      <c r="AC171" s="907" t="s">
        <v>30</v>
      </c>
      <c r="AD171" s="918" t="s">
        <v>35</v>
      </c>
      <c r="AE171" s="3093" t="s">
        <v>31</v>
      </c>
      <c r="AF171" s="3094" t="s">
        <v>36</v>
      </c>
      <c r="AG171" s="686" t="n">
        <f>SUM('7층_부하량(월간_AVG)'!D15:F15)</f>
        <v>1.7131975900517076</v>
      </c>
      <c r="AH171" s="679" t="n">
        <f>SUM('7층_부하량(월간_AVG)'!N99:P99)</f>
        <v>0.6539499893488577</v>
      </c>
      <c r="AI171" s="1328" t="n">
        <f t="shared" ref="AI171:AI173" si="39">AG171+AH171</f>
        <v>2.3671475794005654</v>
      </c>
      <c r="AJ171" s="3056" t="n" cm="1">
        <f t="array" ref="AJ171">INDEX('각층분기별_유효전력량(전월)'!L2:L2000,MATCH(1,("7-DaHall 1-RPP-01"='각층분기별_유효전력량(전월)'!J2:J2000)*("[branch#019] [A] kWh last month"='각층분기별_유효전력량(전월)'!K2:K2000),0))</f>
        <v>863.7</v>
      </c>
      <c r="AK171" s="3057" t="n" cm="1">
        <f t="array" ref="AK171">INDEX('각층분기별_유효전력량(전월)'!L2:L2000,MATCH(1,("7-DaHall 1-RPP-02"='각층분기별_유효전력량(전월)'!J2:J2000)*("[branch#010] [A] kWh last month"='각층분기별_유효전력량(전월)'!K2:K2000),0))</f>
        <v>76.0</v>
      </c>
      <c r="AL171" s="3065" t="n">
        <f t="shared" si="25"/>
        <v>939.7</v>
      </c>
      <c r="AM171" s="705" t="s">
        <v>812</v>
      </c>
      <c r="AN171" s="680"/>
    </row>
    <row r="172" spans="1:40" ht="41.25" thickBot="1" x14ac:dyDescent="0.2">
      <c r="A172" s="3096"/>
      <c r="B172" s="2705" t="s">
        <v>813</v>
      </c>
      <c r="C172" s="2705" t="s">
        <v>814</v>
      </c>
      <c r="D172" s="2705" t="s">
        <v>815</v>
      </c>
      <c r="E172" s="2705" t="s">
        <v>27</v>
      </c>
      <c r="F172" s="2705"/>
      <c r="G172" s="1907" t="s">
        <v>9461</v>
      </c>
      <c r="H172" s="1915" t="s">
        <v>9462</v>
      </c>
      <c r="I172" s="1907" t="str">
        <f t="shared" si="37"/>
        <v>7-DaHall 1-PDU-01-30-44</v>
      </c>
      <c r="J172" s="1915" t="str">
        <f t="shared" si="38"/>
        <v>7-DaHall 1-PDU-02-30-44</v>
      </c>
      <c r="K172" s="1909">
        <v>220</v>
      </c>
      <c r="L172" s="1910">
        <v>30</v>
      </c>
      <c r="M172" s="709" t="s">
        <v>9177</v>
      </c>
      <c r="N172" s="1911">
        <v>44</v>
      </c>
      <c r="O172" s="1916">
        <v>220</v>
      </c>
      <c r="P172" s="1917">
        <v>30</v>
      </c>
      <c r="Q172" s="693" t="s">
        <v>9178</v>
      </c>
      <c r="R172" s="1918">
        <v>44</v>
      </c>
      <c r="S172" s="709" t="s">
        <v>816</v>
      </c>
      <c r="T172" s="693" t="s">
        <v>817</v>
      </c>
      <c r="U172" s="739"/>
      <c r="V172" s="739"/>
      <c r="W172" s="739"/>
      <c r="X172" s="739"/>
      <c r="Y172" s="739"/>
      <c r="Z172" s="739"/>
      <c r="AA172" s="2244" t="s">
        <v>173</v>
      </c>
      <c r="AB172" s="922" t="s">
        <v>818</v>
      </c>
      <c r="AC172" s="2244" t="s">
        <v>111</v>
      </c>
      <c r="AD172" s="922" t="s">
        <v>112</v>
      </c>
      <c r="AE172" s="3093" t="s">
        <v>31</v>
      </c>
      <c r="AF172" s="3094" t="s">
        <v>36</v>
      </c>
      <c r="AG172" s="687" t="n">
        <f>SUM('7층_부하량(월간_AVG)'!N84:P84)</f>
        <v>5.6326362169227595</v>
      </c>
      <c r="AH172" s="682" t="n">
        <f>SUM('7층_부하량(월간_AVG)'!N52:P52)</f>
        <v>1.8154135039449526</v>
      </c>
      <c r="AI172" s="2321" t="n">
        <f t="shared" si="39"/>
        <v>7.448049720867712</v>
      </c>
      <c r="AJ172" s="3056" t="n" cm="1">
        <f t="array" ref="AJ172">INDEX('각층분기별_유효전력량(전월)'!L2:L2000,MATCH(1,("7-DaHall 1-PDU-01"='각층분기별_유효전력량(전월)'!J2:J2000)*("[branch#044] [A] kWh last month"='각층분기별_유효전력량(전월)'!K2:K2000),0))</f>
        <v>918.2</v>
      </c>
      <c r="AK172" s="3057" t="n" cm="1">
        <f t="array" ref="AK172">INDEX('각층분기별_유효전력량(전월)'!L2:L2000,MATCH(1,("7-DaHall 1-PDU-02"='각층분기별_유효전력량(전월)'!J2:J2000)*("[branch#044] [A] kWh last month"='각층분기별_유효전력량(전월)'!K2:K2000),0))</f>
        <v>223.6</v>
      </c>
      <c r="AL172" s="3065" t="n">
        <f t="shared" si="25"/>
        <v>1141.8</v>
      </c>
      <c r="AM172" s="2739" t="s">
        <v>819</v>
      </c>
      <c r="AN172" s="2747"/>
    </row>
    <row r="173" spans="1:40" ht="41.25" thickBot="1" x14ac:dyDescent="0.2">
      <c r="A173" s="3096"/>
      <c r="B173" s="2705" t="s">
        <v>820</v>
      </c>
      <c r="C173" s="2705" t="s">
        <v>821</v>
      </c>
      <c r="D173" s="2705" t="s">
        <v>822</v>
      </c>
      <c r="E173" s="2705" t="s">
        <v>27</v>
      </c>
      <c r="F173" s="2705"/>
      <c r="G173" s="1907" t="s">
        <v>9463</v>
      </c>
      <c r="H173" s="1915" t="s">
        <v>9464</v>
      </c>
      <c r="I173" s="1907" t="str">
        <f t="shared" si="37"/>
        <v>7-DaHall 1-PDU-01-30-2</v>
      </c>
      <c r="J173" s="1915" t="str">
        <f t="shared" si="38"/>
        <v>7-DaHall 1-PDU-02-30-2</v>
      </c>
      <c r="K173" s="1909">
        <v>220</v>
      </c>
      <c r="L173" s="1910">
        <v>30</v>
      </c>
      <c r="M173" s="709" t="s">
        <v>9177</v>
      </c>
      <c r="N173" s="1911">
        <v>2</v>
      </c>
      <c r="O173" s="1916">
        <v>220</v>
      </c>
      <c r="P173" s="1917">
        <v>30</v>
      </c>
      <c r="Q173" s="693" t="s">
        <v>9178</v>
      </c>
      <c r="R173" s="1918">
        <v>2</v>
      </c>
      <c r="S173" s="709" t="s">
        <v>823</v>
      </c>
      <c r="T173" s="693" t="s">
        <v>824</v>
      </c>
      <c r="U173" s="739"/>
      <c r="V173" s="739"/>
      <c r="W173" s="739"/>
      <c r="X173" s="739"/>
      <c r="Y173" s="739"/>
      <c r="Z173" s="739"/>
      <c r="AA173" s="2244" t="s">
        <v>173</v>
      </c>
      <c r="AB173" s="922" t="s">
        <v>818</v>
      </c>
      <c r="AC173" s="2244" t="s">
        <v>111</v>
      </c>
      <c r="AD173" s="922" t="s">
        <v>112</v>
      </c>
      <c r="AE173" s="3093" t="s">
        <v>31</v>
      </c>
      <c r="AF173" s="3094" t="s">
        <v>36</v>
      </c>
      <c r="AG173" s="687" t="n">
        <f>SUM('7층_부하량(월간_AVG)'!N63:P63)</f>
        <v>2.2573828959206983</v>
      </c>
      <c r="AH173" s="682" t="n">
        <f>SUM('7층_부하량(월간_AVG)'!N31:P31)</f>
        <v>5.48280176137085</v>
      </c>
      <c r="AI173" s="1327" t="n">
        <f t="shared" si="39"/>
        <v>7.7401846572915485</v>
      </c>
      <c r="AJ173" s="3056" t="n" cm="1">
        <f t="array" ref="AJ173">INDEX('각층분기별_유효전력량(전월)'!L2:L2000,MATCH(1,("7-DaHall 1-PDU-01"='각층분기별_유효전력량(전월)'!J2:J2000)*("[branch#002] [A] kWh last month"='각층분기별_유효전력량(전월)'!K2:K2000),0))</f>
        <v>346.4</v>
      </c>
      <c r="AK173" s="3057" t="n" cm="1">
        <f t="array" ref="AK173">INDEX('각층분기별_유효전력량(전월)'!L2:L2000,MATCH(1,("7-DaHall 1-PDU-02"='각층분기별_유효전력량(전월)'!J2:J2000)*("[branch#002] [A] kWh last month"='각층분기별_유효전력량(전월)'!K2:K2000),0))</f>
        <v>807.2</v>
      </c>
      <c r="AL173" s="3065" t="n">
        <f t="shared" si="25"/>
        <v>1153.6</v>
      </c>
      <c r="AM173" s="2739" t="s">
        <v>825</v>
      </c>
      <c r="AN173" s="2747"/>
    </row>
    <row r="174" spans="1:40" ht="54.75" hidden="1" customHeight="1" thickBot="1" x14ac:dyDescent="0.2">
      <c r="A174" s="3096"/>
      <c r="B174" s="3128" t="s">
        <v>826</v>
      </c>
      <c r="C174" s="3138" t="s">
        <v>827</v>
      </c>
      <c r="D174" s="3138" t="s">
        <v>828</v>
      </c>
      <c r="E174" s="972"/>
      <c r="F174" s="972" t="s">
        <v>27</v>
      </c>
      <c r="G174" s="2019" t="s">
        <v>9465</v>
      </c>
      <c r="H174" s="2020" t="s">
        <v>9466</v>
      </c>
      <c r="I174" s="2019" t="str">
        <f t="shared" si="37"/>
        <v>7-DaHall 1-A-1-35-50</v>
      </c>
      <c r="J174" s="2020" t="str">
        <f t="shared" si="38"/>
        <v>7-DaHall 1-B-1-50-47</v>
      </c>
      <c r="K174" s="2021">
        <v>48</v>
      </c>
      <c r="L174" s="2025">
        <v>35</v>
      </c>
      <c r="M174" s="934" t="s">
        <v>305</v>
      </c>
      <c r="N174" s="2022">
        <v>50</v>
      </c>
      <c r="O174" s="2023">
        <v>48</v>
      </c>
      <c r="P174" s="2026">
        <v>50</v>
      </c>
      <c r="Q174" s="935" t="s">
        <v>306</v>
      </c>
      <c r="R174" s="2024">
        <v>47</v>
      </c>
      <c r="S174" s="934" t="s">
        <v>829</v>
      </c>
      <c r="T174" s="935" t="s">
        <v>830</v>
      </c>
      <c r="U174" s="934" t="s">
        <v>309</v>
      </c>
      <c r="V174" s="935" t="s">
        <v>310</v>
      </c>
      <c r="W174" s="934" t="s">
        <v>452</v>
      </c>
      <c r="X174" s="935" t="s">
        <v>453</v>
      </c>
      <c r="Y174" s="934" t="s">
        <v>49</v>
      </c>
      <c r="Z174" s="935" t="s">
        <v>50</v>
      </c>
      <c r="AA174" s="2740" t="s">
        <v>51</v>
      </c>
      <c r="AB174" s="2722" t="s">
        <v>52</v>
      </c>
      <c r="AC174" s="2740" t="s">
        <v>30</v>
      </c>
      <c r="AD174" s="2722" t="s">
        <v>35</v>
      </c>
      <c r="AE174" s="3093" t="s">
        <v>31</v>
      </c>
      <c r="AF174" s="3094" t="s">
        <v>36</v>
      </c>
      <c r="AG174" s="944"/>
      <c r="AH174" s="1201"/>
      <c r="AI174" s="1344"/>
      <c r="AJ174" s="3069"/>
      <c r="AK174" s="3070"/>
      <c r="AL174" s="3071" t="n">
        <f t="shared" si="25"/>
        <v>0.0</v>
      </c>
      <c r="AM174" s="2322"/>
      <c r="AN174" s="706" t="s">
        <v>831</v>
      </c>
    </row>
    <row r="175" spans="1:40" ht="40.5" x14ac:dyDescent="0.15">
      <c r="A175" s="3096"/>
      <c r="B175" s="3128"/>
      <c r="C175" s="3138"/>
      <c r="D175" s="3138"/>
      <c r="E175" s="2705" t="s">
        <v>27</v>
      </c>
      <c r="F175" s="2705"/>
      <c r="G175" s="1907" t="s">
        <v>9467</v>
      </c>
      <c r="H175" s="1915" t="s">
        <v>9468</v>
      </c>
      <c r="I175" s="1907" t="str">
        <f t="shared" si="37"/>
        <v>7-DaHall 1-PDU-01-30-46</v>
      </c>
      <c r="J175" s="1915" t="str">
        <f t="shared" si="38"/>
        <v>7-DaHall 1-PDU-02-30-46</v>
      </c>
      <c r="K175" s="1909">
        <v>220</v>
      </c>
      <c r="L175" s="1910">
        <v>30</v>
      </c>
      <c r="M175" s="709" t="s">
        <v>9177</v>
      </c>
      <c r="N175" s="1911">
        <v>46</v>
      </c>
      <c r="O175" s="1916">
        <v>220</v>
      </c>
      <c r="P175" s="1917">
        <v>30</v>
      </c>
      <c r="Q175" s="693" t="s">
        <v>9178</v>
      </c>
      <c r="R175" s="1918">
        <v>46</v>
      </c>
      <c r="S175" s="709" t="s">
        <v>832</v>
      </c>
      <c r="T175" s="693" t="s">
        <v>833</v>
      </c>
      <c r="U175" s="739"/>
      <c r="V175" s="739"/>
      <c r="W175" s="739"/>
      <c r="X175" s="739"/>
      <c r="Y175" s="739"/>
      <c r="Z175" s="739"/>
      <c r="AA175" s="2700" t="s">
        <v>173</v>
      </c>
      <c r="AB175" s="1185" t="s">
        <v>818</v>
      </c>
      <c r="AC175" s="2740" t="s">
        <v>111</v>
      </c>
      <c r="AD175" s="2722" t="s">
        <v>112</v>
      </c>
      <c r="AE175" s="3093" t="s">
        <v>31</v>
      </c>
      <c r="AF175" s="3094" t="s">
        <v>36</v>
      </c>
      <c r="AG175" s="687" t="n">
        <f>SUM('7층_부하량(월간_AVG)'!N85:P85)</f>
        <v>2.6241049710955835</v>
      </c>
      <c r="AH175" s="682" t="n">
        <f>SUM('7층_부하량(월간_AVG)'!N53:P53)</f>
        <v>3.6164773632526095</v>
      </c>
      <c r="AI175" s="1327" t="n">
        <f t="shared" ref="AI175" si="40">AG175+AH175</f>
        <v>6.240582334348193</v>
      </c>
      <c r="AJ175" s="3056" t="n" cm="1">
        <f t="array" ref="AJ175">INDEX('각층분기별_유효전력량(전월)'!L2:L2000,MATCH(1,("7-DaHall 1-PDU-01"='각층분기별_유효전력량(전월)'!J2:J2000)*("[branch#046] [A] kWh last month"='각층분기별_유효전력량(전월)'!K2:K2000),0))</f>
        <v>395.8</v>
      </c>
      <c r="AK175" s="3057" t="n" cm="1">
        <f t="array" ref="AK175">INDEX('각층분기별_유효전력량(전월)'!L2:L2000,MATCH(1,("7-DaHall 1-PDU-02"='각층분기별_유효전력량(전월)'!J2:J2000)*("[branch#046] [A] kWh last month"='각층분기별_유효전력량(전월)'!K2:K2000),0))</f>
        <v>550.1</v>
      </c>
      <c r="AL175" s="3071" t="n">
        <f t="shared" si="25"/>
        <v>945.9000000000001</v>
      </c>
      <c r="AM175" s="2739" t="s">
        <v>825</v>
      </c>
      <c r="AN175" s="706"/>
    </row>
    <row r="176" spans="1:40" ht="40.5" customHeight="1" x14ac:dyDescent="0.15">
      <c r="A176" s="3096"/>
      <c r="B176" s="2705" t="s">
        <v>834</v>
      </c>
      <c r="C176" s="2705" t="s">
        <v>835</v>
      </c>
      <c r="D176" s="2705" t="s">
        <v>836</v>
      </c>
      <c r="E176" s="2705" t="s">
        <v>27</v>
      </c>
      <c r="F176" s="2705"/>
      <c r="G176" s="1948" t="s">
        <v>9469</v>
      </c>
      <c r="H176" s="1946" t="s">
        <v>9470</v>
      </c>
      <c r="I176" s="1907" t="str">
        <f>"7-DaHall 1-"&amp;Q176&amp;"-"&amp;P176&amp;"-"&amp;R176</f>
        <v>7-DaHall 1-RPP-01-30-24</v>
      </c>
      <c r="J176" s="1915" t="str">
        <f>"7-DaHall 1-"&amp;M176&amp;"-"&amp;L176&amp;"-"&amp;N176</f>
        <v>7-DaHall 1-RPP-02-30-18</v>
      </c>
      <c r="K176" s="1949">
        <v>220</v>
      </c>
      <c r="L176" s="1917">
        <v>30</v>
      </c>
      <c r="M176" s="693" t="s">
        <v>9204</v>
      </c>
      <c r="N176" s="1918">
        <v>18</v>
      </c>
      <c r="O176" s="1947">
        <v>220</v>
      </c>
      <c r="P176" s="1910">
        <v>30</v>
      </c>
      <c r="Q176" s="709" t="s">
        <v>9203</v>
      </c>
      <c r="R176" s="1911">
        <v>24</v>
      </c>
      <c r="S176" s="693" t="s">
        <v>837</v>
      </c>
      <c r="T176" s="709" t="s">
        <v>838</v>
      </c>
      <c r="U176" s="2722" t="s">
        <v>839</v>
      </c>
      <c r="V176" s="2740" t="s">
        <v>840</v>
      </c>
      <c r="W176" s="922" t="s">
        <v>479</v>
      </c>
      <c r="X176" s="2244" t="s">
        <v>468</v>
      </c>
      <c r="Y176" s="922" t="s">
        <v>480</v>
      </c>
      <c r="Z176" s="2244" t="s">
        <v>469</v>
      </c>
      <c r="AA176" s="922" t="s">
        <v>481</v>
      </c>
      <c r="AB176" s="2244" t="s">
        <v>470</v>
      </c>
      <c r="AC176" s="922" t="s">
        <v>35</v>
      </c>
      <c r="AD176" s="2244" t="s">
        <v>30</v>
      </c>
      <c r="AE176" s="922" t="s">
        <v>36</v>
      </c>
      <c r="AF176" s="2244" t="s">
        <v>31</v>
      </c>
      <c r="AG176" s="942" t="n">
        <f>SUM('7층_부하량(월간_AVG)'!N17:P17)</f>
        <v>2.134386411753344</v>
      </c>
      <c r="AH176" s="920" t="n">
        <f>SUM('7층_부하량(월간_AVG)'!N103:P103)</f>
        <v>2.4131155053669886</v>
      </c>
      <c r="AI176" s="1327" t="n">
        <f>AH176+AG176</f>
        <v>4.547501917120332</v>
      </c>
      <c r="AJ176" s="3056" t="n" cm="1">
        <f t="array" ref="AJ176">INDEX('각층분기별_유효전력량(전월)'!L2:L2000,MATCH(1,("7-DaHall 1-RPP-01"='각층분기별_유효전력량(전월)'!J2:J2000)*("[branch#024] [A] kWh last month"='각층분기별_유효전력량(전월)'!K2:K2000),0))</f>
        <v>340.5</v>
      </c>
      <c r="AK176" s="3057" t="n" cm="1">
        <f t="array" ref="AK176">INDEX('각층분기별_유효전력량(전월)'!L2:L2000,MATCH(1,("7-DaHall 1-RPP-02"='각층분기별_유효전력량(전월)'!J2:J2000)*("[branch#018] [A] kWh last month"='각층분기별_유효전력량(전월)'!K2:K2000),0))</f>
        <v>301.0</v>
      </c>
      <c r="AL176" s="3065" t="n">
        <f t="shared" si="25"/>
        <v>641.5</v>
      </c>
      <c r="AM176" s="2739" t="s">
        <v>841</v>
      </c>
      <c r="AN176" s="2747"/>
    </row>
    <row r="177" spans="1:40" ht="40.5" x14ac:dyDescent="0.15">
      <c r="A177" s="3096"/>
      <c r="B177" s="2705" t="s">
        <v>842</v>
      </c>
      <c r="C177" s="2705" t="s">
        <v>843</v>
      </c>
      <c r="D177" s="937" t="s">
        <v>844</v>
      </c>
      <c r="E177" s="937" t="s">
        <v>27</v>
      </c>
      <c r="F177" s="937"/>
      <c r="G177" s="2027" t="s">
        <v>9471</v>
      </c>
      <c r="H177" s="1933" t="s">
        <v>9472</v>
      </c>
      <c r="I177" s="1921" t="str">
        <f>"7-DaHall 1-"&amp;Q177&amp;"-"&amp;P177&amp;"-"&amp;R177</f>
        <v>7-DaHall 1-RPP-01-20-33</v>
      </c>
      <c r="J177" s="1922" t="str">
        <f>"7-DaHall 1-"&amp;M177&amp;"-"&amp;L177&amp;"-"&amp;N177</f>
        <v>7-DaHall 1-RPP-02-20-29</v>
      </c>
      <c r="K177" s="2028">
        <v>220</v>
      </c>
      <c r="L177" s="1927">
        <v>20</v>
      </c>
      <c r="M177" s="971" t="s">
        <v>9204</v>
      </c>
      <c r="N177" s="1928">
        <v>29</v>
      </c>
      <c r="O177" s="1934">
        <v>220</v>
      </c>
      <c r="P177" s="1924">
        <v>20</v>
      </c>
      <c r="Q177" s="915" t="s">
        <v>9203</v>
      </c>
      <c r="R177" s="1925">
        <v>33</v>
      </c>
      <c r="S177" s="971" t="s">
        <v>845</v>
      </c>
      <c r="T177" s="915" t="s">
        <v>846</v>
      </c>
      <c r="U177" s="935" t="s">
        <v>847</v>
      </c>
      <c r="V177" s="934" t="s">
        <v>848</v>
      </c>
      <c r="W177" s="922" t="s">
        <v>479</v>
      </c>
      <c r="X177" s="2244" t="s">
        <v>468</v>
      </c>
      <c r="Y177" s="922" t="s">
        <v>480</v>
      </c>
      <c r="Z177" s="2244" t="s">
        <v>469</v>
      </c>
      <c r="AA177" s="922" t="s">
        <v>481</v>
      </c>
      <c r="AB177" s="2244" t="s">
        <v>470</v>
      </c>
      <c r="AC177" s="922" t="s">
        <v>35</v>
      </c>
      <c r="AD177" s="2244" t="s">
        <v>30</v>
      </c>
      <c r="AE177" s="922" t="s">
        <v>36</v>
      </c>
      <c r="AF177" s="2244" t="s">
        <v>31</v>
      </c>
      <c r="AG177" s="1202" t="n">
        <f>SUM('7층_부하량(월간_AVG)'!D22:F22)</f>
        <v>0.0</v>
      </c>
      <c r="AH177" s="949" t="n">
        <f>SUM('7층_부하량(월간_AVG)'!D109:F109)</f>
        <v>0.0</v>
      </c>
      <c r="AI177" s="1345" t="n">
        <f>AH177+AG177</f>
        <v>0.0</v>
      </c>
      <c r="AJ177" s="3074" t="n" cm="1">
        <f t="array" ref="AJ177">INDEX('각층분기별_유효전력량(전월)'!L2:L2000,MATCH(1,("7-DaHall 1-RPP-01"='각층분기별_유효전력량(전월)'!J2:J2000)*("[branch#033] [A] kWh last month"='각층분기별_유효전력량(전월)'!K2:K2000),0))</f>
        <v>0.0</v>
      </c>
      <c r="AK177" s="3057" t="n" cm="1">
        <f t="array" ref="AK177">INDEX('각층분기별_유효전력량(전월)'!L2:L2000,MATCH(1,("7-DaHall 1-RPP-02"='각층분기별_유효전력량(전월)'!J2:J2000)*("[branch#029] [A] kWh last month"='각층분기별_유효전력량(전월)'!K2:K2000),0))</f>
        <v>0.0</v>
      </c>
      <c r="AL177" s="3071" t="n">
        <f t="shared" si="25"/>
        <v>0.0</v>
      </c>
      <c r="AM177" s="2739" t="s">
        <v>849</v>
      </c>
      <c r="AN177" s="2747"/>
    </row>
    <row r="178" spans="1:40" ht="40.5" x14ac:dyDescent="0.15">
      <c r="A178" s="3096"/>
      <c r="B178" s="2705" t="s">
        <v>850</v>
      </c>
      <c r="C178" s="2705" t="s">
        <v>851</v>
      </c>
      <c r="D178" s="937" t="s">
        <v>852</v>
      </c>
      <c r="E178" s="937" t="s">
        <v>27</v>
      </c>
      <c r="F178" s="937"/>
      <c r="G178" s="2027" t="s">
        <v>9473</v>
      </c>
      <c r="H178" s="1933" t="s">
        <v>9474</v>
      </c>
      <c r="I178" s="1921" t="str">
        <f>"7-DaHall 1-"&amp;Q178&amp;"-"&amp;P178&amp;"-"&amp;R178</f>
        <v>7-DaHall 1-RPP-01-30-22</v>
      </c>
      <c r="J178" s="1922" t="str">
        <f>"7-DaHall 1-"&amp;M178&amp;"-"&amp;L178&amp;"-"&amp;N178</f>
        <v>7-DaHall 1-RPP-02-30-16</v>
      </c>
      <c r="K178" s="2028">
        <v>220</v>
      </c>
      <c r="L178" s="1927">
        <v>30</v>
      </c>
      <c r="M178" s="971" t="s">
        <v>9204</v>
      </c>
      <c r="N178" s="1928">
        <v>16</v>
      </c>
      <c r="O178" s="1934">
        <v>220</v>
      </c>
      <c r="P178" s="1924">
        <v>30</v>
      </c>
      <c r="Q178" s="915" t="s">
        <v>9203</v>
      </c>
      <c r="R178" s="1925">
        <v>22</v>
      </c>
      <c r="S178" s="971" t="s">
        <v>853</v>
      </c>
      <c r="T178" s="915" t="s">
        <v>854</v>
      </c>
      <c r="U178" s="935" t="s">
        <v>855</v>
      </c>
      <c r="V178" s="934" t="s">
        <v>856</v>
      </c>
      <c r="W178" s="922" t="s">
        <v>479</v>
      </c>
      <c r="X178" s="2244" t="s">
        <v>468</v>
      </c>
      <c r="Y178" s="922" t="s">
        <v>480</v>
      </c>
      <c r="Z178" s="2244" t="s">
        <v>469</v>
      </c>
      <c r="AA178" s="922" t="s">
        <v>481</v>
      </c>
      <c r="AB178" s="2244" t="s">
        <v>470</v>
      </c>
      <c r="AC178" s="922" t="s">
        <v>35</v>
      </c>
      <c r="AD178" s="2244" t="s">
        <v>30</v>
      </c>
      <c r="AE178" s="922" t="s">
        <v>36</v>
      </c>
      <c r="AF178" s="2244" t="s">
        <v>31</v>
      </c>
      <c r="AG178" s="1202" t="n">
        <f>SUM('7층_부하량(월간_AVG)'!N16:P16)</f>
        <v>0.0</v>
      </c>
      <c r="AH178" s="949" t="n">
        <f>SUM('7층_부하량(월간_AVG)'!N102:P102)</f>
        <v>0.0</v>
      </c>
      <c r="AI178" s="1345" t="n">
        <f>AH178+AG178</f>
        <v>0.0</v>
      </c>
      <c r="AJ178" s="3074" t="n" cm="1">
        <f t="array" ref="AJ178">INDEX('각층분기별_유효전력량(전월)'!L2:L2000,MATCH(1,("7-DaHall 1-RPP-01"='각층분기별_유효전력량(전월)'!J2:J2000)*("[branch#022] [A] kWh last month"='각층분기별_유효전력량(전월)'!K2:K2000),0))</f>
        <v>0.0</v>
      </c>
      <c r="AK178" s="3057" t="n" cm="1">
        <f t="array" ref="AK178">INDEX('각층분기별_유효전력량(전월)'!L2:L2000,MATCH(1,("7-DaHall 1-RPP-02"='각층분기별_유효전력량(전월)'!J2:J2000)*("[branch#016] [A] kWh last month"='각층분기별_유효전력량(전월)'!K2:K2000),0))</f>
        <v>0.0</v>
      </c>
      <c r="AL178" s="3071" t="n">
        <f t="shared" si="25"/>
        <v>0.0</v>
      </c>
      <c r="AM178" s="2739" t="s">
        <v>857</v>
      </c>
      <c r="AN178" s="2747"/>
    </row>
    <row r="179" spans="1:40" ht="40.5" customHeight="1" x14ac:dyDescent="0.15">
      <c r="A179" s="3096"/>
      <c r="B179" s="3128" t="s">
        <v>858</v>
      </c>
      <c r="C179" s="3128" t="s">
        <v>859</v>
      </c>
      <c r="D179" s="3128" t="s">
        <v>860</v>
      </c>
      <c r="E179" s="2705" t="s">
        <v>27</v>
      </c>
      <c r="F179" s="2705"/>
      <c r="G179" s="1907" t="s">
        <v>9475</v>
      </c>
      <c r="H179" s="1915" t="s">
        <v>9476</v>
      </c>
      <c r="I179" s="1907" t="str">
        <f t="shared" ref="I179:I180" si="41">"7-DaHall 1-"&amp;M179&amp;"-"&amp;L179&amp;"-"&amp;N179</f>
        <v>7-DaHall 1-PDU-01-30-1</v>
      </c>
      <c r="J179" s="1915" t="str">
        <f t="shared" ref="J179:J180" si="42">"7-DaHall 1-"&amp;Q179&amp;"-"&amp;P179&amp;"-"&amp;R179</f>
        <v>7-DaHall 1-PDU-02-30-1</v>
      </c>
      <c r="K179" s="1909">
        <v>220</v>
      </c>
      <c r="L179" s="1910">
        <v>30</v>
      </c>
      <c r="M179" s="709" t="s">
        <v>9177</v>
      </c>
      <c r="N179" s="1911">
        <v>1</v>
      </c>
      <c r="O179" s="1916">
        <v>220</v>
      </c>
      <c r="P179" s="1917">
        <v>30</v>
      </c>
      <c r="Q179" s="693" t="s">
        <v>9178</v>
      </c>
      <c r="R179" s="1918">
        <v>1</v>
      </c>
      <c r="S179" s="709" t="s">
        <v>861</v>
      </c>
      <c r="T179" s="693" t="s">
        <v>862</v>
      </c>
      <c r="U179" s="739"/>
      <c r="V179" s="739"/>
      <c r="W179" s="739"/>
      <c r="X179" s="739"/>
      <c r="Y179" s="739"/>
      <c r="Z179" s="739"/>
      <c r="AA179" s="2244" t="s">
        <v>173</v>
      </c>
      <c r="AB179" s="922" t="s">
        <v>174</v>
      </c>
      <c r="AC179" s="2244" t="s">
        <v>111</v>
      </c>
      <c r="AD179" s="922" t="s">
        <v>112</v>
      </c>
      <c r="AE179" s="2244" t="s">
        <v>31</v>
      </c>
      <c r="AF179" s="3139" t="s">
        <v>36</v>
      </c>
      <c r="AG179" s="687" t="n">
        <f>SUM('7층_부하량(월간_AVG)'!D63:F63)</f>
        <v>0.0</v>
      </c>
      <c r="AH179" s="682" t="n">
        <f>SUM('7층_부하량(월간_AVG)'!D31:F31)</f>
        <v>0.0</v>
      </c>
      <c r="AI179" s="1327" t="n">
        <f>AG179+AH179</f>
        <v>0.0</v>
      </c>
      <c r="AJ179" s="3056" t="n" cm="1">
        <f t="array" ref="AJ179">INDEX('각층분기별_유효전력량(전월)'!L2:L2000,MATCH(1,("7-DaHall 1-PDU-01"='각층분기별_유효전력량(전월)'!J2:J2000)*("[branch#001] [A] kWh last month"='각층분기별_유효전력량(전월)'!K2:K2000),0))</f>
        <v>0.0</v>
      </c>
      <c r="AK179" s="3057" t="n" cm="1">
        <f t="array" ref="AK179">INDEX('각층분기별_유효전력량(전월)'!L2:L2000,MATCH(1,("7-DaHall 1-PDU-02"='각층분기별_유효전력량(전월)'!J2:J2000)*("[branch#001] [A] kWh last month"='각층분기별_유효전력량(전월)'!K2:K2000),0))</f>
        <v>0.0</v>
      </c>
      <c r="AL179" s="3065" t="n">
        <f t="shared" si="25"/>
        <v>0.0</v>
      </c>
      <c r="AM179" s="2322" t="s">
        <v>863</v>
      </c>
      <c r="AN179" s="2747"/>
    </row>
    <row r="180" spans="1:40" ht="40.5" x14ac:dyDescent="0.15">
      <c r="A180" s="3096"/>
      <c r="B180" s="3128"/>
      <c r="C180" s="3128"/>
      <c r="D180" s="3128"/>
      <c r="E180" s="2707" t="s">
        <v>27</v>
      </c>
      <c r="F180" s="2707"/>
      <c r="G180" s="1907" t="s">
        <v>9477</v>
      </c>
      <c r="H180" s="1915" t="s">
        <v>9478</v>
      </c>
      <c r="I180" s="1907" t="str">
        <f t="shared" si="41"/>
        <v>7-DaHall 1-PDU-01-30-12</v>
      </c>
      <c r="J180" s="1915" t="str">
        <f t="shared" si="42"/>
        <v>7-DaHall 1-PDU-02-30-12</v>
      </c>
      <c r="K180" s="1909">
        <v>220</v>
      </c>
      <c r="L180" s="1910">
        <v>30</v>
      </c>
      <c r="M180" s="709" t="s">
        <v>9177</v>
      </c>
      <c r="N180" s="1911">
        <v>12</v>
      </c>
      <c r="O180" s="1916">
        <v>220</v>
      </c>
      <c r="P180" s="1917">
        <v>30</v>
      </c>
      <c r="Q180" s="693" t="s">
        <v>9178</v>
      </c>
      <c r="R180" s="1918">
        <v>12</v>
      </c>
      <c r="S180" s="709" t="s">
        <v>864</v>
      </c>
      <c r="T180" s="693" t="s">
        <v>865</v>
      </c>
      <c r="U180" s="739"/>
      <c r="V180" s="739"/>
      <c r="W180" s="739"/>
      <c r="X180" s="739"/>
      <c r="Y180" s="739"/>
      <c r="Z180" s="739"/>
      <c r="AA180" s="2244" t="s">
        <v>173</v>
      </c>
      <c r="AB180" s="922" t="s">
        <v>174</v>
      </c>
      <c r="AC180" s="2244" t="s">
        <v>111</v>
      </c>
      <c r="AD180" s="922" t="s">
        <v>112</v>
      </c>
      <c r="AE180" s="2244" t="s">
        <v>31</v>
      </c>
      <c r="AF180" s="3140"/>
      <c r="AG180" s="687" t="n">
        <f>SUM('7층_부하량(월간_AVG)'!N68:P68)</f>
        <v>2.0298583151388403</v>
      </c>
      <c r="AH180" s="682" t="n">
        <f>SUM('7층_부하량(월간_AVG)'!N36:P36)</f>
        <v>2.677312114399676</v>
      </c>
      <c r="AI180" s="1327" t="n">
        <f>AG180+AH180</f>
        <v>4.707170429538516</v>
      </c>
      <c r="AJ180" s="3056" t="n" cm="1">
        <f t="array" ref="AJ180">INDEX('각층분기별_유효전력량(전월)'!L2:L2000,MATCH(1,("7-DaHall 1-PDU-01"='각층분기별_유효전력량(전월)'!J2:J2000)*("[branch#012] [A] kWh last month"='각층분기별_유효전력량(전월)'!K2:K2000),0))</f>
        <v>321.0</v>
      </c>
      <c r="AK180" s="3057" t="n" cm="1">
        <f t="array" ref="AK180">INDEX('각층분기별_유효전력량(전월)'!L2:L2000,MATCH(1,("7-DaHall 1-PDU-02"='각층분기별_유효전력량(전월)'!J2:J2000)*("[branch#012] [A] kWh last month"='각층분기별_유효전력량(전월)'!K2:K2000),0))</f>
        <v>434.4</v>
      </c>
      <c r="AL180" s="3065" t="n">
        <f t="shared" si="25"/>
        <v>755.4</v>
      </c>
      <c r="AM180" s="2322"/>
      <c r="AN180" s="2747"/>
    </row>
    <row r="181" spans="1:40" ht="40.5" hidden="1" customHeight="1" x14ac:dyDescent="0.15">
      <c r="A181" s="3096"/>
      <c r="B181" s="2705" t="s">
        <v>866</v>
      </c>
      <c r="C181" s="2705" t="s">
        <v>867</v>
      </c>
      <c r="D181" s="937" t="s">
        <v>868</v>
      </c>
      <c r="E181" s="937"/>
      <c r="F181" s="937"/>
      <c r="G181" s="1921"/>
      <c r="H181" s="1933"/>
      <c r="I181" s="1921"/>
      <c r="J181" s="1933"/>
      <c r="K181" s="1923"/>
      <c r="L181" s="1924"/>
      <c r="M181" s="915"/>
      <c r="N181" s="1925"/>
      <c r="O181" s="1934"/>
      <c r="P181" s="1924"/>
      <c r="Q181" s="915"/>
      <c r="R181" s="1925"/>
      <c r="S181" s="915"/>
      <c r="T181" s="915"/>
      <c r="U181" s="915"/>
      <c r="V181" s="915"/>
      <c r="W181" s="3141"/>
      <c r="X181" s="915"/>
      <c r="Y181" s="3141"/>
      <c r="Z181" s="915"/>
      <c r="AA181" s="3141"/>
      <c r="AB181" s="915"/>
      <c r="AC181" s="3141"/>
      <c r="AD181" s="916"/>
      <c r="AE181" s="3089"/>
      <c r="AF181" s="915"/>
      <c r="AG181" s="944"/>
      <c r="AH181" s="941"/>
      <c r="AI181" s="1345" t="n">
        <f>AG181+AH181</f>
        <v>0.0</v>
      </c>
      <c r="AJ181" s="3069"/>
      <c r="AK181" s="3070"/>
      <c r="AL181" s="3071" t="n">
        <f t="shared" si="25"/>
        <v>0.0</v>
      </c>
      <c r="AM181" s="2739" t="s">
        <v>871</v>
      </c>
      <c r="AN181" s="2747"/>
    </row>
    <row r="182" spans="1:40" ht="13.5" hidden="1" customHeight="1" x14ac:dyDescent="0.15">
      <c r="A182" s="3096"/>
      <c r="B182" s="2705"/>
      <c r="C182" s="2705"/>
      <c r="D182" s="937"/>
      <c r="E182" s="937"/>
      <c r="F182" s="937"/>
      <c r="G182" s="1967"/>
      <c r="H182" s="1968"/>
      <c r="I182" s="1967"/>
      <c r="J182" s="1968"/>
      <c r="K182" s="1969"/>
      <c r="L182" s="1972"/>
      <c r="M182" s="930"/>
      <c r="N182" s="1970"/>
      <c r="O182" s="1971"/>
      <c r="P182" s="1972"/>
      <c r="Q182" s="930"/>
      <c r="R182" s="1970"/>
      <c r="S182" s="930"/>
      <c r="T182" s="930"/>
      <c r="U182" s="937"/>
      <c r="V182" s="937"/>
      <c r="W182" s="3142"/>
      <c r="X182" s="937"/>
      <c r="Y182" s="3142"/>
      <c r="Z182" s="937"/>
      <c r="AA182" s="3142"/>
      <c r="AB182" s="1203"/>
      <c r="AC182" s="3142"/>
      <c r="AD182" s="1072"/>
      <c r="AE182" s="3089"/>
      <c r="AF182" s="1072" t="s">
        <v>36</v>
      </c>
      <c r="AG182" s="944"/>
      <c r="AH182" s="1201"/>
      <c r="AI182" s="1345"/>
      <c r="AJ182" s="3069"/>
      <c r="AK182" s="3070"/>
      <c r="AL182" s="3071" t="n">
        <f t="shared" si="25"/>
        <v>0.0</v>
      </c>
      <c r="AM182" s="2739"/>
      <c r="AN182" s="2747" t="s">
        <v>872</v>
      </c>
    </row>
    <row r="183" spans="1:40" ht="14.25" hidden="1" customHeight="1" thickBot="1" x14ac:dyDescent="0.2">
      <c r="A183" s="3097"/>
      <c r="B183" s="2741" t="s">
        <v>873</v>
      </c>
      <c r="C183" s="2741" t="s">
        <v>874</v>
      </c>
      <c r="D183" s="936" t="s">
        <v>875</v>
      </c>
      <c r="E183" s="936"/>
      <c r="F183" s="936"/>
      <c r="G183" s="1978"/>
      <c r="H183" s="1951"/>
      <c r="I183" s="1978"/>
      <c r="J183" s="1951"/>
      <c r="K183" s="1980"/>
      <c r="L183" s="1955"/>
      <c r="M183" s="923"/>
      <c r="N183" s="1956"/>
      <c r="O183" s="1954"/>
      <c r="P183" s="1955"/>
      <c r="Q183" s="923"/>
      <c r="R183" s="1956"/>
      <c r="S183" s="923"/>
      <c r="T183" s="923"/>
      <c r="U183" s="923"/>
      <c r="V183" s="923"/>
      <c r="W183" s="3143"/>
      <c r="X183" s="923"/>
      <c r="Y183" s="3143"/>
      <c r="Z183" s="923"/>
      <c r="AA183" s="3143"/>
      <c r="AB183" s="923"/>
      <c r="AC183" s="3143"/>
      <c r="AD183" s="1090"/>
      <c r="AE183" s="3098"/>
      <c r="AF183" s="923"/>
      <c r="AG183" s="946"/>
      <c r="AH183" s="1091"/>
      <c r="AI183" s="1346" t="n">
        <f>AG183+AH183</f>
        <v>0.0</v>
      </c>
      <c r="AJ183" s="3069"/>
      <c r="AK183" s="3070"/>
      <c r="AL183" s="3071" t="n">
        <f t="shared" si="25"/>
        <v>0.0</v>
      </c>
      <c r="AM183" s="704" t="s">
        <v>878</v>
      </c>
      <c r="AN183" s="685"/>
    </row>
    <row r="184" spans="1:40" ht="13.5" hidden="1" customHeight="1" x14ac:dyDescent="0.15">
      <c r="A184" s="3099" t="s">
        <v>879</v>
      </c>
      <c r="B184" s="2711" t="s">
        <v>880</v>
      </c>
      <c r="C184" s="1086"/>
      <c r="D184" s="1086"/>
      <c r="E184" s="1086"/>
      <c r="F184" s="1086"/>
      <c r="G184" s="1961"/>
      <c r="H184" s="2029"/>
      <c r="I184" s="1961"/>
      <c r="J184" s="2029"/>
      <c r="K184" s="1962"/>
      <c r="L184" s="2030"/>
      <c r="M184" s="975"/>
      <c r="N184" s="1963"/>
      <c r="O184" s="2031"/>
      <c r="P184" s="2032"/>
      <c r="Q184" s="1087"/>
      <c r="R184" s="2033"/>
      <c r="S184" s="975"/>
      <c r="T184" s="1087"/>
      <c r="U184" s="975"/>
      <c r="V184" s="1087"/>
      <c r="W184" s="975"/>
      <c r="X184" s="1087"/>
      <c r="Y184" s="975"/>
      <c r="Z184" s="1087"/>
      <c r="AA184" s="975"/>
      <c r="AB184" s="1087"/>
      <c r="AC184" s="975"/>
      <c r="AD184" s="1087"/>
      <c r="AE184" s="975"/>
      <c r="AF184" s="1087"/>
      <c r="AG184" s="1099"/>
      <c r="AH184" s="1100"/>
      <c r="AI184" s="1347"/>
      <c r="AJ184" s="3069"/>
      <c r="AK184" s="3070"/>
      <c r="AL184" s="3071" t="n">
        <f t="shared" si="25"/>
        <v>0.0</v>
      </c>
      <c r="AM184" s="1081"/>
      <c r="AN184" s="2730"/>
    </row>
    <row r="185" spans="1:40" ht="40.5" x14ac:dyDescent="0.15">
      <c r="A185" s="3099"/>
      <c r="B185" s="2705" t="s">
        <v>881</v>
      </c>
      <c r="C185" s="2705" t="s">
        <v>882</v>
      </c>
      <c r="D185" s="739" t="s">
        <v>883</v>
      </c>
      <c r="E185" s="937" t="s">
        <v>27</v>
      </c>
      <c r="F185" s="937"/>
      <c r="G185" s="1921" t="s">
        <v>9479</v>
      </c>
      <c r="H185" s="1922" t="s">
        <v>9480</v>
      </c>
      <c r="I185" s="1921" t="str">
        <f t="shared" ref="I185" si="43">"7-DaHall 1-"&amp;M185&amp;"-"&amp;L185&amp;"-"&amp;N185</f>
        <v>7-DaHall 1-RPP-01-20-39</v>
      </c>
      <c r="J185" s="1922" t="str">
        <f t="shared" ref="J185:J191" si="44">"7-DaHall 1-"&amp;Q185&amp;"-"&amp;P185&amp;"-"&amp;R185</f>
        <v>7-DaHall 1-RPP-02-30-40</v>
      </c>
      <c r="K185" s="1923">
        <v>220</v>
      </c>
      <c r="L185" s="1924">
        <v>20</v>
      </c>
      <c r="M185" s="915" t="s">
        <v>9203</v>
      </c>
      <c r="N185" s="1925">
        <v>39</v>
      </c>
      <c r="O185" s="1926">
        <v>220</v>
      </c>
      <c r="P185" s="1927">
        <v>30</v>
      </c>
      <c r="Q185" s="971" t="s">
        <v>9204</v>
      </c>
      <c r="R185" s="1928">
        <v>40</v>
      </c>
      <c r="S185" s="915" t="s">
        <v>869</v>
      </c>
      <c r="T185" s="971" t="s">
        <v>884</v>
      </c>
      <c r="U185" s="915" t="s">
        <v>870</v>
      </c>
      <c r="V185" s="971" t="s">
        <v>885</v>
      </c>
      <c r="W185" s="915" t="s">
        <v>468</v>
      </c>
      <c r="X185" s="935" t="s">
        <v>479</v>
      </c>
      <c r="Y185" s="915" t="s">
        <v>469</v>
      </c>
      <c r="Z185" s="935" t="s">
        <v>480</v>
      </c>
      <c r="AA185" s="934" t="s">
        <v>51</v>
      </c>
      <c r="AB185" s="3100" t="s">
        <v>481</v>
      </c>
      <c r="AC185" s="934" t="s">
        <v>30</v>
      </c>
      <c r="AD185" s="3100" t="s">
        <v>35</v>
      </c>
      <c r="AE185" s="3101" t="s">
        <v>31</v>
      </c>
      <c r="AF185" s="922" t="s">
        <v>36</v>
      </c>
      <c r="AG185" s="944" t="n">
        <f>SUM('7층_부하량(월간_AVG)'!D25:F25)</f>
        <v>2.083290157007782</v>
      </c>
      <c r="AH185" s="1201" t="n">
        <f>SUM('7층_부하량(월간_AVG)'!N114:P114)</f>
        <v>0.0</v>
      </c>
      <c r="AI185" s="1345" t="n">
        <f>AG185+AH185</f>
        <v>2.083290157007782</v>
      </c>
      <c r="AJ185" s="3056" t="n" cm="1">
        <f t="array" ref="AJ185">INDEX('각층분기별_유효전력량(전월)'!L2:L2000,MATCH(1,("7-DaHall 1-RPP-01"='각층분기별_유효전력량(전월)'!J2:J2000)*("[branch#039] [A] kWh last month"='각층분기별_유효전력량(전월)'!K2:K2000),0))</f>
        <v>322.6</v>
      </c>
      <c r="AK185" s="3057" t="n" cm="1">
        <f t="array" ref="AK185">INDEX('각층분기별_유효전력량(전월)'!L2:L2000,MATCH(1,("7-DaHall 1-RPP-02"='각층분기별_유효전력량(전월)'!J2:J2000)*("[branch#040] [A] kWh last month"='각층분기별_유효전력량(전월)'!K2:K2000),0))</f>
        <v>0.0</v>
      </c>
      <c r="AL185" s="3065" t="n">
        <f t="shared" si="25"/>
        <v>322.6</v>
      </c>
      <c r="AM185" s="2739" t="s">
        <v>886</v>
      </c>
      <c r="AN185" s="2747" t="s">
        <v>9481</v>
      </c>
    </row>
    <row r="186" spans="1:40" ht="54" hidden="1" customHeight="1" x14ac:dyDescent="0.15">
      <c r="A186" s="3099"/>
      <c r="B186" s="3128" t="s">
        <v>887</v>
      </c>
      <c r="C186" s="3138" t="s">
        <v>888</v>
      </c>
      <c r="D186" s="3205" t="s">
        <v>889</v>
      </c>
      <c r="E186" s="972"/>
      <c r="F186" s="972" t="s">
        <v>807</v>
      </c>
      <c r="G186" s="2019" t="s">
        <v>9482</v>
      </c>
      <c r="H186" s="2020" t="s">
        <v>9483</v>
      </c>
      <c r="I186" s="2019" t="str">
        <f>"7-DaHall 1-"&amp;M186&amp;"-"&amp;L186&amp;"-"&amp;N186</f>
        <v>7-DaHall 1-B-5-35-40</v>
      </c>
      <c r="J186" s="2020" t="str">
        <f t="shared" si="44"/>
        <v>7-DaHall 1-A-5-35-41</v>
      </c>
      <c r="K186" s="2021">
        <v>48</v>
      </c>
      <c r="L186" s="2025">
        <v>35</v>
      </c>
      <c r="M186" s="934" t="s">
        <v>890</v>
      </c>
      <c r="N186" s="2022">
        <v>40</v>
      </c>
      <c r="O186" s="2023">
        <v>48</v>
      </c>
      <c r="P186" s="2026">
        <v>35</v>
      </c>
      <c r="Q186" s="935" t="s">
        <v>891</v>
      </c>
      <c r="R186" s="2024">
        <v>41</v>
      </c>
      <c r="S186" s="934" t="s">
        <v>892</v>
      </c>
      <c r="T186" s="935" t="s">
        <v>893</v>
      </c>
      <c r="U186" s="934" t="s">
        <v>894</v>
      </c>
      <c r="V186" s="935" t="s">
        <v>895</v>
      </c>
      <c r="W186" s="934" t="s">
        <v>47</v>
      </c>
      <c r="X186" s="935" t="s">
        <v>48</v>
      </c>
      <c r="Y186" s="934" t="s">
        <v>49</v>
      </c>
      <c r="Z186" s="935" t="s">
        <v>50</v>
      </c>
      <c r="AA186" s="934" t="s">
        <v>51</v>
      </c>
      <c r="AB186" s="3100" t="s">
        <v>481</v>
      </c>
      <c r="AC186" s="934" t="s">
        <v>30</v>
      </c>
      <c r="AD186" s="3100" t="s">
        <v>35</v>
      </c>
      <c r="AE186" s="3101" t="s">
        <v>31</v>
      </c>
      <c r="AF186" s="922" t="s">
        <v>36</v>
      </c>
      <c r="AG186" s="945"/>
      <c r="AH186" s="3102"/>
      <c r="AI186" s="1344"/>
      <c r="AJ186" s="3069"/>
      <c r="AK186" s="3070"/>
      <c r="AL186" s="3071" t="n">
        <f t="shared" si="25"/>
        <v>0.0</v>
      </c>
      <c r="AM186" s="2739" t="s">
        <v>886</v>
      </c>
      <c r="AN186" s="706" t="s">
        <v>896</v>
      </c>
    </row>
    <row r="187" spans="1:40" ht="41.25" thickBot="1" x14ac:dyDescent="0.2">
      <c r="A187" s="3099"/>
      <c r="B187" s="3128"/>
      <c r="C187" s="3138"/>
      <c r="D187" s="3205"/>
      <c r="E187" s="972" t="s">
        <v>27</v>
      </c>
      <c r="F187" s="972"/>
      <c r="G187" s="1921" t="s">
        <v>9484</v>
      </c>
      <c r="H187" s="1922" t="s">
        <v>9485</v>
      </c>
      <c r="I187" s="1921" t="str">
        <f t="shared" ref="I187" si="45">"7-DaHall 1-"&amp;M187&amp;"-"&amp;L187&amp;"-"&amp;N187</f>
        <v>7-DaHall 1-RPP-01-20-35</v>
      </c>
      <c r="J187" s="1922" t="str">
        <f t="shared" si="44"/>
        <v>7-DaHall 1-RPP-02-30-34</v>
      </c>
      <c r="K187" s="1980">
        <v>220</v>
      </c>
      <c r="L187" s="1955">
        <v>20</v>
      </c>
      <c r="M187" s="923" t="s">
        <v>9203</v>
      </c>
      <c r="N187" s="1956">
        <v>35</v>
      </c>
      <c r="O187" s="1926">
        <v>220</v>
      </c>
      <c r="P187" s="1927">
        <v>30</v>
      </c>
      <c r="Q187" s="971" t="s">
        <v>9204</v>
      </c>
      <c r="R187" s="1928">
        <v>34</v>
      </c>
      <c r="S187" s="923" t="s">
        <v>876</v>
      </c>
      <c r="T187" s="971" t="s">
        <v>897</v>
      </c>
      <c r="U187" s="923" t="s">
        <v>877</v>
      </c>
      <c r="V187" s="971" t="s">
        <v>898</v>
      </c>
      <c r="W187" s="915" t="s">
        <v>468</v>
      </c>
      <c r="X187" s="935" t="s">
        <v>479</v>
      </c>
      <c r="Y187" s="915" t="s">
        <v>469</v>
      </c>
      <c r="Z187" s="935" t="s">
        <v>480</v>
      </c>
      <c r="AA187" s="934" t="s">
        <v>51</v>
      </c>
      <c r="AB187" s="3100" t="s">
        <v>481</v>
      </c>
      <c r="AC187" s="934" t="s">
        <v>30</v>
      </c>
      <c r="AD187" s="3100" t="s">
        <v>35</v>
      </c>
      <c r="AE187" s="3101" t="s">
        <v>31</v>
      </c>
      <c r="AF187" s="922" t="s">
        <v>36</v>
      </c>
      <c r="AG187" s="945">
        <f>[1]SJT설비_7층_IPD!I432</f>
        <v>0</v>
      </c>
      <c r="AH187" s="3102" t="n">
        <f>SUM('7층_부하량(월간_AVG)'!N111:P111)</f>
        <v>0.0</v>
      </c>
      <c r="AI187" s="1345">
        <f>AG187+AH187</f>
        <v>0</v>
      </c>
      <c r="AJ187" s="3074" t="n" cm="1">
        <f t="array" ref="AJ187">INDEX('각층분기별_유효전력량(전월)'!L2:L2000,MATCH(1,("7-DaHall 1-RPP-01"='각층분기별_유효전력량(전월)'!J2:J2000)*("[branch#035] [A] kWh last month"='각층분기별_유효전력량(전월)'!K2:K2000),0))</f>
        <v>517.0</v>
      </c>
      <c r="AK187" s="3057" t="n" cm="1">
        <f t="array" ref="AK187">INDEX('각층분기별_유효전력량(전월)'!L2:L2000,MATCH(1,("7-DaHall 1-RPP-02"='각층분기별_유효전력량(전월)'!J2:J2000)*("[branch#034] [A] kWh last month"='각층분기별_유효전력량(전월)'!K2:K2000),0))</f>
        <v>0.0</v>
      </c>
      <c r="AL187" s="3071" t="n">
        <f t="shared" si="25"/>
        <v>517.0</v>
      </c>
      <c r="AM187" s="2322"/>
      <c r="AN187" s="2747" t="s">
        <v>9486</v>
      </c>
    </row>
    <row r="188" spans="1:40" ht="40.5" x14ac:dyDescent="0.15">
      <c r="A188" s="3099"/>
      <c r="B188" s="2705" t="s">
        <v>899</v>
      </c>
      <c r="C188" s="1184" t="s">
        <v>900</v>
      </c>
      <c r="D188" s="739" t="s">
        <v>901</v>
      </c>
      <c r="E188" s="972" t="s">
        <v>27</v>
      </c>
      <c r="F188" s="937"/>
      <c r="G188" s="1921" t="s">
        <v>9487</v>
      </c>
      <c r="H188" s="1922" t="s">
        <v>9488</v>
      </c>
      <c r="I188" s="1921" t="str">
        <f>"7-DaHall 1-"&amp;M188&amp;"-"&amp;L188&amp;"-"&amp;N188</f>
        <v>7-DaHall 1-RPP-01-30-18</v>
      </c>
      <c r="J188" s="1922" t="str">
        <f t="shared" si="44"/>
        <v>7-DaHall 1-PDU-02-30-29</v>
      </c>
      <c r="K188" s="1923">
        <v>220</v>
      </c>
      <c r="L188" s="1924">
        <v>30</v>
      </c>
      <c r="M188" s="915" t="s">
        <v>9203</v>
      </c>
      <c r="N188" s="1925">
        <v>18</v>
      </c>
      <c r="O188" s="1926">
        <v>220</v>
      </c>
      <c r="P188" s="1927">
        <v>30</v>
      </c>
      <c r="Q188" s="971" t="s">
        <v>9178</v>
      </c>
      <c r="R188" s="1928">
        <v>29</v>
      </c>
      <c r="S188" s="915" t="s">
        <v>902</v>
      </c>
      <c r="T188" s="971" t="s">
        <v>903</v>
      </c>
      <c r="U188" s="934" t="s">
        <v>904</v>
      </c>
      <c r="V188" s="915"/>
      <c r="W188" s="934" t="s">
        <v>468</v>
      </c>
      <c r="X188" s="915"/>
      <c r="Y188" s="934" t="s">
        <v>469</v>
      </c>
      <c r="Z188" s="915"/>
      <c r="AA188" s="934" t="s">
        <v>470</v>
      </c>
      <c r="AB188" s="935" t="s">
        <v>174</v>
      </c>
      <c r="AC188" s="934" t="s">
        <v>30</v>
      </c>
      <c r="AD188" s="935" t="s">
        <v>301</v>
      </c>
      <c r="AE188" s="1204" t="s">
        <v>31</v>
      </c>
      <c r="AF188" s="922" t="s">
        <v>36</v>
      </c>
      <c r="AG188" s="944" t="n">
        <f>SUM('7층_부하량(월간_AVG)'!N14:P14)</f>
        <v>1.4665239887575583</v>
      </c>
      <c r="AH188" s="1201" t="n">
        <f>SUM('7층_부하량(월간_AVG)'!D45:F45)</f>
        <v>1.8172282026872306</v>
      </c>
      <c r="AI188" s="1345" t="n">
        <f>AG188+AH188</f>
        <v>3.2837521914447887</v>
      </c>
      <c r="AJ188" s="3074" t="n" cm="1">
        <f t="array" ref="AJ188">INDEX('각층분기별_유효전력량(전월)'!L2:L2000,MATCH(1,("7-DaHall 1-RPP-01"='각층분기별_유효전력량(전월)'!J2:J2000)*("[branch#018] [A] kWh last month"='각층분기별_유효전력량(전월)'!K2:K2000),0))</f>
        <v>202.7</v>
      </c>
      <c r="AK188" s="3057" t="n" cm="1">
        <f t="array" ref="AK188">INDEX('각층분기별_유효전력량(전월)'!L2:L2000,MATCH(1,("7-DaHall 1-RPP-02"='각층분기별_유효전력량(전월)'!J2:J2000)*("[branch#029] [A] kWh last month"='각층분기별_유효전력량(전월)'!K2:K2000),0))</f>
        <v>0.0</v>
      </c>
      <c r="AL188" s="3071" t="n">
        <f t="shared" si="25"/>
        <v>202.7</v>
      </c>
      <c r="AM188" s="2739" t="s">
        <v>886</v>
      </c>
      <c r="AN188" s="2747"/>
    </row>
    <row r="189" spans="1:40" ht="40.5" x14ac:dyDescent="0.15">
      <c r="A189" s="3099"/>
      <c r="B189" s="2705" t="s">
        <v>905</v>
      </c>
      <c r="C189" s="1184" t="s">
        <v>906</v>
      </c>
      <c r="D189" s="2707" t="s">
        <v>907</v>
      </c>
      <c r="E189" s="2705" t="s">
        <v>27</v>
      </c>
      <c r="F189" s="2705"/>
      <c r="G189" s="1921"/>
      <c r="H189" s="1915" t="s">
        <v>9489</v>
      </c>
      <c r="I189" s="1921"/>
      <c r="J189" s="1915" t="str">
        <f t="shared" si="44"/>
        <v>7-DaHall 1-RPP-02-30-36</v>
      </c>
      <c r="K189" s="1923"/>
      <c r="L189" s="1924"/>
      <c r="M189" s="915"/>
      <c r="N189" s="1925"/>
      <c r="O189" s="1916">
        <v>220</v>
      </c>
      <c r="P189" s="1917">
        <v>30</v>
      </c>
      <c r="Q189" s="693" t="s">
        <v>9204</v>
      </c>
      <c r="R189" s="1918">
        <v>36</v>
      </c>
      <c r="S189" s="915"/>
      <c r="T189" s="693" t="s">
        <v>908</v>
      </c>
      <c r="U189" s="915"/>
      <c r="V189" s="2722" t="s">
        <v>909</v>
      </c>
      <c r="W189" s="915"/>
      <c r="X189" s="2722" t="s">
        <v>479</v>
      </c>
      <c r="Y189" s="915"/>
      <c r="Z189" s="2722" t="s">
        <v>480</v>
      </c>
      <c r="AA189" s="915"/>
      <c r="AB189" s="2722" t="s">
        <v>481</v>
      </c>
      <c r="AC189" s="915"/>
      <c r="AD189" s="2722" t="s">
        <v>35</v>
      </c>
      <c r="AE189" s="915"/>
      <c r="AF189" s="922" t="s">
        <v>36</v>
      </c>
      <c r="AG189" s="944"/>
      <c r="AH189" s="682" t="n">
        <f>SUM('7층_부하량(월간_AVG)'!N112:P112)</f>
        <v>6.617112174375461</v>
      </c>
      <c r="AI189" s="1327" t="n">
        <f>AG189+AH189</f>
        <v>6.617112174375461</v>
      </c>
      <c r="AJ189" s="3056"/>
      <c r="AK189" s="3057" t="n" cm="1">
        <f t="array" ref="AK189">INDEX('각층분기별_유효전력량(전월)'!L2:L2000,MATCH(1,("7-DaHall 1-RPP-02"='각층분기별_유효전력량(전월)'!J2:J2000)*("[branch#036] [A] kWh last month"='각층분기별_유효전력량(전월)'!K2:K2000),0))</f>
        <v>1095.2</v>
      </c>
      <c r="AL189" s="3065" t="n">
        <f t="shared" si="25"/>
        <v>1095.2</v>
      </c>
      <c r="AM189" s="2739" t="s">
        <v>910</v>
      </c>
      <c r="AN189" s="2747"/>
    </row>
    <row r="190" spans="1:40" ht="40.5" x14ac:dyDescent="0.15">
      <c r="A190" s="3099"/>
      <c r="B190" s="2705" t="s">
        <v>911</v>
      </c>
      <c r="C190" s="1184" t="s">
        <v>912</v>
      </c>
      <c r="D190" s="2707" t="s">
        <v>913</v>
      </c>
      <c r="E190" s="2705" t="s">
        <v>27</v>
      </c>
      <c r="F190" s="2705"/>
      <c r="G190" s="1907" t="s">
        <v>9490</v>
      </c>
      <c r="H190" s="1946" t="s">
        <v>9491</v>
      </c>
      <c r="I190" s="1907" t="str">
        <f>"7-DaHall 1-"&amp;M190&amp;"-"&amp;L190&amp;"-"&amp;N190</f>
        <v>7-DaHall 1-PDU-01-30-3</v>
      </c>
      <c r="J190" s="1946" t="str">
        <f t="shared" si="44"/>
        <v>7-DaHall 1-RPP-01-30-16</v>
      </c>
      <c r="K190" s="1909">
        <v>220</v>
      </c>
      <c r="L190" s="1910">
        <v>30</v>
      </c>
      <c r="M190" s="709" t="s">
        <v>9177</v>
      </c>
      <c r="N190" s="1911">
        <v>3</v>
      </c>
      <c r="O190" s="1947">
        <v>220</v>
      </c>
      <c r="P190" s="1910">
        <v>30</v>
      </c>
      <c r="Q190" s="709" t="s">
        <v>9203</v>
      </c>
      <c r="R190" s="1911">
        <v>16</v>
      </c>
      <c r="S190" s="709" t="s">
        <v>914</v>
      </c>
      <c r="T190" s="709" t="s">
        <v>915</v>
      </c>
      <c r="U190" s="943"/>
      <c r="V190" s="2740" t="s">
        <v>916</v>
      </c>
      <c r="W190" s="943"/>
      <c r="X190" s="2740" t="s">
        <v>468</v>
      </c>
      <c r="Y190" s="943"/>
      <c r="Z190" s="2740" t="s">
        <v>469</v>
      </c>
      <c r="AA190" s="2740" t="s">
        <v>173</v>
      </c>
      <c r="AB190" s="2740" t="s">
        <v>470</v>
      </c>
      <c r="AC190" s="2740" t="s">
        <v>111</v>
      </c>
      <c r="AD190" s="2740" t="s">
        <v>30</v>
      </c>
      <c r="AE190" s="3177" t="s">
        <v>31</v>
      </c>
      <c r="AF190" s="3178"/>
      <c r="AG190" s="687" t="n">
        <f>SUM('7층_부하량(월간_AVG)'!D64:F64)</f>
        <v>2.953976344624284</v>
      </c>
      <c r="AH190" s="942" t="n">
        <f>SUM('7층_부하량(월간_AVG)'!N13:P13)</f>
        <v>3.201366836015006</v>
      </c>
      <c r="AI190" s="1327" t="n">
        <f t="shared" ref="AI190:AI191" si="46">AG190+AH190</f>
        <v>6.15534318063929</v>
      </c>
      <c r="AJ190" s="3056" t="n" cm="1">
        <f t="array" ref="AJ190">INDEX('각층분기별_유효전력량(전월)'!L2:L2000,MATCH(1,("7-DaHall 1-PDU-01"='각층분기별_유효전력량(전월)'!J2:J2000)*("[branch#003] [A] kWh last month"='각층분기별_유효전력량(전월)'!K2:K2000),0))</f>
        <v>764.9</v>
      </c>
      <c r="AK190" s="3057" t="n" cm="1">
        <f t="array" ref="AK190">INDEX('각층분기별_유효전력량(전월)'!L2:L2000,MATCH(1,("7-DaHall 1-RPP-01"='각층분기별_유효전력량(전월)'!J2:J2000)*("[branch#016] [A] kWh last month"='각층분기별_유효전력량(전월)'!K2:K2000),0))</f>
        <v>609.3</v>
      </c>
      <c r="AL190" s="3065" t="n">
        <f t="shared" si="25"/>
        <v>1374.1999999999998</v>
      </c>
      <c r="AM190" s="2739" t="s">
        <v>910</v>
      </c>
      <c r="AN190" s="2747"/>
    </row>
    <row r="191" spans="1:40" ht="40.5" x14ac:dyDescent="0.15">
      <c r="A191" s="3099"/>
      <c r="B191" s="2705" t="s">
        <v>917</v>
      </c>
      <c r="C191" s="2705" t="s">
        <v>918</v>
      </c>
      <c r="D191" s="2707" t="s">
        <v>919</v>
      </c>
      <c r="E191" s="2705" t="s">
        <v>27</v>
      </c>
      <c r="F191" s="2705"/>
      <c r="G191" s="1907" t="s">
        <v>9492</v>
      </c>
      <c r="H191" s="1915" t="s">
        <v>9493</v>
      </c>
      <c r="I191" s="1907" t="str">
        <f>"7-DaHall 1-"&amp;M191&amp;"-"&amp;L191&amp;"-"&amp;N191</f>
        <v>7-DaHall 1-RPP-01-30-26</v>
      </c>
      <c r="J191" s="1915" t="str">
        <f t="shared" si="44"/>
        <v>7-DaHall 1-RPP-02-30-20</v>
      </c>
      <c r="K191" s="1909">
        <v>220</v>
      </c>
      <c r="L191" s="1910">
        <v>30</v>
      </c>
      <c r="M191" s="709" t="s">
        <v>9203</v>
      </c>
      <c r="N191" s="1911">
        <v>26</v>
      </c>
      <c r="O191" s="1916">
        <v>220</v>
      </c>
      <c r="P191" s="1917">
        <v>30</v>
      </c>
      <c r="Q191" s="693" t="s">
        <v>9204</v>
      </c>
      <c r="R191" s="1918">
        <v>20</v>
      </c>
      <c r="S191" s="709" t="s">
        <v>9494</v>
      </c>
      <c r="T191" s="693" t="s">
        <v>545</v>
      </c>
      <c r="U191" s="709" t="s">
        <v>924</v>
      </c>
      <c r="V191" s="2722" t="s">
        <v>923</v>
      </c>
      <c r="W191" s="2740" t="s">
        <v>468</v>
      </c>
      <c r="X191" s="2722" t="s">
        <v>479</v>
      </c>
      <c r="Y191" s="2740" t="s">
        <v>469</v>
      </c>
      <c r="Z191" s="2722" t="s">
        <v>480</v>
      </c>
      <c r="AA191" s="2740" t="s">
        <v>470</v>
      </c>
      <c r="AB191" s="2722" t="s">
        <v>481</v>
      </c>
      <c r="AC191" s="2740" t="s">
        <v>30</v>
      </c>
      <c r="AD191" s="2722" t="s">
        <v>35</v>
      </c>
      <c r="AE191" s="2740" t="s">
        <v>925</v>
      </c>
      <c r="AF191" s="2722" t="s">
        <v>36</v>
      </c>
      <c r="AG191" s="687" t="n">
        <f>SUM('7층_부하량(월간_AVG)'!N18:P18)</f>
        <v>2.1369531227674723</v>
      </c>
      <c r="AH191" s="682" t="n">
        <f>SUM('7층_부하량(월간_AVG)'!N104:P104)</f>
        <v>2.751520018292492</v>
      </c>
      <c r="AI191" s="1327" t="n">
        <f t="shared" si="46"/>
        <v>4.888473141059965</v>
      </c>
      <c r="AJ191" s="3056" t="n" cm="1">
        <f t="array" ref="AJ191">INDEX('각층분기별_유효전력량(전월)'!L2:L2000,MATCH(1,("7-DaHall 1-RPP-01"='각층분기별_유효전력량(전월)'!J2:J2000)*("[branch#026] [A] kWh last month"='각층분기별_유효전력량(전월)'!K2:K2000),0))</f>
        <v>555.5</v>
      </c>
      <c r="AK191" s="3057" t="n" cm="1">
        <f t="array" ref="AK191">INDEX('각층분기별_유효전력량(전월)'!L2:L2000,MATCH(1,("7-DaHall 1-RPP-02"='각층분기별_유효전력량(전월)'!J2:J2000)*("[branch#020] [A] kWh last month"='각층분기별_유효전력량(전월)'!K2:K2000),0))</f>
        <v>323.7</v>
      </c>
      <c r="AL191" s="3065" t="n">
        <f t="shared" si="25"/>
        <v>879.2</v>
      </c>
      <c r="AM191" s="3103" t="s">
        <v>9495</v>
      </c>
      <c r="AN191" s="694"/>
    </row>
    <row r="192" spans="1:40" ht="13.5" hidden="1" customHeight="1" thickBot="1" x14ac:dyDescent="0.2">
      <c r="A192" s="3099"/>
      <c r="B192" s="937" t="s">
        <v>920</v>
      </c>
      <c r="C192" s="937" t="s">
        <v>921</v>
      </c>
      <c r="D192" s="739" t="s">
        <v>922</v>
      </c>
      <c r="E192" s="937"/>
      <c r="F192" s="937"/>
      <c r="G192" s="2027"/>
      <c r="H192" s="1933"/>
      <c r="I192" s="2027"/>
      <c r="J192" s="1933"/>
      <c r="K192" s="2028"/>
      <c r="L192" s="1927"/>
      <c r="M192" s="971"/>
      <c r="N192" s="1928"/>
      <c r="O192" s="1934"/>
      <c r="P192" s="1924"/>
      <c r="Q192" s="915"/>
      <c r="R192" s="1925"/>
      <c r="S192" s="971"/>
      <c r="T192" s="915"/>
      <c r="U192" s="935"/>
      <c r="V192" s="915"/>
      <c r="W192" s="935"/>
      <c r="X192" s="934"/>
      <c r="Y192" s="935"/>
      <c r="Z192" s="934"/>
      <c r="AA192" s="935"/>
      <c r="AB192" s="934"/>
      <c r="AC192" s="935"/>
      <c r="AD192" s="934"/>
      <c r="AE192" s="935"/>
      <c r="AF192" s="934"/>
      <c r="AG192" s="949"/>
      <c r="AH192" s="1202"/>
      <c r="AI192" s="1345"/>
      <c r="AJ192" s="3069"/>
      <c r="AK192" s="3070"/>
      <c r="AL192" s="3071" t="n">
        <f t="shared" si="25"/>
        <v>0.0</v>
      </c>
      <c r="AM192" s="708"/>
      <c r="AN192" s="694"/>
    </row>
    <row r="193" spans="1:40" ht="39.950000000000003" hidden="1" customHeight="1" x14ac:dyDescent="0.15">
      <c r="A193" s="3099"/>
      <c r="B193" s="2705" t="s">
        <v>926</v>
      </c>
      <c r="C193" s="2738" t="s">
        <v>927</v>
      </c>
      <c r="D193" s="739" t="s">
        <v>928</v>
      </c>
      <c r="E193" s="972"/>
      <c r="F193" s="972" t="s">
        <v>27</v>
      </c>
      <c r="G193" s="2019"/>
      <c r="H193" s="2020"/>
      <c r="I193" s="2019"/>
      <c r="J193" s="2020"/>
      <c r="K193" s="2021"/>
      <c r="L193" s="934"/>
      <c r="M193" s="934"/>
      <c r="N193" s="2022"/>
      <c r="O193" s="2023"/>
      <c r="P193" s="2026"/>
      <c r="Q193" s="935"/>
      <c r="R193" s="2024"/>
      <c r="S193" s="934" t="s">
        <v>929</v>
      </c>
      <c r="T193" s="935" t="s">
        <v>930</v>
      </c>
      <c r="U193" s="2244" t="s">
        <v>309</v>
      </c>
      <c r="V193" s="922" t="s">
        <v>310</v>
      </c>
      <c r="W193" s="2244" t="s">
        <v>452</v>
      </c>
      <c r="X193" s="922" t="s">
        <v>453</v>
      </c>
      <c r="Y193" s="2244" t="s">
        <v>49</v>
      </c>
      <c r="Z193" s="922" t="s">
        <v>50</v>
      </c>
      <c r="AA193" s="2244" t="s">
        <v>51</v>
      </c>
      <c r="AB193" s="922" t="s">
        <v>52</v>
      </c>
      <c r="AC193" s="2244" t="s">
        <v>30</v>
      </c>
      <c r="AD193" s="922" t="s">
        <v>35</v>
      </c>
      <c r="AE193" s="2244" t="s">
        <v>31</v>
      </c>
      <c r="AF193" s="922" t="s">
        <v>36</v>
      </c>
      <c r="AG193" s="944"/>
      <c r="AH193" s="1201"/>
      <c r="AI193" s="1344"/>
      <c r="AJ193" s="3069"/>
      <c r="AK193" s="3070"/>
      <c r="AL193" s="3071" t="n">
        <f t="shared" si="25"/>
        <v>0.0</v>
      </c>
      <c r="AM193" s="707" t="s">
        <v>931</v>
      </c>
      <c r="AN193" s="706" t="s">
        <v>932</v>
      </c>
    </row>
    <row r="194" spans="1:40" ht="54.75" hidden="1" customHeight="1" thickBot="1" x14ac:dyDescent="0.2">
      <c r="A194" s="3104"/>
      <c r="B194" s="2741" t="s">
        <v>933</v>
      </c>
      <c r="C194" s="2741" t="s">
        <v>934</v>
      </c>
      <c r="D194" s="2743" t="s">
        <v>935</v>
      </c>
      <c r="E194" s="2741"/>
      <c r="F194" s="2741" t="s">
        <v>27</v>
      </c>
      <c r="G194" s="1895" t="s">
        <v>9496</v>
      </c>
      <c r="H194" s="1931" t="s">
        <v>9497</v>
      </c>
      <c r="I194" s="1895" t="str">
        <f>"7-DaHall 1-"&amp;M194&amp;"-"&amp;L194&amp;"-"&amp;N194</f>
        <v>7-DaHall 1-A-1-35-51</v>
      </c>
      <c r="J194" s="1931" t="str">
        <f>"7-DaHall 1-"&amp;Q194&amp;"-"&amp;P194&amp;"-"&amp;R194</f>
        <v>7-DaHall 1-B-1-35-51</v>
      </c>
      <c r="K194" s="1897">
        <v>48</v>
      </c>
      <c r="L194" s="1898">
        <v>35</v>
      </c>
      <c r="M194" s="909" t="s">
        <v>305</v>
      </c>
      <c r="N194" s="1899">
        <v>51</v>
      </c>
      <c r="O194" s="2001">
        <v>48</v>
      </c>
      <c r="P194" s="2034">
        <v>35</v>
      </c>
      <c r="Q194" s="911" t="s">
        <v>306</v>
      </c>
      <c r="R194" s="1932">
        <v>51</v>
      </c>
      <c r="S194" s="909" t="s">
        <v>936</v>
      </c>
      <c r="T194" s="911" t="s">
        <v>937</v>
      </c>
      <c r="U194" s="2244" t="s">
        <v>309</v>
      </c>
      <c r="V194" s="922" t="s">
        <v>310</v>
      </c>
      <c r="W194" s="2244" t="s">
        <v>452</v>
      </c>
      <c r="X194" s="922" t="s">
        <v>453</v>
      </c>
      <c r="Y194" s="2244" t="s">
        <v>49</v>
      </c>
      <c r="Z194" s="922" t="s">
        <v>50</v>
      </c>
      <c r="AA194" s="2244" t="s">
        <v>51</v>
      </c>
      <c r="AB194" s="922" t="s">
        <v>52</v>
      </c>
      <c r="AC194" s="2244" t="s">
        <v>30</v>
      </c>
      <c r="AD194" s="922" t="s">
        <v>35</v>
      </c>
      <c r="AE194" s="2244" t="s">
        <v>31</v>
      </c>
      <c r="AF194" s="922" t="s">
        <v>36</v>
      </c>
      <c r="AG194" s="696"/>
      <c r="AH194" s="684"/>
      <c r="AI194" s="1336"/>
      <c r="AJ194" s="3060"/>
      <c r="AK194" s="3061"/>
      <c r="AL194" s="3062" t="n">
        <f t="shared" si="25"/>
        <v>0.0</v>
      </c>
      <c r="AM194" s="704" t="s">
        <v>931</v>
      </c>
      <c r="AN194" s="685"/>
    </row>
    <row r="195" spans="1:40" ht="13.5" hidden="1" customHeight="1" x14ac:dyDescent="0.15">
      <c r="A195" s="3105" t="s">
        <v>938</v>
      </c>
      <c r="B195" s="678" t="s">
        <v>939</v>
      </c>
      <c r="C195" s="1073"/>
      <c r="D195" s="738"/>
      <c r="E195" s="1073"/>
      <c r="F195" s="1073"/>
      <c r="G195" s="1903"/>
      <c r="H195" s="2035"/>
      <c r="I195" s="1903"/>
      <c r="J195" s="2035"/>
      <c r="K195" s="1904"/>
      <c r="L195" s="1905"/>
      <c r="M195" s="914"/>
      <c r="N195" s="1906"/>
      <c r="O195" s="2036"/>
      <c r="P195" s="2037"/>
      <c r="Q195" s="1074"/>
      <c r="R195" s="2038"/>
      <c r="S195" s="914"/>
      <c r="T195" s="1074"/>
      <c r="U195" s="738"/>
      <c r="V195" s="1074"/>
      <c r="W195" s="738"/>
      <c r="X195" s="1074"/>
      <c r="Y195" s="738"/>
      <c r="Z195" s="1074"/>
      <c r="AA195" s="738"/>
      <c r="AB195" s="1074"/>
      <c r="AC195" s="738"/>
      <c r="AD195" s="1074"/>
      <c r="AE195" s="738"/>
      <c r="AF195" s="1074"/>
      <c r="AG195" s="976"/>
      <c r="AH195" s="1092"/>
      <c r="AI195" s="1337"/>
      <c r="AJ195" s="3069"/>
      <c r="AK195" s="3070"/>
      <c r="AL195" s="3071" t="n">
        <f t="shared" si="25"/>
        <v>0.0</v>
      </c>
      <c r="AM195" s="705"/>
      <c r="AN195" s="680"/>
    </row>
    <row r="196" spans="1:40" ht="48" customHeight="1" x14ac:dyDescent="0.15">
      <c r="A196" s="3099"/>
      <c r="B196" s="2705" t="s">
        <v>940</v>
      </c>
      <c r="C196" s="2705" t="s">
        <v>941</v>
      </c>
      <c r="D196" s="739" t="s">
        <v>942</v>
      </c>
      <c r="E196" s="739" t="s">
        <v>27</v>
      </c>
      <c r="F196" s="937"/>
      <c r="G196" s="2027" t="s">
        <v>9498</v>
      </c>
      <c r="H196" s="1933" t="s">
        <v>9499</v>
      </c>
      <c r="I196" s="1921" t="str">
        <f>"7-DaHall 1-"&amp;Q196&amp;"-"&amp;P196&amp;"-"&amp;R196</f>
        <v>7-DaHall 1-RPP-01--36</v>
      </c>
      <c r="J196" s="1922" t="str">
        <f>"7-DaHall 1-"&amp;M196&amp;"-"&amp;L196&amp;"-"&amp;N196</f>
        <v>7-DaHall 1-RPP-02-30-30</v>
      </c>
      <c r="K196" s="2028">
        <v>220</v>
      </c>
      <c r="L196" s="1927">
        <v>30</v>
      </c>
      <c r="M196" s="971" t="s">
        <v>9204</v>
      </c>
      <c r="N196" s="1928">
        <v>30</v>
      </c>
      <c r="O196" s="1934"/>
      <c r="P196" s="1924"/>
      <c r="Q196" s="915" t="s">
        <v>9203</v>
      </c>
      <c r="R196" s="1925">
        <v>36</v>
      </c>
      <c r="S196" s="971" t="s">
        <v>943</v>
      </c>
      <c r="T196" s="915" t="s">
        <v>944</v>
      </c>
      <c r="U196" s="935" t="s">
        <v>945</v>
      </c>
      <c r="V196" s="934" t="s">
        <v>946</v>
      </c>
      <c r="W196" s="922" t="s">
        <v>479</v>
      </c>
      <c r="X196" s="2244" t="s">
        <v>468</v>
      </c>
      <c r="Y196" s="922" t="s">
        <v>480</v>
      </c>
      <c r="Z196" s="2244" t="s">
        <v>469</v>
      </c>
      <c r="AA196" s="922" t="s">
        <v>481</v>
      </c>
      <c r="AB196" s="2244" t="s">
        <v>470</v>
      </c>
      <c r="AC196" s="922" t="s">
        <v>35</v>
      </c>
      <c r="AD196" s="2244" t="s">
        <v>30</v>
      </c>
      <c r="AE196" s="922" t="s">
        <v>36</v>
      </c>
      <c r="AF196" s="2244" t="s">
        <v>31</v>
      </c>
      <c r="AG196" s="1202" t="n">
        <f>SUM('7층_부하량(월간_AVG)'!N23:P23)</f>
        <v>3.4251792844173434</v>
      </c>
      <c r="AH196" s="949" t="n">
        <f>SUM('7층_부하량(월간_AVG)'!N109:P109)</f>
        <v>1.8933451515539381</v>
      </c>
      <c r="AI196" s="1345" t="n">
        <f>AH196+AG196</f>
        <v>5.318524435971281</v>
      </c>
      <c r="AJ196" s="3074" t="n" cm="1">
        <f t="array" ref="AJ196">INDEX('각층분기별_유효전력량(전월)'!L2:L2000,MATCH(1,("7-DaHall 1-RPP-01"='각층분기별_유효전력량(전월)'!J2:J2000)*("[branch#036] [A] kWh last month"='각층분기별_유효전력량(전월)'!K2:K2000),0))</f>
        <v>529.0</v>
      </c>
      <c r="AK196" s="3057" t="n" cm="1">
        <f t="array" ref="AK196">INDEX('각층분기별_유효전력량(전월)'!L2:L2000,MATCH(1,("7-DaHall 1-RPP-02"='각층분기별_유효전력량(전월)'!J2:J2000)*("[branch#030] [A] kWh last month"='각층분기별_유효전력량(전월)'!K2:K2000),0))</f>
        <v>279.3</v>
      </c>
      <c r="AL196" s="3071" t="n">
        <f t="shared" si="25"/>
        <v>808.3</v>
      </c>
      <c r="AM196" s="2739" t="s">
        <v>947</v>
      </c>
      <c r="AN196" s="2747"/>
    </row>
    <row r="197" spans="1:40" ht="27" customHeight="1" x14ac:dyDescent="0.15">
      <c r="A197" s="3099"/>
      <c r="B197" s="2705" t="s">
        <v>948</v>
      </c>
      <c r="C197" s="1184" t="s">
        <v>949</v>
      </c>
      <c r="D197" s="2707" t="s">
        <v>950</v>
      </c>
      <c r="E197" s="2707" t="s">
        <v>27</v>
      </c>
      <c r="F197" s="2705"/>
      <c r="G197" s="1948" t="s">
        <v>9500</v>
      </c>
      <c r="H197" s="1946" t="s">
        <v>9501</v>
      </c>
      <c r="I197" s="1907" t="str">
        <f>"7-DaHall 1-"&amp;Q197&amp;"-"&amp;P197&amp;"-"&amp;R197</f>
        <v>7-DaHall 1-RPP-01-30-14</v>
      </c>
      <c r="J197" s="1915" t="str">
        <f>"7-DaHall 1-"&amp;M197&amp;"-"&amp;L197&amp;"-"&amp;N197</f>
        <v>7-DaHall 1-RPP-02-20-27</v>
      </c>
      <c r="K197" s="1949">
        <v>220</v>
      </c>
      <c r="L197" s="1917">
        <v>20</v>
      </c>
      <c r="M197" s="693" t="s">
        <v>9204</v>
      </c>
      <c r="N197" s="1918">
        <v>27</v>
      </c>
      <c r="O197" s="1947">
        <v>220</v>
      </c>
      <c r="P197" s="1910">
        <v>30</v>
      </c>
      <c r="Q197" s="709" t="s">
        <v>9203</v>
      </c>
      <c r="R197" s="1911">
        <v>14</v>
      </c>
      <c r="S197" s="693" t="s">
        <v>951</v>
      </c>
      <c r="T197" s="709" t="s">
        <v>952</v>
      </c>
      <c r="U197" s="2722" t="s">
        <v>953</v>
      </c>
      <c r="V197" s="2740" t="s">
        <v>954</v>
      </c>
      <c r="W197" s="922" t="s">
        <v>479</v>
      </c>
      <c r="X197" s="2244" t="s">
        <v>468</v>
      </c>
      <c r="Y197" s="922" t="s">
        <v>480</v>
      </c>
      <c r="Z197" s="2244" t="s">
        <v>469</v>
      </c>
      <c r="AA197" s="922" t="s">
        <v>481</v>
      </c>
      <c r="AB197" s="2244" t="s">
        <v>470</v>
      </c>
      <c r="AC197" s="922" t="s">
        <v>35</v>
      </c>
      <c r="AD197" s="2244" t="s">
        <v>30</v>
      </c>
      <c r="AE197" s="922" t="s">
        <v>36</v>
      </c>
      <c r="AF197" s="2244" t="s">
        <v>31</v>
      </c>
      <c r="AG197" s="942" t="n">
        <f>SUM('7층_부하량(월간_AVG)'!N12:P12)</f>
        <v>5.845521273869462</v>
      </c>
      <c r="AH197" s="920" t="n">
        <f>SUM('7층_부하량(월간_AVG)'!D108:F108)</f>
        <v>7.338864031761542</v>
      </c>
      <c r="AI197" s="1327" t="n">
        <f>AH197+AG197</f>
        <v>13.184385305631004</v>
      </c>
      <c r="AJ197" s="3056" t="n" cm="1">
        <f t="array" ref="AJ197">INDEX('각층분기별_유효전력량(전월)'!L2:L2000,MATCH(1,("7-DaHall 1-RPP-01"='각층분기별_유효전력량(전월)'!J2:J2000)*("[branch#014] [A] kWh last month"='각층분기별_유효전력량(전월)'!K2:K2000),0))</f>
        <v>996.0</v>
      </c>
      <c r="AK197" s="3057" t="n" cm="1">
        <f t="array" ref="AK197">INDEX('각층분기별_유효전력량(전월)'!L2:L2000,MATCH(1,("7-DaHall 1-RPP-02"='각층분기별_유효전력량(전월)'!J2:J2000)*("[branch#027] [A] kWh last month"='각층분기별_유효전력량(전월)'!K2:K2000),0))</f>
        <v>2203.1</v>
      </c>
      <c r="AL197" s="3065" t="n">
        <f t="shared" si="25"/>
        <v>3199.1</v>
      </c>
      <c r="AM197" s="2739" t="s">
        <v>955</v>
      </c>
      <c r="AN197" s="2747"/>
    </row>
    <row r="198" spans="1:40" ht="32.1" customHeight="1" x14ac:dyDescent="0.15">
      <c r="A198" s="3099"/>
      <c r="B198" s="2705" t="s">
        <v>956</v>
      </c>
      <c r="C198" s="2705" t="s">
        <v>957</v>
      </c>
      <c r="D198" s="739" t="s">
        <v>958</v>
      </c>
      <c r="E198" s="739" t="s">
        <v>27</v>
      </c>
      <c r="F198" s="937"/>
      <c r="G198" s="1921"/>
      <c r="H198" s="1922" t="s">
        <v>9502</v>
      </c>
      <c r="I198" s="1921"/>
      <c r="J198" s="1922" t="str">
        <f>"7-DaHall 1-"&amp;Q198&amp;"-"&amp;P198&amp;"-"&amp;R198</f>
        <v>7-DaHall 1-RPP-02-20-25</v>
      </c>
      <c r="K198" s="1923"/>
      <c r="L198" s="1924"/>
      <c r="M198" s="915"/>
      <c r="N198" s="1925"/>
      <c r="O198" s="1926">
        <v>220</v>
      </c>
      <c r="P198" s="1927">
        <v>20</v>
      </c>
      <c r="Q198" s="971" t="s">
        <v>9204</v>
      </c>
      <c r="R198" s="1928">
        <v>25</v>
      </c>
      <c r="S198" s="915"/>
      <c r="T198" s="971" t="s">
        <v>959</v>
      </c>
      <c r="U198" s="915"/>
      <c r="V198" s="935" t="s">
        <v>960</v>
      </c>
      <c r="W198" s="915"/>
      <c r="X198" s="922" t="s">
        <v>479</v>
      </c>
      <c r="Y198" s="915"/>
      <c r="Z198" s="922" t="s">
        <v>480</v>
      </c>
      <c r="AA198" s="915"/>
      <c r="AB198" s="922" t="s">
        <v>481</v>
      </c>
      <c r="AC198" s="915"/>
      <c r="AD198" s="922" t="s">
        <v>35</v>
      </c>
      <c r="AE198" s="915"/>
      <c r="AF198" s="922" t="s">
        <v>36</v>
      </c>
      <c r="AG198" s="944"/>
      <c r="AH198" s="1201" t="n">
        <f>SUM('7층_부하량(월간_AVG)'!D107:F107)</f>
        <v>0.6262461791832815</v>
      </c>
      <c r="AI198" s="1345" t="n">
        <f t="shared" ref="AI198:AI203" si="47">AG198+AH198</f>
        <v>0.6262461791832815</v>
      </c>
      <c r="AJ198" s="3074"/>
      <c r="AK198" s="3057" t="n" cm="1">
        <f t="array" ref="AK198">INDEX('각층분기별_유효전력량(전월)'!L2:L2000,MATCH(1,("7-DaHall 1-RPP-02"='각층분기별_유효전력량(전월)'!J2:J2000)*("[branch#025] [A] kWh last month"='각층분기별_유효전력량(전월)'!K2:K2000),0))</f>
        <v>76.0</v>
      </c>
      <c r="AL198" s="3071" t="n">
        <f t="shared" ref="AL198:AL261" si="48">SUBTOTAL(9,AJ198:AK198)</f>
        <v>76.0</v>
      </c>
      <c r="AM198" s="2739" t="s">
        <v>886</v>
      </c>
      <c r="AN198" s="2747"/>
    </row>
    <row r="199" spans="1:40" ht="40.5" x14ac:dyDescent="0.15">
      <c r="A199" s="3099"/>
      <c r="B199" s="2705" t="s">
        <v>961</v>
      </c>
      <c r="C199" s="2705" t="s">
        <v>962</v>
      </c>
      <c r="D199" s="739" t="s">
        <v>963</v>
      </c>
      <c r="E199" s="739" t="s">
        <v>27</v>
      </c>
      <c r="F199" s="937"/>
      <c r="G199" s="1921"/>
      <c r="H199" s="1922" t="s">
        <v>9503</v>
      </c>
      <c r="I199" s="1921"/>
      <c r="J199" s="1922" t="str">
        <f>"7-DaHall 1-"&amp;Q199&amp;"-"&amp;P199&amp;"-"&amp;R199</f>
        <v>7-DaHall 1-RPP-02-20-23</v>
      </c>
      <c r="K199" s="1923"/>
      <c r="L199" s="1924"/>
      <c r="M199" s="915"/>
      <c r="N199" s="1925"/>
      <c r="O199" s="1926">
        <v>220</v>
      </c>
      <c r="P199" s="1927">
        <v>20</v>
      </c>
      <c r="Q199" s="971" t="s">
        <v>9204</v>
      </c>
      <c r="R199" s="1928">
        <v>23</v>
      </c>
      <c r="S199" s="915"/>
      <c r="T199" s="971" t="s">
        <v>964</v>
      </c>
      <c r="U199" s="915"/>
      <c r="V199" s="935" t="s">
        <v>965</v>
      </c>
      <c r="W199" s="915"/>
      <c r="X199" s="922" t="s">
        <v>479</v>
      </c>
      <c r="Y199" s="915"/>
      <c r="Z199" s="922" t="s">
        <v>480</v>
      </c>
      <c r="AA199" s="915"/>
      <c r="AB199" s="922" t="s">
        <v>481</v>
      </c>
      <c r="AC199" s="915"/>
      <c r="AD199" s="922" t="s">
        <v>35</v>
      </c>
      <c r="AE199" s="915"/>
      <c r="AF199" s="922" t="s">
        <v>36</v>
      </c>
      <c r="AG199" s="944"/>
      <c r="AH199" s="1201" t="n">
        <f>SUM('7층_부하량(월간_AVG)'!D106:F106)</f>
        <v>0.0</v>
      </c>
      <c r="AI199" s="1345" t="n">
        <f t="shared" si="47"/>
        <v>0.0</v>
      </c>
      <c r="AJ199" s="3074"/>
      <c r="AK199" s="3057" t="n" cm="1">
        <f t="array" ref="AK199">INDEX('각층분기별_유효전력량(전월)'!L2:L2000,MATCH(1,("7-DaHall 1-RPP-02"='각층분기별_유효전력량(전월)'!J2:J2000)*("[branch#023] [A] kWh last month"='각층분기별_유효전력량(전월)'!K2:K2000),0))</f>
        <v>0.0</v>
      </c>
      <c r="AL199" s="3071" t="n">
        <f t="shared" si="48"/>
        <v>0.0</v>
      </c>
      <c r="AM199" s="2739" t="s">
        <v>886</v>
      </c>
      <c r="AN199" s="2747"/>
    </row>
    <row r="200" spans="1:40" ht="27" customHeight="1" x14ac:dyDescent="0.15">
      <c r="A200" s="3099"/>
      <c r="B200" s="2705" t="s">
        <v>966</v>
      </c>
      <c r="C200" s="2705" t="s">
        <v>967</v>
      </c>
      <c r="D200" s="2707" t="s">
        <v>968</v>
      </c>
      <c r="E200" s="2707" t="s">
        <v>27</v>
      </c>
      <c r="F200" s="2705"/>
      <c r="G200" s="1921"/>
      <c r="H200" s="1915" t="s">
        <v>9504</v>
      </c>
      <c r="I200" s="1921"/>
      <c r="J200" s="1915" t="str">
        <f>"7-DaHall 1-"&amp;Q200&amp;"-"&amp;P200&amp;"-"&amp;R200</f>
        <v>7-DaHall 1-RPP-02-20-21</v>
      </c>
      <c r="K200" s="1923"/>
      <c r="L200" s="1924"/>
      <c r="M200" s="915"/>
      <c r="N200" s="1925"/>
      <c r="O200" s="1916">
        <v>220</v>
      </c>
      <c r="P200" s="1917">
        <v>20</v>
      </c>
      <c r="Q200" s="693" t="s">
        <v>9204</v>
      </c>
      <c r="R200" s="1918">
        <v>21</v>
      </c>
      <c r="S200" s="915"/>
      <c r="T200" s="693" t="s">
        <v>969</v>
      </c>
      <c r="U200" s="915"/>
      <c r="V200" s="2722" t="s">
        <v>970</v>
      </c>
      <c r="W200" s="915"/>
      <c r="X200" s="922" t="s">
        <v>479</v>
      </c>
      <c r="Y200" s="915"/>
      <c r="Z200" s="922" t="s">
        <v>480</v>
      </c>
      <c r="AA200" s="915"/>
      <c r="AB200" s="922" t="s">
        <v>481</v>
      </c>
      <c r="AC200" s="915"/>
      <c r="AD200" s="922" t="s">
        <v>35</v>
      </c>
      <c r="AE200" s="915"/>
      <c r="AF200" s="922" t="s">
        <v>36</v>
      </c>
      <c r="AG200" s="944"/>
      <c r="AH200" s="682" t="n">
        <f>SUM('7층_부하량(월간_AVG)'!D105:F105)</f>
        <v>1.5627876124230238</v>
      </c>
      <c r="AI200" s="1327" t="n">
        <f t="shared" si="47"/>
        <v>1.5627876124230238</v>
      </c>
      <c r="AJ200" s="3056"/>
      <c r="AK200" s="3057" t="n" cm="1">
        <f t="array" ref="AK200">INDEX('각층분기별_유효전력량(전월)'!L2:L2000,MATCH(1,("7-DaHall 1-RPP-02"='각층분기별_유효전력량(전월)'!J2:J2000)*("[branch#021] [A] kWh last month"='각층분기별_유효전력량(전월)'!K2:K2000),0))</f>
        <v>288.3</v>
      </c>
      <c r="AL200" s="3065" t="n">
        <f t="shared" si="48"/>
        <v>288.3</v>
      </c>
      <c r="AM200" s="2739" t="s">
        <v>971</v>
      </c>
      <c r="AN200" s="2747"/>
    </row>
    <row r="201" spans="1:40" ht="40.5" customHeight="1" x14ac:dyDescent="0.15">
      <c r="A201" s="3099"/>
      <c r="B201" s="2705" t="s">
        <v>972</v>
      </c>
      <c r="C201" s="1184" t="s">
        <v>973</v>
      </c>
      <c r="D201" s="2707" t="s">
        <v>974</v>
      </c>
      <c r="E201" s="2707" t="s">
        <v>27</v>
      </c>
      <c r="F201" s="2705"/>
      <c r="G201" s="1907" t="s">
        <v>9505</v>
      </c>
      <c r="H201" s="2039"/>
      <c r="I201" s="1907" t="str">
        <f>"7-DaHall 1-"&amp;M201&amp;"-"&amp;L201&amp;"-"&amp;N201</f>
        <v>7-DaHall 1-RPP-01-30-4</v>
      </c>
      <c r="J201" s="2039"/>
      <c r="K201" s="1909">
        <v>220</v>
      </c>
      <c r="L201" s="1910">
        <v>30</v>
      </c>
      <c r="M201" s="709" t="s">
        <v>9203</v>
      </c>
      <c r="N201" s="1911">
        <v>4</v>
      </c>
      <c r="O201" s="2040"/>
      <c r="P201" s="2041"/>
      <c r="Q201" s="916"/>
      <c r="R201" s="2042"/>
      <c r="S201" s="709" t="s">
        <v>975</v>
      </c>
      <c r="T201" s="916"/>
      <c r="U201" s="2740" t="s">
        <v>976</v>
      </c>
      <c r="V201" s="916"/>
      <c r="W201" s="2244" t="s">
        <v>468</v>
      </c>
      <c r="X201" s="916"/>
      <c r="Y201" s="2244" t="s">
        <v>469</v>
      </c>
      <c r="Z201" s="916"/>
      <c r="AA201" s="2244" t="s">
        <v>470</v>
      </c>
      <c r="AB201" s="916"/>
      <c r="AC201" s="2244" t="s">
        <v>30</v>
      </c>
      <c r="AD201" s="916"/>
      <c r="AE201" s="2244" t="s">
        <v>31</v>
      </c>
      <c r="AF201" s="916"/>
      <c r="AG201" s="687" t="n">
        <f>SUM('7층_부하량(월간_AVG)'!N7:P7)</f>
        <v>0.0</v>
      </c>
      <c r="AH201" s="941"/>
      <c r="AI201" s="1327" t="n">
        <f t="shared" si="47"/>
        <v>0.0</v>
      </c>
      <c r="AJ201" s="3056" t="n" cm="1">
        <f t="array" ref="AJ201">INDEX('각층분기별_유효전력량(전월)'!L2:L2000,MATCH(1,("7-DaHall 1-RPP-01"='각층분기별_유효전력량(전월)'!J2:J2000)*("[branch#004] [A] kWh last month"='각층분기별_유효전력량(전월)'!K2:K2000),0))</f>
        <v>0.0</v>
      </c>
      <c r="AK201" s="3057"/>
      <c r="AL201" s="3065" t="n">
        <f t="shared" si="48"/>
        <v>0.0</v>
      </c>
      <c r="AM201" s="2739" t="s">
        <v>977</v>
      </c>
      <c r="AN201" s="2747"/>
    </row>
    <row r="202" spans="1:40" ht="27" customHeight="1" x14ac:dyDescent="0.15">
      <c r="A202" s="3099"/>
      <c r="B202" s="2705" t="s">
        <v>978</v>
      </c>
      <c r="C202" s="2705" t="s">
        <v>979</v>
      </c>
      <c r="D202" s="2707" t="s">
        <v>980</v>
      </c>
      <c r="E202" s="2707" t="s">
        <v>27</v>
      </c>
      <c r="F202" s="2705"/>
      <c r="G202" s="1907" t="s">
        <v>9506</v>
      </c>
      <c r="H202" s="2039"/>
      <c r="I202" s="1907" t="str">
        <f>"7-DaHall 1-"&amp;M202&amp;"-"&amp;L202&amp;"-"&amp;N202</f>
        <v>7-DaHall 1-RPP-01-30-6</v>
      </c>
      <c r="J202" s="2039"/>
      <c r="K202" s="1909">
        <v>220</v>
      </c>
      <c r="L202" s="1910">
        <v>30</v>
      </c>
      <c r="M202" s="709" t="s">
        <v>9203</v>
      </c>
      <c r="N202" s="1911">
        <v>6</v>
      </c>
      <c r="O202" s="2040"/>
      <c r="P202" s="2041"/>
      <c r="Q202" s="916"/>
      <c r="R202" s="2042"/>
      <c r="S202" s="709" t="s">
        <v>981</v>
      </c>
      <c r="T202" s="916"/>
      <c r="U202" s="2740" t="s">
        <v>982</v>
      </c>
      <c r="V202" s="916"/>
      <c r="W202" s="3106"/>
      <c r="X202" s="916"/>
      <c r="Y202" s="3106"/>
      <c r="Z202" s="916"/>
      <c r="AA202" s="3106"/>
      <c r="AB202" s="916"/>
      <c r="AC202" s="3106"/>
      <c r="AD202" s="916"/>
      <c r="AE202" s="3106"/>
      <c r="AF202" s="916"/>
      <c r="AG202" s="687" t="n">
        <f>SUM('7층_부하량(월간_AVG)'!N8:P8)</f>
        <v>0.0</v>
      </c>
      <c r="AH202" s="941"/>
      <c r="AI202" s="1327" t="n">
        <f t="shared" si="47"/>
        <v>0.0</v>
      </c>
      <c r="AJ202" s="3056" t="n" cm="1">
        <f t="array" ref="AJ202">INDEX('각층분기별_유효전력량(전월)'!L2:L2000,MATCH(1,("7-DaHall 1-RPP-01"='각층분기별_유효전력량(전월)'!J2:J2000)*("[branch#006] [A] kWh last month"='각층분기별_유효전력량(전월)'!K2:K2000),0))</f>
        <v>0.0</v>
      </c>
      <c r="AK202" s="3057"/>
      <c r="AL202" s="3065" t="n">
        <f t="shared" si="48"/>
        <v>0.0</v>
      </c>
      <c r="AM202" s="2739" t="s">
        <v>977</v>
      </c>
      <c r="AN202" s="2747"/>
    </row>
    <row r="203" spans="1:40" ht="40.5" x14ac:dyDescent="0.15">
      <c r="A203" s="3099"/>
      <c r="B203" s="2705" t="s">
        <v>983</v>
      </c>
      <c r="C203" s="2705" t="s">
        <v>984</v>
      </c>
      <c r="D203" s="739" t="s">
        <v>985</v>
      </c>
      <c r="E203" s="739" t="s">
        <v>27</v>
      </c>
      <c r="F203" s="937"/>
      <c r="G203" s="1921"/>
      <c r="H203" s="1922" t="s">
        <v>9507</v>
      </c>
      <c r="I203" s="1921"/>
      <c r="J203" s="1922" t="str">
        <f>"7-DaHall 1-"&amp;Q203&amp;"-"&amp;P203&amp;"-"&amp;R203</f>
        <v>7-DaHall 1-RPP-02-20-19</v>
      </c>
      <c r="K203" s="1923"/>
      <c r="L203" s="1924"/>
      <c r="M203" s="915"/>
      <c r="N203" s="1925"/>
      <c r="O203" s="1926">
        <v>220</v>
      </c>
      <c r="P203" s="1927">
        <v>20</v>
      </c>
      <c r="Q203" s="971" t="s">
        <v>9204</v>
      </c>
      <c r="R203" s="1928">
        <v>19</v>
      </c>
      <c r="S203" s="915"/>
      <c r="T203" s="971" t="s">
        <v>986</v>
      </c>
      <c r="U203" s="915"/>
      <c r="V203" s="935" t="s">
        <v>987</v>
      </c>
      <c r="W203" s="915"/>
      <c r="X203" s="935" t="s">
        <v>479</v>
      </c>
      <c r="Y203" s="915"/>
      <c r="Z203" s="935" t="s">
        <v>480</v>
      </c>
      <c r="AA203" s="915"/>
      <c r="AB203" s="935" t="s">
        <v>481</v>
      </c>
      <c r="AC203" s="915"/>
      <c r="AD203" s="935" t="s">
        <v>35</v>
      </c>
      <c r="AE203" s="915"/>
      <c r="AF203" s="935" t="s">
        <v>36</v>
      </c>
      <c r="AG203" s="944"/>
      <c r="AH203" s="1201" t="n">
        <f>SUM('7층_부하량(월간_AVG)'!D104:F104)</f>
        <v>5.570125684455628</v>
      </c>
      <c r="AI203" s="1345" t="n">
        <f t="shared" si="47"/>
        <v>5.570125684455628</v>
      </c>
      <c r="AJ203" s="3074"/>
      <c r="AK203" s="3057" t="n" cm="1">
        <f t="array" ref="AK203">INDEX('각층분기별_유효전력량(전월)'!L2:L2000,MATCH(1,("7-DaHall 1-RPP-02"='각층분기별_유효전력량(전월)'!J2:J2000)*("[branch#019] [A] kWh last month"='각층분기별_유효전력량(전월)'!K2:K2000),0))</f>
        <v>685.4</v>
      </c>
      <c r="AL203" s="3071" t="n">
        <f t="shared" si="48"/>
        <v>685.4</v>
      </c>
      <c r="AM203" s="2739" t="s">
        <v>886</v>
      </c>
      <c r="AN203" s="2747"/>
    </row>
    <row r="204" spans="1:40" ht="14.25" hidden="1" customHeight="1" thickBot="1" x14ac:dyDescent="0.2">
      <c r="A204" s="3104"/>
      <c r="B204" s="2741" t="s">
        <v>988</v>
      </c>
      <c r="C204" s="2741" t="s">
        <v>989</v>
      </c>
      <c r="D204" s="927" t="s">
        <v>990</v>
      </c>
      <c r="E204" s="936" t="s">
        <v>565</v>
      </c>
      <c r="F204" s="936" t="s">
        <v>565</v>
      </c>
      <c r="G204" s="2043"/>
      <c r="H204" s="2044"/>
      <c r="I204" s="2043"/>
      <c r="J204" s="2044"/>
      <c r="K204" s="2045"/>
      <c r="L204" s="2046"/>
      <c r="M204" s="925"/>
      <c r="N204" s="2047"/>
      <c r="O204" s="2048"/>
      <c r="P204" s="2046"/>
      <c r="Q204" s="925"/>
      <c r="R204" s="2047"/>
      <c r="S204" s="925"/>
      <c r="T204" s="925"/>
      <c r="U204" s="925"/>
      <c r="V204" s="925"/>
      <c r="W204" s="925"/>
      <c r="X204" s="925"/>
      <c r="Y204" s="925"/>
      <c r="Z204" s="925"/>
      <c r="AA204" s="925"/>
      <c r="AB204" s="925"/>
      <c r="AC204" s="925"/>
      <c r="AD204" s="925"/>
      <c r="AE204" s="925"/>
      <c r="AF204" s="925"/>
      <c r="AG204" s="957"/>
      <c r="AH204" s="1088"/>
      <c r="AI204" s="1348"/>
      <c r="AJ204" s="3069"/>
      <c r="AK204" s="3070"/>
      <c r="AL204" s="3071" t="n">
        <f t="shared" si="48"/>
        <v>0.0</v>
      </c>
      <c r="AM204" s="704" t="s">
        <v>991</v>
      </c>
      <c r="AN204" s="685"/>
    </row>
    <row r="205" spans="1:40" ht="13.5" hidden="1" customHeight="1" x14ac:dyDescent="0.15">
      <c r="A205" s="3105" t="s">
        <v>992</v>
      </c>
      <c r="B205" s="2711" t="s">
        <v>993</v>
      </c>
      <c r="C205" s="1086"/>
      <c r="D205" s="1080"/>
      <c r="E205" s="1080"/>
      <c r="F205" s="1086"/>
      <c r="G205" s="2049"/>
      <c r="H205" s="2050"/>
      <c r="I205" s="2049"/>
      <c r="J205" s="2050"/>
      <c r="K205" s="2051"/>
      <c r="L205" s="2032"/>
      <c r="M205" s="1087"/>
      <c r="N205" s="2033"/>
      <c r="O205" s="2052"/>
      <c r="P205" s="2030"/>
      <c r="Q205" s="975"/>
      <c r="R205" s="1963"/>
      <c r="S205" s="1087"/>
      <c r="T205" s="975"/>
      <c r="U205" s="1087"/>
      <c r="V205" s="975"/>
      <c r="W205" s="1087"/>
      <c r="X205" s="975"/>
      <c r="Y205" s="1087"/>
      <c r="Z205" s="975"/>
      <c r="AA205" s="1087"/>
      <c r="AB205" s="975"/>
      <c r="AC205" s="1087"/>
      <c r="AD205" s="975"/>
      <c r="AE205" s="1087"/>
      <c r="AF205" s="975"/>
      <c r="AG205" s="1093"/>
      <c r="AH205" s="1094"/>
      <c r="AI205" s="1347"/>
      <c r="AJ205" s="3069"/>
      <c r="AK205" s="3070"/>
      <c r="AL205" s="3071" t="n">
        <f t="shared" si="48"/>
        <v>0.0</v>
      </c>
      <c r="AM205" s="1079"/>
      <c r="AN205" s="2731"/>
    </row>
    <row r="206" spans="1:40" ht="40.5" customHeight="1" x14ac:dyDescent="0.15">
      <c r="A206" s="3099"/>
      <c r="B206" s="3128" t="s">
        <v>994</v>
      </c>
      <c r="C206" s="3130" t="s">
        <v>995</v>
      </c>
      <c r="D206" s="3132" t="s">
        <v>996</v>
      </c>
      <c r="E206" s="2705" t="s">
        <v>27</v>
      </c>
      <c r="F206" s="2705"/>
      <c r="G206" s="2053"/>
      <c r="H206" s="1946" t="s">
        <v>9508</v>
      </c>
      <c r="I206" s="1907" t="str">
        <f>"7-DaHall 1-"&amp;Q206&amp;"-"&amp;P206&amp;"-"&amp;R206</f>
        <v>7-DaHall 1-RPP-01-20-11</v>
      </c>
      <c r="J206" s="2062"/>
      <c r="K206" s="2054"/>
      <c r="L206" s="2055"/>
      <c r="M206" s="917"/>
      <c r="N206" s="2056"/>
      <c r="O206" s="1947">
        <v>220</v>
      </c>
      <c r="P206" s="1910">
        <v>20</v>
      </c>
      <c r="Q206" s="709" t="s">
        <v>9203</v>
      </c>
      <c r="R206" s="1911">
        <v>11</v>
      </c>
      <c r="S206" s="917"/>
      <c r="T206" s="709" t="s">
        <v>997</v>
      </c>
      <c r="U206" s="739"/>
      <c r="V206" s="2740" t="s">
        <v>998</v>
      </c>
      <c r="W206" s="739"/>
      <c r="X206" s="2244" t="s">
        <v>468</v>
      </c>
      <c r="Y206" s="739"/>
      <c r="Z206" s="2244" t="s">
        <v>469</v>
      </c>
      <c r="AA206" s="739"/>
      <c r="AB206" s="2244" t="s">
        <v>470</v>
      </c>
      <c r="AC206" s="739"/>
      <c r="AD206" s="2244" t="s">
        <v>30</v>
      </c>
      <c r="AE206" s="915"/>
      <c r="AF206" s="2244" t="s">
        <v>31</v>
      </c>
      <c r="AG206" s="1077" t="n">
        <f>SUM('7층_부하량(월간_AVG)'!D11:F11)</f>
        <v>0.0</v>
      </c>
      <c r="AH206" s="949"/>
      <c r="AI206" s="3134" t="n">
        <f>SUM(AH206:AH207)</f>
        <v>3.269571551876825</v>
      </c>
      <c r="AJ206" s="3056" t="n" cm="1">
        <f t="array" ref="AJ206">INDEX('각층분기별_유효전력량(전월)'!L2:L2000,MATCH(1,("7-DaHall 1-RPP-01"='각층분기별_유효전력량(전월)'!J2:J2000)*("[branch#011] [A] kWh last month"='각층분기별_유효전력량(전월)'!K2:K2000),0))</f>
        <v>0.0</v>
      </c>
      <c r="AK206" s="3057"/>
      <c r="AL206" s="3065" t="n">
        <f t="shared" si="48"/>
        <v>0.0</v>
      </c>
      <c r="AM206" s="3107" t="s">
        <v>971</v>
      </c>
      <c r="AN206" s="990" t="s">
        <v>9509</v>
      </c>
    </row>
    <row r="207" spans="1:40" ht="48" customHeight="1" x14ac:dyDescent="0.15">
      <c r="A207" s="3099"/>
      <c r="B207" s="3128"/>
      <c r="C207" s="3130"/>
      <c r="D207" s="3132"/>
      <c r="E207" s="2705" t="s">
        <v>27</v>
      </c>
      <c r="F207" s="2705"/>
      <c r="G207" s="1948" t="s">
        <v>9510</v>
      </c>
      <c r="H207" s="1946" t="s">
        <v>9511</v>
      </c>
      <c r="I207" s="1907" t="str">
        <f>"7-DaHall 1-"&amp;Q207&amp;"-"&amp;P207&amp;"-"&amp;R207</f>
        <v>7-DaHall 1-RPP-01-30-38</v>
      </c>
      <c r="J207" s="1915" t="str">
        <f>"7-DaHall 1-"&amp;M207&amp;"-"&amp;L207&amp;"-"&amp;N207</f>
        <v>7-DaHall 1-RPP-02-30-32</v>
      </c>
      <c r="K207" s="1949">
        <v>220</v>
      </c>
      <c r="L207" s="1917">
        <v>30</v>
      </c>
      <c r="M207" s="693" t="s">
        <v>9204</v>
      </c>
      <c r="N207" s="1918">
        <v>32</v>
      </c>
      <c r="O207" s="1947">
        <v>220</v>
      </c>
      <c r="P207" s="1910">
        <v>30</v>
      </c>
      <c r="Q207" s="709" t="s">
        <v>9203</v>
      </c>
      <c r="R207" s="1911">
        <v>38</v>
      </c>
      <c r="S207" s="693" t="s">
        <v>999</v>
      </c>
      <c r="T207" s="709" t="s">
        <v>1000</v>
      </c>
      <c r="U207" s="2722" t="s">
        <v>1001</v>
      </c>
      <c r="V207" s="2740" t="s">
        <v>1002</v>
      </c>
      <c r="W207" s="922" t="s">
        <v>479</v>
      </c>
      <c r="X207" s="2244" t="s">
        <v>468</v>
      </c>
      <c r="Y207" s="922" t="s">
        <v>480</v>
      </c>
      <c r="Z207" s="2244" t="s">
        <v>469</v>
      </c>
      <c r="AA207" s="922" t="s">
        <v>548</v>
      </c>
      <c r="AB207" s="2244" t="s">
        <v>470</v>
      </c>
      <c r="AC207" s="922" t="s">
        <v>35</v>
      </c>
      <c r="AD207" s="2244" t="s">
        <v>30</v>
      </c>
      <c r="AE207" s="922" t="s">
        <v>36</v>
      </c>
      <c r="AF207" s="2244" t="s">
        <v>31</v>
      </c>
      <c r="AG207" s="1077" t="n">
        <f>SUM('7층_부하량(월간_AVG)'!N24:P24)</f>
        <v>2.4541570758661657</v>
      </c>
      <c r="AH207" s="920" t="n">
        <f>SUM('7층_부하량(월간_AVG)'!N110:P110)</f>
        <v>3.269571551876825</v>
      </c>
      <c r="AI207" s="3135"/>
      <c r="AJ207" s="3056" t="n" cm="1">
        <f t="array" ref="AJ207">INDEX('각층분기별_유효전력량(전월)'!L2:L2000,MATCH(1,("7-DaHall 1-RPP-01"='각층분기별_유효전력량(전월)'!J2:J2000)*("[branch#038] [A] kWh last month"='각층분기별_유효전력량(전월)'!K2:K2000),0))</f>
        <v>529.0</v>
      </c>
      <c r="AK207" s="3057" t="n" cm="1">
        <f t="array" ref="AK207">INDEX('각층분기별_유효전력량(전월)'!L2:L2000,MATCH(1,("7-DaHall 1-RPP-02"='각층분기별_유효전력량(전월)'!J2:J2000)*("[branch#032] [A] kWh last month"='각층분기별_유효전력량(전월)'!K2:K2000),0))</f>
        <v>547.4</v>
      </c>
      <c r="AL207" s="3065" t="n">
        <f t="shared" si="48"/>
        <v>1076.4</v>
      </c>
      <c r="AM207" s="3108"/>
      <c r="AN207" s="2747"/>
    </row>
    <row r="208" spans="1:40" ht="27" customHeight="1" x14ac:dyDescent="0.15">
      <c r="A208" s="3099"/>
      <c r="B208" s="2705" t="s">
        <v>1003</v>
      </c>
      <c r="C208" s="2707" t="s">
        <v>1004</v>
      </c>
      <c r="D208" s="739" t="s">
        <v>1005</v>
      </c>
      <c r="E208" s="937" t="s">
        <v>27</v>
      </c>
      <c r="F208" s="937"/>
      <c r="G208" s="2027" t="s">
        <v>9512</v>
      </c>
      <c r="H208" s="1933" t="s">
        <v>9513</v>
      </c>
      <c r="I208" s="1921" t="str">
        <f>"7-DaHall 1-"&amp;Q208&amp;"-"&amp;P208&amp;"-"&amp;R208</f>
        <v>7-DaHall 1-RPP-01-30-34</v>
      </c>
      <c r="J208" s="1922" t="str">
        <f>"7-DaHall 1-"&amp;M208&amp;"-"&amp;L208&amp;"-"&amp;N208</f>
        <v>7-DaHall 1-RPP-02-30-28</v>
      </c>
      <c r="K208" s="2028">
        <v>220</v>
      </c>
      <c r="L208" s="1927">
        <v>30</v>
      </c>
      <c r="M208" s="971" t="s">
        <v>9204</v>
      </c>
      <c r="N208" s="1928">
        <v>28</v>
      </c>
      <c r="O208" s="1934">
        <v>220</v>
      </c>
      <c r="P208" s="1924">
        <v>30</v>
      </c>
      <c r="Q208" s="915" t="s">
        <v>9203</v>
      </c>
      <c r="R208" s="1925">
        <v>34</v>
      </c>
      <c r="S208" s="971" t="s">
        <v>1006</v>
      </c>
      <c r="T208" s="915" t="s">
        <v>1007</v>
      </c>
      <c r="U208" s="935" t="s">
        <v>1008</v>
      </c>
      <c r="V208" s="934" t="s">
        <v>954</v>
      </c>
      <c r="W208" s="922" t="s">
        <v>479</v>
      </c>
      <c r="X208" s="2244" t="s">
        <v>468</v>
      </c>
      <c r="Y208" s="922" t="s">
        <v>480</v>
      </c>
      <c r="Z208" s="2244" t="s">
        <v>469</v>
      </c>
      <c r="AA208" s="922" t="s">
        <v>548</v>
      </c>
      <c r="AB208" s="2244" t="s">
        <v>470</v>
      </c>
      <c r="AC208" s="922" t="s">
        <v>35</v>
      </c>
      <c r="AD208" s="2244" t="s">
        <v>30</v>
      </c>
      <c r="AE208" s="922" t="s">
        <v>36</v>
      </c>
      <c r="AF208" s="2244" t="s">
        <v>31</v>
      </c>
      <c r="AG208" s="3109" t="n">
        <f>SUM('7층_부하량(월간_AVG)'!N22:P22)</f>
        <v>1.4248216040418846</v>
      </c>
      <c r="AH208" s="949" t="n">
        <f>SUM('7층_부하량(월간_AVG)'!N108:P108)</f>
        <v>0.0</v>
      </c>
      <c r="AI208" s="1345" t="n">
        <f>AH208+AG208</f>
        <v>1.4248216040418846</v>
      </c>
      <c r="AJ208" s="3074" t="n" cm="1">
        <f t="array" ref="AJ208">INDEX('각층분기별_유효전력량(전월)'!L2:L2000,MATCH(1,("7-DaHall 1-RPP-01"='각층분기별_유효전력량(전월)'!J2:J2000)*("[branch#034] [A] kWh last month"='각층분기별_유효전력량(전월)'!K2:K2000),0))</f>
        <v>138.3</v>
      </c>
      <c r="AK208" s="3057" t="n" cm="1">
        <f t="array" ref="AK208">INDEX('각층분기별_유효전력량(전월)'!L2:L2000,MATCH(1,("7-DaHall 1-RPP-02"='각층분기별_유효전력량(전월)'!J2:J2000)*("[branch#028] [A] kWh last month"='각층분기별_유효전력량(전월)'!K2:K2000),0))</f>
        <v>0.0</v>
      </c>
      <c r="AL208" s="3071" t="n">
        <f t="shared" si="48"/>
        <v>138.3</v>
      </c>
      <c r="AM208" s="2739" t="s">
        <v>1009</v>
      </c>
      <c r="AN208" s="2747"/>
    </row>
    <row r="209" spans="1:45" ht="39.950000000000003" customHeight="1" x14ac:dyDescent="0.15">
      <c r="A209" s="3099"/>
      <c r="B209" s="3128" t="s">
        <v>1010</v>
      </c>
      <c r="C209" s="3130" t="s">
        <v>1011</v>
      </c>
      <c r="D209" s="3132" t="s">
        <v>1012</v>
      </c>
      <c r="E209" s="3128" t="s">
        <v>807</v>
      </c>
      <c r="F209" s="2705"/>
      <c r="G209" s="1907" t="s">
        <v>9514</v>
      </c>
      <c r="H209" s="1915" t="s">
        <v>9515</v>
      </c>
      <c r="I209" s="1907" t="str">
        <f>"7-DaHall 1-"&amp;M209&amp;"-"&amp;L209&amp;"-"&amp;N209</f>
        <v>7-DaHall 1-PDU-01-30-6</v>
      </c>
      <c r="J209" s="1915" t="str">
        <f t="shared" ref="J209:J212" si="49">"7-DaHall 1-"&amp;Q209&amp;"-"&amp;P209&amp;"-"&amp;R209</f>
        <v>7-DaHall 1-PDU-02-30-6</v>
      </c>
      <c r="K209" s="1909">
        <v>220</v>
      </c>
      <c r="L209" s="1910">
        <v>30</v>
      </c>
      <c r="M209" s="709" t="s">
        <v>9177</v>
      </c>
      <c r="N209" s="1911">
        <v>6</v>
      </c>
      <c r="O209" s="1916">
        <v>220</v>
      </c>
      <c r="P209" s="1917">
        <v>30</v>
      </c>
      <c r="Q209" s="693" t="s">
        <v>9178</v>
      </c>
      <c r="R209" s="1918">
        <v>6</v>
      </c>
      <c r="S209" s="709" t="s">
        <v>1013</v>
      </c>
      <c r="T209" s="693" t="s">
        <v>1014</v>
      </c>
      <c r="U209" s="739"/>
      <c r="V209" s="739"/>
      <c r="W209" s="739"/>
      <c r="X209" s="739"/>
      <c r="Y209" s="739"/>
      <c r="Z209" s="739"/>
      <c r="AA209" s="3110" t="s">
        <v>173</v>
      </c>
      <c r="AB209" s="1072" t="s">
        <v>174</v>
      </c>
      <c r="AC209" s="3110" t="s">
        <v>111</v>
      </c>
      <c r="AD209" s="922" t="s">
        <v>112</v>
      </c>
      <c r="AE209" s="2244" t="s">
        <v>31</v>
      </c>
      <c r="AF209" s="922" t="s">
        <v>36</v>
      </c>
      <c r="AG209" s="687" t="n">
        <f>SUM('7층_부하량(월간_AVG)'!N65:P65)</f>
        <v>6.377899941102089</v>
      </c>
      <c r="AH209" s="1076" t="n">
        <f>SUM('7층_부하량(월간_AVG)'!N33:P33)</f>
        <v>5.323417586329633</v>
      </c>
      <c r="AI209" s="3136" t="n">
        <f>AG209+AH209+AG210+AH210</f>
        <v>12.266215676859645</v>
      </c>
      <c r="AJ209" s="3056" t="n" cm="1">
        <f t="array" ref="AJ209">INDEX('각층분기별_유효전력량(전월)'!L2:L2000,MATCH(1,("7-DaHall 1-PDU-01"='각층분기별_유효전력량(전월)'!J2:J2000)*("[branch#006] [A] kWh last month"='각층분기별_유효전력량(전월)'!K2:K2000),0))</f>
        <v>1007.2</v>
      </c>
      <c r="AK209" s="3057" t="n" cm="1">
        <f t="array" ref="AK209">INDEX('각층분기별_유효전력량(전월)'!L2:L2000,MATCH(1,("7-DaHall 1-PDU-02"='각층분기별_유효전력량(전월)'!J2:J2000)*("[branch#006] [A] kWh last month"='각층분기별_유효전력량(전월)'!K2:K2000),0))</f>
        <v>806.8</v>
      </c>
      <c r="AL209" s="3065" t="n">
        <f t="shared" si="48"/>
        <v>1814.0</v>
      </c>
      <c r="AM209" s="2322" t="s">
        <v>931</v>
      </c>
      <c r="AN209" s="990" t="s">
        <v>9516</v>
      </c>
    </row>
    <row r="210" spans="1:45" ht="40.5" hidden="1" customHeight="1" x14ac:dyDescent="0.15">
      <c r="A210" s="3099"/>
      <c r="B210" s="3128"/>
      <c r="C210" s="3130"/>
      <c r="D210" s="3132"/>
      <c r="E210" s="3128"/>
      <c r="F210" s="2705"/>
      <c r="G210" s="1907" t="s">
        <v>9517</v>
      </c>
      <c r="H210" s="1915" t="s">
        <v>9518</v>
      </c>
      <c r="I210" s="1907" t="str">
        <f>"7-DaHall 1-"&amp;M210&amp;"-"&amp;L210&amp;"-"&amp;N210</f>
        <v>7-DaHall 1-PDU-01-30-54</v>
      </c>
      <c r="J210" s="1915" t="str">
        <f t="shared" si="49"/>
        <v>7-DaHall 1-PDU-02-30-53</v>
      </c>
      <c r="K210" s="1909">
        <v>220</v>
      </c>
      <c r="L210" s="1910">
        <v>30</v>
      </c>
      <c r="M210" s="709" t="s">
        <v>9177</v>
      </c>
      <c r="N210" s="1911">
        <v>54</v>
      </c>
      <c r="O210" s="1916">
        <v>220</v>
      </c>
      <c r="P210" s="1917">
        <v>30</v>
      </c>
      <c r="Q210" s="693" t="s">
        <v>9178</v>
      </c>
      <c r="R210" s="1918">
        <v>53</v>
      </c>
      <c r="S210" s="709" t="s">
        <v>1015</v>
      </c>
      <c r="T210" s="693" t="s">
        <v>1016</v>
      </c>
      <c r="U210" s="739"/>
      <c r="V210" s="739"/>
      <c r="W210" s="739"/>
      <c r="X210" s="739"/>
      <c r="Y210" s="739"/>
      <c r="Z210" s="739"/>
      <c r="AA210" s="3110" t="s">
        <v>173</v>
      </c>
      <c r="AB210" s="1072" t="s">
        <v>174</v>
      </c>
      <c r="AC210" s="3110" t="s">
        <v>111</v>
      </c>
      <c r="AD210" s="922" t="s">
        <v>112</v>
      </c>
      <c r="AE210" s="2244" t="s">
        <v>31</v>
      </c>
      <c r="AF210" s="922" t="s">
        <v>36</v>
      </c>
      <c r="AG210" s="687" t="n">
        <f>SUM('7층_부하량(월간_AVG)'!N89:P89)</f>
        <v>0.34023973111971734</v>
      </c>
      <c r="AH210" s="1076" t="n">
        <f>SUM('7층_부하량(월간_AVG)'!D57:F57)</f>
        <v>0.22465841830820377</v>
      </c>
      <c r="AI210" s="3137"/>
      <c r="AJ210" s="3087"/>
      <c r="AK210" s="3088"/>
      <c r="AL210" s="3065" t="n">
        <f t="shared" si="48"/>
        <v>0.0</v>
      </c>
      <c r="AM210" s="2739"/>
      <c r="AN210" s="2747"/>
    </row>
    <row r="211" spans="1:45" ht="39.950000000000003" customHeight="1" x14ac:dyDescent="0.15">
      <c r="A211" s="3099"/>
      <c r="B211" s="2705" t="s">
        <v>1017</v>
      </c>
      <c r="C211" s="2706" t="s">
        <v>1018</v>
      </c>
      <c r="D211" s="2707" t="s">
        <v>1019</v>
      </c>
      <c r="E211" s="2705" t="s">
        <v>27</v>
      </c>
      <c r="F211" s="2705"/>
      <c r="G211" s="1907" t="s">
        <v>9519</v>
      </c>
      <c r="H211" s="1915" t="s">
        <v>9520</v>
      </c>
      <c r="I211" s="1907" t="str">
        <f>"7-DaHall 1-"&amp;M211&amp;"-"&amp;L211&amp;"-"&amp;N211</f>
        <v>7-DaHall 1-RPP-03-50-2</v>
      </c>
      <c r="J211" s="1915" t="str">
        <f t="shared" si="49"/>
        <v>7-DaHall 1-RPP-04-50-2</v>
      </c>
      <c r="K211" s="1909">
        <v>220</v>
      </c>
      <c r="L211" s="1910">
        <v>50</v>
      </c>
      <c r="M211" s="709" t="s">
        <v>9521</v>
      </c>
      <c r="N211" s="1911">
        <v>2</v>
      </c>
      <c r="O211" s="1916">
        <v>220</v>
      </c>
      <c r="P211" s="1917">
        <v>50</v>
      </c>
      <c r="Q211" s="693" t="s">
        <v>9522</v>
      </c>
      <c r="R211" s="1918">
        <v>2</v>
      </c>
      <c r="S211" s="709" t="s">
        <v>1020</v>
      </c>
      <c r="T211" s="693" t="s">
        <v>1021</v>
      </c>
      <c r="U211" s="2740" t="s">
        <v>1022</v>
      </c>
      <c r="V211" s="2722" t="s">
        <v>1023</v>
      </c>
      <c r="W211" s="2740" t="s">
        <v>1024</v>
      </c>
      <c r="X211" s="2722" t="s">
        <v>1025</v>
      </c>
      <c r="Y211" s="2740" t="s">
        <v>1026</v>
      </c>
      <c r="Z211" s="2722" t="s">
        <v>1027</v>
      </c>
      <c r="AA211" s="2740" t="s">
        <v>51</v>
      </c>
      <c r="AB211" s="922" t="s">
        <v>481</v>
      </c>
      <c r="AC211" s="2740" t="s">
        <v>30</v>
      </c>
      <c r="AD211" s="922" t="s">
        <v>35</v>
      </c>
      <c r="AE211" s="2244" t="s">
        <v>31</v>
      </c>
      <c r="AF211" s="922" t="s">
        <v>36</v>
      </c>
      <c r="AG211" s="687" t="n">
        <f>SUM('7층_부하량(월간_AVG)'!N120:P120)</f>
        <v>1.323645614963699</v>
      </c>
      <c r="AH211" s="1076" t="n">
        <f>SUM('7층_부하량(월간_AVG)'!N128:P128)</f>
        <v>2.005375025760743</v>
      </c>
      <c r="AI211" s="1327" t="n">
        <f>AG211+AH211</f>
        <v>3.329020640724442</v>
      </c>
      <c r="AJ211" s="3056" t="n" cm="1">
        <f t="array" ref="AJ211">INDEX('각층분기별_유효전력량(전월)'!L2:L2000,MATCH(1,("7-DaHall 1-RPP-03"='각층분기별_유효전력량(전월)'!J2:J2000)*("[branch#002] [A] kWh last month"='각층분기별_유효전력량(전월)'!K2:K2000),0))</f>
        <v>393.9</v>
      </c>
      <c r="AK211" s="3057" t="n" cm="1">
        <f t="array" ref="AK211">INDEX('각층분기별_유효전력량(전월)'!L2:L2000,MATCH(1,("7-DaHall 1-RPP-04"='각층분기별_유효전력량(전월)'!J2:J2000)*("[branch#002] [A] kWh last month"='각층분기별_유효전력량(전월)'!K2:K2000),0))</f>
        <v>506.1</v>
      </c>
      <c r="AL211" s="3065" t="n">
        <f t="shared" si="48"/>
        <v>900.0</v>
      </c>
      <c r="AM211" s="2739" t="s">
        <v>1028</v>
      </c>
      <c r="AN211" s="2747"/>
    </row>
    <row r="212" spans="1:45" ht="40.5" x14ac:dyDescent="0.15">
      <c r="A212" s="3099"/>
      <c r="B212" s="2705" t="s">
        <v>1029</v>
      </c>
      <c r="C212" s="2706" t="s">
        <v>1030</v>
      </c>
      <c r="D212" s="2707" t="s">
        <v>1031</v>
      </c>
      <c r="E212" s="2705" t="s">
        <v>27</v>
      </c>
      <c r="F212" s="2705"/>
      <c r="G212" s="1921"/>
      <c r="H212" s="1915" t="s">
        <v>9523</v>
      </c>
      <c r="I212" s="1921"/>
      <c r="J212" s="1915" t="str">
        <f t="shared" si="49"/>
        <v>7-DaHall 1-RPP-02-30-14</v>
      </c>
      <c r="K212" s="1923"/>
      <c r="L212" s="1924"/>
      <c r="M212" s="915"/>
      <c r="N212" s="1925"/>
      <c r="O212" s="1916">
        <v>220</v>
      </c>
      <c r="P212" s="1917">
        <v>30</v>
      </c>
      <c r="Q212" s="693" t="s">
        <v>9204</v>
      </c>
      <c r="R212" s="1918">
        <v>14</v>
      </c>
      <c r="S212" s="915"/>
      <c r="T212" s="693" t="s">
        <v>1032</v>
      </c>
      <c r="U212" s="915"/>
      <c r="V212" s="2722" t="s">
        <v>1033</v>
      </c>
      <c r="W212" s="915"/>
      <c r="X212" s="2722" t="s">
        <v>479</v>
      </c>
      <c r="Y212" s="915"/>
      <c r="Z212" s="2722" t="s">
        <v>480</v>
      </c>
      <c r="AA212" s="915"/>
      <c r="AB212" s="922" t="s">
        <v>481</v>
      </c>
      <c r="AC212" s="915"/>
      <c r="AD212" s="922" t="s">
        <v>35</v>
      </c>
      <c r="AE212" s="915"/>
      <c r="AF212" s="922" t="s">
        <v>36</v>
      </c>
      <c r="AG212" s="944"/>
      <c r="AH212" s="1076" t="n">
        <f>SUM('7층_부하량(월간_AVG)'!N101:P101)</f>
        <v>12.910776404191562</v>
      </c>
      <c r="AI212" s="1327" t="n">
        <f>AG212+AH212</f>
        <v>12.910776404191562</v>
      </c>
      <c r="AJ212" s="3056"/>
      <c r="AK212" s="3057" t="n" cm="1">
        <f t="array" ref="AK212">INDEX('각층분기별_유효전력량(전월)'!L2:L2000,MATCH(1,("7-DaHall 1-RPP-02"='각층분기별_유효전력량(전월)'!J2:J2000)*("[branch#014] [A] kWh last month"='각층분기별_유효전력량(전월)'!K2:K2000),0))</f>
        <v>2203.1</v>
      </c>
      <c r="AL212" s="3065" t="n">
        <f t="shared" si="48"/>
        <v>2203.1</v>
      </c>
      <c r="AM212" s="2739" t="s">
        <v>1034</v>
      </c>
      <c r="AN212" s="2747"/>
    </row>
    <row r="213" spans="1:45" ht="37.5" customHeight="1" x14ac:dyDescent="0.15">
      <c r="A213" s="3099"/>
      <c r="B213" s="2705" t="s">
        <v>1035</v>
      </c>
      <c r="C213" s="739" t="s">
        <v>1036</v>
      </c>
      <c r="D213" s="1205" t="s">
        <v>1037</v>
      </c>
      <c r="E213" s="937" t="s">
        <v>27</v>
      </c>
      <c r="F213" s="937"/>
      <c r="G213" s="3124"/>
      <c r="H213" s="3125"/>
      <c r="I213" s="3124"/>
      <c r="J213" s="3125"/>
      <c r="K213" s="2057"/>
      <c r="L213" s="2058"/>
      <c r="M213" s="2059"/>
      <c r="N213" s="2060"/>
      <c r="O213" s="2061"/>
      <c r="P213" s="2058"/>
      <c r="Q213" s="2059"/>
      <c r="R213" s="2060"/>
      <c r="S213" s="3126" t="s">
        <v>1038</v>
      </c>
      <c r="T213" s="3127"/>
      <c r="U213" s="1205"/>
      <c r="V213" s="1205"/>
      <c r="W213" s="1205"/>
      <c r="X213" s="1205"/>
      <c r="Y213" s="1205"/>
      <c r="Z213" s="1205"/>
      <c r="AA213" s="1205"/>
      <c r="AB213" s="1205"/>
      <c r="AC213" s="1205"/>
      <c r="AD213" s="1205"/>
      <c r="AE213" s="1206"/>
      <c r="AF213" s="1206"/>
      <c r="AG213" s="944"/>
      <c r="AH213" s="3111"/>
      <c r="AI213" s="1345" t="n">
        <f>AG213+AH213</f>
        <v>0.0</v>
      </c>
      <c r="AJ213" s="3074"/>
      <c r="AK213" s="3057"/>
      <c r="AL213" s="3071" t="n">
        <f t="shared" si="48"/>
        <v>0.0</v>
      </c>
      <c r="AM213" s="2739" t="s">
        <v>991</v>
      </c>
      <c r="AN213" s="695" t="s">
        <v>1039</v>
      </c>
    </row>
    <row r="214" spans="1:45" ht="40.5" x14ac:dyDescent="0.15">
      <c r="A214" s="3099"/>
      <c r="B214" s="2705" t="s">
        <v>1040</v>
      </c>
      <c r="C214" s="739" t="s">
        <v>1041</v>
      </c>
      <c r="D214" s="739" t="s">
        <v>1042</v>
      </c>
      <c r="E214" s="937" t="s">
        <v>27</v>
      </c>
      <c r="F214" s="937"/>
      <c r="G214" s="1921" t="s">
        <v>9524</v>
      </c>
      <c r="H214" s="1922" t="s">
        <v>9525</v>
      </c>
      <c r="I214" s="1921" t="str">
        <f>"7-DaHall 1-"&amp;M214&amp;"-"&amp;L214&amp;"-"&amp;N214</f>
        <v>7-DaHall 1-PDU-01-30-4</v>
      </c>
      <c r="J214" s="1922" t="str">
        <f>"7-DaHall 1-"&amp;Q214&amp;"-"&amp;P214&amp;"-"&amp;R214</f>
        <v>7-DaHall 1-PDU-02-30-4</v>
      </c>
      <c r="K214" s="1923">
        <v>220</v>
      </c>
      <c r="L214" s="1924">
        <v>30</v>
      </c>
      <c r="M214" s="915" t="s">
        <v>9177</v>
      </c>
      <c r="N214" s="1925">
        <v>4</v>
      </c>
      <c r="O214" s="1926">
        <v>220</v>
      </c>
      <c r="P214" s="1927">
        <v>30</v>
      </c>
      <c r="Q214" s="971" t="s">
        <v>9178</v>
      </c>
      <c r="R214" s="1928">
        <v>4</v>
      </c>
      <c r="S214" s="915" t="s">
        <v>1043</v>
      </c>
      <c r="T214" s="971" t="s">
        <v>1044</v>
      </c>
      <c r="U214" s="739"/>
      <c r="V214" s="739"/>
      <c r="W214" s="739"/>
      <c r="X214" s="739"/>
      <c r="Y214" s="739"/>
      <c r="Z214" s="739"/>
      <c r="AA214" s="934" t="s">
        <v>1045</v>
      </c>
      <c r="AB214" s="935" t="s">
        <v>174</v>
      </c>
      <c r="AC214" s="934" t="s">
        <v>111</v>
      </c>
      <c r="AD214" s="935" t="s">
        <v>112</v>
      </c>
      <c r="AE214" s="934" t="s">
        <v>31</v>
      </c>
      <c r="AF214" s="935" t="s">
        <v>36</v>
      </c>
      <c r="AG214" s="944" t="n">
        <f>SUM('7층_부하량(월간_AVG)'!N64:P64)</f>
        <v>5.6083028034889395</v>
      </c>
      <c r="AH214" s="3111" t="n">
        <f>SUM('7층_부하량(월간_AVG)'!N32:P32)</f>
        <v>5.37887089283527</v>
      </c>
      <c r="AI214" s="1345" t="n">
        <f t="shared" ref="AI214" si="50">AG214+AH214</f>
        <v>10.98717369632421</v>
      </c>
      <c r="AJ214" s="3074" t="n" cm="1">
        <f t="array" ref="AJ214">INDEX('각층분기별_유효전력량(전월)'!L2:L2000,MATCH(1,("7-DaHall 1-PDU-01"='각층분기별_유효전력량(전월)'!J2:J2000)*("[branch#004] [A] kWh last month"='각층분기별_유효전력량(전월)'!K2:K2000),0))</f>
        <v>951.9</v>
      </c>
      <c r="AK214" s="3057" t="n" cm="1">
        <f t="array" ref="AK214">INDEX('각층분기별_유효전력량(전월)'!L2:L2000,MATCH(1,("7-DaHall 1-PDU-02"='각층분기별_유효전력량(전월)'!J2:J2000)*("[branch#004] [A] kWh last month"='각층분기별_유효전력량(전월)'!K2:K2000),0))</f>
        <v>909.8</v>
      </c>
      <c r="AL214" s="3071" t="n">
        <f t="shared" si="48"/>
        <v>1861.6999999999998</v>
      </c>
      <c r="AM214" s="2739" t="s">
        <v>886</v>
      </c>
      <c r="AN214" s="2747"/>
    </row>
    <row r="215" spans="1:45" ht="13.5" hidden="1" customHeight="1" x14ac:dyDescent="0.15">
      <c r="A215" s="3099"/>
      <c r="B215" s="2705"/>
      <c r="C215" s="2707" t="s">
        <v>1046</v>
      </c>
      <c r="D215" s="2705"/>
      <c r="E215" s="2705"/>
      <c r="F215" s="2705"/>
      <c r="G215" s="2053"/>
      <c r="H215" s="2062"/>
      <c r="I215" s="2053"/>
      <c r="J215" s="2062"/>
      <c r="K215" s="2054"/>
      <c r="L215" s="2055"/>
      <c r="M215" s="917"/>
      <c r="N215" s="2056"/>
      <c r="O215" s="2063"/>
      <c r="P215" s="2055"/>
      <c r="Q215" s="917"/>
      <c r="R215" s="2056"/>
      <c r="S215" s="917"/>
      <c r="T215" s="917"/>
      <c r="U215" s="917"/>
      <c r="V215" s="917"/>
      <c r="W215" s="917"/>
      <c r="X215" s="917"/>
      <c r="Y215" s="917"/>
      <c r="Z215" s="917"/>
      <c r="AA215" s="917"/>
      <c r="AB215" s="917"/>
      <c r="AC215" s="917"/>
      <c r="AD215" s="917"/>
      <c r="AE215" s="917"/>
      <c r="AF215" s="917"/>
      <c r="AG215" s="1362"/>
      <c r="AH215" s="1363"/>
      <c r="AI215" s="1364"/>
      <c r="AJ215" s="3069"/>
      <c r="AK215" s="3070"/>
      <c r="AL215" s="3071" t="n">
        <f t="shared" si="48"/>
        <v>0.0</v>
      </c>
      <c r="AM215" s="2744"/>
      <c r="AN215" s="2747"/>
    </row>
    <row r="216" spans="1:45" ht="14.25" hidden="1" customHeight="1" thickBot="1" x14ac:dyDescent="0.2">
      <c r="A216" s="3104"/>
      <c r="B216" s="2741"/>
      <c r="C216" s="2743" t="s">
        <v>1046</v>
      </c>
      <c r="D216" s="2741"/>
      <c r="E216" s="2741"/>
      <c r="F216" s="2741"/>
      <c r="G216" s="2064"/>
      <c r="H216" s="2065"/>
      <c r="I216" s="2064"/>
      <c r="J216" s="2065"/>
      <c r="K216" s="2066"/>
      <c r="L216" s="2067"/>
      <c r="M216" s="933"/>
      <c r="N216" s="2068"/>
      <c r="O216" s="2069"/>
      <c r="P216" s="2067"/>
      <c r="Q216" s="933"/>
      <c r="R216" s="2068"/>
      <c r="S216" s="933"/>
      <c r="T216" s="933"/>
      <c r="U216" s="933"/>
      <c r="V216" s="933"/>
      <c r="W216" s="933"/>
      <c r="X216" s="933"/>
      <c r="Y216" s="933"/>
      <c r="Z216" s="933"/>
      <c r="AA216" s="933"/>
      <c r="AB216" s="933"/>
      <c r="AC216" s="933"/>
      <c r="AD216" s="933"/>
      <c r="AE216" s="933"/>
      <c r="AF216" s="933"/>
      <c r="AG216" s="1365"/>
      <c r="AH216" s="1366"/>
      <c r="AI216" s="1367"/>
      <c r="AJ216" s="3069"/>
      <c r="AK216" s="3070"/>
      <c r="AL216" s="3071" t="n">
        <f t="shared" si="48"/>
        <v>0.0</v>
      </c>
      <c r="AM216" s="2745"/>
      <c r="AN216" s="685"/>
    </row>
    <row r="217" spans="1:45" ht="13.5" hidden="1" customHeight="1" x14ac:dyDescent="0.15">
      <c r="A217" s="3105" t="s">
        <v>1047</v>
      </c>
      <c r="B217" s="678" t="s">
        <v>1048</v>
      </c>
      <c r="C217" s="738"/>
      <c r="D217" s="1073"/>
      <c r="E217" s="1073"/>
      <c r="F217" s="1073"/>
      <c r="G217" s="2070"/>
      <c r="H217" s="2071"/>
      <c r="I217" s="2070"/>
      <c r="J217" s="2071"/>
      <c r="K217" s="2072"/>
      <c r="L217" s="2073"/>
      <c r="M217" s="924"/>
      <c r="N217" s="2074"/>
      <c r="O217" s="2075"/>
      <c r="P217" s="2073"/>
      <c r="Q217" s="924"/>
      <c r="R217" s="2074"/>
      <c r="S217" s="924"/>
      <c r="T217" s="924"/>
      <c r="U217" s="924"/>
      <c r="V217" s="924"/>
      <c r="W217" s="924"/>
      <c r="X217" s="924"/>
      <c r="Y217" s="924"/>
      <c r="Z217" s="924"/>
      <c r="AA217" s="924"/>
      <c r="AB217" s="924"/>
      <c r="AC217" s="924"/>
      <c r="AD217" s="924"/>
      <c r="AE217" s="924"/>
      <c r="AF217" s="924"/>
      <c r="AG217" s="1101"/>
      <c r="AH217" s="1102"/>
      <c r="AI217" s="1349"/>
      <c r="AJ217" s="3069"/>
      <c r="AK217" s="3070"/>
      <c r="AL217" s="3071" t="n">
        <f t="shared" si="48"/>
        <v>0.0</v>
      </c>
      <c r="AM217" s="2737"/>
      <c r="AN217" s="2731"/>
    </row>
    <row r="218" spans="1:45" ht="39.950000000000003" customHeight="1" x14ac:dyDescent="0.15">
      <c r="A218" s="3099"/>
      <c r="B218" s="2705" t="s">
        <v>1049</v>
      </c>
      <c r="C218" s="2706" t="s">
        <v>1050</v>
      </c>
      <c r="D218" s="2707" t="s">
        <v>1051</v>
      </c>
      <c r="E218" s="2705" t="s">
        <v>27</v>
      </c>
      <c r="F218" s="2705"/>
      <c r="G218" s="1907" t="s">
        <v>9526</v>
      </c>
      <c r="H218" s="1915" t="s">
        <v>9527</v>
      </c>
      <c r="I218" s="1907" t="str">
        <f>"7-DaHall 1-"&amp;M218&amp;"-"&amp;L218&amp;"-"&amp;N218</f>
        <v>7-DaHall 1-RPP-01-20-23</v>
      </c>
      <c r="J218" s="1915" t="str">
        <f>"7-DaHall 1-"&amp;Q218&amp;"-"&amp;P218&amp;"-"&amp;R218</f>
        <v>7-DaHall 1-RPP-02-30-12</v>
      </c>
      <c r="K218" s="1909">
        <v>220</v>
      </c>
      <c r="L218" s="1910">
        <v>20</v>
      </c>
      <c r="M218" s="709" t="s">
        <v>9203</v>
      </c>
      <c r="N218" s="1911">
        <v>23</v>
      </c>
      <c r="O218" s="1916">
        <v>220</v>
      </c>
      <c r="P218" s="1917">
        <v>30</v>
      </c>
      <c r="Q218" s="693" t="s">
        <v>9204</v>
      </c>
      <c r="R218" s="1918">
        <v>12</v>
      </c>
      <c r="S218" s="709" t="s">
        <v>1052</v>
      </c>
      <c r="T218" s="693" t="s">
        <v>1053</v>
      </c>
      <c r="U218" s="2740" t="s">
        <v>1054</v>
      </c>
      <c r="V218" s="2722" t="s">
        <v>1055</v>
      </c>
      <c r="W218" s="2244" t="s">
        <v>468</v>
      </c>
      <c r="X218" s="922" t="s">
        <v>479</v>
      </c>
      <c r="Y218" s="2244" t="s">
        <v>469</v>
      </c>
      <c r="Z218" s="922" t="s">
        <v>480</v>
      </c>
      <c r="AA218" s="2244" t="s">
        <v>1056</v>
      </c>
      <c r="AB218" s="922" t="s">
        <v>1057</v>
      </c>
      <c r="AC218" s="2244" t="s">
        <v>30</v>
      </c>
      <c r="AD218" s="922" t="s">
        <v>35</v>
      </c>
      <c r="AE218" s="2244" t="s">
        <v>31</v>
      </c>
      <c r="AF218" s="922" t="s">
        <v>36</v>
      </c>
      <c r="AG218" s="687" t="n">
        <f>SUM('7층_부하량(월간_AVG)'!D17:F17)</f>
        <v>1.4197899476262887</v>
      </c>
      <c r="AH218" s="1076" t="n">
        <f>SUM('7층_부하량(월간_AVG)'!N100:P100)</f>
        <v>4.34439038353314</v>
      </c>
      <c r="AI218" s="2720" t="n">
        <f>AG218+AH218</f>
        <v>5.764180331159428</v>
      </c>
      <c r="AJ218" s="3056" t="n" cm="1">
        <f t="array" ref="AJ218">INDEX('각층분기별_유효전력량(전월)'!L2:L2000,MATCH(1,("7-DaHall 1-RPP-01"='각층분기별_유효전력량(전월)'!J2:J2000)*("[branch#023] [A] kWh last month"='각층분기별_유효전력량(전월)'!K2:K2000),0))</f>
        <v>190.8</v>
      </c>
      <c r="AK218" s="3057" t="n" cm="1">
        <f t="array" ref="AK218">INDEX('각층분기별_유효전력량(전월)'!L2:L2000,MATCH(1,("7-DaHall 1-RPP-02"='각층분기별_유효전력량(전월)'!J2:J2000)*("[branch#012] [A] kWh last month"='각층분기별_유효전력량(전월)'!K2:K2000),0))</f>
        <v>640.4</v>
      </c>
      <c r="AL218" s="3065" t="n">
        <f t="shared" si="48"/>
        <v>831.2</v>
      </c>
      <c r="AM218" s="2152" t="s">
        <v>1058</v>
      </c>
      <c r="AN218" s="2729"/>
    </row>
    <row r="219" spans="1:45" ht="39.950000000000003" customHeight="1" x14ac:dyDescent="0.15">
      <c r="A219" s="3099"/>
      <c r="B219" s="2705" t="s">
        <v>1059</v>
      </c>
      <c r="C219" s="2706" t="s">
        <v>1060</v>
      </c>
      <c r="D219" s="2707" t="s">
        <v>1061</v>
      </c>
      <c r="E219" s="2705" t="s">
        <v>27</v>
      </c>
      <c r="F219" s="2705"/>
      <c r="G219" s="1907" t="s">
        <v>9528</v>
      </c>
      <c r="H219" s="1915" t="s">
        <v>9529</v>
      </c>
      <c r="I219" s="1907" t="str">
        <f>"7-DaHall 1-"&amp;M219&amp;"-"&amp;L219&amp;"-"&amp;N219</f>
        <v>7-DaHall 1-RPP-01-20-37</v>
      </c>
      <c r="J219" s="1915" t="str">
        <f>"7-DaHall 1-"&amp;Q219&amp;"-"&amp;P219&amp;"-"&amp;R219</f>
        <v>7-DaHall 1-RPP-02-30-8</v>
      </c>
      <c r="K219" s="1909">
        <v>220</v>
      </c>
      <c r="L219" s="1910">
        <v>20</v>
      </c>
      <c r="M219" s="709" t="s">
        <v>9203</v>
      </c>
      <c r="N219" s="1911">
        <v>37</v>
      </c>
      <c r="O219" s="1916">
        <v>220</v>
      </c>
      <c r="P219" s="1917">
        <v>30</v>
      </c>
      <c r="Q219" s="693" t="s">
        <v>9204</v>
      </c>
      <c r="R219" s="1918">
        <v>8</v>
      </c>
      <c r="S219" s="709" t="s">
        <v>1062</v>
      </c>
      <c r="T219" s="709" t="s">
        <v>1063</v>
      </c>
      <c r="U219" s="2740" t="s">
        <v>1064</v>
      </c>
      <c r="V219" s="2722" t="s">
        <v>1065</v>
      </c>
      <c r="W219" s="2244" t="s">
        <v>468</v>
      </c>
      <c r="X219" s="922" t="s">
        <v>479</v>
      </c>
      <c r="Y219" s="2244" t="s">
        <v>469</v>
      </c>
      <c r="Z219" s="922" t="s">
        <v>480</v>
      </c>
      <c r="AA219" s="2244" t="s">
        <v>1056</v>
      </c>
      <c r="AB219" s="922" t="s">
        <v>1057</v>
      </c>
      <c r="AC219" s="2244" t="s">
        <v>30</v>
      </c>
      <c r="AD219" s="922" t="s">
        <v>35</v>
      </c>
      <c r="AE219" s="2244" t="s">
        <v>31</v>
      </c>
      <c r="AF219" s="922" t="s">
        <v>36</v>
      </c>
      <c r="AG219" s="687" t="n">
        <f>SUM('7층_부하량(월간_AVG)'!D24:F24)</f>
        <v>4.639033273214255</v>
      </c>
      <c r="AH219" s="1076" t="n">
        <f>SUM('7층_부하량(월간_AVG)'!N98:P98)</f>
        <v>3.7722089296112253</v>
      </c>
      <c r="AI219" s="1327" t="n">
        <f>AG219+AH219</f>
        <v>8.41124220282548</v>
      </c>
      <c r="AJ219" s="3056" t="n" cm="1">
        <f t="array" ref="AJ219">INDEX('각층분기별_유효전력량(전월)'!L2:L2000,MATCH(1,("7-DaHall 1-RPP-01"='각층분기별_유효전력량(전월)'!J2:J2000)*("[branch#037] [A] kWh last month"='각층분기별_유효전력량(전월)'!K2:K2000),0))</f>
        <v>863.7</v>
      </c>
      <c r="AK219" s="3057" t="n" cm="1">
        <f t="array" ref="AK219">INDEX('각층분기별_유효전력량(전월)'!L2:L2000,MATCH(1,("7-DaHall 1-RPP-02"='각층분기별_유효전력량(전월)'!J2:J2000)*("[branch#008] [A] kWh last month"='각층분기별_유효전력량(전월)'!K2:K2000),0))</f>
        <v>779.2</v>
      </c>
      <c r="AL219" s="3065" t="n">
        <f t="shared" si="48"/>
        <v>1642.9</v>
      </c>
      <c r="AM219" s="2152" t="s">
        <v>1058</v>
      </c>
      <c r="AN219" s="2747"/>
    </row>
    <row r="220" spans="1:45" ht="48" customHeight="1" x14ac:dyDescent="0.15">
      <c r="A220" s="3099"/>
      <c r="B220" s="2705" t="s">
        <v>1066</v>
      </c>
      <c r="C220" s="743" t="s">
        <v>1067</v>
      </c>
      <c r="D220" s="2707" t="s">
        <v>1068</v>
      </c>
      <c r="E220" s="2705" t="s">
        <v>27</v>
      </c>
      <c r="F220" s="2705"/>
      <c r="G220" s="1907" t="s">
        <v>9530</v>
      </c>
      <c r="H220" s="1915" t="s">
        <v>9531</v>
      </c>
      <c r="I220" s="1907" t="str">
        <f>"7-DaHall 1-"&amp;M220&amp;"-"&amp;L220&amp;"-"&amp;N220</f>
        <v>7-DaHall 1-PDU-01-30-10</v>
      </c>
      <c r="J220" s="1915" t="str">
        <f>"7-DaHall 1-"&amp;Q220&amp;"-"&amp;P220&amp;"-"&amp;R220</f>
        <v>7-DaHall 1-PDU-02-30-10</v>
      </c>
      <c r="K220" s="1947">
        <v>220</v>
      </c>
      <c r="L220" s="1910">
        <v>30</v>
      </c>
      <c r="M220" s="709" t="s">
        <v>9177</v>
      </c>
      <c r="N220" s="1911">
        <v>10</v>
      </c>
      <c r="O220" s="1949">
        <v>220</v>
      </c>
      <c r="P220" s="1917">
        <v>30</v>
      </c>
      <c r="Q220" s="693" t="s">
        <v>9178</v>
      </c>
      <c r="R220" s="1918">
        <v>10</v>
      </c>
      <c r="S220" s="709" t="s">
        <v>1069</v>
      </c>
      <c r="T220" s="693" t="s">
        <v>1070</v>
      </c>
      <c r="U220" s="2707"/>
      <c r="V220" s="2707"/>
      <c r="W220" s="2707"/>
      <c r="X220" s="2707"/>
      <c r="Y220" s="2707"/>
      <c r="Z220" s="2707"/>
      <c r="AA220" s="2244" t="s">
        <v>173</v>
      </c>
      <c r="AB220" s="922" t="s">
        <v>174</v>
      </c>
      <c r="AC220" s="2244" t="s">
        <v>1071</v>
      </c>
      <c r="AD220" s="922" t="s">
        <v>112</v>
      </c>
      <c r="AE220" s="2244" t="s">
        <v>31</v>
      </c>
      <c r="AF220" s="922" t="s">
        <v>36</v>
      </c>
      <c r="AG220" s="687" t="n">
        <f>SUM('7층_부하량(월간_AVG)'!N67:P67)</f>
        <v>2.8401858146185406</v>
      </c>
      <c r="AH220" s="1076" t="n">
        <f>SUM('7층_부하량(월간_AVG)'!N35:P35)</f>
        <v>4.361800553596836</v>
      </c>
      <c r="AI220" s="1327" t="n">
        <f>AG220+AH220</f>
        <v>7.201986368215376</v>
      </c>
      <c r="AJ220" s="3056" t="n" cm="1">
        <f t="array" ref="AJ220">INDEX('각층분기별_유효전력량(전월)'!L2:L2000,MATCH(1,("7-DaHall 1-PDU-01"='각층분기별_유효전력량(전월)'!J2:J2000)*("[branch#010] [A] kWh last month"='각층분기별_유효전력량(전월)'!K2:K2000),0))</f>
        <v>576.5</v>
      </c>
      <c r="AK220" s="3057" t="n" cm="1">
        <f t="array" ref="AK220">INDEX('각층분기별_유효전력량(전월)'!L2:L2000,MATCH(1,("7-DaHall 1-PDU-02"='각층분기별_유효전력량(전월)'!J2:J2000)*("[branch#010] [A] kWh last month"='각층분기별_유효전력량(전월)'!K2:K2000),0))</f>
        <v>1413.1</v>
      </c>
      <c r="AL220" s="3071" t="n">
        <f t="shared" si="48"/>
        <v>1989.6</v>
      </c>
      <c r="AM220" s="2152" t="s">
        <v>1058</v>
      </c>
      <c r="AN220" s="2747"/>
      <c r="AS220" s="1911">
        <v>10</v>
      </c>
    </row>
    <row r="221" spans="1:45" ht="40.5" x14ac:dyDescent="0.15">
      <c r="A221" s="3099"/>
      <c r="B221" s="2705" t="s">
        <v>1072</v>
      </c>
      <c r="C221" s="743"/>
      <c r="D221" s="2707"/>
      <c r="E221" s="2705" t="s">
        <v>27</v>
      </c>
      <c r="F221" s="2705"/>
      <c r="G221" s="1907" t="s">
        <v>4844</v>
      </c>
      <c r="H221" s="1915" t="s">
        <v>4777</v>
      </c>
      <c r="I221" s="1907" t="str">
        <f>"7-DaHall 1-"&amp;M221&amp;"-"&amp;L221&amp;"-"&amp;N221</f>
        <v>7-DaHall 1-PDU-01-30-42</v>
      </c>
      <c r="J221" s="1915" t="str">
        <f>"7-DaHall 1-"&amp;Q221&amp;"-"&amp;P221&amp;"-"&amp;R221</f>
        <v>7-DaHall 1-PDU-02-30-42</v>
      </c>
      <c r="K221" s="1947">
        <v>220</v>
      </c>
      <c r="L221" s="1910">
        <v>30</v>
      </c>
      <c r="M221" s="709" t="s">
        <v>9177</v>
      </c>
      <c r="N221" s="1911">
        <v>42</v>
      </c>
      <c r="O221" s="1949">
        <v>220</v>
      </c>
      <c r="P221" s="1917">
        <v>30</v>
      </c>
      <c r="Q221" s="693" t="s">
        <v>9178</v>
      </c>
      <c r="R221" s="1918">
        <v>42</v>
      </c>
      <c r="S221" s="709" t="s">
        <v>1073</v>
      </c>
      <c r="T221" s="693" t="s">
        <v>1074</v>
      </c>
      <c r="U221" s="2153"/>
      <c r="V221" s="2153"/>
      <c r="W221" s="2153"/>
      <c r="X221" s="2153"/>
      <c r="Y221" s="2153"/>
      <c r="Z221" s="2153"/>
      <c r="AA221" s="2244" t="s">
        <v>173</v>
      </c>
      <c r="AB221" s="922" t="s">
        <v>174</v>
      </c>
      <c r="AC221" s="2244" t="s">
        <v>1071</v>
      </c>
      <c r="AD221" s="922" t="s">
        <v>112</v>
      </c>
      <c r="AE221" s="2244" t="s">
        <v>31</v>
      </c>
      <c r="AF221" s="922" t="s">
        <v>36</v>
      </c>
      <c r="AG221" s="687" t="n">
        <f>SUM('7층_부하량(월간_AVG)'!N83:P83)</f>
        <v>2.890650972517606</v>
      </c>
      <c r="AH221" s="1076" t="n">
        <f>SUM('7층_부하량(월간_AVG)'!N51:P51)</f>
        <v>3.9345923951322033</v>
      </c>
      <c r="AI221" s="1327" t="n">
        <f>AG221+AH221</f>
        <v>6.82524336764981</v>
      </c>
      <c r="AJ221" s="3056" t="n" cm="1">
        <f t="array" ref="AJ221">INDEX('각층분기별_유효전력량(전월)'!L2:L2000,MATCH(1,("7-DaHall 1-PDU-01"='각층분기별_유효전력량(전월)'!J2:J2000)*("[branch#042] [A] kWh last month"='각층분기별_유효전력량(전월)'!K2:K2000),0))</f>
        <v>529.6</v>
      </c>
      <c r="AK221" s="3057" t="n" cm="1">
        <f t="array" ref="AK221">INDEX('각층분기별_유효전력량(전월)'!L2:L2000,MATCH(1,("7-DaHall 1-PDU-02"='각층분기별_유효전력량(전월)'!J2:J2000)*("[branch#042] [A] kWh last month"='각층분기별_유효전력량(전월)'!K2:K2000),0))</f>
        <v>717.5</v>
      </c>
      <c r="AL221" s="3071" t="n">
        <f t="shared" si="48"/>
        <v>1247.1</v>
      </c>
      <c r="AM221" s="2152" t="s">
        <v>1058</v>
      </c>
      <c r="AN221" s="2747"/>
    </row>
    <row r="222" spans="1:45" ht="13.5" hidden="1" customHeight="1" x14ac:dyDescent="0.15">
      <c r="A222" s="3099"/>
      <c r="B222" s="2705" t="s">
        <v>1075</v>
      </c>
      <c r="C222" s="739" t="s">
        <v>1076</v>
      </c>
      <c r="D222" s="739" t="s">
        <v>1077</v>
      </c>
      <c r="E222" s="937"/>
      <c r="F222" s="937"/>
      <c r="G222" s="1967"/>
      <c r="H222" s="1968"/>
      <c r="I222" s="1967"/>
      <c r="J222" s="1968"/>
      <c r="K222" s="1969"/>
      <c r="L222" s="930"/>
      <c r="M222" s="930"/>
      <c r="N222" s="1970"/>
      <c r="O222" s="1971"/>
      <c r="P222" s="1972"/>
      <c r="Q222" s="930"/>
      <c r="R222" s="1970"/>
      <c r="S222" s="930"/>
      <c r="T222" s="930"/>
      <c r="U222" s="930"/>
      <c r="V222" s="930"/>
      <c r="W222" s="930"/>
      <c r="X222" s="930"/>
      <c r="Y222" s="930"/>
      <c r="Z222" s="930"/>
      <c r="AA222" s="930"/>
      <c r="AB222" s="930"/>
      <c r="AC222" s="930"/>
      <c r="AD222" s="930"/>
      <c r="AE222" s="930"/>
      <c r="AF222" s="917"/>
      <c r="AG222" s="977"/>
      <c r="AH222" s="1103"/>
      <c r="AI222" s="1341"/>
      <c r="AJ222" s="3069"/>
      <c r="AK222" s="3070"/>
      <c r="AL222" s="3071" t="n">
        <f t="shared" si="48"/>
        <v>0.0</v>
      </c>
      <c r="AM222" s="2739" t="s">
        <v>1078</v>
      </c>
      <c r="AN222" s="2747"/>
    </row>
    <row r="223" spans="1:45" ht="13.5" hidden="1" customHeight="1" x14ac:dyDescent="0.15">
      <c r="A223" s="3099"/>
      <c r="B223" s="2705" t="s">
        <v>1079</v>
      </c>
      <c r="C223" s="739" t="s">
        <v>1080</v>
      </c>
      <c r="D223" s="739" t="s">
        <v>1081</v>
      </c>
      <c r="E223" s="937"/>
      <c r="F223" s="937"/>
      <c r="G223" s="1967"/>
      <c r="H223" s="1968"/>
      <c r="I223" s="1967"/>
      <c r="J223" s="1968"/>
      <c r="K223" s="1969"/>
      <c r="L223" s="930"/>
      <c r="M223" s="930"/>
      <c r="N223" s="1970"/>
      <c r="O223" s="1971"/>
      <c r="P223" s="1972"/>
      <c r="Q223" s="930"/>
      <c r="R223" s="1970"/>
      <c r="S223" s="930"/>
      <c r="T223" s="930"/>
      <c r="U223" s="930"/>
      <c r="V223" s="930"/>
      <c r="W223" s="930"/>
      <c r="X223" s="930"/>
      <c r="Y223" s="930"/>
      <c r="Z223" s="930"/>
      <c r="AA223" s="930"/>
      <c r="AB223" s="930"/>
      <c r="AC223" s="930"/>
      <c r="AD223" s="930"/>
      <c r="AE223" s="930"/>
      <c r="AF223" s="917"/>
      <c r="AG223" s="977"/>
      <c r="AH223" s="1103"/>
      <c r="AI223" s="1341"/>
      <c r="AJ223" s="3069"/>
      <c r="AK223" s="3070"/>
      <c r="AL223" s="3071" t="n">
        <f t="shared" si="48"/>
        <v>0.0</v>
      </c>
      <c r="AM223" s="2739" t="s">
        <v>1078</v>
      </c>
      <c r="AN223" s="2747"/>
    </row>
    <row r="224" spans="1:45" ht="40.5" x14ac:dyDescent="0.15">
      <c r="A224" s="3099"/>
      <c r="B224" s="2705" t="s">
        <v>1082</v>
      </c>
      <c r="C224" s="2707" t="s">
        <v>1083</v>
      </c>
      <c r="D224" s="2707" t="s">
        <v>1084</v>
      </c>
      <c r="E224" s="2705" t="s">
        <v>27</v>
      </c>
      <c r="F224" s="2705"/>
      <c r="G224" s="1907" t="s">
        <v>9532</v>
      </c>
      <c r="H224" s="1915" t="s">
        <v>9533</v>
      </c>
      <c r="I224" s="1907" t="str">
        <f>"7-DaHall 1-"&amp;M224&amp;"-"&amp;L224&amp;"-"&amp;N224</f>
        <v>7-DaHall 1-PDU-01-30-34</v>
      </c>
      <c r="J224" s="1915" t="str">
        <f>"7-DaHall 1-"&amp;Q224&amp;"-"&amp;P224&amp;"-"&amp;R224</f>
        <v>7-DaHall 1-PDU-02-30-34</v>
      </c>
      <c r="K224" s="1909">
        <v>220</v>
      </c>
      <c r="L224" s="1910">
        <v>30</v>
      </c>
      <c r="M224" s="709" t="s">
        <v>9177</v>
      </c>
      <c r="N224" s="1911">
        <v>34</v>
      </c>
      <c r="O224" s="1916">
        <v>220</v>
      </c>
      <c r="P224" s="1917">
        <v>30</v>
      </c>
      <c r="Q224" s="693" t="s">
        <v>9178</v>
      </c>
      <c r="R224" s="1918">
        <v>34</v>
      </c>
      <c r="S224" s="709" t="s">
        <v>1085</v>
      </c>
      <c r="T224" s="693" t="s">
        <v>1086</v>
      </c>
      <c r="U224" s="930"/>
      <c r="V224" s="930"/>
      <c r="W224" s="930"/>
      <c r="X224" s="930"/>
      <c r="Y224" s="930"/>
      <c r="Z224" s="930"/>
      <c r="AA224" s="2740" t="s">
        <v>173</v>
      </c>
      <c r="AB224" s="2722" t="s">
        <v>174</v>
      </c>
      <c r="AC224" s="2740" t="s">
        <v>111</v>
      </c>
      <c r="AD224" s="2722" t="s">
        <v>112</v>
      </c>
      <c r="AE224" s="2244" t="s">
        <v>31</v>
      </c>
      <c r="AF224" s="922" t="s">
        <v>36</v>
      </c>
      <c r="AG224" s="687" t="n">
        <f>SUM('7층_부하량(월간_AVG)'!N79:P79)</f>
        <v>4.028678952474461</v>
      </c>
      <c r="AH224" s="1076" t="n">
        <f>SUM('7층_부하량(월간_AVG)'!N47:P47)</f>
        <v>2.8910744098567793</v>
      </c>
      <c r="AI224" s="1327" t="n">
        <f>AG224+AH224</f>
        <v>6.919753362331241</v>
      </c>
      <c r="AJ224" s="3056" t="n" cm="1">
        <f t="array" ref="AJ224">INDEX('각층분기별_유효전력량(전월)'!L2:L2000,MATCH(1,("7-DaHall 1-PDU-01"='각층분기별_유효전력량(전월)'!J2:J2000)*("[branch#034] [A] kWh last month"='각층분기별_유효전력량(전월)'!K2:K2000),0))</f>
        <v>599.3</v>
      </c>
      <c r="AK224" s="3057" t="n" cm="1">
        <f t="array" ref="AK224">INDEX('각층분기별_유효전력량(전월)'!L2:L2000,MATCH(1,("7-DaHall 1-PDU-02"='각층분기별_유효전력량(전월)'!J2:J2000)*("[branch#034] [A] kWh last month"='각층분기별_유효전력량(전월)'!K2:K2000),0))</f>
        <v>361.9</v>
      </c>
      <c r="AL224" s="3065" t="n">
        <f t="shared" si="48"/>
        <v>961.1999999999999</v>
      </c>
      <c r="AM224" s="2744" t="s">
        <v>1087</v>
      </c>
      <c r="AN224" s="2747"/>
    </row>
    <row r="225" spans="1:40" ht="54" hidden="1" customHeight="1" x14ac:dyDescent="0.15">
      <c r="A225" s="3099"/>
      <c r="B225" s="3128" t="s">
        <v>1088</v>
      </c>
      <c r="C225" s="3130" t="s">
        <v>1089</v>
      </c>
      <c r="D225" s="3132" t="s">
        <v>1090</v>
      </c>
      <c r="E225" s="2705"/>
      <c r="F225" s="2705" t="s">
        <v>27</v>
      </c>
      <c r="G225" s="1887" t="s">
        <v>9534</v>
      </c>
      <c r="H225" s="1919" t="s">
        <v>9535</v>
      </c>
      <c r="I225" s="1887" t="str">
        <f>"7-DaHall 1-"&amp;M225&amp;"-"&amp;L225&amp;"-"&amp;N225</f>
        <v>7-DaHall 1-B-5-100-48</v>
      </c>
      <c r="J225" s="1919" t="str">
        <f>"7-DaHall 1-"&amp;Q225&amp;"-"&amp;P225&amp;"-"&amp;R225</f>
        <v>7-DaHall 1-B-1-100-41</v>
      </c>
      <c r="K225" s="1889">
        <v>48</v>
      </c>
      <c r="L225" s="1890">
        <v>100</v>
      </c>
      <c r="M225" s="2740" t="s">
        <v>890</v>
      </c>
      <c r="N225" s="1891">
        <v>48</v>
      </c>
      <c r="O225" s="1929">
        <v>48</v>
      </c>
      <c r="P225" s="1930">
        <v>100</v>
      </c>
      <c r="Q225" s="2722" t="s">
        <v>306</v>
      </c>
      <c r="R225" s="1920">
        <v>41</v>
      </c>
      <c r="S225" s="2740" t="s">
        <v>1091</v>
      </c>
      <c r="T225" s="2722" t="s">
        <v>1092</v>
      </c>
      <c r="U225" s="2740" t="s">
        <v>894</v>
      </c>
      <c r="V225" s="2722" t="s">
        <v>310</v>
      </c>
      <c r="W225" s="2740" t="s">
        <v>47</v>
      </c>
      <c r="X225" s="2722" t="s">
        <v>453</v>
      </c>
      <c r="Y225" s="2740" t="s">
        <v>49</v>
      </c>
      <c r="Z225" s="2722" t="s">
        <v>50</v>
      </c>
      <c r="AA225" s="2700" t="s">
        <v>51</v>
      </c>
      <c r="AB225" s="2702" t="s">
        <v>52</v>
      </c>
      <c r="AC225" s="2700" t="s">
        <v>30</v>
      </c>
      <c r="AD225" s="2702" t="s">
        <v>35</v>
      </c>
      <c r="AE225" s="2244" t="s">
        <v>31</v>
      </c>
      <c r="AF225" s="922" t="s">
        <v>36</v>
      </c>
      <c r="AG225" s="681"/>
      <c r="AH225" s="1076"/>
      <c r="AI225" s="2746"/>
      <c r="AJ225" s="3060"/>
      <c r="AK225" s="3061"/>
      <c r="AL225" s="3062" t="n">
        <f t="shared" si="48"/>
        <v>0.0</v>
      </c>
      <c r="AM225" s="2744" t="s">
        <v>1087</v>
      </c>
      <c r="AN225" s="2747" t="s">
        <v>1093</v>
      </c>
    </row>
    <row r="226" spans="1:40" ht="41.25" thickBot="1" x14ac:dyDescent="0.2">
      <c r="A226" s="3104"/>
      <c r="B226" s="3129"/>
      <c r="C226" s="3131"/>
      <c r="D226" s="3133"/>
      <c r="E226" s="2741" t="s">
        <v>27</v>
      </c>
      <c r="F226" s="2741"/>
      <c r="G226" s="2076" t="s">
        <v>9536</v>
      </c>
      <c r="H226" s="2077" t="s">
        <v>9537</v>
      </c>
      <c r="I226" s="2076" t="str">
        <f>"7-DaHall 1-"&amp;M226&amp;"-"&amp;L226&amp;"-"&amp;N226</f>
        <v>7-DaHall 1-PDU-01-30-15</v>
      </c>
      <c r="J226" s="2077" t="str">
        <f>"7-DaHall 1-"&amp;Q226&amp;"-"&amp;P226&amp;"-"&amp;R226</f>
        <v>7-DaHall 1-PDU-02-30-15</v>
      </c>
      <c r="K226" s="2078">
        <v>220</v>
      </c>
      <c r="L226" s="2079">
        <v>30</v>
      </c>
      <c r="M226" s="913" t="s">
        <v>9177</v>
      </c>
      <c r="N226" s="2080">
        <v>15</v>
      </c>
      <c r="O226" s="2081">
        <v>220</v>
      </c>
      <c r="P226" s="2082">
        <v>30</v>
      </c>
      <c r="Q226" s="926" t="s">
        <v>9178</v>
      </c>
      <c r="R226" s="2083">
        <v>15</v>
      </c>
      <c r="S226" s="913" t="s">
        <v>1094</v>
      </c>
      <c r="T226" s="926" t="s">
        <v>1095</v>
      </c>
      <c r="U226" s="927"/>
      <c r="V226" s="927"/>
      <c r="W226" s="927"/>
      <c r="X226" s="927"/>
      <c r="Y226" s="927"/>
      <c r="Z226" s="927"/>
      <c r="AA226" s="909" t="s">
        <v>173</v>
      </c>
      <c r="AB226" s="911" t="s">
        <v>174</v>
      </c>
      <c r="AC226" s="909" t="s">
        <v>111</v>
      </c>
      <c r="AD226" s="911" t="s">
        <v>112</v>
      </c>
      <c r="AE226" s="2244" t="s">
        <v>31</v>
      </c>
      <c r="AF226" s="922" t="s">
        <v>36</v>
      </c>
      <c r="AG226" s="696" t="n">
        <f>SUM('7층_부하량(월간_AVG)'!D70:F70)</f>
        <v>0.7121960424198318</v>
      </c>
      <c r="AH226" s="1078" t="n">
        <f>SUM('7층_부하량(월간_AVG)'!D38:F38)</f>
        <v>1.1918898085915388</v>
      </c>
      <c r="AI226" s="1327" t="n">
        <f>AG226+AH226</f>
        <v>1.9040858510113705</v>
      </c>
      <c r="AJ226" s="3056" t="n" cm="1">
        <f t="array" ref="AJ226">INDEX('각층분기별_유효전력량(전월)'!L2:L2000,MATCH(1,("7-DaHall 1-PDU-01"='각층분기별_유효전력량(전월)'!J2:J2000)*("[branch#015] [A] kWh last month"='각층분기별_유효전력량(전월)'!K2:K2000),0))</f>
        <v>71.2</v>
      </c>
      <c r="AK226" s="3057" t="n" cm="1">
        <f t="array" ref="AK226">INDEX('각층분기별_유효전력량(전월)'!L2:L2000,MATCH(1,("7-DaHall 1-PDU-02"='각층분기별_유효전력량(전월)'!J2:J2000)*("[branch#015] [A] kWh last month"='각층분기별_유효전력량(전월)'!K2:K2000),0))</f>
        <v>285.9</v>
      </c>
      <c r="AL226" s="3065" t="n">
        <f t="shared" si="48"/>
        <v>357.09999999999997</v>
      </c>
      <c r="AM226" s="3112"/>
      <c r="AN226" s="685"/>
    </row>
    <row r="227" spans="1:40" ht="13.5" hidden="1" customHeight="1" x14ac:dyDescent="0.15">
      <c r="A227" s="3105" t="s">
        <v>1096</v>
      </c>
      <c r="B227" s="678" t="s">
        <v>1097</v>
      </c>
      <c r="C227" s="738"/>
      <c r="D227" s="738"/>
      <c r="E227" s="1073"/>
      <c r="F227" s="1073"/>
      <c r="G227" s="2084"/>
      <c r="H227" s="2035"/>
      <c r="I227" s="2084"/>
      <c r="J227" s="2035"/>
      <c r="K227" s="2085"/>
      <c r="L227" s="2037"/>
      <c r="M227" s="1074"/>
      <c r="N227" s="2038"/>
      <c r="O227" s="2036"/>
      <c r="P227" s="2037"/>
      <c r="Q227" s="1074"/>
      <c r="R227" s="2038"/>
      <c r="S227" s="1074"/>
      <c r="T227" s="1074"/>
      <c r="U227" s="1074"/>
      <c r="V227" s="1074"/>
      <c r="W227" s="1074"/>
      <c r="X227" s="1095"/>
      <c r="Y227" s="1074"/>
      <c r="Z227" s="1095"/>
      <c r="AA227" s="1074"/>
      <c r="AB227" s="1095"/>
      <c r="AC227" s="1074"/>
      <c r="AD227" s="1095"/>
      <c r="AE227" s="1074"/>
      <c r="AF227" s="1074"/>
      <c r="AG227" s="1096"/>
      <c r="AH227" s="1092"/>
      <c r="AI227" s="1337"/>
      <c r="AJ227" s="3069"/>
      <c r="AK227" s="3070"/>
      <c r="AL227" s="3071" t="n">
        <f t="shared" si="48"/>
        <v>0.0</v>
      </c>
      <c r="AM227" s="705"/>
      <c r="AN227" s="680"/>
    </row>
    <row r="228" spans="1:40" ht="32.1" customHeight="1" x14ac:dyDescent="0.15">
      <c r="A228" s="3099"/>
      <c r="B228" s="2705" t="s">
        <v>1098</v>
      </c>
      <c r="C228" s="2706" t="s">
        <v>1099</v>
      </c>
      <c r="D228" s="2707" t="s">
        <v>1100</v>
      </c>
      <c r="E228" s="2705" t="s">
        <v>807</v>
      </c>
      <c r="F228" s="2705"/>
      <c r="G228" s="1907" t="s">
        <v>9538</v>
      </c>
      <c r="H228" s="1915" t="s">
        <v>9539</v>
      </c>
      <c r="I228" s="1907" t="str">
        <f>"7-DaHall 1-"&amp;M228&amp;"-"&amp;L228&amp;"-"&amp;N228</f>
        <v>7-DaHall 1-PDU-01-30-35</v>
      </c>
      <c r="J228" s="1915" t="str">
        <f>"7-DaHall 1-"&amp;Q228&amp;"-"&amp;P228&amp;"-"&amp;R228</f>
        <v>7-DaHall 1-PDU-02-30-35</v>
      </c>
      <c r="K228" s="1909">
        <v>220</v>
      </c>
      <c r="L228" s="1910">
        <v>30</v>
      </c>
      <c r="M228" s="709" t="s">
        <v>9177</v>
      </c>
      <c r="N228" s="1911">
        <v>35</v>
      </c>
      <c r="O228" s="1916">
        <v>220</v>
      </c>
      <c r="P228" s="1917">
        <v>30</v>
      </c>
      <c r="Q228" s="693" t="s">
        <v>9178</v>
      </c>
      <c r="R228" s="1918">
        <v>35</v>
      </c>
      <c r="S228" s="709" t="s">
        <v>1101</v>
      </c>
      <c r="T228" s="693" t="s">
        <v>1102</v>
      </c>
      <c r="U228" s="739"/>
      <c r="V228" s="739"/>
      <c r="W228" s="739"/>
      <c r="X228" s="739"/>
      <c r="Y228" s="739"/>
      <c r="Z228" s="739"/>
      <c r="AA228" s="2244" t="s">
        <v>173</v>
      </c>
      <c r="AB228" s="922" t="s">
        <v>174</v>
      </c>
      <c r="AC228" s="2244" t="s">
        <v>111</v>
      </c>
      <c r="AD228" s="922" t="s">
        <v>112</v>
      </c>
      <c r="AE228" s="2244" t="s">
        <v>31</v>
      </c>
      <c r="AF228" s="922" t="s">
        <v>36</v>
      </c>
      <c r="AG228" s="687" t="n">
        <f>SUM('7층_부하량(월간_AVG)'!D80:F80)</f>
        <v>5.912690611785123</v>
      </c>
      <c r="AH228" s="682" t="n">
        <f>SUM('7층_부하량(월간_AVG)'!D48:F48)</f>
        <v>5.843931921689665</v>
      </c>
      <c r="AI228" s="1327" t="n">
        <f>AG228+AH228</f>
        <v>11.756622533474786</v>
      </c>
      <c r="AJ228" s="3056" t="n" cm="1">
        <f t="array" ref="AJ228">INDEX('각층분기별_유효전력량(전월)'!L2:L2000,MATCH(1,("7-DaHall 1-PDU-01"='각층분기별_유효전력량(전월)'!J2:J2000)*("[branch#035] [A] kWh last month"='각층분기별_유효전력량(전월)'!K2:K2000),0))</f>
        <v>1080.1</v>
      </c>
      <c r="AK228" s="3057" t="n" cm="1">
        <f t="array" ref="AK228">INDEX('각층분기별_유효전력량(전월)'!L2:L2000,MATCH(1,("7-DaHall 1-PDU-02"='각층분기별_유효전력량(전월)'!J2:J2000)*("[branch#035] [A] kWh last month"='각층분기별_유효전력량(전월)'!K2:K2000),0))</f>
        <v>1045.0</v>
      </c>
      <c r="AL228" s="3065" t="n">
        <f t="shared" si="48"/>
        <v>2125.1</v>
      </c>
      <c r="AM228" s="2739" t="s">
        <v>1103</v>
      </c>
      <c r="AN228" s="2747" t="s">
        <v>1104</v>
      </c>
    </row>
    <row r="229" spans="1:40" ht="40.5" x14ac:dyDescent="0.15">
      <c r="A229" s="3099"/>
      <c r="B229" s="2705" t="s">
        <v>1105</v>
      </c>
      <c r="C229" s="2706" t="s">
        <v>1106</v>
      </c>
      <c r="D229" s="2707" t="s">
        <v>1107</v>
      </c>
      <c r="E229" s="2705" t="s">
        <v>807</v>
      </c>
      <c r="F229" s="2705"/>
      <c r="G229" s="1907" t="s">
        <v>9540</v>
      </c>
      <c r="H229" s="1915" t="s">
        <v>9541</v>
      </c>
      <c r="I229" s="1907" t="str">
        <f>"7-DaHall 1-"&amp;M229&amp;"-"&amp;L229&amp;"-"&amp;N229</f>
        <v>7-DaHall 1-PDU-01-30-33</v>
      </c>
      <c r="J229" s="1915" t="str">
        <f>"7-DaHall 1-"&amp;Q229&amp;"-"&amp;P229&amp;"-"&amp;R229</f>
        <v>7-DaHall 1-PDU-02-30-33</v>
      </c>
      <c r="K229" s="1909">
        <v>220</v>
      </c>
      <c r="L229" s="1910">
        <v>30</v>
      </c>
      <c r="M229" s="709" t="s">
        <v>9177</v>
      </c>
      <c r="N229" s="1911">
        <v>33</v>
      </c>
      <c r="O229" s="1916">
        <v>220</v>
      </c>
      <c r="P229" s="1917">
        <v>30</v>
      </c>
      <c r="Q229" s="693" t="s">
        <v>9178</v>
      </c>
      <c r="R229" s="1918">
        <v>33</v>
      </c>
      <c r="S229" s="709" t="s">
        <v>1108</v>
      </c>
      <c r="T229" s="693" t="s">
        <v>1109</v>
      </c>
      <c r="U229" s="739"/>
      <c r="V229" s="739"/>
      <c r="W229" s="739"/>
      <c r="X229" s="739"/>
      <c r="Y229" s="739"/>
      <c r="Z229" s="739"/>
      <c r="AA229" s="2244" t="s">
        <v>173</v>
      </c>
      <c r="AB229" s="922" t="s">
        <v>174</v>
      </c>
      <c r="AC229" s="2244" t="s">
        <v>111</v>
      </c>
      <c r="AD229" s="922" t="s">
        <v>112</v>
      </c>
      <c r="AE229" s="2244" t="s">
        <v>31</v>
      </c>
      <c r="AF229" s="922" t="s">
        <v>36</v>
      </c>
      <c r="AG229" s="687" t="n">
        <f>SUM('7층_부하량(월간_AVG)'!D79:F79)</f>
        <v>8.403934860980502</v>
      </c>
      <c r="AH229" s="682" t="n">
        <f>SUM('7층_부하량(월간_AVG)'!D47:F47)</f>
        <v>8.142526174883903</v>
      </c>
      <c r="AI229" s="1327" t="n">
        <f>AG229+AH229</f>
        <v>16.546461035864404</v>
      </c>
      <c r="AJ229" s="3056" t="n" cm="1">
        <f t="array" ref="AJ229">INDEX('각층분기별_유효전력량(전월)'!L2:L2000,MATCH(1,("7-DaHall 1-PDU-01"='각층분기별_유효전력량(전월)'!J2:J2000)*("[branch#033] [A] kWh last month"='각층분기별_유효전력량(전월)'!K2:K2000),0))</f>
        <v>1333.7</v>
      </c>
      <c r="AK229" s="3057" t="n" cm="1">
        <f t="array" ref="AK229">INDEX('각층분기별_유효전력량(전월)'!L2:L2000,MATCH(1,("7-DaHall 1-PDU-02"='각층분기별_유효전력량(전월)'!J2:J2000)*("[branch#033] [A] kWh last month"='각층분기별_유효전력량(전월)'!K2:K2000),0))</f>
        <v>1295.8</v>
      </c>
      <c r="AL229" s="3065" t="n">
        <f t="shared" si="48"/>
        <v>2629.5</v>
      </c>
      <c r="AM229" s="2739" t="s">
        <v>1103</v>
      </c>
      <c r="AN229" s="2747" t="s">
        <v>1104</v>
      </c>
    </row>
    <row r="230" spans="1:40" ht="40.5" x14ac:dyDescent="0.15">
      <c r="A230" s="3099"/>
      <c r="B230" s="2705" t="s">
        <v>1110</v>
      </c>
      <c r="C230" s="2706" t="s">
        <v>1111</v>
      </c>
      <c r="D230" s="2707" t="s">
        <v>1112</v>
      </c>
      <c r="E230" s="2705" t="s">
        <v>807</v>
      </c>
      <c r="F230" s="2705"/>
      <c r="G230" s="1907" t="s">
        <v>9542</v>
      </c>
      <c r="H230" s="1915" t="s">
        <v>9543</v>
      </c>
      <c r="I230" s="1907" t="str">
        <f>"7-DaHall 1-"&amp;M230&amp;"-"&amp;L230&amp;"-"&amp;N230</f>
        <v>7-DaHall 1-PDU-01-30-31</v>
      </c>
      <c r="J230" s="1915" t="str">
        <f>"7-DaHall 1-"&amp;Q230&amp;"-"&amp;P230&amp;"-"&amp;R230</f>
        <v>7-DaHall 1-PDU-02-30-31</v>
      </c>
      <c r="K230" s="1909">
        <v>220</v>
      </c>
      <c r="L230" s="1910">
        <v>30</v>
      </c>
      <c r="M230" s="709" t="s">
        <v>9177</v>
      </c>
      <c r="N230" s="1911">
        <v>31</v>
      </c>
      <c r="O230" s="1916">
        <v>220</v>
      </c>
      <c r="P230" s="1917">
        <v>30</v>
      </c>
      <c r="Q230" s="693" t="s">
        <v>9178</v>
      </c>
      <c r="R230" s="1918">
        <v>31</v>
      </c>
      <c r="S230" s="709" t="s">
        <v>1113</v>
      </c>
      <c r="T230" s="693" t="s">
        <v>1114</v>
      </c>
      <c r="U230" s="739"/>
      <c r="V230" s="739"/>
      <c r="W230" s="739"/>
      <c r="X230" s="739"/>
      <c r="Y230" s="739"/>
      <c r="Z230" s="739"/>
      <c r="AA230" s="2244" t="s">
        <v>173</v>
      </c>
      <c r="AB230" s="922" t="s">
        <v>174</v>
      </c>
      <c r="AC230" s="2244" t="s">
        <v>111</v>
      </c>
      <c r="AD230" s="922" t="s">
        <v>112</v>
      </c>
      <c r="AE230" s="2244" t="s">
        <v>31</v>
      </c>
      <c r="AF230" s="922" t="s">
        <v>36</v>
      </c>
      <c r="AG230" s="687" t="n">
        <f>SUM('7층_부하량(월간_AVG)'!D78:F78)</f>
        <v>3.9830399989329144</v>
      </c>
      <c r="AH230" s="682" t="n">
        <f>SUM('7층_부하량(월간_AVG)'!D46:F46)</f>
        <v>3.247059909651155</v>
      </c>
      <c r="AI230" s="1327" t="n">
        <f>AG230+AH230</f>
        <v>7.230099908584069</v>
      </c>
      <c r="AJ230" s="3056" t="n" cm="1">
        <f t="array" ref="AJ230">INDEX('각층분기별_유효전력량(전월)'!L2:L2000,MATCH(1,("7-DaHall 1-PDU-01"='각층분기별_유효전력량(전월)'!J2:J2000)*("[branch#031] [A] kWh last month"='각층분기별_유효전력량(전월)'!K2:K2000),0))</f>
        <v>687.5</v>
      </c>
      <c r="AK230" s="3057" t="n" cm="1">
        <f t="array" ref="AK230">INDEX('각층분기별_유효전력량(전월)'!L2:L2000,MATCH(1,("7-DaHall 1-PDU-02"='각층분기별_유효전력량(전월)'!J2:J2000)*("[branch#031] [A] kWh last month"='각층분기별_유효전력량(전월)'!K2:K2000),0))</f>
        <v>527.1</v>
      </c>
      <c r="AL230" s="3065" t="n">
        <f t="shared" si="48"/>
        <v>1214.6</v>
      </c>
      <c r="AM230" s="2739" t="s">
        <v>1103</v>
      </c>
      <c r="AN230" s="2747" t="s">
        <v>1104</v>
      </c>
    </row>
    <row r="231" spans="1:40" ht="40.5" x14ac:dyDescent="0.15">
      <c r="A231" s="3099"/>
      <c r="B231" s="2705" t="s">
        <v>1115</v>
      </c>
      <c r="C231" s="2707" t="s">
        <v>1116</v>
      </c>
      <c r="D231" s="2707" t="s">
        <v>1117</v>
      </c>
      <c r="E231" s="2705" t="s">
        <v>807</v>
      </c>
      <c r="F231" s="2705"/>
      <c r="G231" s="1907" t="s">
        <v>4839</v>
      </c>
      <c r="H231" s="1915" t="s">
        <v>4772</v>
      </c>
      <c r="I231" s="1907" t="str">
        <f>"7-DaHall 1-"&amp;M231&amp;"-"&amp;L231&amp;"-"&amp;N231</f>
        <v>7-DaHall 1-PDU-01-30-39</v>
      </c>
      <c r="J231" s="1915" t="str">
        <f>"7-DaHall 1-"&amp;Q231&amp;"-"&amp;P231&amp;"-"&amp;R231</f>
        <v>7-DaHall 1-PDU-02-30-39</v>
      </c>
      <c r="K231" s="1909">
        <v>220</v>
      </c>
      <c r="L231" s="1910">
        <v>30</v>
      </c>
      <c r="M231" s="709" t="s">
        <v>9177</v>
      </c>
      <c r="N231" s="1911">
        <v>39</v>
      </c>
      <c r="O231" s="1916">
        <v>220</v>
      </c>
      <c r="P231" s="1917">
        <v>30</v>
      </c>
      <c r="Q231" s="693" t="s">
        <v>9178</v>
      </c>
      <c r="R231" s="1918">
        <v>39</v>
      </c>
      <c r="S231" s="709" t="s">
        <v>1118</v>
      </c>
      <c r="T231" s="693" t="s">
        <v>1119</v>
      </c>
      <c r="U231" s="739"/>
      <c r="V231" s="739"/>
      <c r="W231" s="739"/>
      <c r="X231" s="739"/>
      <c r="Y231" s="739"/>
      <c r="Z231" s="739"/>
      <c r="AA231" s="2244" t="s">
        <v>173</v>
      </c>
      <c r="AB231" s="922" t="s">
        <v>174</v>
      </c>
      <c r="AC231" s="2244" t="s">
        <v>111</v>
      </c>
      <c r="AD231" s="922" t="s">
        <v>112</v>
      </c>
      <c r="AE231" s="2244" t="s">
        <v>31</v>
      </c>
      <c r="AF231" s="922" t="s">
        <v>36</v>
      </c>
      <c r="AG231" s="687" t="n">
        <f>SUM('7층_부하량(월간_AVG)'!D82:F82)</f>
        <v>1.3576262984997185</v>
      </c>
      <c r="AH231" s="682" t="n">
        <f>SUM('7층_부하량(월간_AVG)'!D50:F50)</f>
        <v>1.933699706231524</v>
      </c>
      <c r="AI231" s="1327" t="n">
        <f>AG231+AH231</f>
        <v>3.2913260047312427</v>
      </c>
      <c r="AJ231" s="3056" t="n" cm="1">
        <f t="array" ref="AJ231">INDEX('각층분기별_유효전력량(전월)'!L2:L2000,MATCH(1,("7-DaHall 1-PDU-01"='각층분기별_유효전력량(전월)'!J2:J2000)*("[branch#039] [A] kWh last month"='각층분기별_유효전력량(전월)'!K2:K2000),0))</f>
        <v>423.1</v>
      </c>
      <c r="AK231" s="3057" t="n" cm="1">
        <f t="array" ref="AK231">INDEX('각층분기별_유효전력량(전월)'!L2:L2000,MATCH(1,("7-DaHall 1-PDU-02"='각층분기별_유효전력량(전월)'!J2:J2000)*("[branch#039] [A] kWh last month"='각층분기별_유효전력량(전월)'!K2:K2000),0))</f>
        <v>339.2</v>
      </c>
      <c r="AL231" s="3065" t="n">
        <f t="shared" si="48"/>
        <v>762.3</v>
      </c>
      <c r="AM231" s="2739" t="s">
        <v>1103</v>
      </c>
      <c r="AN231" s="2747"/>
    </row>
    <row r="232" spans="1:40" ht="13.5" hidden="1" customHeight="1" x14ac:dyDescent="0.15">
      <c r="A232" s="3099"/>
      <c r="B232" s="2705" t="s">
        <v>1120</v>
      </c>
      <c r="C232" s="739" t="s">
        <v>1121</v>
      </c>
      <c r="D232" s="739" t="s">
        <v>1122</v>
      </c>
      <c r="E232" s="937"/>
      <c r="F232" s="937"/>
      <c r="G232" s="2053"/>
      <c r="H232" s="2062"/>
      <c r="I232" s="2053"/>
      <c r="J232" s="2062"/>
      <c r="K232" s="2054"/>
      <c r="L232" s="917"/>
      <c r="M232" s="917"/>
      <c r="N232" s="2056"/>
      <c r="O232" s="2063"/>
      <c r="P232" s="2055"/>
      <c r="Q232" s="917"/>
      <c r="R232" s="2056"/>
      <c r="S232" s="917"/>
      <c r="T232" s="917"/>
      <c r="U232" s="917"/>
      <c r="V232" s="917"/>
      <c r="W232" s="917"/>
      <c r="X232" s="917"/>
      <c r="Y232" s="917"/>
      <c r="Z232" s="917"/>
      <c r="AA232" s="917"/>
      <c r="AB232" s="917"/>
      <c r="AC232" s="917"/>
      <c r="AD232" s="917"/>
      <c r="AE232" s="917"/>
      <c r="AF232" s="917"/>
      <c r="AG232" s="977"/>
      <c r="AH232" s="978"/>
      <c r="AI232" s="1341"/>
      <c r="AJ232" s="3069"/>
      <c r="AK232" s="3070"/>
      <c r="AL232" s="3071" t="n">
        <f t="shared" si="48"/>
        <v>0.0</v>
      </c>
      <c r="AM232" s="2739" t="s">
        <v>1078</v>
      </c>
      <c r="AN232" s="2747"/>
    </row>
    <row r="233" spans="1:40" ht="13.5" hidden="1" customHeight="1" x14ac:dyDescent="0.15">
      <c r="A233" s="3099"/>
      <c r="B233" s="2705" t="s">
        <v>1123</v>
      </c>
      <c r="C233" s="739" t="s">
        <v>1124</v>
      </c>
      <c r="D233" s="739" t="s">
        <v>1125</v>
      </c>
      <c r="E233" s="937"/>
      <c r="F233" s="937"/>
      <c r="G233" s="2053"/>
      <c r="H233" s="2062"/>
      <c r="I233" s="2053"/>
      <c r="J233" s="2062"/>
      <c r="K233" s="2054"/>
      <c r="L233" s="917"/>
      <c r="M233" s="917"/>
      <c r="N233" s="2056"/>
      <c r="O233" s="2063"/>
      <c r="P233" s="2055"/>
      <c r="Q233" s="917"/>
      <c r="R233" s="2056"/>
      <c r="S233" s="917"/>
      <c r="T233" s="917"/>
      <c r="U233" s="917"/>
      <c r="V233" s="917"/>
      <c r="W233" s="917"/>
      <c r="X233" s="917"/>
      <c r="Y233" s="917"/>
      <c r="Z233" s="917"/>
      <c r="AA233" s="917"/>
      <c r="AB233" s="917"/>
      <c r="AC233" s="917"/>
      <c r="AD233" s="917"/>
      <c r="AE233" s="917"/>
      <c r="AF233" s="917"/>
      <c r="AG233" s="977"/>
      <c r="AH233" s="978"/>
      <c r="AI233" s="1341"/>
      <c r="AJ233" s="3069"/>
      <c r="AK233" s="3070"/>
      <c r="AL233" s="3071" t="n">
        <f t="shared" si="48"/>
        <v>0.0</v>
      </c>
      <c r="AM233" s="2739" t="s">
        <v>1078</v>
      </c>
      <c r="AN233" s="2747"/>
    </row>
    <row r="234" spans="1:40" ht="13.5" hidden="1" customHeight="1" x14ac:dyDescent="0.15">
      <c r="A234" s="3099"/>
      <c r="B234" s="2705" t="s">
        <v>1126</v>
      </c>
      <c r="C234" s="739" t="s">
        <v>1127</v>
      </c>
      <c r="D234" s="739" t="s">
        <v>1128</v>
      </c>
      <c r="E234" s="937"/>
      <c r="F234" s="937"/>
      <c r="G234" s="2053"/>
      <c r="H234" s="2062"/>
      <c r="I234" s="2053"/>
      <c r="J234" s="2062"/>
      <c r="K234" s="2054"/>
      <c r="L234" s="917"/>
      <c r="M234" s="917"/>
      <c r="N234" s="2056"/>
      <c r="O234" s="2063"/>
      <c r="P234" s="2055"/>
      <c r="Q234" s="917"/>
      <c r="R234" s="2056"/>
      <c r="S234" s="917"/>
      <c r="T234" s="917"/>
      <c r="U234" s="917"/>
      <c r="V234" s="917"/>
      <c r="W234" s="917"/>
      <c r="X234" s="917"/>
      <c r="Y234" s="917"/>
      <c r="Z234" s="917"/>
      <c r="AA234" s="917"/>
      <c r="AB234" s="917"/>
      <c r="AC234" s="917"/>
      <c r="AD234" s="917"/>
      <c r="AE234" s="917"/>
      <c r="AF234" s="917"/>
      <c r="AG234" s="977"/>
      <c r="AH234" s="978"/>
      <c r="AI234" s="1341"/>
      <c r="AJ234" s="3069"/>
      <c r="AK234" s="3070"/>
      <c r="AL234" s="3071" t="n">
        <f t="shared" si="48"/>
        <v>0.0</v>
      </c>
      <c r="AM234" s="2739" t="s">
        <v>1078</v>
      </c>
      <c r="AN234" s="2747"/>
    </row>
    <row r="235" spans="1:40" ht="14.25" hidden="1" customHeight="1" thickBot="1" x14ac:dyDescent="0.2">
      <c r="A235" s="3104"/>
      <c r="B235" s="2741" t="s">
        <v>1129</v>
      </c>
      <c r="C235" s="927" t="s">
        <v>1130</v>
      </c>
      <c r="D235" s="927" t="s">
        <v>1131</v>
      </c>
      <c r="E235" s="936"/>
      <c r="F235" s="936"/>
      <c r="G235" s="2064"/>
      <c r="H235" s="2065"/>
      <c r="I235" s="2064"/>
      <c r="J235" s="2065"/>
      <c r="K235" s="2066"/>
      <c r="L235" s="933"/>
      <c r="M235" s="933"/>
      <c r="N235" s="2068"/>
      <c r="O235" s="2069"/>
      <c r="P235" s="2067"/>
      <c r="Q235" s="933"/>
      <c r="R235" s="2068"/>
      <c r="S235" s="933"/>
      <c r="T235" s="933"/>
      <c r="U235" s="933"/>
      <c r="V235" s="933"/>
      <c r="W235" s="933"/>
      <c r="X235" s="933"/>
      <c r="Y235" s="933"/>
      <c r="Z235" s="933"/>
      <c r="AA235" s="933"/>
      <c r="AB235" s="933"/>
      <c r="AC235" s="933"/>
      <c r="AD235" s="933"/>
      <c r="AE235" s="933"/>
      <c r="AF235" s="933"/>
      <c r="AG235" s="1097"/>
      <c r="AH235" s="1098"/>
      <c r="AI235" s="1350"/>
      <c r="AJ235" s="3069"/>
      <c r="AK235" s="3070"/>
      <c r="AL235" s="3071" t="n">
        <f t="shared" si="48"/>
        <v>0.0</v>
      </c>
      <c r="AM235" s="704" t="s">
        <v>1078</v>
      </c>
      <c r="AN235" s="685"/>
    </row>
    <row r="236" spans="1:40" ht="13.5" hidden="1" customHeight="1" x14ac:dyDescent="0.15">
      <c r="A236" s="3105" t="s">
        <v>1132</v>
      </c>
      <c r="B236" s="678" t="s">
        <v>1133</v>
      </c>
      <c r="C236" s="738"/>
      <c r="D236" s="738"/>
      <c r="E236" s="1073"/>
      <c r="F236" s="1073"/>
      <c r="G236" s="1903"/>
      <c r="H236" s="2035"/>
      <c r="I236" s="1903"/>
      <c r="J236" s="2035"/>
      <c r="K236" s="1904"/>
      <c r="L236" s="914"/>
      <c r="M236" s="914"/>
      <c r="N236" s="1906"/>
      <c r="O236" s="2036"/>
      <c r="P236" s="2037"/>
      <c r="Q236" s="1074"/>
      <c r="R236" s="2038"/>
      <c r="S236" s="914"/>
      <c r="T236" s="1074"/>
      <c r="U236" s="738"/>
      <c r="V236" s="738"/>
      <c r="W236" s="738"/>
      <c r="X236" s="738"/>
      <c r="Y236" s="738"/>
      <c r="Z236" s="738"/>
      <c r="AA236" s="914"/>
      <c r="AB236" s="1074"/>
      <c r="AC236" s="914"/>
      <c r="AD236" s="1074"/>
      <c r="AE236" s="914"/>
      <c r="AF236" s="1074"/>
      <c r="AG236" s="976"/>
      <c r="AH236" s="1092"/>
      <c r="AI236" s="1337"/>
      <c r="AJ236" s="3069"/>
      <c r="AK236" s="3070"/>
      <c r="AL236" s="3071" t="n">
        <f t="shared" si="48"/>
        <v>0.0</v>
      </c>
      <c r="AM236" s="705"/>
      <c r="AN236" s="680"/>
    </row>
    <row r="237" spans="1:40" ht="48" customHeight="1" x14ac:dyDescent="0.15">
      <c r="A237" s="3099"/>
      <c r="B237" s="2705" t="s">
        <v>1134</v>
      </c>
      <c r="C237" s="2706" t="s">
        <v>1135</v>
      </c>
      <c r="D237" s="2707" t="s">
        <v>1136</v>
      </c>
      <c r="E237" s="2705" t="s">
        <v>27</v>
      </c>
      <c r="F237" s="2705"/>
      <c r="G237" s="1907" t="s">
        <v>9544</v>
      </c>
      <c r="H237" s="1915" t="s">
        <v>9545</v>
      </c>
      <c r="I237" s="1907" t="str">
        <f t="shared" ref="I237:I246" si="51">"7-DaHall 1-"&amp;M237&amp;"-"&amp;L237&amp;"-"&amp;N237</f>
        <v>7-DaHall 1-RPP-03-50-8</v>
      </c>
      <c r="J237" s="1915" t="str">
        <f t="shared" ref="J237:J248" si="52">"7-DaHall 1-"&amp;Q237&amp;"-"&amp;P237&amp;"-"&amp;R237</f>
        <v>7-DaHall 1-RPP-04-50-8</v>
      </c>
      <c r="K237" s="1909">
        <v>220</v>
      </c>
      <c r="L237" s="1910">
        <v>50</v>
      </c>
      <c r="M237" s="709" t="s">
        <v>9521</v>
      </c>
      <c r="N237" s="1911">
        <v>8</v>
      </c>
      <c r="O237" s="1916">
        <v>220</v>
      </c>
      <c r="P237" s="1917">
        <v>50</v>
      </c>
      <c r="Q237" s="693" t="s">
        <v>9522</v>
      </c>
      <c r="R237" s="1918">
        <v>8</v>
      </c>
      <c r="S237" s="709" t="s">
        <v>1137</v>
      </c>
      <c r="T237" s="693" t="s">
        <v>1138</v>
      </c>
      <c r="U237" s="2740" t="s">
        <v>1139</v>
      </c>
      <c r="V237" s="2722" t="s">
        <v>1140</v>
      </c>
      <c r="W237" s="2244" t="s">
        <v>1024</v>
      </c>
      <c r="X237" s="922" t="s">
        <v>1025</v>
      </c>
      <c r="Y237" s="2244" t="s">
        <v>1026</v>
      </c>
      <c r="Z237" s="922" t="s">
        <v>1027</v>
      </c>
      <c r="AA237" s="2244" t="s">
        <v>51</v>
      </c>
      <c r="AB237" s="922" t="s">
        <v>52</v>
      </c>
      <c r="AC237" s="2244" t="s">
        <v>30</v>
      </c>
      <c r="AD237" s="922" t="s">
        <v>35</v>
      </c>
      <c r="AE237" s="2244" t="s">
        <v>31</v>
      </c>
      <c r="AF237" s="922" t="s">
        <v>36</v>
      </c>
      <c r="AG237" s="687" t="n">
        <f>SUM('7층_부하량(월간_AVG)'!N123:P123)</f>
        <v>1.960770126643782</v>
      </c>
      <c r="AH237" s="682" t="n">
        <f>SUM('7층_부하량(월간_AVG)'!N131:P131)</f>
        <v>1.8589862345497523</v>
      </c>
      <c r="AI237" s="1327" t="n">
        <f>AG237+AH237</f>
        <v>3.8197563611935346</v>
      </c>
      <c r="AJ237" s="3056" t="n" cm="1">
        <f t="array" ref="AJ237">INDEX('각층분기별_유효전력량(전월)'!L2:L2000,MATCH(1,("7-DaHall 1-RPP-03"='각층분기별_유효전력량(전월)'!J2:J2000)*("[branch#008] [A] kWh last month"='각층분기별_유효전력량(전월)'!K2:K2000),0))</f>
        <v>310.7</v>
      </c>
      <c r="AK237" s="3057" t="n" cm="1">
        <f t="array" ref="AK237">INDEX('각층분기별_유효전력량(전월)'!L2:L2000,MATCH(1,("7-DaHall 1-RPP-04"='각층분기별_유효전력량(전월)'!J2:J2000)*("[branch#008] [A] kWh last month"='각층분기별_유효전력량(전월)'!K2:K2000),0))</f>
        <v>301.6</v>
      </c>
      <c r="AL237" s="3065" t="n">
        <f t="shared" si="48"/>
        <v>612.3</v>
      </c>
      <c r="AM237" s="2739" t="s">
        <v>1141</v>
      </c>
      <c r="AN237" s="2747"/>
    </row>
    <row r="238" spans="1:40" ht="40.5" x14ac:dyDescent="0.15">
      <c r="A238" s="3099"/>
      <c r="B238" s="2705" t="s">
        <v>1142</v>
      </c>
      <c r="C238" s="2706" t="s">
        <v>1143</v>
      </c>
      <c r="D238" s="2707" t="s">
        <v>1144</v>
      </c>
      <c r="E238" s="2705" t="s">
        <v>27</v>
      </c>
      <c r="F238" s="2705"/>
      <c r="G238" s="1907" t="s">
        <v>9546</v>
      </c>
      <c r="H238" s="1915" t="s">
        <v>9547</v>
      </c>
      <c r="I238" s="1907" t="str">
        <f t="shared" si="51"/>
        <v>7-DaHall 1-RPP-03-50-6</v>
      </c>
      <c r="J238" s="1915" t="str">
        <f t="shared" si="52"/>
        <v>7-DaHall 1-RPP-04-50-6</v>
      </c>
      <c r="K238" s="1909">
        <v>220</v>
      </c>
      <c r="L238" s="1910">
        <v>50</v>
      </c>
      <c r="M238" s="709" t="s">
        <v>9521</v>
      </c>
      <c r="N238" s="1911">
        <v>6</v>
      </c>
      <c r="O238" s="1916">
        <v>220</v>
      </c>
      <c r="P238" s="1917">
        <v>50</v>
      </c>
      <c r="Q238" s="693" t="s">
        <v>9522</v>
      </c>
      <c r="R238" s="1918">
        <v>6</v>
      </c>
      <c r="S238" s="709" t="s">
        <v>1145</v>
      </c>
      <c r="T238" s="693" t="s">
        <v>1146</v>
      </c>
      <c r="U238" s="2740" t="s">
        <v>1147</v>
      </c>
      <c r="V238" s="2722" t="s">
        <v>1148</v>
      </c>
      <c r="W238" s="2244" t="s">
        <v>1024</v>
      </c>
      <c r="X238" s="922" t="s">
        <v>1025</v>
      </c>
      <c r="Y238" s="2244" t="s">
        <v>1026</v>
      </c>
      <c r="Z238" s="922" t="s">
        <v>1027</v>
      </c>
      <c r="AA238" s="2244" t="s">
        <v>51</v>
      </c>
      <c r="AB238" s="922" t="s">
        <v>52</v>
      </c>
      <c r="AC238" s="2244" t="s">
        <v>30</v>
      </c>
      <c r="AD238" s="922" t="s">
        <v>35</v>
      </c>
      <c r="AE238" s="2244" t="s">
        <v>31</v>
      </c>
      <c r="AF238" s="922" t="s">
        <v>36</v>
      </c>
      <c r="AG238" s="687" t="n">
        <f>SUM('7층_부하량(월간_AVG)'!N122:P122)</f>
        <v>1.5083026156086656</v>
      </c>
      <c r="AH238" s="682" t="n">
        <f>SUM('7층_부하량(월간_AVG)'!N130:P130)</f>
        <v>1.3511910226834962</v>
      </c>
      <c r="AI238" s="1327" t="n">
        <f>AG238+AH238</f>
        <v>2.859493638292162</v>
      </c>
      <c r="AJ238" s="3056" t="n" cm="1">
        <f t="array" ref="AJ238">INDEX('각층분기별_유효전력량(전월)'!L2:L2000,MATCH(1,("7-DaHall 1-RPP-03"='각층분기별_유효전력량(전월)'!J2:J2000)*("[branch#006] [A] kWh last month"='각층분기별_유효전력량(전월)'!K2:K2000),0))</f>
        <v>257.0</v>
      </c>
      <c r="AK238" s="3057" t="n" cm="1">
        <f t="array" ref="AK238">INDEX('각층분기별_유효전력량(전월)'!L2:L2000,MATCH(1,("7-DaHall 1-RPP-04"='각층분기별_유효전력량(전월)'!J2:J2000)*("[branch#006] [A] kWh last month"='각층분기별_유효전력량(전월)'!K2:K2000),0))</f>
        <v>250.4</v>
      </c>
      <c r="AL238" s="3065" t="n">
        <f t="shared" si="48"/>
        <v>507.4</v>
      </c>
      <c r="AM238" s="2739" t="s">
        <v>1141</v>
      </c>
      <c r="AN238" s="2747"/>
    </row>
    <row r="239" spans="1:40" ht="40.5" x14ac:dyDescent="0.15">
      <c r="A239" s="3099"/>
      <c r="B239" s="2705" t="s">
        <v>1149</v>
      </c>
      <c r="C239" s="2706" t="s">
        <v>1150</v>
      </c>
      <c r="D239" s="2707" t="s">
        <v>1151</v>
      </c>
      <c r="E239" s="2705" t="s">
        <v>27</v>
      </c>
      <c r="F239" s="2705"/>
      <c r="G239" s="1907" t="s">
        <v>9548</v>
      </c>
      <c r="H239" s="1915" t="s">
        <v>9549</v>
      </c>
      <c r="I239" s="1907" t="str">
        <f t="shared" si="51"/>
        <v>7-DaHall 1-RPP-03-50-10</v>
      </c>
      <c r="J239" s="1915" t="str">
        <f t="shared" si="52"/>
        <v>7-DaHall 1-RPP-04-50-10</v>
      </c>
      <c r="K239" s="1909">
        <v>220</v>
      </c>
      <c r="L239" s="1910">
        <v>50</v>
      </c>
      <c r="M239" s="709" t="s">
        <v>9521</v>
      </c>
      <c r="N239" s="1911">
        <v>10</v>
      </c>
      <c r="O239" s="1916">
        <v>220</v>
      </c>
      <c r="P239" s="1917">
        <v>50</v>
      </c>
      <c r="Q239" s="693" t="s">
        <v>9522</v>
      </c>
      <c r="R239" s="1918">
        <v>10</v>
      </c>
      <c r="S239" s="709" t="s">
        <v>1152</v>
      </c>
      <c r="T239" s="693" t="s">
        <v>1153</v>
      </c>
      <c r="U239" s="2740" t="s">
        <v>1154</v>
      </c>
      <c r="V239" s="2722" t="s">
        <v>1155</v>
      </c>
      <c r="W239" s="2244" t="s">
        <v>1024</v>
      </c>
      <c r="X239" s="922" t="s">
        <v>1025</v>
      </c>
      <c r="Y239" s="2244" t="s">
        <v>1026</v>
      </c>
      <c r="Z239" s="922" t="s">
        <v>1027</v>
      </c>
      <c r="AA239" s="2244" t="s">
        <v>51</v>
      </c>
      <c r="AB239" s="922" t="s">
        <v>52</v>
      </c>
      <c r="AC239" s="2244" t="s">
        <v>30</v>
      </c>
      <c r="AD239" s="922" t="s">
        <v>35</v>
      </c>
      <c r="AE239" s="2244" t="s">
        <v>31</v>
      </c>
      <c r="AF239" s="922" t="s">
        <v>36</v>
      </c>
      <c r="AG239" s="687" t="n">
        <f>SUM('7층_부하량(월간_AVG)'!N124:P124)</f>
        <v>2.617761012045332</v>
      </c>
      <c r="AH239" s="682" t="n">
        <f>SUM('7층_부하량(월간_AVG)'!N132:P132)</f>
        <v>2.8469456107003355</v>
      </c>
      <c r="AI239" s="1327" t="n">
        <f>AG239+AH239</f>
        <v>5.464706622745668</v>
      </c>
      <c r="AJ239" s="3056" t="n" cm="1">
        <f t="array" ref="AJ239">INDEX('각층분기별_유효전력량(전월)'!L2:L2000,MATCH(1,("7-DaHall 1-RPP-03"='각층분기별_유효전력량(전월)'!J2:J2000)*("[branch#010] [A] kWh last month"='각층분기별_유효전력량(전월)'!K2:K2000),0))</f>
        <v>356.2</v>
      </c>
      <c r="AK239" s="3057" t="n" cm="1">
        <f t="array" ref="AK239">INDEX('각층분기별_유효전력량(전월)'!L2:L2000,MATCH(1,("7-DaHall 1-RPP-04"='각층분기별_유효전력량(전월)'!J2:J2000)*("[branch#010] [A] kWh last month"='각층분기별_유효전력량(전월)'!K2:K2000),0))</f>
        <v>381.7</v>
      </c>
      <c r="AL239" s="3065" t="n">
        <f t="shared" si="48"/>
        <v>737.9</v>
      </c>
      <c r="AM239" s="2739" t="s">
        <v>1141</v>
      </c>
      <c r="AN239" s="2747"/>
    </row>
    <row r="240" spans="1:40" ht="40.5" x14ac:dyDescent="0.15">
      <c r="A240" s="3099"/>
      <c r="B240" s="2705" t="s">
        <v>1156</v>
      </c>
      <c r="C240" s="2706" t="s">
        <v>1157</v>
      </c>
      <c r="D240" s="2707" t="s">
        <v>1158</v>
      </c>
      <c r="E240" s="2705" t="s">
        <v>27</v>
      </c>
      <c r="F240" s="2705"/>
      <c r="G240" s="1907" t="s">
        <v>9550</v>
      </c>
      <c r="H240" s="1915" t="s">
        <v>9551</v>
      </c>
      <c r="I240" s="1907" t="str">
        <f t="shared" si="51"/>
        <v>7-DaHall 1-RPP-03-50-9</v>
      </c>
      <c r="J240" s="1915" t="str">
        <f t="shared" si="52"/>
        <v>7-DaHall 1-RPP-04-50-9</v>
      </c>
      <c r="K240" s="1909">
        <v>220</v>
      </c>
      <c r="L240" s="1910">
        <v>50</v>
      </c>
      <c r="M240" s="709" t="s">
        <v>9521</v>
      </c>
      <c r="N240" s="1911">
        <v>9</v>
      </c>
      <c r="O240" s="1916">
        <v>220</v>
      </c>
      <c r="P240" s="1917">
        <v>50</v>
      </c>
      <c r="Q240" s="693" t="s">
        <v>9522</v>
      </c>
      <c r="R240" s="1918">
        <v>9</v>
      </c>
      <c r="S240" s="709" t="s">
        <v>1159</v>
      </c>
      <c r="T240" s="693" t="s">
        <v>1160</v>
      </c>
      <c r="U240" s="2740" t="s">
        <v>1161</v>
      </c>
      <c r="V240" s="2722" t="s">
        <v>1162</v>
      </c>
      <c r="W240" s="2244" t="s">
        <v>1024</v>
      </c>
      <c r="X240" s="922" t="s">
        <v>1025</v>
      </c>
      <c r="Y240" s="2244" t="s">
        <v>1026</v>
      </c>
      <c r="Z240" s="922" t="s">
        <v>1027</v>
      </c>
      <c r="AA240" s="2244" t="s">
        <v>51</v>
      </c>
      <c r="AB240" s="922" t="s">
        <v>52</v>
      </c>
      <c r="AC240" s="2244" t="s">
        <v>30</v>
      </c>
      <c r="AD240" s="922" t="s">
        <v>35</v>
      </c>
      <c r="AE240" s="2244" t="s">
        <v>31</v>
      </c>
      <c r="AF240" s="922" t="s">
        <v>36</v>
      </c>
      <c r="AG240" s="687" t="n">
        <f>SUM('7층_부하량(월간_AVG)'!D124:F124)</f>
        <v>2.6297433817909015</v>
      </c>
      <c r="AH240" s="682" t="n">
        <f>SUM('7층_부하량(월간_AVG)'!D132:F132)</f>
        <v>1.710184587210173</v>
      </c>
      <c r="AI240" s="1327" t="n">
        <f>AG240+AH240</f>
        <v>4.339927969001074</v>
      </c>
      <c r="AJ240" s="3056" t="n" cm="1">
        <f t="array" ref="AJ240">INDEX('각층분기별_유효전력량(전월)'!L2:L2000,MATCH(1,("7-DaHall 1-RPP-03"='각층분기별_유효전력량(전월)'!J2:J2000)*("[branch#009] [A] kWh last month"='각층분기별_유효전력량(전월)'!K2:K2000),0))</f>
        <v>406.5</v>
      </c>
      <c r="AK240" s="3057" t="n" cm="1">
        <f t="array" ref="AK240">INDEX('각층분기별_유효전력량(전월)'!L2:L2000,MATCH(1,("7-DaHall 1-RPP-04"='각층분기별_유효전력량(전월)'!J2:J2000)*("[branch#009] [A] kWh last month"='각층분기별_유효전력량(전월)'!K2:K2000),0))</f>
        <v>301.6</v>
      </c>
      <c r="AL240" s="3065" t="n">
        <f t="shared" si="48"/>
        <v>708.1</v>
      </c>
      <c r="AM240" s="2739" t="s">
        <v>1141</v>
      </c>
      <c r="AN240" s="2747"/>
    </row>
    <row r="241" spans="1:40" ht="54" hidden="1" customHeight="1" x14ac:dyDescent="0.15">
      <c r="A241" s="3099"/>
      <c r="B241" s="3128" t="s">
        <v>1163</v>
      </c>
      <c r="C241" s="3130" t="s">
        <v>1164</v>
      </c>
      <c r="D241" s="3132" t="s">
        <v>1165</v>
      </c>
      <c r="E241" s="2705"/>
      <c r="F241" s="2705" t="s">
        <v>27</v>
      </c>
      <c r="G241" s="1887" t="s">
        <v>9552</v>
      </c>
      <c r="H241" s="1919" t="s">
        <v>9553</v>
      </c>
      <c r="I241" s="1887" t="str">
        <f t="shared" si="51"/>
        <v>7-DaHall 1-B-5-35-42</v>
      </c>
      <c r="J241" s="1919" t="str">
        <f t="shared" si="52"/>
        <v>7-DaHall 1-A-5-35-42</v>
      </c>
      <c r="K241" s="1889">
        <v>48</v>
      </c>
      <c r="L241" s="1890">
        <v>35</v>
      </c>
      <c r="M241" s="2740" t="s">
        <v>890</v>
      </c>
      <c r="N241" s="1891">
        <v>42</v>
      </c>
      <c r="O241" s="1929">
        <v>48</v>
      </c>
      <c r="P241" s="1930">
        <v>35</v>
      </c>
      <c r="Q241" s="2722" t="s">
        <v>891</v>
      </c>
      <c r="R241" s="1920">
        <v>42</v>
      </c>
      <c r="S241" s="2740" t="s">
        <v>1166</v>
      </c>
      <c r="T241" s="2722" t="s">
        <v>1167</v>
      </c>
      <c r="U241" s="2244" t="s">
        <v>894</v>
      </c>
      <c r="V241" s="922" t="s">
        <v>895</v>
      </c>
      <c r="W241" s="2244" t="s">
        <v>47</v>
      </c>
      <c r="X241" s="922" t="s">
        <v>453</v>
      </c>
      <c r="Y241" s="2244" t="s">
        <v>49</v>
      </c>
      <c r="Z241" s="922" t="s">
        <v>50</v>
      </c>
      <c r="AA241" s="2244" t="s">
        <v>51</v>
      </c>
      <c r="AB241" s="922" t="s">
        <v>52</v>
      </c>
      <c r="AC241" s="2244" t="s">
        <v>30</v>
      </c>
      <c r="AD241" s="922" t="s">
        <v>35</v>
      </c>
      <c r="AE241" s="2244" t="s">
        <v>31</v>
      </c>
      <c r="AF241" s="922" t="s">
        <v>36</v>
      </c>
      <c r="AG241" s="700"/>
      <c r="AH241" s="692"/>
      <c r="AI241" s="3122"/>
      <c r="AJ241" s="3123"/>
      <c r="AK241" s="3061"/>
      <c r="AL241" s="3062" t="n">
        <f t="shared" si="48"/>
        <v>0.0</v>
      </c>
      <c r="AM241" s="2322" t="s">
        <v>1141</v>
      </c>
      <c r="AN241" s="1187" t="s">
        <v>1093</v>
      </c>
    </row>
    <row r="242" spans="1:40" ht="54" hidden="1" customHeight="1" x14ac:dyDescent="0.15">
      <c r="A242" s="3099"/>
      <c r="B242" s="3128"/>
      <c r="C242" s="3130"/>
      <c r="D242" s="3132"/>
      <c r="E242" s="2705"/>
      <c r="F242" s="2705" t="s">
        <v>27</v>
      </c>
      <c r="G242" s="1887" t="s">
        <v>9554</v>
      </c>
      <c r="H242" s="1919" t="s">
        <v>9555</v>
      </c>
      <c r="I242" s="1887" t="str">
        <f t="shared" si="51"/>
        <v>7-DaHall 1-B-5-35-43</v>
      </c>
      <c r="J242" s="1919" t="str">
        <f t="shared" si="52"/>
        <v>7-DaHall 1-A-5-35-43</v>
      </c>
      <c r="K242" s="1889">
        <v>48</v>
      </c>
      <c r="L242" s="1890">
        <v>35</v>
      </c>
      <c r="M242" s="2740" t="s">
        <v>890</v>
      </c>
      <c r="N242" s="1891">
        <v>43</v>
      </c>
      <c r="O242" s="1929">
        <v>48</v>
      </c>
      <c r="P242" s="1930">
        <v>35</v>
      </c>
      <c r="Q242" s="2722" t="s">
        <v>891</v>
      </c>
      <c r="R242" s="1920">
        <v>43</v>
      </c>
      <c r="S242" s="2740" t="s">
        <v>1168</v>
      </c>
      <c r="T242" s="2722" t="s">
        <v>1169</v>
      </c>
      <c r="U242" s="2244" t="s">
        <v>894</v>
      </c>
      <c r="V242" s="922" t="s">
        <v>895</v>
      </c>
      <c r="W242" s="2244" t="s">
        <v>47</v>
      </c>
      <c r="X242" s="922" t="s">
        <v>453</v>
      </c>
      <c r="Y242" s="2244" t="s">
        <v>49</v>
      </c>
      <c r="Z242" s="922" t="s">
        <v>50</v>
      </c>
      <c r="AA242" s="2244" t="s">
        <v>51</v>
      </c>
      <c r="AB242" s="922" t="s">
        <v>52</v>
      </c>
      <c r="AC242" s="2244" t="s">
        <v>30</v>
      </c>
      <c r="AD242" s="922" t="s">
        <v>35</v>
      </c>
      <c r="AE242" s="2244" t="s">
        <v>31</v>
      </c>
      <c r="AF242" s="922" t="s">
        <v>36</v>
      </c>
      <c r="AG242" s="700"/>
      <c r="AH242" s="692"/>
      <c r="AI242" s="3122"/>
      <c r="AJ242" s="3123"/>
      <c r="AK242" s="3061"/>
      <c r="AL242" s="3062" t="n">
        <f t="shared" si="48"/>
        <v>0.0</v>
      </c>
      <c r="AM242" s="2322" t="s">
        <v>9556</v>
      </c>
      <c r="AN242" s="1187" t="s">
        <v>1093</v>
      </c>
    </row>
    <row r="243" spans="1:40" ht="40.5" customHeight="1" x14ac:dyDescent="0.15">
      <c r="A243" s="3099"/>
      <c r="B243" s="3128"/>
      <c r="C243" s="3130"/>
      <c r="D243" s="3132"/>
      <c r="E243" s="2705" t="s">
        <v>27</v>
      </c>
      <c r="F243" s="2705"/>
      <c r="G243" s="1907" t="s">
        <v>9557</v>
      </c>
      <c r="H243" s="1915" t="s">
        <v>9558</v>
      </c>
      <c r="I243" s="1907" t="str">
        <f t="shared" si="51"/>
        <v>7-DaHall 1-RPP-03-50-7</v>
      </c>
      <c r="J243" s="1915" t="str">
        <f t="shared" si="52"/>
        <v>7-DaHall 1-RPP-04-50-7</v>
      </c>
      <c r="K243" s="1909">
        <v>220</v>
      </c>
      <c r="L243" s="1910">
        <v>50</v>
      </c>
      <c r="M243" s="709" t="s">
        <v>9521</v>
      </c>
      <c r="N243" s="1911">
        <v>7</v>
      </c>
      <c r="O243" s="1916">
        <v>220</v>
      </c>
      <c r="P243" s="1917">
        <v>50</v>
      </c>
      <c r="Q243" s="693" t="s">
        <v>9522</v>
      </c>
      <c r="R243" s="1918">
        <v>7</v>
      </c>
      <c r="S243" s="709" t="s">
        <v>1170</v>
      </c>
      <c r="T243" s="693" t="s">
        <v>1171</v>
      </c>
      <c r="U243" s="2740" t="s">
        <v>1172</v>
      </c>
      <c r="V243" s="2722" t="s">
        <v>1173</v>
      </c>
      <c r="W243" s="2244" t="s">
        <v>1024</v>
      </c>
      <c r="X243" s="922" t="s">
        <v>1025</v>
      </c>
      <c r="Y243" s="2244" t="s">
        <v>1026</v>
      </c>
      <c r="Z243" s="922" t="s">
        <v>1027</v>
      </c>
      <c r="AA243" s="2244" t="s">
        <v>51</v>
      </c>
      <c r="AB243" s="922" t="s">
        <v>52</v>
      </c>
      <c r="AC243" s="2244" t="s">
        <v>30</v>
      </c>
      <c r="AD243" s="922" t="s">
        <v>35</v>
      </c>
      <c r="AE243" s="2244" t="s">
        <v>31</v>
      </c>
      <c r="AF243" s="922" t="s">
        <v>36</v>
      </c>
      <c r="AG243" s="687" t="n">
        <f>SUM('7층_부하량(월간_AVG)'!D123:F123)</f>
        <v>2.4370190676533103</v>
      </c>
      <c r="AH243" s="682" t="n">
        <f>SUM('7층_부하량(월간_AVG)'!D131:F131)</f>
        <v>4.0821092948290545</v>
      </c>
      <c r="AI243" s="1327" t="n">
        <f>AG243+AH243</f>
        <v>6.519128362482364</v>
      </c>
      <c r="AJ243" s="3056" t="n" cm="1">
        <f t="array" ref="AJ243">INDEX('각층분기별_유효전력량(전월)'!L2:L2000,MATCH(1,("7-DaHall 1-RPP-03"='각층분기별_유효전력량(전월)'!J2:J2000)*("[branch#007] [A] kWh last month"='각층분기별_유효전력량(전월)'!K2:K2000),0))</f>
        <v>400.2</v>
      </c>
      <c r="AK243" s="3057" t="n" cm="1">
        <f t="array" ref="AK243">INDEX('각층분기별_유효전력량(전월)'!L2:L2000,MATCH(1,("7-DaHall 1-RPP-04"='각층분기별_유효전력량(전월)'!J2:J2000)*("[branch#007] [A] kWh last month"='각층분기별_유효전력량(전월)'!K2:K2000),0))</f>
        <v>634.8</v>
      </c>
      <c r="AL243" s="3065" t="n">
        <f t="shared" si="48"/>
        <v>1035.0</v>
      </c>
      <c r="AM243" s="2322" t="s">
        <v>9556</v>
      </c>
      <c r="AN243" s="2747" t="s">
        <v>1093</v>
      </c>
    </row>
    <row r="244" spans="1:40" ht="40.5" x14ac:dyDescent="0.15">
      <c r="A244" s="3099"/>
      <c r="B244" s="2705" t="s">
        <v>1174</v>
      </c>
      <c r="C244" s="2706" t="s">
        <v>1175</v>
      </c>
      <c r="D244" s="2707" t="s">
        <v>1176</v>
      </c>
      <c r="E244" s="2705" t="s">
        <v>27</v>
      </c>
      <c r="F244" s="2705"/>
      <c r="G244" s="1907" t="s">
        <v>9559</v>
      </c>
      <c r="H244" s="1915" t="s">
        <v>9560</v>
      </c>
      <c r="I244" s="1907" t="str">
        <f t="shared" si="51"/>
        <v>7-DaHall 1-RPP-03-50-5</v>
      </c>
      <c r="J244" s="1915" t="str">
        <f t="shared" si="52"/>
        <v>7-DaHall 1-RPP-04-50-5</v>
      </c>
      <c r="K244" s="1909">
        <v>220</v>
      </c>
      <c r="L244" s="1910">
        <v>50</v>
      </c>
      <c r="M244" s="709" t="s">
        <v>9521</v>
      </c>
      <c r="N244" s="1911">
        <v>5</v>
      </c>
      <c r="O244" s="1916">
        <v>220</v>
      </c>
      <c r="P244" s="1917">
        <v>50</v>
      </c>
      <c r="Q244" s="693" t="s">
        <v>9522</v>
      </c>
      <c r="R244" s="1918">
        <v>5</v>
      </c>
      <c r="S244" s="709" t="s">
        <v>1177</v>
      </c>
      <c r="T244" s="693" t="s">
        <v>1178</v>
      </c>
      <c r="U244" s="2740" t="s">
        <v>1179</v>
      </c>
      <c r="V244" s="2722" t="s">
        <v>1180</v>
      </c>
      <c r="W244" s="2244" t="s">
        <v>1024</v>
      </c>
      <c r="X244" s="922" t="s">
        <v>1025</v>
      </c>
      <c r="Y244" s="2244" t="s">
        <v>1026</v>
      </c>
      <c r="Z244" s="922" t="s">
        <v>1027</v>
      </c>
      <c r="AA244" s="2244" t="s">
        <v>51</v>
      </c>
      <c r="AB244" s="922" t="s">
        <v>52</v>
      </c>
      <c r="AC244" s="2244" t="s">
        <v>30</v>
      </c>
      <c r="AD244" s="922" t="s">
        <v>35</v>
      </c>
      <c r="AE244" s="2244" t="s">
        <v>31</v>
      </c>
      <c r="AF244" s="922" t="s">
        <v>36</v>
      </c>
      <c r="AG244" s="687" t="n">
        <f>SUM('7층_부하량(월간_AVG)'!D122:F122)</f>
        <v>3.3003710379336364</v>
      </c>
      <c r="AH244" s="682" t="n">
        <f>SUM('7층_부하량(월간_AVG)'!D130:F130)</f>
        <v>3.928157676721628</v>
      </c>
      <c r="AI244" s="1327" t="n">
        <f>AG244+AH244</f>
        <v>7.228528714655265</v>
      </c>
      <c r="AJ244" s="3056" t="n" cm="1">
        <f t="array" ref="AJ244">INDEX('각층분기별_유효전력량(전월)'!L2:L2000,MATCH(1,("7-DaHall 1-RPP-03"='각층분기별_유효전력량(전월)'!J2:J2000)*("[branch#005] [A] kWh last month"='각층분기별_유효전력량(전월)'!K2:K2000),0))</f>
        <v>513.5</v>
      </c>
      <c r="AK244" s="3057" t="n" cm="1">
        <f t="array" ref="AK244">INDEX('각층분기별_유효전력량(전월)'!L2:L2000,MATCH(1,("7-DaHall 1-RPP-04"='각층분기별_유효전력량(전월)'!J2:J2000)*("[branch#005] [A] kWh last month"='각층분기별_유효전력량(전월)'!K2:K2000),0))</f>
        <v>694.2</v>
      </c>
      <c r="AL244" s="3065" t="n">
        <f t="shared" si="48"/>
        <v>1207.7</v>
      </c>
      <c r="AM244" s="2739" t="s">
        <v>1141</v>
      </c>
      <c r="AN244" s="2747"/>
    </row>
    <row r="245" spans="1:40" ht="40.5" x14ac:dyDescent="0.15">
      <c r="A245" s="3099"/>
      <c r="B245" s="2705" t="s">
        <v>1181</v>
      </c>
      <c r="C245" s="2706" t="s">
        <v>1182</v>
      </c>
      <c r="D245" s="2707" t="s">
        <v>1183</v>
      </c>
      <c r="E245" s="2705" t="s">
        <v>27</v>
      </c>
      <c r="F245" s="2705"/>
      <c r="G245" s="1907" t="s">
        <v>9561</v>
      </c>
      <c r="H245" s="1915" t="s">
        <v>9562</v>
      </c>
      <c r="I245" s="1907" t="str">
        <f t="shared" si="51"/>
        <v>7-DaHall 1-RPP-03-50-3</v>
      </c>
      <c r="J245" s="1915" t="str">
        <f t="shared" si="52"/>
        <v>7-DaHall 1-RPP-04-50-3</v>
      </c>
      <c r="K245" s="1909">
        <v>220</v>
      </c>
      <c r="L245" s="1910">
        <v>50</v>
      </c>
      <c r="M245" s="709" t="s">
        <v>9521</v>
      </c>
      <c r="N245" s="1911">
        <v>3</v>
      </c>
      <c r="O245" s="1916">
        <v>220</v>
      </c>
      <c r="P245" s="1917">
        <v>50</v>
      </c>
      <c r="Q245" s="693" t="s">
        <v>9522</v>
      </c>
      <c r="R245" s="1918">
        <v>3</v>
      </c>
      <c r="S245" s="709" t="s">
        <v>1184</v>
      </c>
      <c r="T245" s="693" t="s">
        <v>1185</v>
      </c>
      <c r="U245" s="2740" t="s">
        <v>1186</v>
      </c>
      <c r="V245" s="2722" t="s">
        <v>1187</v>
      </c>
      <c r="W245" s="2244" t="s">
        <v>1024</v>
      </c>
      <c r="X245" s="922" t="s">
        <v>1025</v>
      </c>
      <c r="Y245" s="2244" t="s">
        <v>1026</v>
      </c>
      <c r="Z245" s="922" t="s">
        <v>1027</v>
      </c>
      <c r="AA245" s="2244" t="s">
        <v>51</v>
      </c>
      <c r="AB245" s="922" t="s">
        <v>52</v>
      </c>
      <c r="AC245" s="2244" t="s">
        <v>30</v>
      </c>
      <c r="AD245" s="922" t="s">
        <v>35</v>
      </c>
      <c r="AE245" s="2244" t="s">
        <v>31</v>
      </c>
      <c r="AF245" s="922" t="s">
        <v>36</v>
      </c>
      <c r="AG245" s="687" t="n">
        <f>SUM('7층_부하량(월간_AVG)'!D121:F121)</f>
        <v>2.9106361147806235</v>
      </c>
      <c r="AH245" s="682" t="n">
        <f>SUM('7층_부하량(월간_AVG)'!D129:F129)</f>
        <v>3.5632002218974472</v>
      </c>
      <c r="AI245" s="1327" t="n">
        <f>AG245+AH245</f>
        <v>6.473836336678071</v>
      </c>
      <c r="AJ245" s="3056" t="n" cm="1">
        <f t="array" ref="AJ245">INDEX('각층분기별_유효전력량(전월)'!L2:L2000,MATCH(1,("7-DaHall 1-RPP-03"='각층분기별_유효전력량(전월)'!J2:J2000)*("[branch#003] [A] kWh last month"='각층분기별_유효전력량(전월)'!K2:K2000),0))</f>
        <v>513.5</v>
      </c>
      <c r="AK245" s="3057" t="n" cm="1">
        <f t="array" ref="AK245">INDEX('각층분기별_유효전력량(전월)'!L2:L2000,MATCH(1,("7-DaHall 1-RPP-04"='각층분기별_유효전력량(전월)'!J2:J2000)*("[branch#003] [A] kWh last month"='각층분기별_유효전력량(전월)'!K2:K2000),0))</f>
        <v>694.2</v>
      </c>
      <c r="AL245" s="3065" t="n">
        <f t="shared" si="48"/>
        <v>1207.7</v>
      </c>
      <c r="AM245" s="2739" t="s">
        <v>1141</v>
      </c>
      <c r="AN245" s="2747"/>
    </row>
    <row r="246" spans="1:40" ht="41.25" thickBot="1" x14ac:dyDescent="0.2">
      <c r="A246" s="3104"/>
      <c r="B246" s="2741" t="s">
        <v>1188</v>
      </c>
      <c r="C246" s="2742" t="s">
        <v>1189</v>
      </c>
      <c r="D246" s="2743" t="s">
        <v>1190</v>
      </c>
      <c r="E246" s="2741" t="s">
        <v>27</v>
      </c>
      <c r="F246" s="2741"/>
      <c r="G246" s="2076" t="s">
        <v>9563</v>
      </c>
      <c r="H246" s="2077" t="s">
        <v>9564</v>
      </c>
      <c r="I246" s="2076" t="str">
        <f t="shared" si="51"/>
        <v>7-DaHall 1-RPP-03-50-1</v>
      </c>
      <c r="J246" s="2077" t="str">
        <f t="shared" si="52"/>
        <v>7-DaHall 1-RPP-04-50-1</v>
      </c>
      <c r="K246" s="2078">
        <v>220</v>
      </c>
      <c r="L246" s="2079">
        <v>50</v>
      </c>
      <c r="M246" s="913" t="s">
        <v>9521</v>
      </c>
      <c r="N246" s="2080">
        <v>1</v>
      </c>
      <c r="O246" s="2081">
        <v>220</v>
      </c>
      <c r="P246" s="2082">
        <v>50</v>
      </c>
      <c r="Q246" s="926" t="s">
        <v>9522</v>
      </c>
      <c r="R246" s="2083">
        <v>1</v>
      </c>
      <c r="S246" s="913" t="s">
        <v>1191</v>
      </c>
      <c r="T246" s="926" t="s">
        <v>1192</v>
      </c>
      <c r="U246" s="909" t="s">
        <v>1193</v>
      </c>
      <c r="V246" s="911" t="s">
        <v>1194</v>
      </c>
      <c r="W246" s="2244" t="s">
        <v>1024</v>
      </c>
      <c r="X246" s="922" t="s">
        <v>1025</v>
      </c>
      <c r="Y246" s="2244" t="s">
        <v>1026</v>
      </c>
      <c r="Z246" s="922" t="s">
        <v>1027</v>
      </c>
      <c r="AA246" s="2244" t="s">
        <v>51</v>
      </c>
      <c r="AB246" s="922" t="s">
        <v>52</v>
      </c>
      <c r="AC246" s="2244" t="s">
        <v>30</v>
      </c>
      <c r="AD246" s="922" t="s">
        <v>35</v>
      </c>
      <c r="AE246" s="2244" t="s">
        <v>31</v>
      </c>
      <c r="AF246" s="922" t="s">
        <v>36</v>
      </c>
      <c r="AG246" s="696" t="n">
        <f>SUM('7층_부하량(월간_AVG)'!D120:F120)</f>
        <v>1.1790352656846237</v>
      </c>
      <c r="AH246" s="684" t="n">
        <f>SUM('7층_부하량(월간_AVG)'!D128:F128)</f>
        <v>1.1785727278286666</v>
      </c>
      <c r="AI246" s="1351" t="n">
        <f t="shared" ref="AI246:AI278" si="53">AG246+AH246</f>
        <v>2.35760799351329</v>
      </c>
      <c r="AJ246" s="3056" t="n" cm="1">
        <f t="array" ref="AJ246">INDEX('각층분기별_유효전력량(전월)'!L2:L2000,MATCH(1,("7-DaHall 1-RPP-03"='각층분기별_유효전력량(전월)'!J2:J2000)*("[branch#001] [A] kWh last month"='각층분기별_유효전력량(전월)'!K2:K2000),0))</f>
        <v>168.8</v>
      </c>
      <c r="AK246" s="3057" t="n" cm="1">
        <f t="array" ref="AK246">INDEX('각층분기별_유효전력량(전월)'!L2:L2000,MATCH(1,("7-DaHall 1-RPP-04"='각층분기별_유효전력량(전월)'!J2:J2000)*("[branch#001] [A] kWh last month"='각층분기별_유효전력량(전월)'!K2:K2000),0))</f>
        <v>158.1</v>
      </c>
      <c r="AL246" s="3065" t="n">
        <f t="shared" si="48"/>
        <v>326.9</v>
      </c>
      <c r="AM246" s="704" t="s">
        <v>1141</v>
      </c>
      <c r="AN246" s="685"/>
    </row>
    <row r="247" spans="1:40" ht="41.25" thickBot="1" x14ac:dyDescent="0.2">
      <c r="A247" s="2364"/>
      <c r="B247" s="2365"/>
      <c r="C247" s="2366"/>
      <c r="D247" s="701" t="s">
        <v>1195</v>
      </c>
      <c r="E247" s="678" t="s">
        <v>27</v>
      </c>
      <c r="F247" s="678"/>
      <c r="G247" s="2367"/>
      <c r="H247" s="2012" t="s">
        <v>9565</v>
      </c>
      <c r="I247" s="2367"/>
      <c r="J247" s="2012" t="str">
        <f t="shared" si="52"/>
        <v>7-DaHall 1-PDU-02-30-49</v>
      </c>
      <c r="K247" s="2368"/>
      <c r="L247" s="2369"/>
      <c r="M247" s="2370"/>
      <c r="N247" s="2371"/>
      <c r="O247" s="2087">
        <v>220</v>
      </c>
      <c r="P247" s="2017">
        <v>30</v>
      </c>
      <c r="Q247" s="710" t="s">
        <v>9178</v>
      </c>
      <c r="R247" s="2018">
        <v>49</v>
      </c>
      <c r="S247" s="912"/>
      <c r="T247" s="710" t="s">
        <v>1196</v>
      </c>
      <c r="U247" s="738"/>
      <c r="V247" s="738"/>
      <c r="W247" s="738"/>
      <c r="X247" s="738"/>
      <c r="Y247" s="738"/>
      <c r="Z247" s="738"/>
      <c r="AA247" s="738"/>
      <c r="AB247" s="3094" t="s">
        <v>818</v>
      </c>
      <c r="AC247" s="738"/>
      <c r="AD247" s="3094" t="s">
        <v>301</v>
      </c>
      <c r="AE247" s="2372"/>
      <c r="AF247" s="3094" t="s">
        <v>36</v>
      </c>
      <c r="AG247" s="2373"/>
      <c r="AH247" s="682" t="n">
        <f>SUM('7층_부하량(월간_AVG)'!D55:F55)</f>
        <v>1.0809544928812485</v>
      </c>
      <c r="AI247" s="1327" t="n">
        <f t="shared" si="53"/>
        <v>1.0809544928812485</v>
      </c>
      <c r="AJ247" s="3056"/>
      <c r="AK247" s="3057" t="n" cm="1">
        <f t="array" ref="AK247">INDEX('각층분기별_유효전력량(전월)'!L2:L2000,MATCH(1,("7-DaHall 1-PDU-02"='각층분기별_유효전력량(전월)'!J2:J2000)*("[branch#049] [A] kWh last month"='각층분기별_유효전력량(전월)'!K2:K2000),0))</f>
        <v>210.2</v>
      </c>
      <c r="AL247" s="3065" t="n">
        <f t="shared" si="48"/>
        <v>210.2</v>
      </c>
      <c r="AM247" s="705"/>
      <c r="AN247" s="680"/>
    </row>
    <row r="248" spans="1:40" ht="41.25" thickBot="1" x14ac:dyDescent="0.2">
      <c r="A248" s="2374"/>
      <c r="B248" s="2375"/>
      <c r="C248" s="2376"/>
      <c r="D248" s="2718" t="s">
        <v>1197</v>
      </c>
      <c r="E248" s="2710" t="s">
        <v>27</v>
      </c>
      <c r="F248" s="2710"/>
      <c r="G248" s="2377"/>
      <c r="H248" s="1915" t="s">
        <v>9566</v>
      </c>
      <c r="I248" s="2377"/>
      <c r="J248" s="1915" t="str">
        <f t="shared" si="52"/>
        <v>7-DaHall 1-PDU-02-30-51</v>
      </c>
      <c r="K248" s="2378"/>
      <c r="L248" s="2041"/>
      <c r="M248" s="2379"/>
      <c r="N248" s="2380"/>
      <c r="O248" s="2381">
        <v>220</v>
      </c>
      <c r="P248" s="2009">
        <v>30</v>
      </c>
      <c r="Q248" s="1082" t="s">
        <v>9178</v>
      </c>
      <c r="R248" s="2010">
        <v>51</v>
      </c>
      <c r="S248" s="1083"/>
      <c r="T248" s="1082" t="s">
        <v>1198</v>
      </c>
      <c r="U248" s="1084"/>
      <c r="V248" s="1084"/>
      <c r="W248" s="1084"/>
      <c r="X248" s="1084"/>
      <c r="Y248" s="1084"/>
      <c r="Z248" s="1084"/>
      <c r="AA248" s="1084"/>
      <c r="AB248" s="3094" t="s">
        <v>818</v>
      </c>
      <c r="AC248" s="738"/>
      <c r="AD248" s="3094" t="s">
        <v>301</v>
      </c>
      <c r="AE248" s="2372"/>
      <c r="AF248" s="3094" t="s">
        <v>36</v>
      </c>
      <c r="AG248" s="2382"/>
      <c r="AH248" s="1085" t="n">
        <f>SUM('7층_부하량(월간_AVG)'!D56:F56)</f>
        <v>0.8105199592165466</v>
      </c>
      <c r="AI248" s="2720" t="n">
        <f t="shared" si="53"/>
        <v>0.8105199592165466</v>
      </c>
      <c r="AJ248" s="3056"/>
      <c r="AK248" s="3057" t="n" cm="1">
        <f t="array" ref="AK248">INDEX('각층분기별_유효전력량(전월)'!L2:L2000,MATCH(1,("7-DaHall 1-PDU-02"='각층분기별_유효전력량(전월)'!J2:J2000)*("[branch#051] [A] kWh last month"='각층분기별_유효전력량(전월)'!K2:K2000),0))</f>
        <v>190.0</v>
      </c>
      <c r="AL248" s="3065" t="n">
        <f t="shared" si="48"/>
        <v>190.0</v>
      </c>
      <c r="AM248" s="1075"/>
      <c r="AN248" s="2729"/>
    </row>
    <row r="249" spans="1:40" ht="27.75" hidden="1" customHeight="1" thickBot="1" x14ac:dyDescent="0.2">
      <c r="A249" s="2383"/>
      <c r="B249" s="2384"/>
      <c r="C249" s="2385"/>
      <c r="D249" s="740" t="s">
        <v>1199</v>
      </c>
      <c r="E249" s="2741"/>
      <c r="F249" s="2741"/>
      <c r="G249" s="2076" t="s">
        <v>9567</v>
      </c>
      <c r="H249" s="1933"/>
      <c r="I249" s="2076" t="str">
        <f t="shared" ref="I249:I262" si="54">"7-DaHall 1-"&amp;M249&amp;"-"&amp;L249&amp;"-"&amp;N249</f>
        <v>7-DaHall 1-PDU-03-225-2</v>
      </c>
      <c r="J249" s="1933"/>
      <c r="K249" s="2078">
        <v>220</v>
      </c>
      <c r="L249" s="2079">
        <v>225</v>
      </c>
      <c r="M249" s="913" t="s">
        <v>9169</v>
      </c>
      <c r="N249" s="2080">
        <v>2</v>
      </c>
      <c r="O249" s="1934"/>
      <c r="P249" s="1924"/>
      <c r="Q249" s="915"/>
      <c r="R249" s="1925"/>
      <c r="S249" s="913"/>
      <c r="T249" s="926"/>
      <c r="U249" s="2743"/>
      <c r="V249" s="2743"/>
      <c r="W249" s="2743"/>
      <c r="X249" s="2743"/>
      <c r="Y249" s="2743"/>
      <c r="Z249" s="2743"/>
      <c r="AA249" s="2743"/>
      <c r="AB249" s="911"/>
      <c r="AC249" s="2743"/>
      <c r="AD249" s="911"/>
      <c r="AE249" s="2352"/>
      <c r="AF249" s="911"/>
      <c r="AG249" s="696" t="n">
        <f>SUM('7층_부하량(월간_AVG)'!N138:P138)</f>
        <v>14.807077567106234</v>
      </c>
      <c r="AH249" s="950"/>
      <c r="AI249" s="1351" t="n">
        <f t="shared" si="53"/>
        <v>14.807077567106234</v>
      </c>
      <c r="AJ249" s="3087"/>
      <c r="AK249" s="3088"/>
      <c r="AL249" s="3065" t="n">
        <f t="shared" si="48"/>
        <v>0.0</v>
      </c>
      <c r="AM249" s="704"/>
      <c r="AN249" s="685"/>
    </row>
    <row r="250" spans="1:40" ht="27" customHeight="1" x14ac:dyDescent="0.15">
      <c r="A250" s="3113" t="s">
        <v>1200</v>
      </c>
      <c r="B250" s="1070"/>
      <c r="C250" s="2711"/>
      <c r="D250" s="2711"/>
      <c r="E250" s="2711" t="s">
        <v>807</v>
      </c>
      <c r="F250" s="2711"/>
      <c r="G250" s="2086" t="s">
        <v>9568</v>
      </c>
      <c r="H250" s="2050"/>
      <c r="I250" s="2086" t="str">
        <f t="shared" si="54"/>
        <v>7-DaHall 1-RPP-01-20-1</v>
      </c>
      <c r="J250" s="2050"/>
      <c r="K250" s="2013">
        <v>220</v>
      </c>
      <c r="L250" s="2014">
        <v>20</v>
      </c>
      <c r="M250" s="1068" t="s">
        <v>9203</v>
      </c>
      <c r="N250" s="2015">
        <v>1</v>
      </c>
      <c r="O250" s="2052"/>
      <c r="P250" s="2030"/>
      <c r="Q250" s="975"/>
      <c r="R250" s="1963"/>
      <c r="S250" s="1068" t="s">
        <v>1201</v>
      </c>
      <c r="T250" s="975"/>
      <c r="U250" s="2700" t="s">
        <v>1202</v>
      </c>
      <c r="V250" s="928"/>
      <c r="W250" s="3089" t="s">
        <v>468</v>
      </c>
      <c r="X250" s="928"/>
      <c r="Y250" s="3089" t="s">
        <v>469</v>
      </c>
      <c r="Z250" s="928"/>
      <c r="AA250" s="3089" t="s">
        <v>470</v>
      </c>
      <c r="AB250" s="928"/>
      <c r="AC250" s="3089" t="s">
        <v>30</v>
      </c>
      <c r="AD250" s="928"/>
      <c r="AE250" s="3089" t="s">
        <v>31</v>
      </c>
      <c r="AF250" s="928"/>
      <c r="AG250" s="1069" t="n">
        <f>SUM('7층_부하량(월간_AVG)'!D6:F6)</f>
        <v>0.0</v>
      </c>
      <c r="AH250" s="1071"/>
      <c r="AI250" s="1352" t="n">
        <f t="shared" si="53"/>
        <v>0.0</v>
      </c>
      <c r="AJ250" s="3056" t="n" cm="1">
        <f t="array" ref="AJ250">INDEX('각층분기별_유효전력량(전월)'!L2:L2000,MATCH(1,("7-DaHall 1-RPP-01"='각층분기별_유효전력량(전월)'!J2:J2000)*("[branch#001] [A] kWh last month"='각층분기별_유효전력량(전월)'!K2:K2000),0))</f>
        <v>0.0</v>
      </c>
      <c r="AK250" s="3057"/>
      <c r="AL250" s="3065" t="n">
        <f t="shared" si="48"/>
        <v>0.0</v>
      </c>
      <c r="AM250" s="2733" t="s">
        <v>1203</v>
      </c>
      <c r="AN250" s="2730"/>
    </row>
    <row r="251" spans="1:40" ht="40.5" x14ac:dyDescent="0.15">
      <c r="A251" s="3114"/>
      <c r="B251" s="1064"/>
      <c r="C251" s="2705"/>
      <c r="D251" s="2705"/>
      <c r="E251" s="2705" t="s">
        <v>27</v>
      </c>
      <c r="F251" s="2705"/>
      <c r="G251" s="1907" t="s">
        <v>9569</v>
      </c>
      <c r="H251" s="1933"/>
      <c r="I251" s="1907" t="str">
        <f t="shared" si="54"/>
        <v>7-DaHall 1-RPP-01-30-2</v>
      </c>
      <c r="J251" s="1933"/>
      <c r="K251" s="1909">
        <v>220</v>
      </c>
      <c r="L251" s="1910">
        <v>30</v>
      </c>
      <c r="M251" s="709" t="s">
        <v>9203</v>
      </c>
      <c r="N251" s="1911">
        <v>2</v>
      </c>
      <c r="O251" s="1934"/>
      <c r="P251" s="1924"/>
      <c r="Q251" s="915"/>
      <c r="R251" s="1925"/>
      <c r="S251" s="709" t="s">
        <v>1204</v>
      </c>
      <c r="T251" s="915"/>
      <c r="U251" s="2740" t="s">
        <v>1205</v>
      </c>
      <c r="V251" s="916"/>
      <c r="W251" s="3089" t="s">
        <v>468</v>
      </c>
      <c r="X251" s="928"/>
      <c r="Y251" s="3089" t="s">
        <v>469</v>
      </c>
      <c r="Z251" s="928"/>
      <c r="AA251" s="3089" t="s">
        <v>470</v>
      </c>
      <c r="AB251" s="928"/>
      <c r="AC251" s="3089" t="s">
        <v>30</v>
      </c>
      <c r="AD251" s="928"/>
      <c r="AE251" s="3089" t="s">
        <v>31</v>
      </c>
      <c r="AF251" s="916"/>
      <c r="AG251" s="687" t="n">
        <f>SUM('7층_부하량(월간_AVG)'!N6:P6)</f>
        <v>0.0</v>
      </c>
      <c r="AH251" s="950"/>
      <c r="AI251" s="1353" t="n">
        <f t="shared" si="53"/>
        <v>0.0</v>
      </c>
      <c r="AJ251" s="3056" t="n" cm="1">
        <f t="array" ref="AJ251">INDEX('각층분기별_유효전력량(전월)'!L2:L2000,MATCH(1,("7-DaHall 1-RPP-01"='각층분기별_유효전력량(전월)'!J2:J2000)*("[branch#002] [A] kWh last month"='각층분기별_유효전력량(전월)'!K2:K2000),0))</f>
        <v>0.0</v>
      </c>
      <c r="AK251" s="3057"/>
      <c r="AL251" s="3065" t="n">
        <f t="shared" si="48"/>
        <v>0.0</v>
      </c>
      <c r="AM251" s="980" t="s">
        <v>1206</v>
      </c>
      <c r="AN251" s="2747"/>
    </row>
    <row r="252" spans="1:40" ht="40.5" x14ac:dyDescent="0.15">
      <c r="A252" s="3114"/>
      <c r="B252" s="1064"/>
      <c r="C252" s="2705"/>
      <c r="D252" s="2705"/>
      <c r="E252" s="2705" t="s">
        <v>27</v>
      </c>
      <c r="F252" s="2705"/>
      <c r="G252" s="1907" t="s">
        <v>9570</v>
      </c>
      <c r="H252" s="1933"/>
      <c r="I252" s="1907" t="str">
        <f t="shared" si="54"/>
        <v>7-DaHall 1-RPP-01-20-3</v>
      </c>
      <c r="J252" s="1933"/>
      <c r="K252" s="1909">
        <v>220</v>
      </c>
      <c r="L252" s="1910">
        <v>20</v>
      </c>
      <c r="M252" s="709" t="s">
        <v>9203</v>
      </c>
      <c r="N252" s="1911">
        <v>3</v>
      </c>
      <c r="O252" s="1934"/>
      <c r="P252" s="1924"/>
      <c r="Q252" s="915"/>
      <c r="R252" s="1925"/>
      <c r="S252" s="709" t="s">
        <v>1207</v>
      </c>
      <c r="T252" s="915"/>
      <c r="U252" s="2740" t="s">
        <v>1208</v>
      </c>
      <c r="V252" s="916"/>
      <c r="W252" s="3089" t="s">
        <v>468</v>
      </c>
      <c r="X252" s="928"/>
      <c r="Y252" s="3089" t="s">
        <v>469</v>
      </c>
      <c r="Z252" s="928"/>
      <c r="AA252" s="3089" t="s">
        <v>470</v>
      </c>
      <c r="AB252" s="928"/>
      <c r="AC252" s="3089" t="s">
        <v>30</v>
      </c>
      <c r="AD252" s="928"/>
      <c r="AE252" s="3089" t="s">
        <v>31</v>
      </c>
      <c r="AF252" s="916"/>
      <c r="AG252" s="687" t="n">
        <f>SUM('7층_부하량(월간_AVG)'!D7:F7)</f>
        <v>0.0</v>
      </c>
      <c r="AH252" s="950"/>
      <c r="AI252" s="1353" t="n">
        <f t="shared" si="53"/>
        <v>0.0</v>
      </c>
      <c r="AJ252" s="3056" t="n" cm="1">
        <f t="array" ref="AJ252">INDEX('각층분기별_유효전력량(전월)'!L2:L2000,MATCH(1,("7-DaHall 1-RPP-01"='각층분기별_유효전력량(전월)'!J2:J2000)*("[branch#003] [A] kWh last month"='각층분기별_유효전력량(전월)'!K2:K2000),0))</f>
        <v>0.0</v>
      </c>
      <c r="AK252" s="3057"/>
      <c r="AL252" s="3065" t="n">
        <f t="shared" si="48"/>
        <v>0.0</v>
      </c>
      <c r="AM252" s="2744" t="s">
        <v>1209</v>
      </c>
      <c r="AN252" s="2747"/>
    </row>
    <row r="253" spans="1:40" ht="40.5" x14ac:dyDescent="0.15">
      <c r="A253" s="3114"/>
      <c r="B253" s="1064"/>
      <c r="C253" s="2705"/>
      <c r="D253" s="2705"/>
      <c r="E253" s="2705" t="s">
        <v>27</v>
      </c>
      <c r="F253" s="2705"/>
      <c r="G253" s="1907" t="s">
        <v>9571</v>
      </c>
      <c r="H253" s="1933"/>
      <c r="I253" s="1907" t="str">
        <f t="shared" si="54"/>
        <v>7-DaHall 1-RPP-01-20-5</v>
      </c>
      <c r="J253" s="1933"/>
      <c r="K253" s="1909">
        <v>220</v>
      </c>
      <c r="L253" s="1910">
        <v>20</v>
      </c>
      <c r="M253" s="709" t="s">
        <v>9203</v>
      </c>
      <c r="N253" s="1911">
        <v>5</v>
      </c>
      <c r="O253" s="1934"/>
      <c r="P253" s="1924"/>
      <c r="Q253" s="915"/>
      <c r="R253" s="1925"/>
      <c r="S253" s="709" t="s">
        <v>1210</v>
      </c>
      <c r="T253" s="915"/>
      <c r="U253" s="2740" t="s">
        <v>1211</v>
      </c>
      <c r="V253" s="916"/>
      <c r="W253" s="3089" t="s">
        <v>468</v>
      </c>
      <c r="X253" s="928"/>
      <c r="Y253" s="3089" t="s">
        <v>469</v>
      </c>
      <c r="Z253" s="928"/>
      <c r="AA253" s="3089" t="s">
        <v>470</v>
      </c>
      <c r="AB253" s="928"/>
      <c r="AC253" s="3089" t="s">
        <v>30</v>
      </c>
      <c r="AD253" s="928"/>
      <c r="AE253" s="3089" t="s">
        <v>31</v>
      </c>
      <c r="AF253" s="916"/>
      <c r="AG253" s="687" t="n">
        <f>SUM('7층_부하량(월간_AVG)'!D8:F8)</f>
        <v>0.0</v>
      </c>
      <c r="AH253" s="950"/>
      <c r="AI253" s="1353" t="n">
        <f t="shared" si="53"/>
        <v>0.0</v>
      </c>
      <c r="AJ253" s="3056" t="n" cm="1">
        <f t="array" ref="AJ253">INDEX('각층분기별_유효전력량(전월)'!L2:L2000,MATCH(1,("7-DaHall 1-RPP-01"='각층분기별_유효전력량(전월)'!J2:J2000)*("[branch#005] [A] kWh last month"='각층분기별_유효전력량(전월)'!K2:K2000),0))</f>
        <v>0.0</v>
      </c>
      <c r="AK253" s="3057"/>
      <c r="AL253" s="3065" t="n">
        <f t="shared" si="48"/>
        <v>0.0</v>
      </c>
      <c r="AM253" s="2744" t="s">
        <v>1209</v>
      </c>
      <c r="AN253" s="2747"/>
    </row>
    <row r="254" spans="1:40" ht="40.5" x14ac:dyDescent="0.15">
      <c r="A254" s="3114"/>
      <c r="B254" s="1064"/>
      <c r="C254" s="2705"/>
      <c r="D254" s="2705"/>
      <c r="E254" s="2705" t="s">
        <v>27</v>
      </c>
      <c r="F254" s="2705"/>
      <c r="G254" s="1907" t="s">
        <v>9572</v>
      </c>
      <c r="H254" s="1933"/>
      <c r="I254" s="1907" t="str">
        <f t="shared" si="54"/>
        <v>7-DaHall 1-RPP-01-20-9</v>
      </c>
      <c r="J254" s="1933"/>
      <c r="K254" s="1909">
        <v>220</v>
      </c>
      <c r="L254" s="1910">
        <v>20</v>
      </c>
      <c r="M254" s="709" t="s">
        <v>9203</v>
      </c>
      <c r="N254" s="1911">
        <v>9</v>
      </c>
      <c r="O254" s="1934"/>
      <c r="P254" s="1924"/>
      <c r="Q254" s="915"/>
      <c r="R254" s="1925"/>
      <c r="S254" s="709" t="s">
        <v>1212</v>
      </c>
      <c r="T254" s="915"/>
      <c r="U254" s="2740" t="s">
        <v>1213</v>
      </c>
      <c r="V254" s="916"/>
      <c r="W254" s="3089" t="s">
        <v>468</v>
      </c>
      <c r="X254" s="928"/>
      <c r="Y254" s="3089" t="s">
        <v>469</v>
      </c>
      <c r="Z254" s="928"/>
      <c r="AA254" s="3089" t="s">
        <v>470</v>
      </c>
      <c r="AB254" s="928"/>
      <c r="AC254" s="3089" t="s">
        <v>30</v>
      </c>
      <c r="AD254" s="928"/>
      <c r="AE254" s="3089" t="s">
        <v>31</v>
      </c>
      <c r="AF254" s="916"/>
      <c r="AG254" s="687" t="n">
        <f>SUM('7층_부하량(월간_AVG)'!D10:F10)</f>
        <v>2.4181724246694554</v>
      </c>
      <c r="AH254" s="950"/>
      <c r="AI254" s="1353" t="n">
        <f t="shared" si="53"/>
        <v>2.4181724246694554</v>
      </c>
      <c r="AJ254" s="3056" t="n" cm="1">
        <f t="array" ref="AJ254">INDEX('각층분기별_유효전력량(전월)'!L2:L2000,MATCH(1,("7-DaHall 1-RPP-01"='각층분기별_유효전력량(전월)'!J2:J2000)*("[branch#009] [A] kWh last month"='각층분기별_유효전력량(전월)'!K2:K2000),0))</f>
        <v>420.4</v>
      </c>
      <c r="AK254" s="3057"/>
      <c r="AL254" s="3065" t="n">
        <f t="shared" si="48"/>
        <v>420.4</v>
      </c>
      <c r="AM254" s="2744" t="s">
        <v>1214</v>
      </c>
      <c r="AN254" s="2747"/>
    </row>
    <row r="255" spans="1:40" ht="40.5" x14ac:dyDescent="0.15">
      <c r="A255" s="3114"/>
      <c r="B255" s="1064"/>
      <c r="C255" s="2705"/>
      <c r="D255" s="2705"/>
      <c r="E255" s="2705" t="s">
        <v>27</v>
      </c>
      <c r="F255" s="2705"/>
      <c r="G255" s="1907" t="s">
        <v>9573</v>
      </c>
      <c r="H255" s="1933"/>
      <c r="I255" s="1907" t="str">
        <f t="shared" si="54"/>
        <v>7-DaHall 1-RPP-01-20-13</v>
      </c>
      <c r="J255" s="1933"/>
      <c r="K255" s="1909">
        <v>220</v>
      </c>
      <c r="L255" s="1910">
        <v>20</v>
      </c>
      <c r="M255" s="709" t="s">
        <v>9203</v>
      </c>
      <c r="N255" s="1911">
        <v>13</v>
      </c>
      <c r="O255" s="1934"/>
      <c r="P255" s="1924"/>
      <c r="Q255" s="915"/>
      <c r="R255" s="1925"/>
      <c r="S255" s="709" t="s">
        <v>1215</v>
      </c>
      <c r="T255" s="915"/>
      <c r="U255" s="2740" t="s">
        <v>1216</v>
      </c>
      <c r="V255" s="916"/>
      <c r="W255" s="3089" t="s">
        <v>468</v>
      </c>
      <c r="X255" s="928"/>
      <c r="Y255" s="3089" t="s">
        <v>469</v>
      </c>
      <c r="Z255" s="928"/>
      <c r="AA255" s="3089" t="s">
        <v>470</v>
      </c>
      <c r="AB255" s="928"/>
      <c r="AC255" s="3089" t="s">
        <v>30</v>
      </c>
      <c r="AD255" s="928"/>
      <c r="AE255" s="3089" t="s">
        <v>31</v>
      </c>
      <c r="AF255" s="916"/>
      <c r="AG255" s="687" t="n">
        <f>SUM('7층_부하량(월간_AVG)'!D12:F12)</f>
        <v>1.4136392633700205</v>
      </c>
      <c r="AH255" s="950"/>
      <c r="AI255" s="1353" t="n">
        <f t="shared" si="53"/>
        <v>1.4136392633700205</v>
      </c>
      <c r="AJ255" s="3056" t="n" cm="1">
        <f t="array" ref="AJ255">INDEX('각층분기별_유효전력량(전월)'!L2:L2000,MATCH(1,("7-DaHall 1-RPP-01"='각층분기별_유효전력량(전월)'!J2:J2000)*("[branch#013] [A] kWh last month"='각층분기별_유효전력량(전월)'!K2:K2000),0))</f>
        <v>242.8</v>
      </c>
      <c r="AK255" s="3057"/>
      <c r="AL255" s="3065" t="n">
        <f t="shared" si="48"/>
        <v>242.8</v>
      </c>
      <c r="AM255" s="2744" t="s">
        <v>1217</v>
      </c>
      <c r="AN255" s="2747"/>
    </row>
    <row r="256" spans="1:40" ht="40.5" x14ac:dyDescent="0.15">
      <c r="A256" s="3114"/>
      <c r="B256" s="1064"/>
      <c r="C256" s="2705"/>
      <c r="D256" s="2705"/>
      <c r="E256" s="2705" t="s">
        <v>27</v>
      </c>
      <c r="F256" s="2705"/>
      <c r="G256" s="1907" t="s">
        <v>9574</v>
      </c>
      <c r="H256" s="1933"/>
      <c r="I256" s="1907" t="str">
        <f t="shared" si="54"/>
        <v>7-DaHall 1-RPP-01-20-15</v>
      </c>
      <c r="J256" s="1933"/>
      <c r="K256" s="1909">
        <v>220</v>
      </c>
      <c r="L256" s="1910">
        <v>20</v>
      </c>
      <c r="M256" s="709" t="s">
        <v>9203</v>
      </c>
      <c r="N256" s="1911">
        <v>15</v>
      </c>
      <c r="O256" s="1934"/>
      <c r="P256" s="1924"/>
      <c r="Q256" s="915"/>
      <c r="R256" s="1925"/>
      <c r="S256" s="709" t="s">
        <v>1218</v>
      </c>
      <c r="T256" s="915"/>
      <c r="U256" s="2740" t="s">
        <v>1219</v>
      </c>
      <c r="V256" s="916"/>
      <c r="W256" s="3089" t="s">
        <v>468</v>
      </c>
      <c r="X256" s="928"/>
      <c r="Y256" s="3089" t="s">
        <v>469</v>
      </c>
      <c r="Z256" s="928"/>
      <c r="AA256" s="3089" t="s">
        <v>470</v>
      </c>
      <c r="AB256" s="928"/>
      <c r="AC256" s="3089" t="s">
        <v>30</v>
      </c>
      <c r="AD256" s="928"/>
      <c r="AE256" s="3089" t="s">
        <v>31</v>
      </c>
      <c r="AF256" s="916"/>
      <c r="AG256" s="687" t="n">
        <f>SUM('7층_부하량(월간_AVG)'!D13:F13)</f>
        <v>4.093637746796053</v>
      </c>
      <c r="AH256" s="950"/>
      <c r="AI256" s="1353" t="n">
        <f t="shared" si="53"/>
        <v>4.093637746796053</v>
      </c>
      <c r="AJ256" s="3056" t="n" cm="1">
        <f t="array" ref="AJ256">INDEX('각층분기별_유효전력량(전월)'!L2:L2000,MATCH(1,("7-DaHall 1-RPP-01"='각층분기별_유효전력량(전월)'!J2:J2000)*("[branch#015] [A] kWh last month"='각층분기별_유효전력량(전월)'!K2:K2000),0))</f>
        <v>502.6</v>
      </c>
      <c r="AK256" s="3057"/>
      <c r="AL256" s="3065" t="n">
        <f t="shared" si="48"/>
        <v>502.6</v>
      </c>
      <c r="AM256" s="2744" t="s">
        <v>1220</v>
      </c>
      <c r="AN256" s="2747"/>
    </row>
    <row r="257" spans="1:40" ht="40.5" x14ac:dyDescent="0.15">
      <c r="A257" s="3114"/>
      <c r="B257" s="1064"/>
      <c r="C257" s="2705"/>
      <c r="D257" s="2705"/>
      <c r="E257" s="2705" t="s">
        <v>27</v>
      </c>
      <c r="F257" s="2705"/>
      <c r="G257" s="1907" t="s">
        <v>9575</v>
      </c>
      <c r="H257" s="1933"/>
      <c r="I257" s="1907" t="str">
        <f t="shared" si="54"/>
        <v>7-DaHall 1-RPP-01-20-17</v>
      </c>
      <c r="J257" s="1933"/>
      <c r="K257" s="1909">
        <v>220</v>
      </c>
      <c r="L257" s="1910">
        <v>20</v>
      </c>
      <c r="M257" s="709" t="s">
        <v>9203</v>
      </c>
      <c r="N257" s="1911">
        <v>17</v>
      </c>
      <c r="O257" s="1934"/>
      <c r="P257" s="1924"/>
      <c r="Q257" s="915"/>
      <c r="R257" s="1925"/>
      <c r="S257" s="709" t="s">
        <v>1221</v>
      </c>
      <c r="T257" s="915"/>
      <c r="U257" s="2740" t="s">
        <v>1222</v>
      </c>
      <c r="V257" s="916"/>
      <c r="W257" s="3089" t="s">
        <v>468</v>
      </c>
      <c r="X257" s="928"/>
      <c r="Y257" s="3089" t="s">
        <v>469</v>
      </c>
      <c r="Z257" s="928"/>
      <c r="AA257" s="3089" t="s">
        <v>470</v>
      </c>
      <c r="AB257" s="928"/>
      <c r="AC257" s="3089" t="s">
        <v>30</v>
      </c>
      <c r="AD257" s="928"/>
      <c r="AE257" s="3089" t="s">
        <v>31</v>
      </c>
      <c r="AF257" s="916"/>
      <c r="AG257" s="687" t="n">
        <f>SUM('7층_부하량(월간_AVG)'!D14:F14)</f>
        <v>0.0</v>
      </c>
      <c r="AH257" s="950"/>
      <c r="AI257" s="1353" t="n">
        <f t="shared" si="53"/>
        <v>0.0</v>
      </c>
      <c r="AJ257" s="3056" t="n" cm="1">
        <f t="array" ref="AJ257">INDEX('각층분기별_유효전력량(전월)'!L2:L2000,MATCH(1,("7-DaHall 1-RPP-01"='각층분기별_유효전력량(전월)'!J2:J2000)*("[branch#017] [A] kWh last month"='각층분기별_유효전력량(전월)'!K2:K2000),0))</f>
        <v>420.4</v>
      </c>
      <c r="AK257" s="3057"/>
      <c r="AL257" s="3065" t="n">
        <f t="shared" si="48"/>
        <v>420.4</v>
      </c>
      <c r="AM257" s="1358" t="s">
        <v>1223</v>
      </c>
      <c r="AN257" s="2747"/>
    </row>
    <row r="258" spans="1:40" ht="40.5" x14ac:dyDescent="0.15">
      <c r="A258" s="3114"/>
      <c r="B258" s="1064"/>
      <c r="C258" s="2705"/>
      <c r="D258" s="2705"/>
      <c r="E258" s="2705" t="s">
        <v>27</v>
      </c>
      <c r="F258" s="2705"/>
      <c r="G258" s="1907" t="s">
        <v>9576</v>
      </c>
      <c r="H258" s="1933"/>
      <c r="I258" s="1907" t="str">
        <f t="shared" si="54"/>
        <v>7-DaHall 1-RPP-01-20-27</v>
      </c>
      <c r="J258" s="1933"/>
      <c r="K258" s="1909">
        <v>220</v>
      </c>
      <c r="L258" s="1910">
        <v>20</v>
      </c>
      <c r="M258" s="709" t="s">
        <v>9203</v>
      </c>
      <c r="N258" s="1911">
        <v>27</v>
      </c>
      <c r="O258" s="1934"/>
      <c r="P258" s="1924"/>
      <c r="Q258" s="915"/>
      <c r="R258" s="1925"/>
      <c r="S258" s="709" t="s">
        <v>1224</v>
      </c>
      <c r="T258" s="915"/>
      <c r="U258" s="2740" t="s">
        <v>1225</v>
      </c>
      <c r="V258" s="916"/>
      <c r="W258" s="3089" t="s">
        <v>468</v>
      </c>
      <c r="X258" s="928"/>
      <c r="Y258" s="3089" t="s">
        <v>469</v>
      </c>
      <c r="Z258" s="928"/>
      <c r="AA258" s="3089" t="s">
        <v>470</v>
      </c>
      <c r="AB258" s="928"/>
      <c r="AC258" s="3089" t="s">
        <v>30</v>
      </c>
      <c r="AD258" s="928"/>
      <c r="AE258" s="3089" t="s">
        <v>31</v>
      </c>
      <c r="AF258" s="916"/>
      <c r="AG258" s="687" t="n">
        <f>SUM('7층_부하량(월간_AVG)'!D19:F19)</f>
        <v>3.838658392298918</v>
      </c>
      <c r="AH258" s="950"/>
      <c r="AI258" s="1353" t="n">
        <f t="shared" si="53"/>
        <v>3.838658392298918</v>
      </c>
      <c r="AJ258" s="3056" t="n" cm="1">
        <f t="array" ref="AJ258">INDEX('각층분기별_유효전력량(전월)'!L2:L2000,MATCH(1,("7-DaHall 1-RPP-01"='각층분기별_유효전력량(전월)'!J2:J2000)*("[branch#027] [A] kWh last month"='각층분기별_유효전력량(전월)'!K2:K2000),0))</f>
        <v>996.0</v>
      </c>
      <c r="AK258" s="3057"/>
      <c r="AL258" s="3065" t="n">
        <f t="shared" si="48"/>
        <v>996.0</v>
      </c>
      <c r="AM258" s="1358" t="s">
        <v>1226</v>
      </c>
      <c r="AN258" s="2747"/>
    </row>
    <row r="259" spans="1:40" ht="40.5" x14ac:dyDescent="0.15">
      <c r="A259" s="3114"/>
      <c r="B259" s="1064"/>
      <c r="C259" s="2705"/>
      <c r="D259" s="2705"/>
      <c r="E259" s="2705" t="s">
        <v>27</v>
      </c>
      <c r="F259" s="2705"/>
      <c r="G259" s="1907" t="s">
        <v>9577</v>
      </c>
      <c r="H259" s="1933"/>
      <c r="I259" s="1907" t="str">
        <f t="shared" si="54"/>
        <v>7-DaHall 1-RPP-01-30-28</v>
      </c>
      <c r="J259" s="1933"/>
      <c r="K259" s="1909">
        <v>220</v>
      </c>
      <c r="L259" s="1910">
        <v>30</v>
      </c>
      <c r="M259" s="709" t="s">
        <v>9203</v>
      </c>
      <c r="N259" s="1911">
        <v>28</v>
      </c>
      <c r="O259" s="1934"/>
      <c r="P259" s="1924"/>
      <c r="Q259" s="915"/>
      <c r="R259" s="1925"/>
      <c r="S259" s="709" t="s">
        <v>1227</v>
      </c>
      <c r="T259" s="915"/>
      <c r="U259" s="2740" t="s">
        <v>1228</v>
      </c>
      <c r="V259" s="916"/>
      <c r="W259" s="3089" t="s">
        <v>468</v>
      </c>
      <c r="X259" s="928"/>
      <c r="Y259" s="3089" t="s">
        <v>469</v>
      </c>
      <c r="Z259" s="928"/>
      <c r="AA259" s="3089" t="s">
        <v>470</v>
      </c>
      <c r="AB259" s="928"/>
      <c r="AC259" s="3089" t="s">
        <v>30</v>
      </c>
      <c r="AD259" s="928"/>
      <c r="AE259" s="3089" t="s">
        <v>31</v>
      </c>
      <c r="AF259" s="916"/>
      <c r="AG259" s="687" t="n">
        <f>SUM('7층_부하량(월간_AVG)'!N19:P19)</f>
        <v>1.8009421539281132</v>
      </c>
      <c r="AH259" s="950"/>
      <c r="AI259" s="1353" t="n">
        <f t="shared" si="53"/>
        <v>1.8009421539281132</v>
      </c>
      <c r="AJ259" s="3056" t="n" cm="1">
        <f t="array" ref="AJ259">INDEX('각층분기별_유효전력량(전월)'!L2:L2000,MATCH(1,("7-DaHall 1-RPP-01"='각층분기별_유효전력량(전월)'!J2:J2000)*("[branch#028] [A] kWh last month"='각층분기별_유효전력량(전월)'!K2:K2000),0))</f>
        <v>232.0</v>
      </c>
      <c r="AK259" s="3057"/>
      <c r="AL259" s="3065" t="n">
        <f t="shared" si="48"/>
        <v>232.0</v>
      </c>
      <c r="AM259" s="1358" t="s">
        <v>1229</v>
      </c>
      <c r="AN259" s="2747"/>
    </row>
    <row r="260" spans="1:40" ht="40.5" x14ac:dyDescent="0.15">
      <c r="A260" s="3114"/>
      <c r="B260" s="1064"/>
      <c r="C260" s="2705"/>
      <c r="D260" s="2705"/>
      <c r="E260" s="2705" t="s">
        <v>27</v>
      </c>
      <c r="F260" s="2705"/>
      <c r="G260" s="1907" t="s">
        <v>9578</v>
      </c>
      <c r="H260" s="1933"/>
      <c r="I260" s="1907" t="str">
        <f t="shared" si="54"/>
        <v>7-DaHall 1-RPP-01-20-29</v>
      </c>
      <c r="J260" s="1933"/>
      <c r="K260" s="1909">
        <v>220</v>
      </c>
      <c r="L260" s="1910">
        <v>20</v>
      </c>
      <c r="M260" s="709" t="s">
        <v>9203</v>
      </c>
      <c r="N260" s="1911">
        <v>29</v>
      </c>
      <c r="O260" s="1934"/>
      <c r="P260" s="1924"/>
      <c r="Q260" s="915"/>
      <c r="R260" s="1925"/>
      <c r="S260" s="709" t="s">
        <v>1230</v>
      </c>
      <c r="T260" s="915"/>
      <c r="U260" s="2740" t="s">
        <v>1231</v>
      </c>
      <c r="V260" s="916"/>
      <c r="W260" s="3089" t="s">
        <v>468</v>
      </c>
      <c r="X260" s="928"/>
      <c r="Y260" s="3089" t="s">
        <v>469</v>
      </c>
      <c r="Z260" s="928"/>
      <c r="AA260" s="3089" t="s">
        <v>470</v>
      </c>
      <c r="AB260" s="928"/>
      <c r="AC260" s="3089" t="s">
        <v>30</v>
      </c>
      <c r="AD260" s="928"/>
      <c r="AE260" s="3089" t="s">
        <v>31</v>
      </c>
      <c r="AF260" s="916"/>
      <c r="AG260" s="687" t="n">
        <f>SUM('7층_부하량(월간_AVG)'!D20:F20)</f>
        <v>3.7843492903132017</v>
      </c>
      <c r="AH260" s="950"/>
      <c r="AI260" s="1353" t="n">
        <f t="shared" si="53"/>
        <v>3.7843492903132017</v>
      </c>
      <c r="AJ260" s="3056" t="n" cm="1">
        <f t="array" ref="AJ260">INDEX('각층분기별_유효전력량(전월)'!L2:L2000,MATCH(1,("7-DaHall 1-RPP-01"='각층분기별_유효전력량(전월)'!J2:J2000)*("[branch#028] [A] kWh last month"='각층분기별_유효전력량(전월)'!K2:K2000),0))</f>
        <v>232.0</v>
      </c>
      <c r="AK260" s="3057"/>
      <c r="AL260" s="3065" t="n">
        <f t="shared" si="48"/>
        <v>232.0</v>
      </c>
      <c r="AM260" s="1358" t="s">
        <v>1232</v>
      </c>
      <c r="AN260" s="2747"/>
    </row>
    <row r="261" spans="1:40" ht="40.5" x14ac:dyDescent="0.15">
      <c r="A261" s="3114"/>
      <c r="B261" s="1064"/>
      <c r="C261" s="2705"/>
      <c r="D261" s="2705"/>
      <c r="E261" s="2705" t="s">
        <v>27</v>
      </c>
      <c r="F261" s="2705"/>
      <c r="G261" s="1907" t="s">
        <v>9579</v>
      </c>
      <c r="H261" s="1933"/>
      <c r="I261" s="1907" t="str">
        <f t="shared" si="54"/>
        <v>7-DaHall 1-RPP-01-30-30</v>
      </c>
      <c r="J261" s="1933"/>
      <c r="K261" s="1909">
        <v>220</v>
      </c>
      <c r="L261" s="1910">
        <v>30</v>
      </c>
      <c r="M261" s="709" t="s">
        <v>9203</v>
      </c>
      <c r="N261" s="1911">
        <v>30</v>
      </c>
      <c r="O261" s="1934"/>
      <c r="P261" s="1924"/>
      <c r="Q261" s="915"/>
      <c r="R261" s="1925"/>
      <c r="S261" s="709" t="s">
        <v>1233</v>
      </c>
      <c r="T261" s="915"/>
      <c r="U261" s="2740" t="s">
        <v>1234</v>
      </c>
      <c r="V261" s="916"/>
      <c r="W261" s="3089" t="s">
        <v>468</v>
      </c>
      <c r="X261" s="928"/>
      <c r="Y261" s="3089" t="s">
        <v>469</v>
      </c>
      <c r="Z261" s="928"/>
      <c r="AA261" s="3089" t="s">
        <v>470</v>
      </c>
      <c r="AB261" s="928"/>
      <c r="AC261" s="3089" t="s">
        <v>30</v>
      </c>
      <c r="AD261" s="928"/>
      <c r="AE261" s="3089" t="s">
        <v>31</v>
      </c>
      <c r="AF261" s="916"/>
      <c r="AG261" s="687" t="n">
        <f>SUM('7층_부하량(월간_AVG)'!N20:P20)</f>
        <v>3.863153655586968</v>
      </c>
      <c r="AH261" s="950"/>
      <c r="AI261" s="1353" t="n">
        <f t="shared" si="53"/>
        <v>3.863153655586968</v>
      </c>
      <c r="AJ261" s="3056" t="n" cm="1">
        <f t="array" ref="AJ261">INDEX('각층분기별_유효전력량(전월)'!L2:L2000,MATCH(1,("7-DaHall 1-RPP-01"='각층분기별_유효전력량(전월)'!J2:J2000)*("[branch#030] [A] kWh last month"='각층분기별_유효전력량(전월)'!K2:K2000),0))</f>
        <v>517.0</v>
      </c>
      <c r="AK261" s="3057"/>
      <c r="AL261" s="3065" t="n">
        <f t="shared" si="48"/>
        <v>517.0</v>
      </c>
      <c r="AM261" s="1358" t="s">
        <v>1235</v>
      </c>
      <c r="AN261" s="2747"/>
    </row>
    <row r="262" spans="1:40" ht="41.25" thickBot="1" x14ac:dyDescent="0.2">
      <c r="A262" s="3114"/>
      <c r="B262" s="1064"/>
      <c r="C262" s="2705"/>
      <c r="D262" s="2705"/>
      <c r="E262" s="2705" t="s">
        <v>27</v>
      </c>
      <c r="F262" s="2705"/>
      <c r="G262" s="1907" t="s">
        <v>9580</v>
      </c>
      <c r="H262" s="1933"/>
      <c r="I262" s="1907" t="str">
        <f t="shared" si="54"/>
        <v>7-DaHall 1-RPP-01-20-31</v>
      </c>
      <c r="J262" s="1933"/>
      <c r="K262" s="1909">
        <v>220</v>
      </c>
      <c r="L262" s="1910">
        <v>20</v>
      </c>
      <c r="M262" s="709" t="s">
        <v>9203</v>
      </c>
      <c r="N262" s="1911">
        <v>31</v>
      </c>
      <c r="O262" s="1934"/>
      <c r="P262" s="1924"/>
      <c r="Q262" s="915"/>
      <c r="R262" s="1925"/>
      <c r="S262" s="709" t="s">
        <v>1236</v>
      </c>
      <c r="T262" s="915"/>
      <c r="U262" s="2740" t="s">
        <v>1237</v>
      </c>
      <c r="V262" s="916"/>
      <c r="W262" s="3089" t="s">
        <v>468</v>
      </c>
      <c r="X262" s="928"/>
      <c r="Y262" s="3089" t="s">
        <v>469</v>
      </c>
      <c r="Z262" s="928"/>
      <c r="AA262" s="3089" t="s">
        <v>470</v>
      </c>
      <c r="AB262" s="928"/>
      <c r="AC262" s="3089" t="s">
        <v>30</v>
      </c>
      <c r="AD262" s="928"/>
      <c r="AE262" s="3089" t="s">
        <v>31</v>
      </c>
      <c r="AF262" s="916"/>
      <c r="AG262" s="687" t="n">
        <f>SUM('7층_부하량(월간_AVG)'!D21:F21)</f>
        <v>5.607147499079067</v>
      </c>
      <c r="AH262" s="950"/>
      <c r="AI262" s="1353" t="n">
        <f t="shared" si="53"/>
        <v>5.607147499079067</v>
      </c>
      <c r="AJ262" s="3056" t="n" cm="1">
        <f t="array" ref="AJ262">INDEX('각층분기별_유효전력량(전월)'!L2:L2000,MATCH(1,("7-DaHall 1-RPP-01"='각층분기별_유효전력량(전월)'!J2:J2000)*("[branch#031] [A] kWh last month"='각층분기별_유효전력량(전월)'!K2:K2000),0))</f>
        <v>609.3</v>
      </c>
      <c r="AK262" s="3057"/>
      <c r="AL262" s="3065" t="n">
        <f t="shared" ref="AL262:AL278" si="55">SUBTOTAL(9,AJ262:AK262)</f>
        <v>609.3</v>
      </c>
      <c r="AM262" s="1358" t="s">
        <v>1238</v>
      </c>
      <c r="AN262" s="2747"/>
    </row>
    <row r="263" spans="1:40" ht="27" customHeight="1" x14ac:dyDescent="0.15">
      <c r="A263" s="3114"/>
      <c r="B263" s="1064"/>
      <c r="C263" s="678"/>
      <c r="D263" s="678"/>
      <c r="E263" s="678" t="s">
        <v>27</v>
      </c>
      <c r="F263" s="678"/>
      <c r="G263" s="2070"/>
      <c r="H263" s="2012" t="s">
        <v>9581</v>
      </c>
      <c r="I263" s="2070"/>
      <c r="J263" s="2012" t="str">
        <f>"7-DaHall 1-"&amp;Q263&amp;"-"&amp;P263&amp;"-"&amp;R263</f>
        <v>7-DaHall 1-PDU-02-30-50</v>
      </c>
      <c r="K263" s="2072"/>
      <c r="L263" s="2073"/>
      <c r="M263" s="924"/>
      <c r="N263" s="2074"/>
      <c r="O263" s="2087">
        <v>220</v>
      </c>
      <c r="P263" s="2017">
        <v>30</v>
      </c>
      <c r="Q263" s="710" t="s">
        <v>9178</v>
      </c>
      <c r="R263" s="2018">
        <v>50</v>
      </c>
      <c r="S263" s="924"/>
      <c r="T263" s="710" t="s">
        <v>1239</v>
      </c>
      <c r="U263" s="738"/>
      <c r="V263" s="738"/>
      <c r="W263" s="738"/>
      <c r="X263" s="738"/>
      <c r="Y263" s="738"/>
      <c r="Z263" s="738"/>
      <c r="AA263" s="738"/>
      <c r="AB263" s="3094" t="s">
        <v>174</v>
      </c>
      <c r="AC263" s="738"/>
      <c r="AD263" s="3094" t="s">
        <v>112</v>
      </c>
      <c r="AE263" s="914"/>
      <c r="AF263" s="3094" t="s">
        <v>36</v>
      </c>
      <c r="AG263" s="956"/>
      <c r="AH263" s="951" t="n">
        <f>SUM('7층_부하량(월간_AVG)'!N55:P55)</f>
        <v>3.4264977843281623</v>
      </c>
      <c r="AI263" s="1355" t="n">
        <f t="shared" si="53"/>
        <v>3.4264977843281623</v>
      </c>
      <c r="AJ263" s="3056"/>
      <c r="AK263" s="3057" t="n" cm="1">
        <f t="array" ref="AK263">INDEX('각층분기별_유효전력량(전월)'!L2:L2000,MATCH(1,("7-DaHall 1-PDU-02"='각층분기별_유효전력량(전월)'!J2:J2000)*("[branch#050] [A] kWh last month"='각층분기별_유효전력량(전월)'!K2:K2000),0))</f>
        <v>345.2</v>
      </c>
      <c r="AL263" s="3065" t="n">
        <f t="shared" si="55"/>
        <v>345.2</v>
      </c>
      <c r="AM263" s="1359" t="s">
        <v>1240</v>
      </c>
      <c r="AN263" s="680"/>
    </row>
    <row r="264" spans="1:40" ht="40.5" x14ac:dyDescent="0.15">
      <c r="A264" s="3114"/>
      <c r="B264" s="1064"/>
      <c r="C264" s="2705"/>
      <c r="D264" s="2705"/>
      <c r="E264" s="2705" t="s">
        <v>27</v>
      </c>
      <c r="F264" s="2705"/>
      <c r="G264" s="1967"/>
      <c r="H264" s="1915" t="s">
        <v>9582</v>
      </c>
      <c r="I264" s="1967"/>
      <c r="J264" s="1915" t="str">
        <f>"7-DaHall 1-"&amp;Q264&amp;"-"&amp;P264&amp;"-"&amp;R264</f>
        <v>7-DaHall 1-PDU-02-30-52</v>
      </c>
      <c r="K264" s="1969"/>
      <c r="L264" s="1972"/>
      <c r="M264" s="930"/>
      <c r="N264" s="1970"/>
      <c r="O264" s="1916">
        <v>220</v>
      </c>
      <c r="P264" s="1917">
        <v>30</v>
      </c>
      <c r="Q264" s="693" t="s">
        <v>9178</v>
      </c>
      <c r="R264" s="1918">
        <v>52</v>
      </c>
      <c r="S264" s="930"/>
      <c r="T264" s="693" t="s">
        <v>1241</v>
      </c>
      <c r="U264" s="915"/>
      <c r="V264" s="915"/>
      <c r="W264" s="915"/>
      <c r="X264" s="915"/>
      <c r="Y264" s="915"/>
      <c r="Z264" s="915"/>
      <c r="AA264" s="915"/>
      <c r="AB264" s="3115" t="s">
        <v>174</v>
      </c>
      <c r="AC264" s="915"/>
      <c r="AD264" s="3115" t="s">
        <v>112</v>
      </c>
      <c r="AE264" s="915"/>
      <c r="AF264" s="3115" t="s">
        <v>9583</v>
      </c>
      <c r="AG264" s="953"/>
      <c r="AH264" s="920" t="n">
        <f>SUM('7층_부하량(월간_AVG)'!N56:P56)</f>
        <v>3.2825619797644436</v>
      </c>
      <c r="AI264" s="1353" t="n">
        <f t="shared" si="53"/>
        <v>3.2825619797644436</v>
      </c>
      <c r="AJ264" s="3056"/>
      <c r="AK264" s="3057" t="n" cm="1">
        <f t="array" ref="AK264">INDEX('각층분기별_유효전력량(전월)'!L2:L2000,MATCH(1,("7-DaHall 1-PDU-02"='각층분기별_유효전력량(전월)'!J2:J2000)*("[branch#052] [A] kWh last month"='각층분기별_유효전력량(전월)'!K2:K2000),0))</f>
        <v>345.2</v>
      </c>
      <c r="AL264" s="3065" t="n">
        <f t="shared" si="55"/>
        <v>345.2</v>
      </c>
      <c r="AM264" s="2744" t="s">
        <v>1242</v>
      </c>
      <c r="AN264" s="2747"/>
    </row>
    <row r="265" spans="1:40" ht="41.25" thickBot="1" x14ac:dyDescent="0.2">
      <c r="A265" s="3114"/>
      <c r="B265" s="1064"/>
      <c r="C265" s="2741"/>
      <c r="D265" s="2741"/>
      <c r="E265" s="2741" t="s">
        <v>27</v>
      </c>
      <c r="F265" s="2741"/>
      <c r="G265" s="2043"/>
      <c r="H265" s="2077" t="s">
        <v>9584</v>
      </c>
      <c r="I265" s="2043"/>
      <c r="J265" s="2077" t="str">
        <f>"7-DaHall 1-"&amp;Q265&amp;"-"&amp;P265&amp;"-"&amp;R265</f>
        <v>7-DaHall 1-PDU-02-30-54</v>
      </c>
      <c r="K265" s="2045"/>
      <c r="L265" s="2046"/>
      <c r="M265" s="925"/>
      <c r="N265" s="2047"/>
      <c r="O265" s="2081">
        <v>220</v>
      </c>
      <c r="P265" s="2082">
        <v>30</v>
      </c>
      <c r="Q265" s="926" t="s">
        <v>9178</v>
      </c>
      <c r="R265" s="2083">
        <v>54</v>
      </c>
      <c r="S265" s="925"/>
      <c r="T265" s="926" t="s">
        <v>1243</v>
      </c>
      <c r="U265" s="915"/>
      <c r="V265" s="915"/>
      <c r="W265" s="915"/>
      <c r="X265" s="915"/>
      <c r="Y265" s="915"/>
      <c r="Z265" s="915"/>
      <c r="AA265" s="929"/>
      <c r="AB265" s="3116" t="s">
        <v>174</v>
      </c>
      <c r="AC265" s="929"/>
      <c r="AD265" s="3116" t="s">
        <v>112</v>
      </c>
      <c r="AE265" s="929"/>
      <c r="AF265" s="3116" t="s">
        <v>9583</v>
      </c>
      <c r="AG265" s="957"/>
      <c r="AH265" s="948" t="n">
        <f>SUM('7층_부하량(월간_AVG)'!N57:P57)</f>
        <v>0.0</v>
      </c>
      <c r="AI265" s="1354" t="n">
        <f t="shared" si="53"/>
        <v>0.0</v>
      </c>
      <c r="AJ265" s="3056"/>
      <c r="AK265" s="3057" t="n" cm="1">
        <f t="array" ref="AK265">INDEX('각층분기별_유효전력량(전월)'!L2:L2000,MATCH(1,("7-DaHall 1-PDU-02"='각층분기별_유효전력량(전월)'!J2:J2000)*("[branch#054] [A] kWh last month"='각층분기별_유효전력량(전월)'!K2:K2000),0))</f>
        <v>14.7</v>
      </c>
      <c r="AL265" s="3065" t="n">
        <f t="shared" si="55"/>
        <v>14.7</v>
      </c>
      <c r="AM265" s="2745" t="s">
        <v>1244</v>
      </c>
      <c r="AN265" s="685"/>
    </row>
    <row r="266" spans="1:40" ht="27" customHeight="1" thickBot="1" x14ac:dyDescent="0.2">
      <c r="A266" s="3114"/>
      <c r="B266" s="1064"/>
      <c r="C266" s="678"/>
      <c r="D266" s="678"/>
      <c r="E266" s="678" t="s">
        <v>27</v>
      </c>
      <c r="F266" s="678"/>
      <c r="G266" s="2011" t="s">
        <v>9585</v>
      </c>
      <c r="H266" s="2071"/>
      <c r="I266" s="2011" t="str">
        <f>"7-DaHall 1-"&amp;M266&amp;"-"&amp;L266&amp;"-"&amp;N266</f>
        <v>7-DaHall 1-PDU-01-30-52</v>
      </c>
      <c r="J266" s="2071"/>
      <c r="K266" s="2088">
        <v>220</v>
      </c>
      <c r="L266" s="2089">
        <v>30</v>
      </c>
      <c r="M266" s="912" t="s">
        <v>9177</v>
      </c>
      <c r="N266" s="2090">
        <v>52</v>
      </c>
      <c r="O266" s="2075"/>
      <c r="P266" s="2073"/>
      <c r="Q266" s="924"/>
      <c r="R266" s="2074"/>
      <c r="S266" s="912" t="s">
        <v>1245</v>
      </c>
      <c r="T266" s="924"/>
      <c r="U266" s="738"/>
      <c r="V266" s="738"/>
      <c r="W266" s="738"/>
      <c r="X266" s="738"/>
      <c r="Y266" s="738"/>
      <c r="Z266" s="738"/>
      <c r="AA266" s="2717" t="s">
        <v>173</v>
      </c>
      <c r="AB266" s="738"/>
      <c r="AC266" s="2717" t="s">
        <v>111</v>
      </c>
      <c r="AD266" s="738"/>
      <c r="AE266" s="2717" t="s">
        <v>31</v>
      </c>
      <c r="AF266" s="914"/>
      <c r="AG266" s="686" t="n">
        <f>SUM('7층_부하량(월간_AVG)'!N88:P88)</f>
        <v>0.008613240418118466</v>
      </c>
      <c r="AH266" s="955"/>
      <c r="AI266" s="1355" t="n">
        <f t="shared" si="53"/>
        <v>0.008613240418118466</v>
      </c>
      <c r="AJ266" s="3056" t="n" cm="1">
        <f t="array" ref="AJ266">INDEX('각층분기별_유효전력량(전월)'!L2:L2000,MATCH(1,("7-DaHall 1-PDU-01"='각층분기별_유효전력량(전월)'!J2:J2000)*("[branch#052] [A] kWh last month"='각층분기별_유효전력량(전월)'!K2:K2000),0))</f>
        <v>0.0</v>
      </c>
      <c r="AK266" s="3057"/>
      <c r="AL266" s="3065" t="n">
        <f t="shared" si="55"/>
        <v>0.0</v>
      </c>
      <c r="AM266" s="900" t="s">
        <v>1246</v>
      </c>
      <c r="AN266" s="680"/>
    </row>
    <row r="267" spans="1:40" ht="27" customHeight="1" x14ac:dyDescent="0.15">
      <c r="A267" s="3114"/>
      <c r="B267" s="1064"/>
      <c r="C267" s="678"/>
      <c r="D267" s="678"/>
      <c r="E267" s="678" t="s">
        <v>27</v>
      </c>
      <c r="F267" s="678"/>
      <c r="G267" s="2070"/>
      <c r="H267" s="2012" t="s">
        <v>9586</v>
      </c>
      <c r="I267" s="2070"/>
      <c r="J267" s="2012" t="str">
        <f t="shared" ref="J267:J278" si="56">"7-DaHall 1-"&amp;Q267&amp;"-"&amp;P267&amp;"-"&amp;R267</f>
        <v>7-DaHall 1-RPP-02-20-1</v>
      </c>
      <c r="K267" s="2072"/>
      <c r="L267" s="2073"/>
      <c r="M267" s="924"/>
      <c r="N267" s="2074"/>
      <c r="O267" s="2087">
        <v>220</v>
      </c>
      <c r="P267" s="2017">
        <v>20</v>
      </c>
      <c r="Q267" s="710" t="s">
        <v>9204</v>
      </c>
      <c r="R267" s="2018">
        <v>1</v>
      </c>
      <c r="S267" s="924"/>
      <c r="T267" s="710" t="s">
        <v>1247</v>
      </c>
      <c r="U267" s="914"/>
      <c r="V267" s="918" t="s">
        <v>1248</v>
      </c>
      <c r="W267" s="914"/>
      <c r="X267" s="3094" t="s">
        <v>479</v>
      </c>
      <c r="Y267" s="914"/>
      <c r="Z267" s="3094" t="s">
        <v>480</v>
      </c>
      <c r="AA267" s="914"/>
      <c r="AB267" s="3094" t="s">
        <v>481</v>
      </c>
      <c r="AC267" s="914"/>
      <c r="AD267" s="3094" t="s">
        <v>35</v>
      </c>
      <c r="AE267" s="914"/>
      <c r="AF267" s="3094" t="s">
        <v>36</v>
      </c>
      <c r="AG267" s="947"/>
      <c r="AH267" s="951" t="n">
        <f>SUM('7층_부하량(월간_AVG)'!D95:F95)</f>
        <v>0.0</v>
      </c>
      <c r="AI267" s="1355" t="n">
        <f t="shared" si="53"/>
        <v>0.0</v>
      </c>
      <c r="AJ267" s="3056"/>
      <c r="AK267" s="3057" t="n" cm="1">
        <f t="array" ref="AK267">INDEX('각층분기별_유효전력량(전월)'!L2:L2000,MATCH(1,("7-DaHall 1-RPP-02"='각층분기별_유효전력량(전월)'!J2:J2000)*("[branch#001] [A] kWh last month"='각층분기별_유효전력량(전월)'!K2:K2000),0))</f>
        <v>0.0</v>
      </c>
      <c r="AL267" s="3065" t="n">
        <f t="shared" si="55"/>
        <v>0.0</v>
      </c>
      <c r="AM267" s="900" t="s">
        <v>1249</v>
      </c>
      <c r="AN267" s="680"/>
    </row>
    <row r="268" spans="1:40" ht="40.5" x14ac:dyDescent="0.15">
      <c r="A268" s="3114"/>
      <c r="B268" s="1064"/>
      <c r="C268" s="2705"/>
      <c r="D268" s="2705"/>
      <c r="E268" s="2705" t="s">
        <v>27</v>
      </c>
      <c r="F268" s="2705"/>
      <c r="G268" s="1967"/>
      <c r="H268" s="1915" t="s">
        <v>9587</v>
      </c>
      <c r="I268" s="1967"/>
      <c r="J268" s="1915" t="str">
        <f t="shared" si="56"/>
        <v>7-DaHall 1-RPP-02-30-2</v>
      </c>
      <c r="K268" s="1969"/>
      <c r="L268" s="1972"/>
      <c r="M268" s="930"/>
      <c r="N268" s="1970"/>
      <c r="O268" s="1916">
        <v>220</v>
      </c>
      <c r="P268" s="1917">
        <v>30</v>
      </c>
      <c r="Q268" s="693" t="s">
        <v>9204</v>
      </c>
      <c r="R268" s="1918">
        <v>2</v>
      </c>
      <c r="S268" s="930"/>
      <c r="T268" s="693" t="s">
        <v>1250</v>
      </c>
      <c r="U268" s="915"/>
      <c r="V268" s="2722" t="s">
        <v>1251</v>
      </c>
      <c r="W268" s="915"/>
      <c r="X268" s="3115" t="s">
        <v>9588</v>
      </c>
      <c r="Y268" s="915"/>
      <c r="Z268" s="3115" t="s">
        <v>9589</v>
      </c>
      <c r="AA268" s="915"/>
      <c r="AB268" s="3115" t="s">
        <v>9590</v>
      </c>
      <c r="AC268" s="915"/>
      <c r="AD268" s="3115" t="s">
        <v>9591</v>
      </c>
      <c r="AE268" s="915"/>
      <c r="AF268" s="3115" t="s">
        <v>9583</v>
      </c>
      <c r="AG268" s="953"/>
      <c r="AH268" s="920" t="n">
        <f>SUM('7층_부하량(월간_AVG)'!N95:P95)</f>
        <v>1.6102757685242006</v>
      </c>
      <c r="AI268" s="1353" t="n">
        <f t="shared" si="53"/>
        <v>1.6102757685242006</v>
      </c>
      <c r="AJ268" s="3056"/>
      <c r="AK268" s="3057" t="n" cm="1">
        <f t="array" ref="AK268">INDEX('각층분기별_유효전력량(전월)'!L2:L2000,MATCH(1,("7-DaHall 1-RPP-02"='각층분기별_유효전력량(전월)'!J2:J2000)*("[branch#002] [A] kWh last month"='각층분기별_유효전력량(전월)'!K2:K2000),0))</f>
        <v>288.3</v>
      </c>
      <c r="AL268" s="3065" t="n">
        <f t="shared" si="55"/>
        <v>288.3</v>
      </c>
      <c r="AM268" s="2744" t="s">
        <v>1252</v>
      </c>
      <c r="AN268" s="2747"/>
    </row>
    <row r="269" spans="1:40" ht="40.5" x14ac:dyDescent="0.15">
      <c r="A269" s="3114"/>
      <c r="B269" s="1064"/>
      <c r="C269" s="2705"/>
      <c r="D269" s="2705"/>
      <c r="E269" s="2705" t="s">
        <v>27</v>
      </c>
      <c r="F269" s="2705"/>
      <c r="G269" s="1967"/>
      <c r="H269" s="1915" t="s">
        <v>9592</v>
      </c>
      <c r="I269" s="1967"/>
      <c r="J269" s="1915" t="str">
        <f t="shared" si="56"/>
        <v>7-DaHall 1-RPP-02-20-3</v>
      </c>
      <c r="K269" s="1969"/>
      <c r="L269" s="1972"/>
      <c r="M269" s="930"/>
      <c r="N269" s="1970"/>
      <c r="O269" s="1916">
        <v>220</v>
      </c>
      <c r="P269" s="1917">
        <v>20</v>
      </c>
      <c r="Q269" s="693" t="s">
        <v>9204</v>
      </c>
      <c r="R269" s="1918">
        <v>3</v>
      </c>
      <c r="S269" s="930"/>
      <c r="T269" s="693" t="s">
        <v>1253</v>
      </c>
      <c r="U269" s="915"/>
      <c r="V269" s="2722" t="s">
        <v>1254</v>
      </c>
      <c r="W269" s="915"/>
      <c r="X269" s="3115" t="s">
        <v>9588</v>
      </c>
      <c r="Y269" s="915"/>
      <c r="Z269" s="3115" t="s">
        <v>9589</v>
      </c>
      <c r="AA269" s="915"/>
      <c r="AB269" s="3115" t="s">
        <v>9590</v>
      </c>
      <c r="AC269" s="915"/>
      <c r="AD269" s="3115" t="s">
        <v>9591</v>
      </c>
      <c r="AE269" s="915"/>
      <c r="AF269" s="3115" t="s">
        <v>9583</v>
      </c>
      <c r="AG269" s="953"/>
      <c r="AH269" s="920" t="n">
        <f>SUM('7층_부하량(월간_AVG)'!D96:F96)</f>
        <v>0.5363968700457246</v>
      </c>
      <c r="AI269" s="1353" t="n">
        <f t="shared" si="53"/>
        <v>0.5363968700457246</v>
      </c>
      <c r="AJ269" s="3056"/>
      <c r="AK269" s="3057" t="n" cm="1">
        <f t="array" ref="AK269">INDEX('각층분기별_유효전력량(전월)'!L2:L2000,MATCH(1,("7-DaHall 1-RPP-02"='각층분기별_유효전력량(전월)'!J2:J2000)*("[branch#003] [A] kWh last month"='각층분기별_유효전력량(전월)'!K2:K2000),0))</f>
        <v>70.7</v>
      </c>
      <c r="AL269" s="3065" t="n">
        <f t="shared" si="55"/>
        <v>70.7</v>
      </c>
      <c r="AM269" s="2744" t="s">
        <v>1255</v>
      </c>
      <c r="AN269" s="2747"/>
    </row>
    <row r="270" spans="1:40" ht="40.5" x14ac:dyDescent="0.15">
      <c r="A270" s="3114"/>
      <c r="B270" s="1064"/>
      <c r="C270" s="2705"/>
      <c r="D270" s="2705"/>
      <c r="E270" s="2705" t="s">
        <v>27</v>
      </c>
      <c r="F270" s="2705"/>
      <c r="G270" s="1967"/>
      <c r="H270" s="1915" t="s">
        <v>9593</v>
      </c>
      <c r="I270" s="1967"/>
      <c r="J270" s="1915" t="str">
        <f t="shared" si="56"/>
        <v>7-DaHall 1-RPP-02-30-6</v>
      </c>
      <c r="K270" s="1969"/>
      <c r="L270" s="1972"/>
      <c r="M270" s="930"/>
      <c r="N270" s="1970"/>
      <c r="O270" s="1916">
        <v>220</v>
      </c>
      <c r="P270" s="1917">
        <v>30</v>
      </c>
      <c r="Q270" s="693" t="s">
        <v>9204</v>
      </c>
      <c r="R270" s="1918">
        <v>6</v>
      </c>
      <c r="S270" s="930"/>
      <c r="T270" s="693" t="s">
        <v>1256</v>
      </c>
      <c r="U270" s="915"/>
      <c r="V270" s="2722" t="s">
        <v>1257</v>
      </c>
      <c r="W270" s="915"/>
      <c r="X270" s="3115" t="s">
        <v>9588</v>
      </c>
      <c r="Y270" s="915"/>
      <c r="Z270" s="3115" t="s">
        <v>9589</v>
      </c>
      <c r="AA270" s="915"/>
      <c r="AB270" s="3115" t="s">
        <v>9590</v>
      </c>
      <c r="AC270" s="915"/>
      <c r="AD270" s="3115" t="s">
        <v>9591</v>
      </c>
      <c r="AE270" s="915"/>
      <c r="AF270" s="3115" t="s">
        <v>9583</v>
      </c>
      <c r="AG270" s="953"/>
      <c r="AH270" s="920" t="n">
        <f>SUM('7층_부하량(월간_AVG)'!N97:P97)</f>
        <v>0.0</v>
      </c>
      <c r="AI270" s="1353" t="n">
        <f t="shared" si="53"/>
        <v>0.0</v>
      </c>
      <c r="AJ270" s="3056"/>
      <c r="AK270" s="3057" t="n" cm="1">
        <f t="array" ref="AK270">INDEX('각층분기별_유효전력량(전월)'!L2:L2000,MATCH(1,("7-DaHall 1-RPP-02"='각층분기별_유효전력량(전월)'!J2:J2000)*("[branch#006] [A] kWh last month"='각층분기별_유효전력량(전월)'!K2:K2000),0))</f>
        <v>0.0</v>
      </c>
      <c r="AL270" s="3065" t="n">
        <f t="shared" si="55"/>
        <v>0.0</v>
      </c>
      <c r="AM270" s="2744" t="s">
        <v>1258</v>
      </c>
      <c r="AN270" s="2747"/>
    </row>
    <row r="271" spans="1:40" ht="40.5" x14ac:dyDescent="0.15">
      <c r="A271" s="3114"/>
      <c r="B271" s="1064"/>
      <c r="C271" s="2705"/>
      <c r="D271" s="2705"/>
      <c r="E271" s="2705" t="s">
        <v>27</v>
      </c>
      <c r="F271" s="2705"/>
      <c r="G271" s="1921"/>
      <c r="H271" s="1915" t="s">
        <v>9594</v>
      </c>
      <c r="I271" s="1921"/>
      <c r="J271" s="1915" t="str">
        <f t="shared" si="56"/>
        <v>7-DaHall 1-RPP-02-20-7</v>
      </c>
      <c r="K271" s="1923"/>
      <c r="L271" s="1924"/>
      <c r="M271" s="915"/>
      <c r="N271" s="1925"/>
      <c r="O271" s="1916">
        <v>220</v>
      </c>
      <c r="P271" s="1917">
        <v>20</v>
      </c>
      <c r="Q271" s="693" t="s">
        <v>9204</v>
      </c>
      <c r="R271" s="1918">
        <v>7</v>
      </c>
      <c r="S271" s="915"/>
      <c r="T271" s="693" t="s">
        <v>1259</v>
      </c>
      <c r="U271" s="915"/>
      <c r="V271" s="2722" t="s">
        <v>1260</v>
      </c>
      <c r="W271" s="915"/>
      <c r="X271" s="3115" t="s">
        <v>9588</v>
      </c>
      <c r="Y271" s="915"/>
      <c r="Z271" s="3115" t="s">
        <v>9589</v>
      </c>
      <c r="AA271" s="915"/>
      <c r="AB271" s="3115" t="s">
        <v>9590</v>
      </c>
      <c r="AC271" s="915"/>
      <c r="AD271" s="3115" t="s">
        <v>9591</v>
      </c>
      <c r="AE271" s="915"/>
      <c r="AF271" s="3115" t="s">
        <v>9583</v>
      </c>
      <c r="AG271" s="944"/>
      <c r="AH271" s="920" t="n">
        <f>SUM('7층_부하량(월간_AVG)'!D98:F98)</f>
        <v>1.443375104705771</v>
      </c>
      <c r="AI271" s="1353" t="n">
        <f t="shared" si="53"/>
        <v>1.443375104705771</v>
      </c>
      <c r="AJ271" s="3056"/>
      <c r="AK271" s="3057" t="n" cm="1">
        <f t="array" ref="AK271">INDEX('각층분기별_유효전력량(전월)'!L2:L2000,MATCH(1,("7-DaHall 1-RPP-02"='각층분기별_유효전력량(전월)'!J2:J2000)*("[branch#007] [A] kWh last month"='각층분기별_유효전력량(전월)'!K2:K2000),0))</f>
        <v>392.3</v>
      </c>
      <c r="AL271" s="3065" t="n">
        <f t="shared" si="55"/>
        <v>392.3</v>
      </c>
      <c r="AM271" s="1358" t="s">
        <v>1261</v>
      </c>
      <c r="AN271" s="2747"/>
    </row>
    <row r="272" spans="1:40" ht="40.5" x14ac:dyDescent="0.15">
      <c r="A272" s="3114"/>
      <c r="B272" s="1064"/>
      <c r="C272" s="2705"/>
      <c r="D272" s="2705"/>
      <c r="E272" s="2705" t="s">
        <v>27</v>
      </c>
      <c r="F272" s="2705"/>
      <c r="G272" s="1967"/>
      <c r="H272" s="1915" t="s">
        <v>9595</v>
      </c>
      <c r="I272" s="1967"/>
      <c r="J272" s="1915" t="str">
        <f t="shared" si="56"/>
        <v>7-DaHall 1-RPP-02-20-11</v>
      </c>
      <c r="K272" s="1969"/>
      <c r="L272" s="1972"/>
      <c r="M272" s="930"/>
      <c r="N272" s="1970"/>
      <c r="O272" s="1916">
        <v>220</v>
      </c>
      <c r="P272" s="1917">
        <v>20</v>
      </c>
      <c r="Q272" s="693" t="s">
        <v>9204</v>
      </c>
      <c r="R272" s="1918">
        <v>11</v>
      </c>
      <c r="S272" s="930"/>
      <c r="T272" s="693" t="s">
        <v>1262</v>
      </c>
      <c r="U272" s="915"/>
      <c r="V272" s="2722" t="s">
        <v>1263</v>
      </c>
      <c r="W272" s="915"/>
      <c r="X272" s="3115" t="s">
        <v>9588</v>
      </c>
      <c r="Y272" s="915"/>
      <c r="Z272" s="3115" t="s">
        <v>9589</v>
      </c>
      <c r="AA272" s="915"/>
      <c r="AB272" s="3115" t="s">
        <v>9590</v>
      </c>
      <c r="AC272" s="915"/>
      <c r="AD272" s="3115" t="s">
        <v>9591</v>
      </c>
      <c r="AE272" s="915"/>
      <c r="AF272" s="3115" t="s">
        <v>9583</v>
      </c>
      <c r="AG272" s="953"/>
      <c r="AH272" s="920" t="n">
        <f>SUM('7층_부하량(월간_AVG)'!D100:F100)</f>
        <v>0.0</v>
      </c>
      <c r="AI272" s="1353" t="n">
        <f t="shared" si="53"/>
        <v>0.0</v>
      </c>
      <c r="AJ272" s="3056"/>
      <c r="AK272" s="3057" t="n" cm="1">
        <f t="array" ref="AK272">INDEX('각층분기별_유효전력량(전월)'!L2:L2000,MATCH(1,("7-DaHall 1-RPP-02"='각층분기별_유효전력량(전월)'!J2:J2000)*("[branch#011] [A] kWh last month"='각층분기별_유효전력량(전월)'!K2:K2000),0))</f>
        <v>0.0</v>
      </c>
      <c r="AL272" s="3065" t="n">
        <f t="shared" si="55"/>
        <v>0.0</v>
      </c>
      <c r="AM272" s="2744" t="s">
        <v>1264</v>
      </c>
      <c r="AN272" s="2747"/>
    </row>
    <row r="273" spans="1:40" ht="40.5" x14ac:dyDescent="0.15">
      <c r="A273" s="3114"/>
      <c r="B273" s="1064"/>
      <c r="C273" s="2705"/>
      <c r="D273" s="2705"/>
      <c r="E273" s="2705" t="s">
        <v>27</v>
      </c>
      <c r="F273" s="2705"/>
      <c r="G273" s="1967"/>
      <c r="H273" s="1915" t="s">
        <v>9596</v>
      </c>
      <c r="I273" s="1967"/>
      <c r="J273" s="1915" t="str">
        <f t="shared" si="56"/>
        <v>7-DaHall 1-RPP-02-30-22</v>
      </c>
      <c r="K273" s="1969"/>
      <c r="L273" s="1972"/>
      <c r="M273" s="930"/>
      <c r="N273" s="1970"/>
      <c r="O273" s="1916">
        <v>220</v>
      </c>
      <c r="P273" s="1917">
        <v>30</v>
      </c>
      <c r="Q273" s="693" t="s">
        <v>9204</v>
      </c>
      <c r="R273" s="1918">
        <v>22</v>
      </c>
      <c r="S273" s="930"/>
      <c r="T273" s="693" t="s">
        <v>1265</v>
      </c>
      <c r="U273" s="915"/>
      <c r="V273" s="2722" t="s">
        <v>1266</v>
      </c>
      <c r="W273" s="915"/>
      <c r="X273" s="3115" t="s">
        <v>9588</v>
      </c>
      <c r="Y273" s="915"/>
      <c r="Z273" s="3115" t="s">
        <v>9589</v>
      </c>
      <c r="AA273" s="915"/>
      <c r="AB273" s="3115" t="s">
        <v>9590</v>
      </c>
      <c r="AC273" s="915"/>
      <c r="AD273" s="3115" t="s">
        <v>9591</v>
      </c>
      <c r="AE273" s="915"/>
      <c r="AF273" s="3115" t="s">
        <v>9583</v>
      </c>
      <c r="AG273" s="953"/>
      <c r="AH273" s="920" t="n">
        <f>SUM('7층_부하량(월간_AVG)'!N105:P105)</f>
        <v>0.0</v>
      </c>
      <c r="AI273" s="1353" t="n">
        <f t="shared" si="53"/>
        <v>0.0</v>
      </c>
      <c r="AJ273" s="3056"/>
      <c r="AK273" s="3057" t="n" cm="1">
        <f t="array" ref="AK273">INDEX('각층분기별_유효전력량(전월)'!L2:L2000,MATCH(1,("7-DaHall 1-RPP-02"='각층분기별_유효전력량(전월)'!J2:J2000)*("[branch#022] [A] kWh last month"='각층분기별_유효전력량(전월)'!K2:K2000),0))</f>
        <v>0.0</v>
      </c>
      <c r="AL273" s="3065" t="n">
        <f t="shared" si="55"/>
        <v>0.0</v>
      </c>
      <c r="AM273" s="2744" t="s">
        <v>1267</v>
      </c>
      <c r="AN273" s="2747"/>
    </row>
    <row r="274" spans="1:40" ht="40.5" x14ac:dyDescent="0.15">
      <c r="A274" s="3114"/>
      <c r="B274" s="1064"/>
      <c r="C274" s="2705"/>
      <c r="D274" s="2705"/>
      <c r="E274" s="2705" t="s">
        <v>27</v>
      </c>
      <c r="F274" s="2705"/>
      <c r="G274" s="1921"/>
      <c r="H274" s="1915" t="s">
        <v>9597</v>
      </c>
      <c r="I274" s="1921"/>
      <c r="J274" s="1915" t="str">
        <f t="shared" si="56"/>
        <v>7-DaHall 1-RPP-02-30-24</v>
      </c>
      <c r="K274" s="1923"/>
      <c r="L274" s="1924"/>
      <c r="M274" s="915"/>
      <c r="N274" s="1925"/>
      <c r="O274" s="1916">
        <v>220</v>
      </c>
      <c r="P274" s="1917">
        <v>30</v>
      </c>
      <c r="Q274" s="693" t="s">
        <v>9204</v>
      </c>
      <c r="R274" s="1918">
        <v>24</v>
      </c>
      <c r="S274" s="915"/>
      <c r="T274" s="693" t="s">
        <v>1268</v>
      </c>
      <c r="U274" s="915"/>
      <c r="V274" s="2722" t="s">
        <v>1269</v>
      </c>
      <c r="W274" s="915"/>
      <c r="X274" s="3115" t="s">
        <v>9588</v>
      </c>
      <c r="Y274" s="915"/>
      <c r="Z274" s="3115" t="s">
        <v>9589</v>
      </c>
      <c r="AA274" s="915"/>
      <c r="AB274" s="3115" t="s">
        <v>9590</v>
      </c>
      <c r="AC274" s="915"/>
      <c r="AD274" s="3115" t="s">
        <v>9591</v>
      </c>
      <c r="AE274" s="915"/>
      <c r="AF274" s="3115" t="s">
        <v>9583</v>
      </c>
      <c r="AG274" s="944"/>
      <c r="AH274" s="920" t="n">
        <f>SUM('7층_부하량(월간_AVG)'!N106:P106)</f>
        <v>2.5931829783365976</v>
      </c>
      <c r="AI274" s="1353" t="n">
        <f t="shared" si="53"/>
        <v>2.5931829783365976</v>
      </c>
      <c r="AJ274" s="3056"/>
      <c r="AK274" s="3057" t="n" cm="1">
        <f t="array" ref="AK274">INDEX('각층분기별_유효전력량(전월)'!L2:L2000,MATCH(1,("7-DaHall 1-RPP-02"='각층분기별_유효전력량(전월)'!J2:J2000)*("[branch#024] [A] kWh last month"='각층분기별_유효전력량(전월)'!K2:K2000),0))</f>
        <v>779.2</v>
      </c>
      <c r="AL274" s="3065" t="n">
        <f t="shared" si="55"/>
        <v>779.2</v>
      </c>
      <c r="AM274" s="1358" t="s">
        <v>1270</v>
      </c>
      <c r="AN274" s="2747"/>
    </row>
    <row r="275" spans="1:40" ht="40.5" x14ac:dyDescent="0.15">
      <c r="A275" s="3114"/>
      <c r="B275" s="1064"/>
      <c r="C275" s="2705"/>
      <c r="D275" s="2705"/>
      <c r="E275" s="2705" t="s">
        <v>27</v>
      </c>
      <c r="F275" s="2705"/>
      <c r="G275" s="1921"/>
      <c r="H275" s="1915" t="s">
        <v>9598</v>
      </c>
      <c r="I275" s="1921"/>
      <c r="J275" s="1915" t="str">
        <f t="shared" si="56"/>
        <v>7-DaHall 1-RPP-02-20-35</v>
      </c>
      <c r="K275" s="1923"/>
      <c r="L275" s="1924"/>
      <c r="M275" s="915"/>
      <c r="N275" s="1925"/>
      <c r="O275" s="1916">
        <v>220</v>
      </c>
      <c r="P275" s="1917">
        <v>20</v>
      </c>
      <c r="Q275" s="693" t="s">
        <v>9204</v>
      </c>
      <c r="R275" s="1918">
        <v>35</v>
      </c>
      <c r="S275" s="915"/>
      <c r="T275" s="693" t="s">
        <v>1271</v>
      </c>
      <c r="U275" s="915"/>
      <c r="V275" s="2722" t="s">
        <v>1272</v>
      </c>
      <c r="W275" s="915"/>
      <c r="X275" s="3115" t="s">
        <v>9588</v>
      </c>
      <c r="Y275" s="915"/>
      <c r="Z275" s="3115" t="s">
        <v>9589</v>
      </c>
      <c r="AA275" s="915"/>
      <c r="AB275" s="3115" t="s">
        <v>9590</v>
      </c>
      <c r="AC275" s="915"/>
      <c r="AD275" s="3115" t="s">
        <v>9591</v>
      </c>
      <c r="AE275" s="915"/>
      <c r="AF275" s="3115" t="s">
        <v>9583</v>
      </c>
      <c r="AG275" s="944"/>
      <c r="AH275" s="920" t="n">
        <f>SUM('7층_부하량(월간_AVG)'!D112:F112)</f>
        <v>2.4571087337953235</v>
      </c>
      <c r="AI275" s="1353" t="n">
        <f t="shared" si="53"/>
        <v>2.4571087337953235</v>
      </c>
      <c r="AJ275" s="3056"/>
      <c r="AK275" s="3057" t="n" cm="1">
        <f t="array" ref="AK275">INDEX('각층분기별_유효전력량(전월)'!L2:L2000,MATCH(1,("7-DaHall 1-RPP-02"='각층분기별_유효전력량(전월)'!J2:J2000)*("[branch#035] [A] kWh last month"='각층분기별_유효전력량(전월)'!K2:K2000),0))</f>
        <v>301.0</v>
      </c>
      <c r="AL275" s="3065" t="n">
        <f t="shared" si="55"/>
        <v>301.0</v>
      </c>
      <c r="AM275" s="1358" t="s">
        <v>1273</v>
      </c>
      <c r="AN275" s="2747"/>
    </row>
    <row r="276" spans="1:40" ht="40.5" x14ac:dyDescent="0.15">
      <c r="A276" s="3114"/>
      <c r="B276" s="1064"/>
      <c r="C276" s="2705"/>
      <c r="D276" s="2705"/>
      <c r="E276" s="2705" t="s">
        <v>27</v>
      </c>
      <c r="F276" s="2705"/>
      <c r="G276" s="1921"/>
      <c r="H276" s="1915" t="s">
        <v>9599</v>
      </c>
      <c r="I276" s="1921"/>
      <c r="J276" s="1915" t="str">
        <f t="shared" si="56"/>
        <v>7-DaHall 1-RPP-02-20-37</v>
      </c>
      <c r="K276" s="1923"/>
      <c r="L276" s="1924"/>
      <c r="M276" s="915"/>
      <c r="N276" s="1925"/>
      <c r="O276" s="1916">
        <v>220</v>
      </c>
      <c r="P276" s="1917">
        <v>20</v>
      </c>
      <c r="Q276" s="693" t="s">
        <v>9204</v>
      </c>
      <c r="R276" s="1918">
        <v>37</v>
      </c>
      <c r="S276" s="915"/>
      <c r="T276" s="693" t="s">
        <v>1274</v>
      </c>
      <c r="U276" s="915"/>
      <c r="V276" s="2722" t="s">
        <v>1275</v>
      </c>
      <c r="W276" s="915"/>
      <c r="X276" s="3115" t="s">
        <v>9588</v>
      </c>
      <c r="Y276" s="915"/>
      <c r="Z276" s="3115" t="s">
        <v>9589</v>
      </c>
      <c r="AA276" s="915"/>
      <c r="AB276" s="3115" t="s">
        <v>9590</v>
      </c>
      <c r="AC276" s="915"/>
      <c r="AD276" s="3115" t="s">
        <v>9591</v>
      </c>
      <c r="AE276" s="915"/>
      <c r="AF276" s="3115" t="s">
        <v>9583</v>
      </c>
      <c r="AG276" s="944"/>
      <c r="AH276" s="920" t="n">
        <f>SUM('7층_부하량(월간_AVG)'!D113:F113)</f>
        <v>5.87170014728235</v>
      </c>
      <c r="AI276" s="1353" t="n">
        <f t="shared" si="53"/>
        <v>5.87170014728235</v>
      </c>
      <c r="AJ276" s="3056"/>
      <c r="AK276" s="3057" t="n" cm="1">
        <f t="array" ref="AK276">INDEX('각층분기별_유효전력량(전월)'!L2:L2000,MATCH(1,("7-DaHall 1-RPP-02"='각층분기별_유효전력량(전월)'!J2:J2000)*("[branch#037] [A] kWh last month"='각층분기별_유효전력량(전월)'!K2:K2000),0))</f>
        <v>685.4</v>
      </c>
      <c r="AL276" s="3065" t="n">
        <f t="shared" si="55"/>
        <v>685.4</v>
      </c>
      <c r="AM276" s="1358" t="s">
        <v>1276</v>
      </c>
      <c r="AN276" s="2747"/>
    </row>
    <row r="277" spans="1:40" ht="40.5" x14ac:dyDescent="0.15">
      <c r="A277" s="3114"/>
      <c r="B277" s="1064"/>
      <c r="C277" s="2705"/>
      <c r="D277" s="2705"/>
      <c r="E277" s="711" t="s">
        <v>27</v>
      </c>
      <c r="F277" s="711"/>
      <c r="G277" s="2091"/>
      <c r="H277" s="2092" t="s">
        <v>9600</v>
      </c>
      <c r="I277" s="2091"/>
      <c r="J277" s="2092" t="str">
        <f t="shared" si="56"/>
        <v>7-DaHall 1-RPP-02-20-38</v>
      </c>
      <c r="K277" s="2093"/>
      <c r="L277" s="2094"/>
      <c r="M277" s="931"/>
      <c r="N277" s="2095"/>
      <c r="O277" s="2096">
        <v>220</v>
      </c>
      <c r="P277" s="2097">
        <v>20</v>
      </c>
      <c r="Q277" s="932" t="s">
        <v>9204</v>
      </c>
      <c r="R277" s="2098">
        <v>38</v>
      </c>
      <c r="S277" s="931"/>
      <c r="T277" s="932" t="s">
        <v>476</v>
      </c>
      <c r="U277" s="915"/>
      <c r="V277" s="2722" t="s">
        <v>478</v>
      </c>
      <c r="W277" s="915"/>
      <c r="X277" s="3115" t="s">
        <v>9588</v>
      </c>
      <c r="Y277" s="915"/>
      <c r="Z277" s="3115" t="s">
        <v>9589</v>
      </c>
      <c r="AA277" s="915"/>
      <c r="AB277" s="3115" t="s">
        <v>9590</v>
      </c>
      <c r="AC277" s="915"/>
      <c r="AD277" s="3115" t="s">
        <v>9591</v>
      </c>
      <c r="AE277" s="915"/>
      <c r="AF277" s="3115" t="s">
        <v>9583</v>
      </c>
      <c r="AG277" s="954"/>
      <c r="AH277" s="952"/>
      <c r="AI277" s="1356" t="n">
        <f t="shared" si="53"/>
        <v>0.0</v>
      </c>
      <c r="AJ277" s="3056"/>
      <c r="AK277" s="3057" t="n" cm="1">
        <f t="array" ref="AK277">INDEX('각층분기별_유효전력량(전월)'!L2:L2000,MATCH(1,("7-DaHall 1-RPP-02"='각층분기별_유효전력량(전월)'!J2:J2000)*("[branch#038] [A] kWh last month"='각층분기별_유효전력량(전월)'!K2:K2000),0))</f>
        <v>1095.2</v>
      </c>
      <c r="AL277" s="3065" t="n">
        <f t="shared" si="55"/>
        <v>1095.2</v>
      </c>
      <c r="AM277" s="1360" t="s">
        <v>1277</v>
      </c>
      <c r="AN277" s="2747"/>
    </row>
    <row r="278" spans="1:40" ht="41.25" thickBot="1" x14ac:dyDescent="0.2">
      <c r="A278" s="3117"/>
      <c r="B278" s="1065"/>
      <c r="C278" s="2741"/>
      <c r="D278" s="2741"/>
      <c r="E278" s="2741" t="s">
        <v>27</v>
      </c>
      <c r="F278" s="2741"/>
      <c r="G278" s="2099"/>
      <c r="H278" s="2100" t="s">
        <v>9601</v>
      </c>
      <c r="I278" s="2099"/>
      <c r="J278" s="2100" t="str">
        <f t="shared" si="56"/>
        <v>7-DaHall 1-RPP-02-20-39</v>
      </c>
      <c r="K278" s="2101"/>
      <c r="L278" s="2102"/>
      <c r="M278" s="2103"/>
      <c r="N278" s="2104"/>
      <c r="O278" s="2008">
        <v>220</v>
      </c>
      <c r="P278" s="2105">
        <v>20</v>
      </c>
      <c r="Q278" s="3118" t="s">
        <v>9204</v>
      </c>
      <c r="R278" s="2106">
        <v>39</v>
      </c>
      <c r="S278" s="923"/>
      <c r="T278" s="926" t="s">
        <v>1278</v>
      </c>
      <c r="U278" s="923"/>
      <c r="V278" s="911" t="s">
        <v>1279</v>
      </c>
      <c r="W278" s="923"/>
      <c r="X278" s="3116" t="s">
        <v>9588</v>
      </c>
      <c r="Y278" s="923"/>
      <c r="Z278" s="3116" t="s">
        <v>9589</v>
      </c>
      <c r="AA278" s="923"/>
      <c r="AB278" s="3116" t="s">
        <v>9590</v>
      </c>
      <c r="AC278" s="923"/>
      <c r="AD278" s="3116" t="s">
        <v>9591</v>
      </c>
      <c r="AE278" s="923"/>
      <c r="AF278" s="3116" t="s">
        <v>9583</v>
      </c>
      <c r="AG278" s="946"/>
      <c r="AH278" s="948" t="n">
        <f>SUM('7층_부하량(월간_AVG)'!D114:F114)</f>
        <v>3.1210592427596078</v>
      </c>
      <c r="AI278" s="1354" t="n">
        <f t="shared" si="53"/>
        <v>3.1210592427596078</v>
      </c>
      <c r="AJ278" s="3119"/>
      <c r="AK278" s="3120" t="n" cm="1">
        <f t="array" ref="AK278">INDEX('각층분기별_유효전력량(전월)'!L2:L2000,MATCH(1,("7-DaHall 1-RPP-02"='각층분기별_유효전력량(전월)'!J2:J2000)*("[branch#039] [A] kWh last month"='각층분기별_유효전력량(전월)'!K2:K2000),0))</f>
        <v>762.6</v>
      </c>
      <c r="AL278" s="3121" t="n">
        <f t="shared" si="55"/>
        <v>762.6</v>
      </c>
      <c r="AM278" s="1361" t="s">
        <v>1280</v>
      </c>
      <c r="AN278" s="685"/>
    </row>
    <row r="279" spans="1:40" x14ac:dyDescent="0.15">
      <c r="AI279" s="2461">
        <f>SUM(AI5:AI278)</f>
        <v>0</v>
      </c>
      <c r="AJ279" s="1395" t="n">
        <f>SUM(AJ128:AJ278)/1000</f>
        <v>32.0955</v>
      </c>
      <c r="AK279" s="1395"/>
      <c r="AL279" s="1395"/>
    </row>
  </sheetData>
  <autoFilter ref="A4:AN276" xr:uid="{00000000-0001-0000-0000-000000000000}">
    <filterColumn colId="4">
      <filters>
        <filter val="○"/>
      </filters>
    </filterColumn>
    <filterColumn colId="5">
      <filters blank="1">
        <filter val="　"/>
        <filter val="X"/>
      </filters>
    </filterColumn>
    <filterColumn colId="10" showButton="0"/>
    <filterColumn colId="11" showButton="0"/>
    <filterColumn colId="12" showButton="0"/>
    <filterColumn colId="14" showButton="0"/>
    <filterColumn colId="15" showButton="0"/>
    <filterColumn colId="16" showButton="0"/>
  </autoFilter>
  <mergeCells count="126">
    <mergeCell ref="B186:B187"/>
    <mergeCell ref="C186:C187"/>
    <mergeCell ref="D186:D187"/>
    <mergeCell ref="AE190:AF190"/>
    <mergeCell ref="B5:B6"/>
    <mergeCell ref="I3:J3"/>
    <mergeCell ref="K3:R3"/>
    <mergeCell ref="AE3:AF3"/>
    <mergeCell ref="AG3:AI3"/>
    <mergeCell ref="AJ3:AK3"/>
    <mergeCell ref="K4:N4"/>
    <mergeCell ref="O4:R4"/>
    <mergeCell ref="C7:C8"/>
    <mergeCell ref="D7:D8"/>
    <mergeCell ref="AE7:AE8"/>
    <mergeCell ref="AF7:AF8"/>
    <mergeCell ref="U3:V3"/>
    <mergeCell ref="E3:F3"/>
    <mergeCell ref="S3:T3"/>
    <mergeCell ref="G3:H3"/>
    <mergeCell ref="AC3:AD3"/>
    <mergeCell ref="Y3:Z3"/>
    <mergeCell ref="W3:X3"/>
    <mergeCell ref="AA3:AB3"/>
    <mergeCell ref="B18:B19"/>
    <mergeCell ref="C18:C19"/>
    <mergeCell ref="AI18:AI19"/>
    <mergeCell ref="B21:B22"/>
    <mergeCell ref="C21:C22"/>
    <mergeCell ref="D21:D22"/>
    <mergeCell ref="W25:X25"/>
    <mergeCell ref="Y25:Z25"/>
    <mergeCell ref="AA25:AB25"/>
    <mergeCell ref="AC25:AD25"/>
    <mergeCell ref="AE25:AF25"/>
    <mergeCell ref="B27:B28"/>
    <mergeCell ref="C27:C28"/>
    <mergeCell ref="D27:D28"/>
    <mergeCell ref="B29:B30"/>
    <mergeCell ref="C29:C30"/>
    <mergeCell ref="D29:D30"/>
    <mergeCell ref="B40:B42"/>
    <mergeCell ref="C40:C42"/>
    <mergeCell ref="D40:D42"/>
    <mergeCell ref="C38:C39"/>
    <mergeCell ref="B38:B39"/>
    <mergeCell ref="D38:D39"/>
    <mergeCell ref="B56:B58"/>
    <mergeCell ref="C56:C58"/>
    <mergeCell ref="D56:D58"/>
    <mergeCell ref="B59:B60"/>
    <mergeCell ref="C59:C60"/>
    <mergeCell ref="D59:D60"/>
    <mergeCell ref="B61:B62"/>
    <mergeCell ref="C61:C62"/>
    <mergeCell ref="D61:D62"/>
    <mergeCell ref="B66:B67"/>
    <mergeCell ref="C66:C67"/>
    <mergeCell ref="D66:D67"/>
    <mergeCell ref="AI66:AI67"/>
    <mergeCell ref="B68:B69"/>
    <mergeCell ref="C68:C69"/>
    <mergeCell ref="D68:D69"/>
    <mergeCell ref="B70:B72"/>
    <mergeCell ref="C70:C72"/>
    <mergeCell ref="D70:D72"/>
    <mergeCell ref="B73:B74"/>
    <mergeCell ref="C73:C74"/>
    <mergeCell ref="D73:D74"/>
    <mergeCell ref="B78:B79"/>
    <mergeCell ref="C78:C79"/>
    <mergeCell ref="D78:D79"/>
    <mergeCell ref="G79:H79"/>
    <mergeCell ref="I79:J79"/>
    <mergeCell ref="S79:T79"/>
    <mergeCell ref="B111:B112"/>
    <mergeCell ref="C111:C112"/>
    <mergeCell ref="D111:D112"/>
    <mergeCell ref="B135:B136"/>
    <mergeCell ref="C135:C136"/>
    <mergeCell ref="D135:D136"/>
    <mergeCell ref="B137:B138"/>
    <mergeCell ref="C137:C138"/>
    <mergeCell ref="D137:D138"/>
    <mergeCell ref="AI137:AI138"/>
    <mergeCell ref="B147:B148"/>
    <mergeCell ref="C147:C148"/>
    <mergeCell ref="D147:D148"/>
    <mergeCell ref="B149:B150"/>
    <mergeCell ref="C149:C150"/>
    <mergeCell ref="D149:D150"/>
    <mergeCell ref="B163:B164"/>
    <mergeCell ref="C163:C164"/>
    <mergeCell ref="D163:D164"/>
    <mergeCell ref="AI163:AI164"/>
    <mergeCell ref="B174:B175"/>
    <mergeCell ref="C174:C175"/>
    <mergeCell ref="D174:D175"/>
    <mergeCell ref="B179:B180"/>
    <mergeCell ref="C179:C180"/>
    <mergeCell ref="D179:D180"/>
    <mergeCell ref="AF179:AF180"/>
    <mergeCell ref="W181:W183"/>
    <mergeCell ref="Y181:Y183"/>
    <mergeCell ref="AA181:AA183"/>
    <mergeCell ref="AC181:AC183"/>
    <mergeCell ref="B206:B207"/>
    <mergeCell ref="C206:C207"/>
    <mergeCell ref="D206:D207"/>
    <mergeCell ref="AI206:AI207"/>
    <mergeCell ref="B209:B210"/>
    <mergeCell ref="C209:C210"/>
    <mergeCell ref="D209:D210"/>
    <mergeCell ref="E209:E210"/>
    <mergeCell ref="AI209:AI210"/>
    <mergeCell ref="AI241:AI242"/>
    <mergeCell ref="AJ241:AJ242"/>
    <mergeCell ref="G213:H213"/>
    <mergeCell ref="I213:J213"/>
    <mergeCell ref="S213:T213"/>
    <mergeCell ref="B225:B226"/>
    <mergeCell ref="C225:C226"/>
    <mergeCell ref="D225:D226"/>
    <mergeCell ref="B241:B243"/>
    <mergeCell ref="C241:C243"/>
    <mergeCell ref="D241:D243"/>
  </mergeCells>
  <phoneticPr fontId="1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F345"/>
  <sheetViews>
    <sheetView zoomScaleNormal="100" workbookViewId="0">
      <pane xSplit="2" ySplit="1" topLeftCell="C101" activePane="bottomRight" state="frozen"/>
      <selection activeCell="AA28" sqref="AA28:AA63"/>
      <selection pane="topRight" activeCell="AA28" sqref="AA28:AA63"/>
      <selection pane="bottomLeft" activeCell="AA28" sqref="AA28:AA63"/>
      <selection pane="bottomRight" activeCell="X110" sqref="X110"/>
    </sheetView>
  </sheetViews>
  <sheetFormatPr defaultRowHeight="13.5" x14ac:dyDescent="0.15"/>
  <cols>
    <col min="1" max="1" bestFit="true" customWidth="true" style="1104" width="9.77734375" collapsed="false"/>
    <col min="2" max="3" customWidth="true" width="10.109375" collapsed="false"/>
    <col min="4" max="7" customWidth="true" hidden="true" width="9.5546875" collapsed="false"/>
    <col min="8" max="8" bestFit="true" customWidth="true" style="2117" width="36.5546875" collapsed="false"/>
    <col min="9" max="9" bestFit="true" customWidth="true" style="2117" width="29.77734375" collapsed="false"/>
    <col min="10" max="10" customWidth="true" hidden="true" width="6.109375" collapsed="false"/>
    <col min="11" max="11" customWidth="true" hidden="true" width="5.88671875" collapsed="false"/>
    <col min="12" max="12" customWidth="true" hidden="true" width="3.44140625" collapsed="false"/>
    <col min="13" max="13" customWidth="true" hidden="true" style="1484" width="3.44140625" collapsed="false"/>
    <col min="14" max="14" customWidth="true" hidden="true" width="6.109375" collapsed="false"/>
    <col min="15" max="15" customWidth="true" hidden="true" width="5.88671875" collapsed="false"/>
    <col min="16" max="16" customWidth="true" hidden="true" width="3.6640625" collapsed="false"/>
    <col min="17" max="17" customWidth="true" hidden="true" style="1484" width="3.44140625" collapsed="false"/>
    <col min="18" max="23" customWidth="true" hidden="true" width="9.5546875" collapsed="false"/>
    <col min="24" max="26" style="250" width="8.88671875" collapsed="false"/>
    <col min="27" max="27" bestFit="true" customWidth="true" style="250" width="11.77734375" collapsed="false"/>
    <col min="28" max="28" customWidth="true" style="250" width="11.77734375" collapsed="false"/>
    <col min="29" max="29" customWidth="true" style="250" width="16.77734375" collapsed="false"/>
    <col min="30" max="30" customWidth="true" style="1" width="16.6640625" collapsed="false"/>
  </cols>
  <sheetData>
    <row r="1" spans="1:31" ht="25.5" x14ac:dyDescent="0.15">
      <c r="B1" s="3272" t="s">
        <v>1281</v>
      </c>
      <c r="C1" s="3272"/>
      <c r="D1" s="3272"/>
      <c r="E1" s="3272"/>
      <c r="F1" s="3272"/>
      <c r="G1" s="3272"/>
      <c r="H1" s="3272"/>
      <c r="I1" s="3272"/>
      <c r="J1" s="3272"/>
      <c r="K1" s="3272"/>
      <c r="L1" s="3272"/>
      <c r="M1" s="3272"/>
      <c r="N1" s="3272"/>
      <c r="O1" s="3272"/>
      <c r="P1" s="3272"/>
      <c r="Q1" s="3272"/>
      <c r="R1" s="3272"/>
      <c r="S1" s="3272"/>
      <c r="T1" s="3272"/>
      <c r="U1" s="3272"/>
      <c r="V1" s="3272"/>
      <c r="W1" s="3272"/>
      <c r="X1" s="3272"/>
      <c r="Y1" s="3272"/>
      <c r="Z1" s="3272"/>
      <c r="AA1" s="3272"/>
      <c r="AB1" s="3272"/>
      <c r="AC1" s="3272"/>
      <c r="AD1" s="3272"/>
    </row>
    <row r="2" spans="1:31" ht="14.25" thickBot="1" x14ac:dyDescent="0.2">
      <c r="H2" s="2117" t="s">
        <v>1282</v>
      </c>
      <c r="AD2" s="494"/>
    </row>
    <row r="3" spans="1:31" ht="13.5" customHeight="1" thickTop="1" x14ac:dyDescent="0.15">
      <c r="A3" s="3277" t="s">
        <v>1283</v>
      </c>
      <c r="B3" s="3257" t="s">
        <v>1284</v>
      </c>
      <c r="C3" s="3254" t="s">
        <v>1285</v>
      </c>
      <c r="D3" s="3256" t="s">
        <v>1286</v>
      </c>
      <c r="E3" s="3257"/>
      <c r="F3" s="3258" t="s">
        <v>1287</v>
      </c>
      <c r="G3" s="3259"/>
      <c r="H3" s="3264" t="s">
        <v>7058</v>
      </c>
      <c r="I3" s="3265"/>
      <c r="J3" s="3264" t="s">
        <v>7</v>
      </c>
      <c r="K3" s="3266"/>
      <c r="L3" s="3266"/>
      <c r="M3" s="3266"/>
      <c r="N3" s="3266"/>
      <c r="O3" s="3266"/>
      <c r="P3" s="3266"/>
      <c r="Q3" s="3265"/>
      <c r="R3" s="3258" t="s">
        <v>1288</v>
      </c>
      <c r="S3" s="3259"/>
      <c r="T3" s="3258" t="s">
        <v>13</v>
      </c>
      <c r="U3" s="3259"/>
      <c r="V3" s="3258" t="s">
        <v>14</v>
      </c>
      <c r="W3" s="3259"/>
      <c r="X3" s="3260" t="s">
        <v>9149</v>
      </c>
      <c r="Y3" s="3261"/>
      <c r="Z3" s="3261"/>
      <c r="AA3" s="3273" t="s">
        <v>9150</v>
      </c>
      <c r="AB3" s="3274"/>
      <c r="AC3" s="3262" t="s">
        <v>7059</v>
      </c>
      <c r="AD3" s="3275" t="s">
        <v>1289</v>
      </c>
    </row>
    <row r="4" spans="1:31" ht="14.25" thickBot="1" x14ac:dyDescent="0.2">
      <c r="A4" s="3278"/>
      <c r="B4" s="3283"/>
      <c r="C4" s="3255"/>
      <c r="D4" s="2806" t="s">
        <v>19</v>
      </c>
      <c r="E4" s="2806" t="s">
        <v>20</v>
      </c>
      <c r="F4" s="826" t="s">
        <v>19</v>
      </c>
      <c r="G4" s="827" t="s">
        <v>20</v>
      </c>
      <c r="H4" s="1485" t="s">
        <v>19</v>
      </c>
      <c r="I4" s="1486" t="s">
        <v>20</v>
      </c>
      <c r="J4" s="3267" t="s">
        <v>19</v>
      </c>
      <c r="K4" s="3268"/>
      <c r="L4" s="3268"/>
      <c r="M4" s="3269"/>
      <c r="N4" s="3270" t="s">
        <v>20</v>
      </c>
      <c r="O4" s="3270"/>
      <c r="P4" s="3270"/>
      <c r="Q4" s="3271"/>
      <c r="R4" s="826" t="s">
        <v>19</v>
      </c>
      <c r="S4" s="827" t="s">
        <v>20</v>
      </c>
      <c r="T4" s="826" t="s">
        <v>19</v>
      </c>
      <c r="U4" s="827" t="s">
        <v>20</v>
      </c>
      <c r="V4" s="826" t="s">
        <v>19</v>
      </c>
      <c r="W4" s="827" t="s">
        <v>20</v>
      </c>
      <c r="X4" s="854" t="s">
        <v>19</v>
      </c>
      <c r="Y4" s="854" t="s">
        <v>20</v>
      </c>
      <c r="Z4" s="2768" t="s">
        <v>23</v>
      </c>
      <c r="AA4" s="2944" t="s">
        <v>19</v>
      </c>
      <c r="AB4" s="2945" t="s">
        <v>20</v>
      </c>
      <c r="AC4" s="3263"/>
      <c r="AD4" s="3276"/>
    </row>
    <row r="5" spans="1:31" ht="15" hidden="1" customHeight="1" x14ac:dyDescent="0.15">
      <c r="B5" s="855" t="s">
        <v>1290</v>
      </c>
      <c r="C5" s="856"/>
      <c r="D5" s="331"/>
      <c r="E5" s="331"/>
      <c r="F5" s="832"/>
      <c r="G5" s="833"/>
      <c r="H5" s="2202"/>
      <c r="I5" s="2203"/>
      <c r="J5" s="1487"/>
      <c r="K5" s="1488"/>
      <c r="L5" s="832"/>
      <c r="M5" s="1489"/>
      <c r="N5" s="1490"/>
      <c r="O5" s="1491"/>
      <c r="P5" s="833"/>
      <c r="Q5" s="1492"/>
      <c r="R5" s="832"/>
      <c r="S5" s="833"/>
      <c r="T5" s="832"/>
      <c r="U5" s="833"/>
      <c r="V5" s="832"/>
      <c r="W5" s="833"/>
      <c r="X5" s="857"/>
      <c r="Y5" s="857"/>
      <c r="Z5" s="2555" t="n">
        <f>SUM(X5:Y5)</f>
        <v>0.0</v>
      </c>
      <c r="AA5" s="2946"/>
      <c r="AB5" s="2947"/>
      <c r="AC5" s="2584"/>
      <c r="AD5" s="2948"/>
      <c r="AE5" s="3218" t="s">
        <v>1291</v>
      </c>
    </row>
    <row r="6" spans="1:31" ht="14.25" hidden="1" customHeight="1" x14ac:dyDescent="0.15">
      <c r="B6" s="843" t="s">
        <v>1292</v>
      </c>
      <c r="C6" s="844"/>
      <c r="D6" s="2765"/>
      <c r="E6" s="2765"/>
      <c r="F6" s="2763"/>
      <c r="G6" s="2764"/>
      <c r="H6" s="2204"/>
      <c r="I6" s="2205"/>
      <c r="J6" s="1493"/>
      <c r="K6" s="1494"/>
      <c r="L6" s="2763"/>
      <c r="M6" s="1495"/>
      <c r="N6" s="1496"/>
      <c r="O6" s="1497"/>
      <c r="P6" s="2764"/>
      <c r="Q6" s="1498"/>
      <c r="R6" s="2763"/>
      <c r="S6" s="2764"/>
      <c r="T6" s="2763"/>
      <c r="U6" s="2764"/>
      <c r="V6" s="2763"/>
      <c r="W6" s="2764"/>
      <c r="X6" s="254"/>
      <c r="Y6" s="254"/>
      <c r="Z6" s="2556" t="n">
        <f t="shared" ref="Z6:Z13" si="0">SUM(X6:Y6)</f>
        <v>0.0</v>
      </c>
      <c r="AA6" s="2949"/>
      <c r="AB6" s="2950"/>
      <c r="AC6" s="2585"/>
      <c r="AD6" s="2951"/>
      <c r="AE6" s="3218"/>
    </row>
    <row r="7" spans="1:31" ht="14.25" hidden="1" customHeight="1" x14ac:dyDescent="0.15">
      <c r="B7" s="843" t="s">
        <v>1293</v>
      </c>
      <c r="C7" s="844"/>
      <c r="D7" s="2765" t="s">
        <v>1294</v>
      </c>
      <c r="E7" s="2765" t="s">
        <v>1295</v>
      </c>
      <c r="F7" s="2763"/>
      <c r="G7" s="2764"/>
      <c r="H7" s="2204"/>
      <c r="I7" s="2205"/>
      <c r="J7" s="1493"/>
      <c r="K7" s="1494"/>
      <c r="L7" s="2763"/>
      <c r="M7" s="1495"/>
      <c r="N7" s="1496"/>
      <c r="O7" s="1497"/>
      <c r="P7" s="2764"/>
      <c r="Q7" s="1498"/>
      <c r="R7" s="2763"/>
      <c r="S7" s="2764"/>
      <c r="T7" s="2763"/>
      <c r="U7" s="2764"/>
      <c r="V7" s="2763"/>
      <c r="W7" s="2764"/>
      <c r="X7" s="307"/>
      <c r="Y7" s="255"/>
      <c r="Z7" s="2557" t="n">
        <f t="shared" si="0"/>
        <v>0.0</v>
      </c>
      <c r="AA7" s="2952"/>
      <c r="AB7" s="2953"/>
      <c r="AC7" s="2586"/>
      <c r="AD7" s="2954" t="s">
        <v>1296</v>
      </c>
      <c r="AE7" s="3218"/>
    </row>
    <row r="8" spans="1:31" ht="14.25" hidden="1" customHeight="1" x14ac:dyDescent="0.15">
      <c r="B8" s="843" t="s">
        <v>1297</v>
      </c>
      <c r="C8" s="844"/>
      <c r="D8" s="2765" t="s">
        <v>1298</v>
      </c>
      <c r="E8" s="2765" t="s">
        <v>1299</v>
      </c>
      <c r="F8" s="2763"/>
      <c r="G8" s="2764"/>
      <c r="H8" s="2204"/>
      <c r="I8" s="2205"/>
      <c r="J8" s="1493"/>
      <c r="K8" s="1494"/>
      <c r="L8" s="2763"/>
      <c r="M8" s="1495"/>
      <c r="N8" s="1496"/>
      <c r="O8" s="1497"/>
      <c r="P8" s="2764"/>
      <c r="Q8" s="1498"/>
      <c r="R8" s="2763"/>
      <c r="S8" s="2764"/>
      <c r="T8" s="2763"/>
      <c r="U8" s="2764"/>
      <c r="V8" s="2763"/>
      <c r="W8" s="2764"/>
      <c r="X8" s="307"/>
      <c r="Y8" s="255"/>
      <c r="Z8" s="2557" t="n">
        <f t="shared" si="0"/>
        <v>0.0</v>
      </c>
      <c r="AA8" s="2952"/>
      <c r="AB8" s="2953"/>
      <c r="AC8" s="2586"/>
      <c r="AD8" s="2955"/>
      <c r="AE8" s="3218"/>
    </row>
    <row r="9" spans="1:31" ht="14.25" hidden="1" customHeight="1" x14ac:dyDescent="0.15">
      <c r="B9" s="843" t="s">
        <v>1300</v>
      </c>
      <c r="C9" s="844"/>
      <c r="D9" s="2765" t="s">
        <v>1301</v>
      </c>
      <c r="E9" s="2765" t="s">
        <v>1302</v>
      </c>
      <c r="F9" s="2763"/>
      <c r="G9" s="2764"/>
      <c r="H9" s="2204"/>
      <c r="I9" s="2205"/>
      <c r="J9" s="1493"/>
      <c r="K9" s="1494"/>
      <c r="L9" s="2763"/>
      <c r="M9" s="1495"/>
      <c r="N9" s="1496"/>
      <c r="O9" s="1497"/>
      <c r="P9" s="2764"/>
      <c r="Q9" s="1498"/>
      <c r="R9" s="2763"/>
      <c r="S9" s="2764"/>
      <c r="T9" s="2763"/>
      <c r="U9" s="2764"/>
      <c r="V9" s="2763"/>
      <c r="W9" s="2764"/>
      <c r="X9" s="307"/>
      <c r="Y9" s="255"/>
      <c r="Z9" s="2557" t="n">
        <f t="shared" si="0"/>
        <v>0.0</v>
      </c>
      <c r="AA9" s="2952"/>
      <c r="AB9" s="2953"/>
      <c r="AC9" s="2586"/>
      <c r="AD9" s="2955"/>
      <c r="AE9" s="3218"/>
    </row>
    <row r="10" spans="1:31" ht="14.25" hidden="1" customHeight="1" x14ac:dyDescent="0.15">
      <c r="B10" s="843" t="s">
        <v>1303</v>
      </c>
      <c r="C10" s="844"/>
      <c r="D10" s="2765" t="s">
        <v>1304</v>
      </c>
      <c r="E10" s="2765" t="s">
        <v>1305</v>
      </c>
      <c r="F10" s="2763"/>
      <c r="G10" s="2764"/>
      <c r="H10" s="2204"/>
      <c r="I10" s="2205"/>
      <c r="J10" s="1493"/>
      <c r="K10" s="1494"/>
      <c r="L10" s="2763"/>
      <c r="M10" s="1495"/>
      <c r="N10" s="1496"/>
      <c r="O10" s="1497"/>
      <c r="P10" s="2764"/>
      <c r="Q10" s="1498"/>
      <c r="R10" s="2763"/>
      <c r="S10" s="2764"/>
      <c r="T10" s="2763"/>
      <c r="U10" s="2764"/>
      <c r="V10" s="2763"/>
      <c r="W10" s="2764"/>
      <c r="X10" s="307"/>
      <c r="Y10" s="255"/>
      <c r="Z10" s="2557" t="n">
        <f t="shared" si="0"/>
        <v>0.0</v>
      </c>
      <c r="AA10" s="2952"/>
      <c r="AB10" s="2953"/>
      <c r="AC10" s="2586"/>
      <c r="AD10" s="2955"/>
      <c r="AE10" s="3218"/>
    </row>
    <row r="11" spans="1:31" ht="14.25" hidden="1" customHeight="1" x14ac:dyDescent="0.15">
      <c r="B11" s="843" t="s">
        <v>1306</v>
      </c>
      <c r="C11" s="844"/>
      <c r="D11" s="2765" t="s">
        <v>1307</v>
      </c>
      <c r="E11" s="2765" t="s">
        <v>1308</v>
      </c>
      <c r="F11" s="2763"/>
      <c r="G11" s="2764"/>
      <c r="H11" s="2204"/>
      <c r="I11" s="2205"/>
      <c r="J11" s="1493"/>
      <c r="K11" s="1494"/>
      <c r="L11" s="2763"/>
      <c r="M11" s="1495"/>
      <c r="N11" s="1496"/>
      <c r="O11" s="1497"/>
      <c r="P11" s="2764"/>
      <c r="Q11" s="1498"/>
      <c r="R11" s="2763"/>
      <c r="S11" s="2764"/>
      <c r="T11" s="2763"/>
      <c r="U11" s="2764"/>
      <c r="V11" s="2763"/>
      <c r="W11" s="2764"/>
      <c r="X11" s="307"/>
      <c r="Y11" s="255"/>
      <c r="Z11" s="2557" t="n">
        <f t="shared" si="0"/>
        <v>0.0</v>
      </c>
      <c r="AA11" s="2952"/>
      <c r="AB11" s="2953"/>
      <c r="AC11" s="2586"/>
      <c r="AD11" s="2955"/>
      <c r="AE11" s="3218"/>
    </row>
    <row r="12" spans="1:31" ht="14.25" hidden="1" customHeight="1" x14ac:dyDescent="0.15">
      <c r="B12" s="843" t="s">
        <v>1309</v>
      </c>
      <c r="C12" s="844"/>
      <c r="D12" s="2765" t="s">
        <v>1310</v>
      </c>
      <c r="E12" s="2765" t="s">
        <v>1311</v>
      </c>
      <c r="F12" s="2763"/>
      <c r="G12" s="2764"/>
      <c r="H12" s="2204"/>
      <c r="I12" s="2205"/>
      <c r="J12" s="1493"/>
      <c r="K12" s="1494"/>
      <c r="L12" s="2763"/>
      <c r="M12" s="1495"/>
      <c r="N12" s="1496"/>
      <c r="O12" s="1497"/>
      <c r="P12" s="2764"/>
      <c r="Q12" s="1498"/>
      <c r="R12" s="2763"/>
      <c r="S12" s="2764"/>
      <c r="T12" s="2763"/>
      <c r="U12" s="2764"/>
      <c r="V12" s="2763"/>
      <c r="W12" s="2764"/>
      <c r="X12" s="307"/>
      <c r="Y12" s="255"/>
      <c r="Z12" s="2557" t="n">
        <f t="shared" si="0"/>
        <v>0.0</v>
      </c>
      <c r="AA12" s="2952"/>
      <c r="AB12" s="2953"/>
      <c r="AC12" s="2586"/>
      <c r="AD12" s="2954"/>
      <c r="AE12" s="3218"/>
    </row>
    <row r="13" spans="1:31" ht="14.25" hidden="1" customHeight="1" x14ac:dyDescent="0.15">
      <c r="B13" s="845" t="s">
        <v>1312</v>
      </c>
      <c r="C13" s="846"/>
      <c r="D13" s="2780" t="s">
        <v>1313</v>
      </c>
      <c r="E13" s="2780" t="s">
        <v>1314</v>
      </c>
      <c r="F13" s="2766"/>
      <c r="G13" s="2767"/>
      <c r="H13" s="2206"/>
      <c r="I13" s="2207"/>
      <c r="J13" s="1499"/>
      <c r="K13" s="1500"/>
      <c r="L13" s="2766"/>
      <c r="M13" s="1501"/>
      <c r="N13" s="1502"/>
      <c r="O13" s="1503"/>
      <c r="P13" s="2767"/>
      <c r="Q13" s="1504"/>
      <c r="R13" s="2766"/>
      <c r="S13" s="2767"/>
      <c r="T13" s="2766"/>
      <c r="U13" s="2767"/>
      <c r="V13" s="2766"/>
      <c r="W13" s="2767"/>
      <c r="X13" s="338"/>
      <c r="Y13" s="333"/>
      <c r="Z13" s="2558" t="n">
        <f t="shared" si="0"/>
        <v>0.0</v>
      </c>
      <c r="AA13" s="2956"/>
      <c r="AB13" s="2957"/>
      <c r="AC13" s="2587"/>
      <c r="AD13" s="2958"/>
      <c r="AE13" s="3218"/>
    </row>
    <row r="14" spans="1:31" ht="15" hidden="1" customHeight="1" x14ac:dyDescent="0.15">
      <c r="B14" s="855" t="s">
        <v>1315</v>
      </c>
      <c r="C14" s="856"/>
      <c r="D14" s="331"/>
      <c r="E14" s="331"/>
      <c r="F14" s="832"/>
      <c r="G14" s="833"/>
      <c r="H14" s="2202"/>
      <c r="I14" s="2203"/>
      <c r="J14" s="1487"/>
      <c r="K14" s="1488"/>
      <c r="L14" s="832"/>
      <c r="M14" s="1489"/>
      <c r="N14" s="1490"/>
      <c r="O14" s="1491"/>
      <c r="P14" s="833"/>
      <c r="Q14" s="1492"/>
      <c r="R14" s="832"/>
      <c r="S14" s="833"/>
      <c r="T14" s="832"/>
      <c r="U14" s="833"/>
      <c r="V14" s="832"/>
      <c r="W14" s="833"/>
      <c r="X14" s="858"/>
      <c r="Y14" s="857"/>
      <c r="Z14" s="2555" t="n">
        <f>SUM(X14:Y14)</f>
        <v>0.0</v>
      </c>
      <c r="AA14" s="2946"/>
      <c r="AB14" s="2947"/>
      <c r="AC14" s="2584"/>
      <c r="AD14" s="2948"/>
      <c r="AE14" s="3218" t="s">
        <v>1291</v>
      </c>
    </row>
    <row r="15" spans="1:31" ht="14.25" hidden="1" customHeight="1" x14ac:dyDescent="0.15">
      <c r="B15" s="843" t="s">
        <v>1316</v>
      </c>
      <c r="C15" s="844"/>
      <c r="D15" s="2765"/>
      <c r="E15" s="2765"/>
      <c r="F15" s="2763"/>
      <c r="G15" s="2764"/>
      <c r="H15" s="2204"/>
      <c r="I15" s="2205"/>
      <c r="J15" s="1493"/>
      <c r="K15" s="1494"/>
      <c r="L15" s="2763"/>
      <c r="M15" s="1495"/>
      <c r="N15" s="1496"/>
      <c r="O15" s="1497"/>
      <c r="P15" s="2764"/>
      <c r="Q15" s="1498"/>
      <c r="R15" s="2763"/>
      <c r="S15" s="2764"/>
      <c r="T15" s="2763"/>
      <c r="U15" s="2764"/>
      <c r="V15" s="2763"/>
      <c r="W15" s="2764"/>
      <c r="X15" s="308"/>
      <c r="Y15" s="254"/>
      <c r="Z15" s="2556" t="n">
        <f>SUM(X15:Y15)</f>
        <v>0.0</v>
      </c>
      <c r="AA15" s="2949"/>
      <c r="AB15" s="2950"/>
      <c r="AC15" s="2585"/>
      <c r="AD15" s="2951"/>
      <c r="AE15" s="3218"/>
    </row>
    <row r="16" spans="1:31" ht="14.25" hidden="1" customHeight="1" x14ac:dyDescent="0.15">
      <c r="B16" s="843" t="s">
        <v>1317</v>
      </c>
      <c r="C16" s="844"/>
      <c r="D16" s="2765" t="s">
        <v>1318</v>
      </c>
      <c r="E16" s="2765" t="s">
        <v>1319</v>
      </c>
      <c r="F16" s="2763"/>
      <c r="G16" s="2764"/>
      <c r="H16" s="2204"/>
      <c r="I16" s="2205"/>
      <c r="J16" s="1493"/>
      <c r="K16" s="1494"/>
      <c r="L16" s="2763"/>
      <c r="M16" s="1495"/>
      <c r="N16" s="1496"/>
      <c r="O16" s="1497"/>
      <c r="P16" s="2764"/>
      <c r="Q16" s="1498"/>
      <c r="R16" s="2763"/>
      <c r="S16" s="2764"/>
      <c r="T16" s="2763"/>
      <c r="U16" s="2764"/>
      <c r="V16" s="2763"/>
      <c r="W16" s="2764"/>
      <c r="X16" s="307"/>
      <c r="Y16" s="255"/>
      <c r="Z16" s="2557" t="n">
        <f t="shared" ref="Z16:Z22" si="1">SUM(X16:Y16)</f>
        <v>0.0</v>
      </c>
      <c r="AA16" s="2952"/>
      <c r="AB16" s="2953"/>
      <c r="AC16" s="2586"/>
      <c r="AD16" s="2954" t="s">
        <v>1320</v>
      </c>
      <c r="AE16" s="3218"/>
    </row>
    <row r="17" spans="2:31" ht="14.25" hidden="1" customHeight="1" x14ac:dyDescent="0.15">
      <c r="B17" s="843" t="s">
        <v>1321</v>
      </c>
      <c r="C17" s="844"/>
      <c r="D17" s="2765" t="s">
        <v>1322</v>
      </c>
      <c r="E17" s="2765" t="s">
        <v>1323</v>
      </c>
      <c r="F17" s="2763"/>
      <c r="G17" s="2764"/>
      <c r="H17" s="2204"/>
      <c r="I17" s="2205"/>
      <c r="J17" s="1493"/>
      <c r="K17" s="1494"/>
      <c r="L17" s="2763"/>
      <c r="M17" s="1495"/>
      <c r="N17" s="1496"/>
      <c r="O17" s="1497"/>
      <c r="P17" s="2764"/>
      <c r="Q17" s="1498"/>
      <c r="R17" s="2763"/>
      <c r="S17" s="2764"/>
      <c r="T17" s="2763"/>
      <c r="U17" s="2764"/>
      <c r="V17" s="2763"/>
      <c r="W17" s="2764"/>
      <c r="X17" s="307"/>
      <c r="Y17" s="255"/>
      <c r="Z17" s="2557" t="n">
        <f t="shared" si="1"/>
        <v>0.0</v>
      </c>
      <c r="AA17" s="2952"/>
      <c r="AB17" s="2953"/>
      <c r="AC17" s="2586"/>
      <c r="AD17" s="2955"/>
      <c r="AE17" s="3218"/>
    </row>
    <row r="18" spans="2:31" ht="14.25" hidden="1" customHeight="1" x14ac:dyDescent="0.15">
      <c r="B18" s="843" t="s">
        <v>1324</v>
      </c>
      <c r="C18" s="844"/>
      <c r="D18" s="2765" t="s">
        <v>1325</v>
      </c>
      <c r="E18" s="2765" t="s">
        <v>1326</v>
      </c>
      <c r="F18" s="2763"/>
      <c r="G18" s="2764"/>
      <c r="H18" s="2204"/>
      <c r="I18" s="2205"/>
      <c r="J18" s="1493"/>
      <c r="K18" s="1494"/>
      <c r="L18" s="2763"/>
      <c r="M18" s="1495"/>
      <c r="N18" s="1496"/>
      <c r="O18" s="1497"/>
      <c r="P18" s="2764"/>
      <c r="Q18" s="1498"/>
      <c r="R18" s="2763"/>
      <c r="S18" s="2764"/>
      <c r="T18" s="2763"/>
      <c r="U18" s="2764"/>
      <c r="V18" s="2763"/>
      <c r="W18" s="2764"/>
      <c r="X18" s="307"/>
      <c r="Y18" s="255"/>
      <c r="Z18" s="2557" t="n">
        <f t="shared" si="1"/>
        <v>0.0</v>
      </c>
      <c r="AA18" s="2952"/>
      <c r="AB18" s="2953"/>
      <c r="AC18" s="2586"/>
      <c r="AD18" s="2955"/>
      <c r="AE18" s="3218"/>
    </row>
    <row r="19" spans="2:31" ht="14.25" hidden="1" customHeight="1" x14ac:dyDescent="0.15">
      <c r="B19" s="843" t="s">
        <v>1327</v>
      </c>
      <c r="C19" s="844"/>
      <c r="D19" s="2765" t="s">
        <v>1328</v>
      </c>
      <c r="E19" s="2765" t="s">
        <v>1329</v>
      </c>
      <c r="F19" s="2763"/>
      <c r="G19" s="2764"/>
      <c r="H19" s="2204"/>
      <c r="I19" s="2205"/>
      <c r="J19" s="1493"/>
      <c r="K19" s="1494"/>
      <c r="L19" s="2763"/>
      <c r="M19" s="1495"/>
      <c r="N19" s="1496"/>
      <c r="O19" s="1497"/>
      <c r="P19" s="2764"/>
      <c r="Q19" s="1498"/>
      <c r="R19" s="2763"/>
      <c r="S19" s="2764"/>
      <c r="T19" s="2763"/>
      <c r="U19" s="2764"/>
      <c r="V19" s="2763"/>
      <c r="W19" s="2764"/>
      <c r="X19" s="307"/>
      <c r="Y19" s="255"/>
      <c r="Z19" s="2557" t="n">
        <f t="shared" si="1"/>
        <v>0.0</v>
      </c>
      <c r="AA19" s="2952"/>
      <c r="AB19" s="2953"/>
      <c r="AC19" s="2586"/>
      <c r="AD19" s="2955"/>
      <c r="AE19" s="3218"/>
    </row>
    <row r="20" spans="2:31" ht="14.25" hidden="1" customHeight="1" x14ac:dyDescent="0.15">
      <c r="B20" s="843" t="s">
        <v>1330</v>
      </c>
      <c r="C20" s="844"/>
      <c r="D20" s="2765" t="s">
        <v>1331</v>
      </c>
      <c r="E20" s="2765" t="s">
        <v>1332</v>
      </c>
      <c r="F20" s="2763"/>
      <c r="G20" s="2764"/>
      <c r="H20" s="2204"/>
      <c r="I20" s="2205"/>
      <c r="J20" s="1493"/>
      <c r="K20" s="1494"/>
      <c r="L20" s="2763"/>
      <c r="M20" s="1495"/>
      <c r="N20" s="1496"/>
      <c r="O20" s="1497"/>
      <c r="P20" s="2764"/>
      <c r="Q20" s="1498"/>
      <c r="R20" s="2763"/>
      <c r="S20" s="2764"/>
      <c r="T20" s="2763"/>
      <c r="U20" s="2764"/>
      <c r="V20" s="2763"/>
      <c r="W20" s="2764"/>
      <c r="X20" s="307"/>
      <c r="Y20" s="255"/>
      <c r="Z20" s="2557" t="n">
        <f t="shared" si="1"/>
        <v>0.0</v>
      </c>
      <c r="AA20" s="2952"/>
      <c r="AB20" s="2953"/>
      <c r="AC20" s="2586"/>
      <c r="AD20" s="2955"/>
      <c r="AE20" s="3218"/>
    </row>
    <row r="21" spans="2:31" ht="14.25" hidden="1" customHeight="1" x14ac:dyDescent="0.15">
      <c r="B21" s="843" t="s">
        <v>1333</v>
      </c>
      <c r="C21" s="844"/>
      <c r="D21" s="2765" t="s">
        <v>1334</v>
      </c>
      <c r="E21" s="2765" t="s">
        <v>1335</v>
      </c>
      <c r="F21" s="2763"/>
      <c r="G21" s="2764"/>
      <c r="H21" s="2204"/>
      <c r="I21" s="2205"/>
      <c r="J21" s="1493"/>
      <c r="K21" s="1494"/>
      <c r="L21" s="2763"/>
      <c r="M21" s="1495"/>
      <c r="N21" s="1496"/>
      <c r="O21" s="1497"/>
      <c r="P21" s="2764"/>
      <c r="Q21" s="1498"/>
      <c r="R21" s="2763"/>
      <c r="S21" s="2764"/>
      <c r="T21" s="2763"/>
      <c r="U21" s="2764"/>
      <c r="V21" s="2763"/>
      <c r="W21" s="2764"/>
      <c r="X21" s="307"/>
      <c r="Y21" s="255"/>
      <c r="Z21" s="2557" t="n">
        <f t="shared" si="1"/>
        <v>0.0</v>
      </c>
      <c r="AA21" s="2952"/>
      <c r="AB21" s="2953"/>
      <c r="AC21" s="2586"/>
      <c r="AD21" s="2955"/>
      <c r="AE21" s="3218"/>
    </row>
    <row r="22" spans="2:31" ht="14.25" hidden="1" customHeight="1" x14ac:dyDescent="0.15">
      <c r="B22" s="845" t="s">
        <v>1336</v>
      </c>
      <c r="C22" s="846"/>
      <c r="D22" s="2780" t="s">
        <v>1337</v>
      </c>
      <c r="E22" s="2780" t="s">
        <v>1338</v>
      </c>
      <c r="F22" s="2766"/>
      <c r="G22" s="2767"/>
      <c r="H22" s="2206"/>
      <c r="I22" s="2207"/>
      <c r="J22" s="1499"/>
      <c r="K22" s="1500"/>
      <c r="L22" s="2766"/>
      <c r="M22" s="1501"/>
      <c r="N22" s="1502"/>
      <c r="O22" s="1503"/>
      <c r="P22" s="2767"/>
      <c r="Q22" s="1504"/>
      <c r="R22" s="2766"/>
      <c r="S22" s="2767"/>
      <c r="T22" s="2766"/>
      <c r="U22" s="2767"/>
      <c r="V22" s="2766"/>
      <c r="W22" s="2767"/>
      <c r="X22" s="338"/>
      <c r="Y22" s="333"/>
      <c r="Z22" s="2558" t="n">
        <f t="shared" si="1"/>
        <v>0.0</v>
      </c>
      <c r="AA22" s="2956"/>
      <c r="AB22" s="2957"/>
      <c r="AC22" s="2587"/>
      <c r="AD22" s="2959"/>
      <c r="AE22" s="3218"/>
    </row>
    <row r="23" spans="2:31" ht="15" hidden="1" customHeight="1" x14ac:dyDescent="0.15">
      <c r="B23" s="855" t="s">
        <v>1339</v>
      </c>
      <c r="C23" s="856"/>
      <c r="D23" s="331"/>
      <c r="E23" s="331"/>
      <c r="F23" s="832"/>
      <c r="G23" s="833"/>
      <c r="H23" s="2202"/>
      <c r="I23" s="2203"/>
      <c r="J23" s="1487"/>
      <c r="K23" s="1488"/>
      <c r="L23" s="832"/>
      <c r="M23" s="1489"/>
      <c r="N23" s="1490"/>
      <c r="O23" s="1491"/>
      <c r="P23" s="833"/>
      <c r="Q23" s="1492"/>
      <c r="R23" s="832"/>
      <c r="S23" s="833"/>
      <c r="T23" s="832"/>
      <c r="U23" s="833"/>
      <c r="V23" s="832"/>
      <c r="W23" s="833"/>
      <c r="X23" s="857"/>
      <c r="Y23" s="857"/>
      <c r="Z23" s="2555" t="n">
        <f>SUM(X23:Y23)</f>
        <v>0.0</v>
      </c>
      <c r="AA23" s="2946"/>
      <c r="AB23" s="2947"/>
      <c r="AC23" s="2584"/>
      <c r="AD23" s="2948"/>
      <c r="AE23" s="3218" t="s">
        <v>1291</v>
      </c>
    </row>
    <row r="24" spans="2:31" ht="14.25" hidden="1" customHeight="1" x14ac:dyDescent="0.15">
      <c r="B24" s="1380"/>
      <c r="C24" s="1381"/>
      <c r="D24" s="1382"/>
      <c r="E24" s="1382"/>
      <c r="F24" s="1383"/>
      <c r="G24" s="1384"/>
      <c r="H24" s="2208"/>
      <c r="I24" s="2209"/>
      <c r="J24" s="1505"/>
      <c r="K24" s="1506"/>
      <c r="L24" s="1383"/>
      <c r="M24" s="1507"/>
      <c r="N24" s="1508"/>
      <c r="O24" s="1509"/>
      <c r="P24" s="1384"/>
      <c r="Q24" s="1510"/>
      <c r="R24" s="1383"/>
      <c r="S24" s="1384"/>
      <c r="T24" s="1383"/>
      <c r="U24" s="1384"/>
      <c r="V24" s="1383"/>
      <c r="W24" s="1384"/>
      <c r="X24" s="254"/>
      <c r="Y24" s="254"/>
      <c r="Z24" s="2556"/>
      <c r="AA24" s="2949"/>
      <c r="AB24" s="2950"/>
      <c r="AC24" s="2585"/>
      <c r="AD24" s="2951"/>
      <c r="AE24" s="3218"/>
    </row>
    <row r="25" spans="2:31" ht="14.25" hidden="1" customHeight="1" x14ac:dyDescent="0.15">
      <c r="B25" s="843" t="s">
        <v>1340</v>
      </c>
      <c r="C25" s="844"/>
      <c r="D25" s="253" t="s">
        <v>1341</v>
      </c>
      <c r="E25" s="253" t="s">
        <v>1342</v>
      </c>
      <c r="F25" s="859" t="s">
        <v>1343</v>
      </c>
      <c r="G25" s="860"/>
      <c r="H25" s="2210"/>
      <c r="I25" s="2211"/>
      <c r="J25" s="1493"/>
      <c r="K25" s="1494"/>
      <c r="L25" s="859"/>
      <c r="M25" s="1495"/>
      <c r="N25" s="1496"/>
      <c r="O25" s="1497"/>
      <c r="P25" s="860"/>
      <c r="Q25" s="1498"/>
      <c r="R25" s="859"/>
      <c r="S25" s="860"/>
      <c r="T25" s="859"/>
      <c r="U25" s="860"/>
      <c r="V25" s="859"/>
      <c r="W25" s="860"/>
      <c r="X25" s="255"/>
      <c r="Y25" s="255"/>
      <c r="Z25" s="2557" t="n">
        <f t="shared" ref="Z25:Z31" si="2">SUM(X25:Y25)</f>
        <v>0.0</v>
      </c>
      <c r="AA25" s="2952"/>
      <c r="AB25" s="2953"/>
      <c r="AC25" s="2586"/>
      <c r="AD25" s="2954"/>
      <c r="AE25" s="3218"/>
    </row>
    <row r="26" spans="2:31" ht="14.25" hidden="1" customHeight="1" x14ac:dyDescent="0.15">
      <c r="B26" s="843" t="s">
        <v>1344</v>
      </c>
      <c r="C26" s="844"/>
      <c r="D26" s="253" t="s">
        <v>1345</v>
      </c>
      <c r="E26" s="253" t="s">
        <v>1346</v>
      </c>
      <c r="F26" s="859" t="s">
        <v>1347</v>
      </c>
      <c r="G26" s="860"/>
      <c r="H26" s="2210"/>
      <c r="I26" s="2211"/>
      <c r="J26" s="1493"/>
      <c r="K26" s="1494"/>
      <c r="L26" s="859"/>
      <c r="M26" s="1495"/>
      <c r="N26" s="1496"/>
      <c r="O26" s="1497"/>
      <c r="P26" s="860"/>
      <c r="Q26" s="1498"/>
      <c r="R26" s="859"/>
      <c r="S26" s="860"/>
      <c r="T26" s="859"/>
      <c r="U26" s="860"/>
      <c r="V26" s="859"/>
      <c r="W26" s="860"/>
      <c r="X26" s="255"/>
      <c r="Y26" s="255"/>
      <c r="Z26" s="2557" t="n">
        <f t="shared" si="2"/>
        <v>0.0</v>
      </c>
      <c r="AA26" s="2952"/>
      <c r="AB26" s="2953"/>
      <c r="AC26" s="2586"/>
      <c r="AD26" s="2954"/>
      <c r="AE26" s="3218"/>
    </row>
    <row r="27" spans="2:31" ht="14.25" hidden="1" customHeight="1" x14ac:dyDescent="0.15">
      <c r="B27" s="843" t="s">
        <v>1348</v>
      </c>
      <c r="C27" s="844"/>
      <c r="D27" s="253" t="s">
        <v>1349</v>
      </c>
      <c r="E27" s="253" t="s">
        <v>1350</v>
      </c>
      <c r="F27" s="859" t="s">
        <v>1351</v>
      </c>
      <c r="G27" s="860"/>
      <c r="H27" s="2210"/>
      <c r="I27" s="2211"/>
      <c r="J27" s="1493"/>
      <c r="K27" s="1494"/>
      <c r="L27" s="859"/>
      <c r="M27" s="1495"/>
      <c r="N27" s="1496"/>
      <c r="O27" s="1497"/>
      <c r="P27" s="860"/>
      <c r="Q27" s="1498"/>
      <c r="R27" s="859"/>
      <c r="S27" s="860"/>
      <c r="T27" s="859"/>
      <c r="U27" s="860"/>
      <c r="V27" s="859"/>
      <c r="W27" s="860"/>
      <c r="X27" s="255"/>
      <c r="Y27" s="255"/>
      <c r="Z27" s="2557" t="n">
        <f t="shared" si="2"/>
        <v>0.0</v>
      </c>
      <c r="AA27" s="2952"/>
      <c r="AB27" s="2953"/>
      <c r="AC27" s="2586"/>
      <c r="AD27" s="2954"/>
      <c r="AE27" s="3218"/>
    </row>
    <row r="28" spans="2:31" ht="14.25" hidden="1" customHeight="1" x14ac:dyDescent="0.15">
      <c r="B28" s="843" t="s">
        <v>1352</v>
      </c>
      <c r="C28" s="844"/>
      <c r="D28" s="253" t="s">
        <v>1353</v>
      </c>
      <c r="E28" s="253" t="s">
        <v>1354</v>
      </c>
      <c r="F28" s="859" t="s">
        <v>1355</v>
      </c>
      <c r="G28" s="860"/>
      <c r="H28" s="2210"/>
      <c r="I28" s="2211"/>
      <c r="J28" s="1493"/>
      <c r="K28" s="1494"/>
      <c r="L28" s="859"/>
      <c r="M28" s="1495"/>
      <c r="N28" s="1496"/>
      <c r="O28" s="1497"/>
      <c r="P28" s="860"/>
      <c r="Q28" s="1498"/>
      <c r="R28" s="859"/>
      <c r="S28" s="860"/>
      <c r="T28" s="859"/>
      <c r="U28" s="860"/>
      <c r="V28" s="859"/>
      <c r="W28" s="860"/>
      <c r="X28" s="255"/>
      <c r="Y28" s="255"/>
      <c r="Z28" s="2557" t="n">
        <f t="shared" si="2"/>
        <v>0.0</v>
      </c>
      <c r="AA28" s="2952"/>
      <c r="AB28" s="2953"/>
      <c r="AC28" s="2586"/>
      <c r="AD28" s="2954"/>
      <c r="AE28" s="3218"/>
    </row>
    <row r="29" spans="2:31" ht="14.25" hidden="1" customHeight="1" x14ac:dyDescent="0.15">
      <c r="B29" s="843" t="s">
        <v>1356</v>
      </c>
      <c r="C29" s="844"/>
      <c r="D29" s="253" t="s">
        <v>1357</v>
      </c>
      <c r="E29" s="253" t="s">
        <v>1358</v>
      </c>
      <c r="F29" s="859" t="s">
        <v>1359</v>
      </c>
      <c r="G29" s="860"/>
      <c r="H29" s="2210"/>
      <c r="I29" s="2211"/>
      <c r="J29" s="1493"/>
      <c r="K29" s="1494"/>
      <c r="L29" s="859"/>
      <c r="M29" s="1495"/>
      <c r="N29" s="1496"/>
      <c r="O29" s="1497"/>
      <c r="P29" s="860"/>
      <c r="Q29" s="1498"/>
      <c r="R29" s="859"/>
      <c r="S29" s="860"/>
      <c r="T29" s="859"/>
      <c r="U29" s="860"/>
      <c r="V29" s="859"/>
      <c r="W29" s="860"/>
      <c r="X29" s="255"/>
      <c r="Y29" s="255"/>
      <c r="Z29" s="2557" t="n">
        <f t="shared" si="2"/>
        <v>0.0</v>
      </c>
      <c r="AA29" s="2952"/>
      <c r="AB29" s="2953"/>
      <c r="AC29" s="2586"/>
      <c r="AD29" s="2954"/>
      <c r="AE29" s="3218"/>
    </row>
    <row r="30" spans="2:31" ht="14.25" hidden="1" customHeight="1" x14ac:dyDescent="0.15">
      <c r="B30" s="843" t="s">
        <v>1360</v>
      </c>
      <c r="C30" s="844"/>
      <c r="D30" s="253" t="s">
        <v>1361</v>
      </c>
      <c r="E30" s="253" t="s">
        <v>1362</v>
      </c>
      <c r="F30" s="859" t="s">
        <v>1363</v>
      </c>
      <c r="G30" s="860"/>
      <c r="H30" s="2210"/>
      <c r="I30" s="2211"/>
      <c r="J30" s="1493"/>
      <c r="K30" s="1494"/>
      <c r="L30" s="859"/>
      <c r="M30" s="1495"/>
      <c r="N30" s="1496"/>
      <c r="O30" s="1497"/>
      <c r="P30" s="860"/>
      <c r="Q30" s="1498"/>
      <c r="R30" s="859"/>
      <c r="S30" s="860"/>
      <c r="T30" s="859"/>
      <c r="U30" s="860"/>
      <c r="V30" s="859"/>
      <c r="W30" s="860"/>
      <c r="X30" s="255"/>
      <c r="Y30" s="255"/>
      <c r="Z30" s="2557" t="n">
        <f t="shared" si="2"/>
        <v>0.0</v>
      </c>
      <c r="AA30" s="2952"/>
      <c r="AB30" s="2953"/>
      <c r="AC30" s="2586"/>
      <c r="AD30" s="2954"/>
      <c r="AE30" s="3218"/>
    </row>
    <row r="31" spans="2:31" ht="14.25" hidden="1" customHeight="1" x14ac:dyDescent="0.15">
      <c r="B31" s="845" t="s">
        <v>1364</v>
      </c>
      <c r="C31" s="846"/>
      <c r="D31" s="861" t="s">
        <v>1365</v>
      </c>
      <c r="E31" s="861" t="s">
        <v>1366</v>
      </c>
      <c r="F31" s="862" t="s">
        <v>1367</v>
      </c>
      <c r="G31" s="863"/>
      <c r="H31" s="2212"/>
      <c r="I31" s="2213"/>
      <c r="J31" s="1499"/>
      <c r="K31" s="1500"/>
      <c r="L31" s="862"/>
      <c r="M31" s="1501"/>
      <c r="N31" s="1502"/>
      <c r="O31" s="1503"/>
      <c r="P31" s="863"/>
      <c r="Q31" s="1504"/>
      <c r="R31" s="862"/>
      <c r="S31" s="863"/>
      <c r="T31" s="862"/>
      <c r="U31" s="863"/>
      <c r="V31" s="862"/>
      <c r="W31" s="863"/>
      <c r="X31" s="333"/>
      <c r="Y31" s="333"/>
      <c r="Z31" s="2558" t="n">
        <f t="shared" si="2"/>
        <v>0.0</v>
      </c>
      <c r="AA31" s="2956"/>
      <c r="AB31" s="2957"/>
      <c r="AC31" s="2587"/>
      <c r="AD31" s="2958"/>
      <c r="AE31" s="3218"/>
    </row>
    <row r="32" spans="2:31" ht="15" hidden="1" customHeight="1" x14ac:dyDescent="0.15">
      <c r="B32" s="855" t="s">
        <v>1368</v>
      </c>
      <c r="C32" s="856"/>
      <c r="D32" s="331"/>
      <c r="E32" s="331"/>
      <c r="F32" s="832"/>
      <c r="G32" s="833"/>
      <c r="H32" s="2202"/>
      <c r="I32" s="2203"/>
      <c r="J32" s="1487"/>
      <c r="K32" s="1488"/>
      <c r="L32" s="832"/>
      <c r="M32" s="1489"/>
      <c r="N32" s="1490"/>
      <c r="O32" s="1491"/>
      <c r="P32" s="833"/>
      <c r="Q32" s="1492"/>
      <c r="R32" s="832"/>
      <c r="S32" s="833"/>
      <c r="T32" s="832"/>
      <c r="U32" s="833"/>
      <c r="V32" s="832"/>
      <c r="W32" s="833"/>
      <c r="X32" s="857"/>
      <c r="Y32" s="857"/>
      <c r="Z32" s="2555" t="n">
        <f>SUM(X32:Y32)</f>
        <v>0.0</v>
      </c>
      <c r="AA32" s="2946"/>
      <c r="AB32" s="2947"/>
      <c r="AC32" s="2584"/>
      <c r="AD32" s="2948"/>
      <c r="AE32" s="3218" t="s">
        <v>1369</v>
      </c>
    </row>
    <row r="33" spans="2:31" ht="14.25" hidden="1" customHeight="1" x14ac:dyDescent="0.15">
      <c r="B33" s="843" t="s">
        <v>1370</v>
      </c>
      <c r="C33" s="844"/>
      <c r="D33" s="2765" t="s">
        <v>1371</v>
      </c>
      <c r="E33" s="2765" t="s">
        <v>1372</v>
      </c>
      <c r="F33" s="2763" t="s">
        <v>1373</v>
      </c>
      <c r="G33" s="2764"/>
      <c r="H33" s="2204"/>
      <c r="I33" s="2205"/>
      <c r="J33" s="1493"/>
      <c r="K33" s="1494"/>
      <c r="L33" s="2763"/>
      <c r="M33" s="1495"/>
      <c r="N33" s="1496"/>
      <c r="O33" s="1497"/>
      <c r="P33" s="2764"/>
      <c r="Q33" s="1498"/>
      <c r="R33" s="2763"/>
      <c r="S33" s="2764"/>
      <c r="T33" s="2763"/>
      <c r="U33" s="2764"/>
      <c r="V33" s="2763"/>
      <c r="W33" s="2764"/>
      <c r="X33" s="255"/>
      <c r="Y33" s="255"/>
      <c r="Z33" s="2557" t="n">
        <f t="shared" ref="Z33:Z39" si="3">SUM(X33:Y33)</f>
        <v>0.0</v>
      </c>
      <c r="AA33" s="2952"/>
      <c r="AB33" s="2953"/>
      <c r="AC33" s="2586"/>
      <c r="AD33" s="2954"/>
      <c r="AE33" s="3218"/>
    </row>
    <row r="34" spans="2:31" ht="14.25" hidden="1" customHeight="1" x14ac:dyDescent="0.15">
      <c r="B34" s="843" t="s">
        <v>1374</v>
      </c>
      <c r="C34" s="844"/>
      <c r="D34" s="2765" t="s">
        <v>1375</v>
      </c>
      <c r="E34" s="2765" t="s">
        <v>1376</v>
      </c>
      <c r="F34" s="2763" t="s">
        <v>1377</v>
      </c>
      <c r="G34" s="2764"/>
      <c r="H34" s="2204"/>
      <c r="I34" s="2205"/>
      <c r="J34" s="1493"/>
      <c r="K34" s="1494"/>
      <c r="L34" s="2763"/>
      <c r="M34" s="1495"/>
      <c r="N34" s="1496"/>
      <c r="O34" s="1497"/>
      <c r="P34" s="2764"/>
      <c r="Q34" s="1498"/>
      <c r="R34" s="2763"/>
      <c r="S34" s="2764"/>
      <c r="T34" s="2763"/>
      <c r="U34" s="2764"/>
      <c r="V34" s="2763"/>
      <c r="W34" s="2764"/>
      <c r="X34" s="255"/>
      <c r="Y34" s="255"/>
      <c r="Z34" s="2557" t="n">
        <f t="shared" si="3"/>
        <v>0.0</v>
      </c>
      <c r="AA34" s="2952"/>
      <c r="AB34" s="2953"/>
      <c r="AC34" s="2586"/>
      <c r="AD34" s="2954"/>
      <c r="AE34" s="3218"/>
    </row>
    <row r="35" spans="2:31" ht="14.25" hidden="1" customHeight="1" x14ac:dyDescent="0.15">
      <c r="B35" s="843" t="s">
        <v>1378</v>
      </c>
      <c r="C35" s="844"/>
      <c r="D35" s="2765" t="s">
        <v>1379</v>
      </c>
      <c r="E35" s="2765" t="s">
        <v>1380</v>
      </c>
      <c r="F35" s="2763" t="s">
        <v>1381</v>
      </c>
      <c r="G35" s="2764"/>
      <c r="H35" s="2204"/>
      <c r="I35" s="2205"/>
      <c r="J35" s="1493"/>
      <c r="K35" s="1494"/>
      <c r="L35" s="2763"/>
      <c r="M35" s="1495"/>
      <c r="N35" s="1496"/>
      <c r="O35" s="1497"/>
      <c r="P35" s="2764"/>
      <c r="Q35" s="1498"/>
      <c r="R35" s="2763"/>
      <c r="S35" s="2764"/>
      <c r="T35" s="2763"/>
      <c r="U35" s="2764"/>
      <c r="V35" s="2763"/>
      <c r="W35" s="2764"/>
      <c r="X35" s="255"/>
      <c r="Y35" s="255"/>
      <c r="Z35" s="2557" t="n">
        <f t="shared" si="3"/>
        <v>0.0</v>
      </c>
      <c r="AA35" s="2952"/>
      <c r="AB35" s="2953"/>
      <c r="AC35" s="2586"/>
      <c r="AD35" s="2954"/>
      <c r="AE35" s="3218"/>
    </row>
    <row r="36" spans="2:31" ht="14.25" hidden="1" customHeight="1" x14ac:dyDescent="0.15">
      <c r="B36" s="843" t="s">
        <v>1382</v>
      </c>
      <c r="C36" s="844"/>
      <c r="D36" s="2765" t="s">
        <v>1383</v>
      </c>
      <c r="E36" s="2765" t="s">
        <v>1384</v>
      </c>
      <c r="F36" s="2763" t="s">
        <v>1385</v>
      </c>
      <c r="G36" s="2764"/>
      <c r="H36" s="2204"/>
      <c r="I36" s="2205"/>
      <c r="J36" s="1493"/>
      <c r="K36" s="1494"/>
      <c r="L36" s="2763"/>
      <c r="M36" s="1495"/>
      <c r="N36" s="1496"/>
      <c r="O36" s="1497"/>
      <c r="P36" s="2764"/>
      <c r="Q36" s="1498"/>
      <c r="R36" s="2763"/>
      <c r="S36" s="2764"/>
      <c r="T36" s="2763"/>
      <c r="U36" s="2764"/>
      <c r="V36" s="2763"/>
      <c r="W36" s="2764"/>
      <c r="X36" s="255"/>
      <c r="Y36" s="255"/>
      <c r="Z36" s="2557" t="n">
        <f t="shared" si="3"/>
        <v>0.0</v>
      </c>
      <c r="AA36" s="2952"/>
      <c r="AB36" s="2953"/>
      <c r="AC36" s="2586"/>
      <c r="AD36" s="2954"/>
      <c r="AE36" s="3218"/>
    </row>
    <row r="37" spans="2:31" ht="14.25" hidden="1" customHeight="1" x14ac:dyDescent="0.15">
      <c r="B37" s="843" t="s">
        <v>1386</v>
      </c>
      <c r="C37" s="844"/>
      <c r="D37" s="2765" t="s">
        <v>1387</v>
      </c>
      <c r="E37" s="2765" t="s">
        <v>1388</v>
      </c>
      <c r="F37" s="2763" t="s">
        <v>1389</v>
      </c>
      <c r="G37" s="2764"/>
      <c r="H37" s="2204"/>
      <c r="I37" s="2205"/>
      <c r="J37" s="1493"/>
      <c r="K37" s="1494"/>
      <c r="L37" s="2763"/>
      <c r="M37" s="1495"/>
      <c r="N37" s="1496"/>
      <c r="O37" s="1497"/>
      <c r="P37" s="2764"/>
      <c r="Q37" s="1498"/>
      <c r="R37" s="2763"/>
      <c r="S37" s="2764"/>
      <c r="T37" s="2763"/>
      <c r="U37" s="2764"/>
      <c r="V37" s="2763"/>
      <c r="W37" s="2764"/>
      <c r="X37" s="255"/>
      <c r="Y37" s="255"/>
      <c r="Z37" s="2557" t="n">
        <f t="shared" si="3"/>
        <v>0.0</v>
      </c>
      <c r="AA37" s="2952"/>
      <c r="AB37" s="2953"/>
      <c r="AC37" s="2586"/>
      <c r="AD37" s="2954"/>
      <c r="AE37" s="3218"/>
    </row>
    <row r="38" spans="2:31" ht="14.25" hidden="1" customHeight="1" x14ac:dyDescent="0.15">
      <c r="B38" s="843" t="s">
        <v>1390</v>
      </c>
      <c r="C38" s="844"/>
      <c r="D38" s="2765" t="s">
        <v>1391</v>
      </c>
      <c r="E38" s="2765" t="s">
        <v>1392</v>
      </c>
      <c r="F38" s="2763" t="s">
        <v>1393</v>
      </c>
      <c r="G38" s="2764"/>
      <c r="H38" s="2204"/>
      <c r="I38" s="2205"/>
      <c r="J38" s="1493"/>
      <c r="K38" s="1494"/>
      <c r="L38" s="2763"/>
      <c r="M38" s="1495"/>
      <c r="N38" s="1496"/>
      <c r="O38" s="1497"/>
      <c r="P38" s="2764"/>
      <c r="Q38" s="1498"/>
      <c r="R38" s="2763"/>
      <c r="S38" s="2764"/>
      <c r="T38" s="2763"/>
      <c r="U38" s="2764"/>
      <c r="V38" s="2763"/>
      <c r="W38" s="2764"/>
      <c r="X38" s="255"/>
      <c r="Y38" s="255"/>
      <c r="Z38" s="2557" t="n">
        <f t="shared" si="3"/>
        <v>0.0</v>
      </c>
      <c r="AA38" s="2952"/>
      <c r="AB38" s="2953"/>
      <c r="AC38" s="2586"/>
      <c r="AD38" s="2954"/>
      <c r="AE38" s="3218"/>
    </row>
    <row r="39" spans="2:31" ht="14.25" hidden="1" customHeight="1" x14ac:dyDescent="0.15">
      <c r="B39" s="843" t="s">
        <v>1394</v>
      </c>
      <c r="C39" s="844"/>
      <c r="D39" s="2765" t="s">
        <v>1395</v>
      </c>
      <c r="E39" s="2765" t="s">
        <v>1396</v>
      </c>
      <c r="F39" s="2763" t="s">
        <v>1397</v>
      </c>
      <c r="G39" s="2764"/>
      <c r="H39" s="2204"/>
      <c r="I39" s="2205"/>
      <c r="J39" s="1493"/>
      <c r="K39" s="1494"/>
      <c r="L39" s="2763"/>
      <c r="M39" s="1495"/>
      <c r="N39" s="1496"/>
      <c r="O39" s="1497"/>
      <c r="P39" s="2764"/>
      <c r="Q39" s="1498"/>
      <c r="R39" s="2763"/>
      <c r="S39" s="2764"/>
      <c r="T39" s="2763"/>
      <c r="U39" s="2764"/>
      <c r="V39" s="2763"/>
      <c r="W39" s="2764"/>
      <c r="X39" s="255"/>
      <c r="Y39" s="255"/>
      <c r="Z39" s="2557" t="n">
        <f t="shared" si="3"/>
        <v>0.0</v>
      </c>
      <c r="AA39" s="2952"/>
      <c r="AB39" s="2953"/>
      <c r="AC39" s="2586"/>
      <c r="AD39" s="2954"/>
      <c r="AE39" s="3218"/>
    </row>
    <row r="40" spans="2:31" ht="14.25" hidden="1" customHeight="1" x14ac:dyDescent="0.15">
      <c r="B40" s="1385"/>
      <c r="C40" s="1386"/>
      <c r="D40" s="1387"/>
      <c r="E40" s="1387"/>
      <c r="F40" s="1388"/>
      <c r="G40" s="1389"/>
      <c r="H40" s="2214"/>
      <c r="I40" s="2215"/>
      <c r="J40" s="1511"/>
      <c r="K40" s="1512"/>
      <c r="L40" s="1388"/>
      <c r="M40" s="1513"/>
      <c r="N40" s="1514"/>
      <c r="O40" s="1515"/>
      <c r="P40" s="1389"/>
      <c r="Q40" s="1516"/>
      <c r="R40" s="1388"/>
      <c r="S40" s="1389"/>
      <c r="T40" s="1388"/>
      <c r="U40" s="1389"/>
      <c r="V40" s="1388"/>
      <c r="W40" s="1389"/>
      <c r="X40" s="1390"/>
      <c r="Y40" s="1390"/>
      <c r="Z40" s="2559"/>
      <c r="AA40" s="2960"/>
      <c r="AB40" s="2961"/>
      <c r="AC40" s="2588"/>
      <c r="AD40" s="2962"/>
      <c r="AE40" s="3218"/>
    </row>
    <row r="41" spans="2:31" ht="15" hidden="1" customHeight="1" x14ac:dyDescent="0.15">
      <c r="B41" s="855" t="s">
        <v>1398</v>
      </c>
      <c r="C41" s="856"/>
      <c r="D41" s="331"/>
      <c r="E41" s="331"/>
      <c r="F41" s="832"/>
      <c r="G41" s="833"/>
      <c r="H41" s="2202"/>
      <c r="I41" s="2203"/>
      <c r="J41" s="1487"/>
      <c r="K41" s="1488"/>
      <c r="L41" s="832"/>
      <c r="M41" s="1489"/>
      <c r="N41" s="1490"/>
      <c r="O41" s="1491"/>
      <c r="P41" s="833"/>
      <c r="Q41" s="1492"/>
      <c r="R41" s="832"/>
      <c r="S41" s="833"/>
      <c r="T41" s="832"/>
      <c r="U41" s="833"/>
      <c r="V41" s="832"/>
      <c r="W41" s="833"/>
      <c r="X41" s="857"/>
      <c r="Y41" s="857"/>
      <c r="Z41" s="2555" t="n">
        <f>SUM(X41:Y41)</f>
        <v>0.0</v>
      </c>
      <c r="AA41" s="2946"/>
      <c r="AB41" s="2947"/>
      <c r="AC41" s="2584"/>
      <c r="AD41" s="2948"/>
      <c r="AE41" s="3218" t="s">
        <v>1369</v>
      </c>
    </row>
    <row r="42" spans="2:31" ht="14.25" hidden="1" customHeight="1" x14ac:dyDescent="0.15">
      <c r="B42" s="843" t="s">
        <v>1399</v>
      </c>
      <c r="C42" s="844"/>
      <c r="D42" s="2765" t="s">
        <v>1400</v>
      </c>
      <c r="E42" s="2765" t="s">
        <v>1401</v>
      </c>
      <c r="F42" s="2763" t="s">
        <v>1402</v>
      </c>
      <c r="G42" s="2764"/>
      <c r="H42" s="2204"/>
      <c r="I42" s="2205"/>
      <c r="J42" s="1493"/>
      <c r="K42" s="1494"/>
      <c r="L42" s="2763"/>
      <c r="M42" s="1495"/>
      <c r="N42" s="1496"/>
      <c r="O42" s="1497"/>
      <c r="P42" s="2764"/>
      <c r="Q42" s="1498"/>
      <c r="R42" s="2763"/>
      <c r="S42" s="2764"/>
      <c r="T42" s="2763"/>
      <c r="U42" s="2764"/>
      <c r="V42" s="2763"/>
      <c r="W42" s="2764"/>
      <c r="X42" s="255"/>
      <c r="Y42" s="255"/>
      <c r="Z42" s="2557" t="n">
        <f t="shared" ref="Z42:Z49" si="4">SUM(X42:Y42)</f>
        <v>0.0</v>
      </c>
      <c r="AA42" s="2952"/>
      <c r="AB42" s="2953"/>
      <c r="AC42" s="2586"/>
      <c r="AD42" s="2954"/>
      <c r="AE42" s="3218"/>
    </row>
    <row r="43" spans="2:31" ht="14.25" hidden="1" customHeight="1" x14ac:dyDescent="0.15">
      <c r="B43" s="843" t="s">
        <v>1403</v>
      </c>
      <c r="C43" s="844"/>
      <c r="D43" s="2765" t="s">
        <v>1404</v>
      </c>
      <c r="E43" s="2765" t="s">
        <v>1405</v>
      </c>
      <c r="F43" s="2763" t="s">
        <v>1406</v>
      </c>
      <c r="G43" s="2764"/>
      <c r="H43" s="2204"/>
      <c r="I43" s="2205"/>
      <c r="J43" s="1493"/>
      <c r="K43" s="1494"/>
      <c r="L43" s="2763"/>
      <c r="M43" s="1495"/>
      <c r="N43" s="1496"/>
      <c r="O43" s="1497"/>
      <c r="P43" s="2764"/>
      <c r="Q43" s="1498"/>
      <c r="R43" s="2763"/>
      <c r="S43" s="2764"/>
      <c r="T43" s="2763"/>
      <c r="U43" s="2764"/>
      <c r="V43" s="2763"/>
      <c r="W43" s="2764"/>
      <c r="X43" s="255"/>
      <c r="Y43" s="255"/>
      <c r="Z43" s="2557" t="n">
        <f t="shared" si="4"/>
        <v>0.0</v>
      </c>
      <c r="AA43" s="2952"/>
      <c r="AB43" s="2953"/>
      <c r="AC43" s="2586"/>
      <c r="AD43" s="2954"/>
      <c r="AE43" s="3218"/>
    </row>
    <row r="44" spans="2:31" ht="14.25" hidden="1" customHeight="1" x14ac:dyDescent="0.15">
      <c r="B44" s="843" t="s">
        <v>1407</v>
      </c>
      <c r="C44" s="844"/>
      <c r="D44" s="2765" t="s">
        <v>1408</v>
      </c>
      <c r="E44" s="2765" t="s">
        <v>1409</v>
      </c>
      <c r="F44" s="2763" t="s">
        <v>1410</v>
      </c>
      <c r="G44" s="2764"/>
      <c r="H44" s="2204"/>
      <c r="I44" s="2205"/>
      <c r="J44" s="1493"/>
      <c r="K44" s="1494"/>
      <c r="L44" s="2763"/>
      <c r="M44" s="1495"/>
      <c r="N44" s="1496"/>
      <c r="O44" s="1497"/>
      <c r="P44" s="2764"/>
      <c r="Q44" s="1498"/>
      <c r="R44" s="2763"/>
      <c r="S44" s="2764"/>
      <c r="T44" s="2763"/>
      <c r="U44" s="2764"/>
      <c r="V44" s="2763"/>
      <c r="W44" s="2764"/>
      <c r="X44" s="255"/>
      <c r="Y44" s="255"/>
      <c r="Z44" s="2557" t="n">
        <f t="shared" si="4"/>
        <v>0.0</v>
      </c>
      <c r="AA44" s="2952"/>
      <c r="AB44" s="2953"/>
      <c r="AC44" s="2586"/>
      <c r="AD44" s="2954"/>
      <c r="AE44" s="3218"/>
    </row>
    <row r="45" spans="2:31" ht="14.25" hidden="1" customHeight="1" x14ac:dyDescent="0.15">
      <c r="B45" s="843" t="s">
        <v>1411</v>
      </c>
      <c r="C45" s="844"/>
      <c r="D45" s="2765" t="s">
        <v>1412</v>
      </c>
      <c r="E45" s="2765" t="s">
        <v>1413</v>
      </c>
      <c r="F45" s="2763" t="s">
        <v>1414</v>
      </c>
      <c r="G45" s="2764"/>
      <c r="H45" s="2204"/>
      <c r="I45" s="2205"/>
      <c r="J45" s="1493"/>
      <c r="K45" s="1494"/>
      <c r="L45" s="2763"/>
      <c r="M45" s="1495"/>
      <c r="N45" s="1496"/>
      <c r="O45" s="1497"/>
      <c r="P45" s="2764"/>
      <c r="Q45" s="1498"/>
      <c r="R45" s="2763"/>
      <c r="S45" s="2764"/>
      <c r="T45" s="2763"/>
      <c r="U45" s="2764"/>
      <c r="V45" s="2763"/>
      <c r="W45" s="2764"/>
      <c r="X45" s="255"/>
      <c r="Y45" s="255"/>
      <c r="Z45" s="2557" t="n">
        <f t="shared" si="4"/>
        <v>0.0</v>
      </c>
      <c r="AA45" s="2952"/>
      <c r="AB45" s="2953"/>
      <c r="AC45" s="2586"/>
      <c r="AD45" s="2954"/>
      <c r="AE45" s="3218"/>
    </row>
    <row r="46" spans="2:31" ht="14.25" hidden="1" customHeight="1" x14ac:dyDescent="0.15">
      <c r="B46" s="843" t="s">
        <v>1415</v>
      </c>
      <c r="C46" s="844"/>
      <c r="D46" s="2765" t="s">
        <v>1416</v>
      </c>
      <c r="E46" s="2765" t="s">
        <v>1417</v>
      </c>
      <c r="F46" s="2763" t="s">
        <v>1418</v>
      </c>
      <c r="G46" s="2764"/>
      <c r="H46" s="2204"/>
      <c r="I46" s="2205"/>
      <c r="J46" s="1493"/>
      <c r="K46" s="1494"/>
      <c r="L46" s="2763"/>
      <c r="M46" s="1495"/>
      <c r="N46" s="1496"/>
      <c r="O46" s="1497"/>
      <c r="P46" s="2764"/>
      <c r="Q46" s="1498"/>
      <c r="R46" s="2763"/>
      <c r="S46" s="2764"/>
      <c r="T46" s="2763"/>
      <c r="U46" s="2764"/>
      <c r="V46" s="2763"/>
      <c r="W46" s="2764"/>
      <c r="X46" s="255"/>
      <c r="Y46" s="255"/>
      <c r="Z46" s="2557" t="n">
        <f t="shared" si="4"/>
        <v>0.0</v>
      </c>
      <c r="AA46" s="2952"/>
      <c r="AB46" s="2953"/>
      <c r="AC46" s="2586"/>
      <c r="AD46" s="2954"/>
      <c r="AE46" s="3218"/>
    </row>
    <row r="47" spans="2:31" ht="14.25" hidden="1" customHeight="1" x14ac:dyDescent="0.15">
      <c r="B47" s="843" t="s">
        <v>1419</v>
      </c>
      <c r="C47" s="844"/>
      <c r="D47" s="2765" t="s">
        <v>1420</v>
      </c>
      <c r="E47" s="2765" t="s">
        <v>1421</v>
      </c>
      <c r="F47" s="2763" t="s">
        <v>1422</v>
      </c>
      <c r="G47" s="2764"/>
      <c r="H47" s="2204"/>
      <c r="I47" s="2205"/>
      <c r="J47" s="1493"/>
      <c r="K47" s="1494"/>
      <c r="L47" s="2763"/>
      <c r="M47" s="1495"/>
      <c r="N47" s="1496"/>
      <c r="O47" s="1497"/>
      <c r="P47" s="2764"/>
      <c r="Q47" s="1498"/>
      <c r="R47" s="2763"/>
      <c r="S47" s="2764"/>
      <c r="T47" s="2763"/>
      <c r="U47" s="2764"/>
      <c r="V47" s="2763"/>
      <c r="W47" s="2764"/>
      <c r="X47" s="255"/>
      <c r="Y47" s="255"/>
      <c r="Z47" s="2557" t="n">
        <f t="shared" si="4"/>
        <v>0.0</v>
      </c>
      <c r="AA47" s="2952"/>
      <c r="AB47" s="2953"/>
      <c r="AC47" s="2586"/>
      <c r="AD47" s="2954"/>
      <c r="AE47" s="3218"/>
    </row>
    <row r="48" spans="2:31" ht="14.25" hidden="1" customHeight="1" x14ac:dyDescent="0.15">
      <c r="B48" s="843" t="s">
        <v>1423</v>
      </c>
      <c r="C48" s="844"/>
      <c r="D48" s="2765" t="s">
        <v>1424</v>
      </c>
      <c r="E48" s="2765" t="s">
        <v>1425</v>
      </c>
      <c r="F48" s="2763" t="s">
        <v>1426</v>
      </c>
      <c r="G48" s="2764"/>
      <c r="H48" s="2204"/>
      <c r="I48" s="2205"/>
      <c r="J48" s="1493"/>
      <c r="K48" s="1494"/>
      <c r="L48" s="2763"/>
      <c r="M48" s="1495"/>
      <c r="N48" s="1496"/>
      <c r="O48" s="1497"/>
      <c r="P48" s="2764"/>
      <c r="Q48" s="1498"/>
      <c r="R48" s="2763"/>
      <c r="S48" s="2764"/>
      <c r="T48" s="2763"/>
      <c r="U48" s="2764"/>
      <c r="V48" s="2763"/>
      <c r="W48" s="2764"/>
      <c r="X48" s="255"/>
      <c r="Y48" s="255"/>
      <c r="Z48" s="2557" t="n">
        <f t="shared" si="4"/>
        <v>0.0</v>
      </c>
      <c r="AA48" s="2952"/>
      <c r="AB48" s="2953"/>
      <c r="AC48" s="2586"/>
      <c r="AD48" s="2954"/>
      <c r="AE48" s="3218"/>
    </row>
    <row r="49" spans="2:31" ht="14.25" hidden="1" customHeight="1" x14ac:dyDescent="0.15">
      <c r="B49" s="845" t="s">
        <v>1427</v>
      </c>
      <c r="C49" s="846"/>
      <c r="D49" s="2792"/>
      <c r="E49" s="2780" t="s">
        <v>1428</v>
      </c>
      <c r="F49" s="2763" t="s">
        <v>1429</v>
      </c>
      <c r="G49" s="2767"/>
      <c r="H49" s="2204"/>
      <c r="I49" s="2207"/>
      <c r="J49" s="1493"/>
      <c r="K49" s="1494"/>
      <c r="L49" s="2763"/>
      <c r="M49" s="1495"/>
      <c r="N49" s="1502"/>
      <c r="O49" s="1503"/>
      <c r="P49" s="2767"/>
      <c r="Q49" s="1504"/>
      <c r="R49" s="2766"/>
      <c r="S49" s="2767"/>
      <c r="T49" s="2766"/>
      <c r="U49" s="2767"/>
      <c r="V49" s="2766"/>
      <c r="W49" s="2767"/>
      <c r="X49" s="333"/>
      <c r="Y49" s="333"/>
      <c r="Z49" s="2558" t="n">
        <f t="shared" si="4"/>
        <v>0.0</v>
      </c>
      <c r="AA49" s="2956"/>
      <c r="AB49" s="2957"/>
      <c r="AC49" s="2587"/>
      <c r="AD49" s="2958"/>
      <c r="AE49" s="3218"/>
    </row>
    <row r="50" spans="2:31" ht="15" hidden="1" customHeight="1" x14ac:dyDescent="0.15">
      <c r="B50" s="855" t="s">
        <v>1430</v>
      </c>
      <c r="C50" s="856"/>
      <c r="D50" s="331"/>
      <c r="E50" s="331"/>
      <c r="F50" s="832"/>
      <c r="G50" s="833"/>
      <c r="H50" s="2202"/>
      <c r="I50" s="2203"/>
      <c r="J50" s="1487"/>
      <c r="K50" s="1488"/>
      <c r="L50" s="832"/>
      <c r="M50" s="1489"/>
      <c r="N50" s="1490"/>
      <c r="O50" s="1491"/>
      <c r="P50" s="833"/>
      <c r="Q50" s="1492"/>
      <c r="R50" s="832"/>
      <c r="S50" s="833"/>
      <c r="T50" s="832"/>
      <c r="U50" s="833"/>
      <c r="V50" s="832"/>
      <c r="W50" s="833"/>
      <c r="X50" s="857"/>
      <c r="Y50" s="857"/>
      <c r="Z50" s="2555" t="n">
        <f>SUM(X50:Y50)</f>
        <v>0.0</v>
      </c>
      <c r="AA50" s="2946"/>
      <c r="AB50" s="2947"/>
      <c r="AC50" s="2584"/>
      <c r="AD50" s="2948"/>
      <c r="AE50" s="3218" t="s">
        <v>1369</v>
      </c>
    </row>
    <row r="51" spans="2:31" ht="14.25" hidden="1" customHeight="1" x14ac:dyDescent="0.15">
      <c r="B51" s="843" t="s">
        <v>1431</v>
      </c>
      <c r="C51" s="844"/>
      <c r="D51" s="2765" t="s">
        <v>1432</v>
      </c>
      <c r="E51" s="2765" t="s">
        <v>1433</v>
      </c>
      <c r="F51" s="2763" t="s">
        <v>1434</v>
      </c>
      <c r="G51" s="2764"/>
      <c r="H51" s="2204"/>
      <c r="I51" s="2205"/>
      <c r="J51" s="1493"/>
      <c r="K51" s="1494"/>
      <c r="L51" s="2763"/>
      <c r="M51" s="1495"/>
      <c r="N51" s="1496"/>
      <c r="O51" s="1497"/>
      <c r="P51" s="2764"/>
      <c r="Q51" s="1498"/>
      <c r="R51" s="2763"/>
      <c r="S51" s="2764"/>
      <c r="T51" s="2763"/>
      <c r="U51" s="2764"/>
      <c r="V51" s="2763"/>
      <c r="W51" s="2764"/>
      <c r="X51" s="255"/>
      <c r="Y51" s="255"/>
      <c r="Z51" s="2557" t="n">
        <f t="shared" ref="Z51:Z58" si="5">SUM(X51:Y51)</f>
        <v>0.0</v>
      </c>
      <c r="AA51" s="2952"/>
      <c r="AB51" s="2953"/>
      <c r="AC51" s="2586"/>
      <c r="AD51" s="2954"/>
      <c r="AE51" s="3218"/>
    </row>
    <row r="52" spans="2:31" ht="14.25" hidden="1" customHeight="1" x14ac:dyDescent="0.15">
      <c r="B52" s="843" t="s">
        <v>1435</v>
      </c>
      <c r="C52" s="844"/>
      <c r="D52" s="2765" t="s">
        <v>1436</v>
      </c>
      <c r="E52" s="2765" t="s">
        <v>1437</v>
      </c>
      <c r="F52" s="2763" t="s">
        <v>1438</v>
      </c>
      <c r="G52" s="2764"/>
      <c r="H52" s="2204"/>
      <c r="I52" s="2205"/>
      <c r="J52" s="1493"/>
      <c r="K52" s="1494"/>
      <c r="L52" s="2763"/>
      <c r="M52" s="1495"/>
      <c r="N52" s="1496"/>
      <c r="O52" s="1497"/>
      <c r="P52" s="2764"/>
      <c r="Q52" s="1498"/>
      <c r="R52" s="2763"/>
      <c r="S52" s="2764"/>
      <c r="T52" s="2763"/>
      <c r="U52" s="2764"/>
      <c r="V52" s="2763"/>
      <c r="W52" s="2764"/>
      <c r="X52" s="255"/>
      <c r="Y52" s="255"/>
      <c r="Z52" s="2557" t="n">
        <f t="shared" si="5"/>
        <v>0.0</v>
      </c>
      <c r="AA52" s="2952"/>
      <c r="AB52" s="2953"/>
      <c r="AC52" s="2586"/>
      <c r="AD52" s="2954"/>
      <c r="AE52" s="3218"/>
    </row>
    <row r="53" spans="2:31" ht="14.25" hidden="1" customHeight="1" x14ac:dyDescent="0.15">
      <c r="B53" s="843" t="s">
        <v>1439</v>
      </c>
      <c r="C53" s="844"/>
      <c r="D53" s="2765" t="s">
        <v>1440</v>
      </c>
      <c r="E53" s="2765" t="s">
        <v>1441</v>
      </c>
      <c r="F53" s="2763" t="s">
        <v>1442</v>
      </c>
      <c r="G53" s="2764"/>
      <c r="H53" s="2204"/>
      <c r="I53" s="2205"/>
      <c r="J53" s="1493"/>
      <c r="K53" s="1494"/>
      <c r="L53" s="2763"/>
      <c r="M53" s="1495"/>
      <c r="N53" s="1496"/>
      <c r="O53" s="1497"/>
      <c r="P53" s="2764"/>
      <c r="Q53" s="1498"/>
      <c r="R53" s="2763"/>
      <c r="S53" s="2764"/>
      <c r="T53" s="2763"/>
      <c r="U53" s="2764"/>
      <c r="V53" s="2763"/>
      <c r="W53" s="2764"/>
      <c r="X53" s="255"/>
      <c r="Y53" s="255"/>
      <c r="Z53" s="2557" t="n">
        <f t="shared" si="5"/>
        <v>0.0</v>
      </c>
      <c r="AA53" s="2952"/>
      <c r="AB53" s="2953"/>
      <c r="AC53" s="2586"/>
      <c r="AD53" s="2954"/>
      <c r="AE53" s="3218"/>
    </row>
    <row r="54" spans="2:31" ht="14.25" hidden="1" customHeight="1" x14ac:dyDescent="0.15">
      <c r="B54" s="843" t="s">
        <v>1443</v>
      </c>
      <c r="C54" s="844"/>
      <c r="D54" s="2765" t="s">
        <v>1444</v>
      </c>
      <c r="E54" s="2765" t="s">
        <v>1445</v>
      </c>
      <c r="F54" s="2763" t="s">
        <v>1446</v>
      </c>
      <c r="G54" s="2764"/>
      <c r="H54" s="2204"/>
      <c r="I54" s="2205"/>
      <c r="J54" s="1493"/>
      <c r="K54" s="1494"/>
      <c r="L54" s="2763"/>
      <c r="M54" s="1495"/>
      <c r="N54" s="1496"/>
      <c r="O54" s="1497"/>
      <c r="P54" s="2764"/>
      <c r="Q54" s="1498"/>
      <c r="R54" s="2763"/>
      <c r="S54" s="2764"/>
      <c r="T54" s="2763"/>
      <c r="U54" s="2764"/>
      <c r="V54" s="2763"/>
      <c r="W54" s="2764"/>
      <c r="X54" s="255"/>
      <c r="Y54" s="255"/>
      <c r="Z54" s="2557" t="n">
        <f t="shared" si="5"/>
        <v>0.0</v>
      </c>
      <c r="AA54" s="2952"/>
      <c r="AB54" s="2953"/>
      <c r="AC54" s="2586"/>
      <c r="AD54" s="2954"/>
      <c r="AE54" s="3218"/>
    </row>
    <row r="55" spans="2:31" ht="14.25" hidden="1" customHeight="1" x14ac:dyDescent="0.15">
      <c r="B55" s="843" t="s">
        <v>1447</v>
      </c>
      <c r="C55" s="844"/>
      <c r="D55" s="2765" t="s">
        <v>1448</v>
      </c>
      <c r="E55" s="2765" t="s">
        <v>1449</v>
      </c>
      <c r="F55" s="2763" t="s">
        <v>1450</v>
      </c>
      <c r="G55" s="2764"/>
      <c r="H55" s="2204"/>
      <c r="I55" s="2205"/>
      <c r="J55" s="1493"/>
      <c r="K55" s="1494"/>
      <c r="L55" s="2763"/>
      <c r="M55" s="1495"/>
      <c r="N55" s="1496"/>
      <c r="O55" s="1497"/>
      <c r="P55" s="2764"/>
      <c r="Q55" s="1498"/>
      <c r="R55" s="2763"/>
      <c r="S55" s="2764"/>
      <c r="T55" s="2763"/>
      <c r="U55" s="2764"/>
      <c r="V55" s="2763"/>
      <c r="W55" s="2764"/>
      <c r="X55" s="255"/>
      <c r="Y55" s="255"/>
      <c r="Z55" s="2557" t="n">
        <f t="shared" si="5"/>
        <v>0.0</v>
      </c>
      <c r="AA55" s="2952"/>
      <c r="AB55" s="2953"/>
      <c r="AC55" s="2586"/>
      <c r="AD55" s="2954"/>
      <c r="AE55" s="3218"/>
    </row>
    <row r="56" spans="2:31" ht="14.25" hidden="1" customHeight="1" x14ac:dyDescent="0.15">
      <c r="B56" s="843" t="s">
        <v>1451</v>
      </c>
      <c r="C56" s="844"/>
      <c r="D56" s="2765" t="s">
        <v>1452</v>
      </c>
      <c r="E56" s="2765" t="s">
        <v>1453</v>
      </c>
      <c r="F56" s="2763" t="s">
        <v>1454</v>
      </c>
      <c r="G56" s="2764"/>
      <c r="H56" s="2204"/>
      <c r="I56" s="2205"/>
      <c r="J56" s="1493"/>
      <c r="K56" s="1494"/>
      <c r="L56" s="2763"/>
      <c r="M56" s="1495"/>
      <c r="N56" s="1496"/>
      <c r="O56" s="1497"/>
      <c r="P56" s="2764"/>
      <c r="Q56" s="1498"/>
      <c r="R56" s="2763"/>
      <c r="S56" s="2764"/>
      <c r="T56" s="2763"/>
      <c r="U56" s="2764"/>
      <c r="V56" s="2763"/>
      <c r="W56" s="2764"/>
      <c r="X56" s="255"/>
      <c r="Y56" s="255"/>
      <c r="Z56" s="2557" t="n">
        <f t="shared" si="5"/>
        <v>0.0</v>
      </c>
      <c r="AA56" s="2952"/>
      <c r="AB56" s="2953"/>
      <c r="AC56" s="2586"/>
      <c r="AD56" s="2954"/>
      <c r="AE56" s="3218"/>
    </row>
    <row r="57" spans="2:31" ht="14.25" hidden="1" customHeight="1" x14ac:dyDescent="0.15">
      <c r="B57" s="843" t="s">
        <v>1455</v>
      </c>
      <c r="C57" s="844"/>
      <c r="D57" s="2765" t="s">
        <v>1456</v>
      </c>
      <c r="E57" s="2765" t="s">
        <v>1457</v>
      </c>
      <c r="F57" s="2763" t="s">
        <v>1458</v>
      </c>
      <c r="G57" s="2764"/>
      <c r="H57" s="2204"/>
      <c r="I57" s="2205"/>
      <c r="J57" s="1493"/>
      <c r="K57" s="1494"/>
      <c r="L57" s="2763"/>
      <c r="M57" s="1495"/>
      <c r="N57" s="1496"/>
      <c r="O57" s="1497"/>
      <c r="P57" s="2764"/>
      <c r="Q57" s="1498"/>
      <c r="R57" s="2763"/>
      <c r="S57" s="2764"/>
      <c r="T57" s="2763"/>
      <c r="U57" s="2764"/>
      <c r="V57" s="2763"/>
      <c r="W57" s="2764"/>
      <c r="X57" s="255"/>
      <c r="Y57" s="255"/>
      <c r="Z57" s="2557" t="n">
        <f t="shared" si="5"/>
        <v>0.0</v>
      </c>
      <c r="AA57" s="2952"/>
      <c r="AB57" s="2953"/>
      <c r="AC57" s="2586"/>
      <c r="AD57" s="2954"/>
      <c r="AE57" s="3218"/>
    </row>
    <row r="58" spans="2:31" ht="14.25" hidden="1" customHeight="1" x14ac:dyDescent="0.15">
      <c r="B58" s="845" t="s">
        <v>1459</v>
      </c>
      <c r="C58" s="846"/>
      <c r="D58" s="2780" t="s">
        <v>1460</v>
      </c>
      <c r="E58" s="2780" t="s">
        <v>1461</v>
      </c>
      <c r="F58" s="2766" t="s">
        <v>1462</v>
      </c>
      <c r="G58" s="2767"/>
      <c r="H58" s="2206"/>
      <c r="I58" s="2207"/>
      <c r="J58" s="1499"/>
      <c r="K58" s="1500"/>
      <c r="L58" s="2766"/>
      <c r="M58" s="1501"/>
      <c r="N58" s="1502"/>
      <c r="O58" s="1503"/>
      <c r="P58" s="2767"/>
      <c r="Q58" s="1504"/>
      <c r="R58" s="2766"/>
      <c r="S58" s="2767"/>
      <c r="T58" s="2766"/>
      <c r="U58" s="2767"/>
      <c r="V58" s="2766"/>
      <c r="W58" s="2767"/>
      <c r="X58" s="333"/>
      <c r="Y58" s="333"/>
      <c r="Z58" s="2558" t="n">
        <f t="shared" si="5"/>
        <v>0.0</v>
      </c>
      <c r="AA58" s="2956"/>
      <c r="AB58" s="2957"/>
      <c r="AC58" s="2587"/>
      <c r="AD58" s="2958"/>
      <c r="AE58" s="3218"/>
    </row>
    <row r="59" spans="2:31" ht="15" hidden="1" customHeight="1" x14ac:dyDescent="0.15">
      <c r="B59" s="855" t="s">
        <v>1463</v>
      </c>
      <c r="C59" s="856"/>
      <c r="D59" s="331" t="s">
        <v>1464</v>
      </c>
      <c r="E59" s="331" t="s">
        <v>1465</v>
      </c>
      <c r="F59" s="832"/>
      <c r="G59" s="833"/>
      <c r="H59" s="2202"/>
      <c r="I59" s="2203"/>
      <c r="J59" s="1487"/>
      <c r="K59" s="1488"/>
      <c r="L59" s="832"/>
      <c r="M59" s="1489"/>
      <c r="N59" s="1490"/>
      <c r="O59" s="1491"/>
      <c r="P59" s="833"/>
      <c r="Q59" s="1492"/>
      <c r="R59" s="832"/>
      <c r="S59" s="833"/>
      <c r="T59" s="832"/>
      <c r="U59" s="833"/>
      <c r="V59" s="832"/>
      <c r="W59" s="833"/>
      <c r="X59" s="332"/>
      <c r="Y59" s="332"/>
      <c r="Z59" s="2560" t="n">
        <f>SUM(X59:Y59)</f>
        <v>0.0</v>
      </c>
      <c r="AA59" s="2963"/>
      <c r="AB59" s="2964"/>
      <c r="AC59" s="2589"/>
      <c r="AD59" s="2965"/>
      <c r="AE59" s="3218" t="s">
        <v>1369</v>
      </c>
    </row>
    <row r="60" spans="2:31" ht="14.25" hidden="1" customHeight="1" x14ac:dyDescent="0.15">
      <c r="B60" s="843" t="s">
        <v>1466</v>
      </c>
      <c r="C60" s="844"/>
      <c r="D60" s="2765" t="s">
        <v>1467</v>
      </c>
      <c r="E60" s="2765" t="s">
        <v>1468</v>
      </c>
      <c r="F60" s="2763"/>
      <c r="G60" s="2764"/>
      <c r="H60" s="2204"/>
      <c r="I60" s="2205"/>
      <c r="J60" s="1493"/>
      <c r="K60" s="1494"/>
      <c r="L60" s="2763"/>
      <c r="M60" s="1495"/>
      <c r="N60" s="1496"/>
      <c r="O60" s="1497"/>
      <c r="P60" s="2764"/>
      <c r="Q60" s="1498"/>
      <c r="R60" s="2763"/>
      <c r="S60" s="2764"/>
      <c r="T60" s="2763"/>
      <c r="U60" s="2764"/>
      <c r="V60" s="2763"/>
      <c r="W60" s="2764"/>
      <c r="X60" s="255"/>
      <c r="Y60" s="255"/>
      <c r="Z60" s="2557" t="n">
        <f t="shared" ref="Z60:Z74" si="6">SUM(X60:Y60)</f>
        <v>0.0</v>
      </c>
      <c r="AA60" s="2952"/>
      <c r="AB60" s="2953"/>
      <c r="AC60" s="2586"/>
      <c r="AD60" s="2954"/>
      <c r="AE60" s="3218"/>
    </row>
    <row r="61" spans="2:31" ht="14.25" hidden="1" customHeight="1" x14ac:dyDescent="0.15">
      <c r="B61" s="843" t="s">
        <v>1469</v>
      </c>
      <c r="C61" s="844"/>
      <c r="D61" s="2765" t="s">
        <v>1470</v>
      </c>
      <c r="E61" s="2765" t="s">
        <v>1471</v>
      </c>
      <c r="F61" s="2763"/>
      <c r="G61" s="2764"/>
      <c r="H61" s="2204"/>
      <c r="I61" s="2205"/>
      <c r="J61" s="1493"/>
      <c r="K61" s="1494"/>
      <c r="L61" s="2763"/>
      <c r="M61" s="1495"/>
      <c r="N61" s="1496"/>
      <c r="O61" s="1497"/>
      <c r="P61" s="2764"/>
      <c r="Q61" s="1498"/>
      <c r="R61" s="2763"/>
      <c r="S61" s="2764"/>
      <c r="T61" s="2763"/>
      <c r="U61" s="2764"/>
      <c r="V61" s="2763"/>
      <c r="W61" s="2764"/>
      <c r="X61" s="255"/>
      <c r="Y61" s="255"/>
      <c r="Z61" s="2557" t="n">
        <f t="shared" si="6"/>
        <v>0.0</v>
      </c>
      <c r="AA61" s="2952"/>
      <c r="AB61" s="2953"/>
      <c r="AC61" s="2586"/>
      <c r="AD61" s="2954"/>
      <c r="AE61" s="3218"/>
    </row>
    <row r="62" spans="2:31" ht="14.25" hidden="1" customHeight="1" x14ac:dyDescent="0.15">
      <c r="B62" s="843" t="s">
        <v>1472</v>
      </c>
      <c r="C62" s="844"/>
      <c r="D62" s="2765" t="s">
        <v>1473</v>
      </c>
      <c r="E62" s="2765" t="s">
        <v>1474</v>
      </c>
      <c r="F62" s="2763"/>
      <c r="G62" s="2764"/>
      <c r="H62" s="2204"/>
      <c r="I62" s="2205"/>
      <c r="J62" s="1493"/>
      <c r="K62" s="1494"/>
      <c r="L62" s="2763"/>
      <c r="M62" s="1495"/>
      <c r="N62" s="1496"/>
      <c r="O62" s="1497"/>
      <c r="P62" s="2764"/>
      <c r="Q62" s="1498"/>
      <c r="R62" s="2763"/>
      <c r="S62" s="2764"/>
      <c r="T62" s="2763"/>
      <c r="U62" s="2764"/>
      <c r="V62" s="2763"/>
      <c r="W62" s="2764"/>
      <c r="X62" s="255"/>
      <c r="Y62" s="255"/>
      <c r="Z62" s="2557" t="n">
        <f t="shared" si="6"/>
        <v>0.0</v>
      </c>
      <c r="AA62" s="2952"/>
      <c r="AB62" s="2953"/>
      <c r="AC62" s="2586"/>
      <c r="AD62" s="2954"/>
      <c r="AE62" s="3218"/>
    </row>
    <row r="63" spans="2:31" ht="14.25" hidden="1" customHeight="1" x14ac:dyDescent="0.15">
      <c r="B63" s="843" t="s">
        <v>1475</v>
      </c>
      <c r="C63" s="844"/>
      <c r="D63" s="2765" t="s">
        <v>1476</v>
      </c>
      <c r="E63" s="2765" t="s">
        <v>1477</v>
      </c>
      <c r="F63" s="2763"/>
      <c r="G63" s="2764"/>
      <c r="H63" s="2204"/>
      <c r="I63" s="2205"/>
      <c r="J63" s="1493"/>
      <c r="K63" s="1494"/>
      <c r="L63" s="2763"/>
      <c r="M63" s="1495"/>
      <c r="N63" s="1496"/>
      <c r="O63" s="1497"/>
      <c r="P63" s="2764"/>
      <c r="Q63" s="1498"/>
      <c r="R63" s="2763"/>
      <c r="S63" s="2764"/>
      <c r="T63" s="2763"/>
      <c r="U63" s="2764"/>
      <c r="V63" s="2763"/>
      <c r="W63" s="2764"/>
      <c r="X63" s="255"/>
      <c r="Y63" s="255"/>
      <c r="Z63" s="2557" t="n">
        <f t="shared" si="6"/>
        <v>0.0</v>
      </c>
      <c r="AA63" s="2952"/>
      <c r="AB63" s="2953"/>
      <c r="AC63" s="2586"/>
      <c r="AD63" s="2954"/>
      <c r="AE63" s="3218"/>
    </row>
    <row r="64" spans="2:31" ht="14.25" hidden="1" customHeight="1" x14ac:dyDescent="0.15">
      <c r="B64" s="843" t="s">
        <v>1478</v>
      </c>
      <c r="C64" s="844"/>
      <c r="D64" s="2763" t="s">
        <v>1479</v>
      </c>
      <c r="E64" s="2763" t="s">
        <v>1480</v>
      </c>
      <c r="F64" s="2763" t="s">
        <v>1481</v>
      </c>
      <c r="G64" s="2764"/>
      <c r="H64" s="2204"/>
      <c r="I64" s="2205"/>
      <c r="J64" s="1493"/>
      <c r="K64" s="1494"/>
      <c r="L64" s="2763"/>
      <c r="M64" s="1495"/>
      <c r="N64" s="1496"/>
      <c r="O64" s="1497"/>
      <c r="P64" s="2764"/>
      <c r="Q64" s="1498"/>
      <c r="R64" s="2763"/>
      <c r="S64" s="2764"/>
      <c r="T64" s="2763"/>
      <c r="U64" s="2764"/>
      <c r="V64" s="2763"/>
      <c r="W64" s="2764"/>
      <c r="X64" s="255"/>
      <c r="Y64" s="255"/>
      <c r="Z64" s="2557" t="n">
        <f t="shared" si="6"/>
        <v>0.0</v>
      </c>
      <c r="AA64" s="2952"/>
      <c r="AB64" s="2953"/>
      <c r="AC64" s="2586"/>
      <c r="AD64" s="2955"/>
      <c r="AE64" s="3218"/>
    </row>
    <row r="65" spans="2:31" ht="14.25" hidden="1" customHeight="1" x14ac:dyDescent="0.15">
      <c r="B65" s="843" t="s">
        <v>1482</v>
      </c>
      <c r="C65" s="844"/>
      <c r="D65" s="2765" t="s">
        <v>1483</v>
      </c>
      <c r="E65" s="2765" t="s">
        <v>1484</v>
      </c>
      <c r="F65" s="2763"/>
      <c r="G65" s="2764"/>
      <c r="H65" s="2204"/>
      <c r="I65" s="2205"/>
      <c r="J65" s="1493"/>
      <c r="K65" s="1494"/>
      <c r="L65" s="2763"/>
      <c r="M65" s="1495"/>
      <c r="N65" s="1496"/>
      <c r="O65" s="1497"/>
      <c r="P65" s="2764"/>
      <c r="Q65" s="1498"/>
      <c r="R65" s="2763"/>
      <c r="S65" s="2764"/>
      <c r="T65" s="2763"/>
      <c r="U65" s="2764"/>
      <c r="V65" s="2763"/>
      <c r="W65" s="2764"/>
      <c r="X65" s="255"/>
      <c r="Y65" s="255"/>
      <c r="Z65" s="2557" t="n">
        <f t="shared" si="6"/>
        <v>0.0</v>
      </c>
      <c r="AA65" s="2952"/>
      <c r="AB65" s="2953"/>
      <c r="AC65" s="2586"/>
      <c r="AD65" s="2954"/>
      <c r="AE65" s="3218"/>
    </row>
    <row r="66" spans="2:31" ht="14.25" hidden="1" customHeight="1" x14ac:dyDescent="0.15">
      <c r="B66" s="843" t="s">
        <v>1485</v>
      </c>
      <c r="C66" s="844"/>
      <c r="D66" s="2765" t="s">
        <v>1486</v>
      </c>
      <c r="E66" s="2765" t="s">
        <v>1487</v>
      </c>
      <c r="F66" s="2763"/>
      <c r="G66" s="2764"/>
      <c r="H66" s="2204"/>
      <c r="I66" s="2205"/>
      <c r="J66" s="1493"/>
      <c r="K66" s="1494"/>
      <c r="L66" s="2763"/>
      <c r="M66" s="1495"/>
      <c r="N66" s="1496"/>
      <c r="O66" s="1497"/>
      <c r="P66" s="2764"/>
      <c r="Q66" s="1498"/>
      <c r="R66" s="2763"/>
      <c r="S66" s="2764"/>
      <c r="T66" s="2763"/>
      <c r="U66" s="2764"/>
      <c r="V66" s="2763"/>
      <c r="W66" s="2764"/>
      <c r="X66" s="255"/>
      <c r="Y66" s="255"/>
      <c r="Z66" s="2557" t="n">
        <f t="shared" si="6"/>
        <v>0.0</v>
      </c>
      <c r="AA66" s="2952"/>
      <c r="AB66" s="2953"/>
      <c r="AC66" s="2586"/>
      <c r="AD66" s="2955"/>
      <c r="AE66" s="3218"/>
    </row>
    <row r="67" spans="2:31" ht="14.25" hidden="1" customHeight="1" x14ac:dyDescent="0.15">
      <c r="B67" s="845" t="s">
        <v>1488</v>
      </c>
      <c r="C67" s="846"/>
      <c r="D67" s="2780" t="s">
        <v>1489</v>
      </c>
      <c r="E67" s="2780" t="s">
        <v>1490</v>
      </c>
      <c r="F67" s="2766"/>
      <c r="G67" s="2767"/>
      <c r="H67" s="2206"/>
      <c r="I67" s="2207"/>
      <c r="J67" s="1499"/>
      <c r="K67" s="1500"/>
      <c r="L67" s="2766"/>
      <c r="M67" s="1501"/>
      <c r="N67" s="1502"/>
      <c r="O67" s="1503"/>
      <c r="P67" s="2767"/>
      <c r="Q67" s="1504"/>
      <c r="R67" s="2766"/>
      <c r="S67" s="2767"/>
      <c r="T67" s="2766"/>
      <c r="U67" s="2767"/>
      <c r="V67" s="2766"/>
      <c r="W67" s="2767"/>
      <c r="X67" s="333"/>
      <c r="Y67" s="333"/>
      <c r="Z67" s="2558" t="n">
        <f t="shared" si="6"/>
        <v>0.0</v>
      </c>
      <c r="AA67" s="2956"/>
      <c r="AB67" s="2957"/>
      <c r="AC67" s="2587"/>
      <c r="AD67" s="2959"/>
      <c r="AE67" s="3218"/>
    </row>
    <row r="68" spans="2:31" ht="15" hidden="1" customHeight="1" x14ac:dyDescent="0.15">
      <c r="B68" s="855" t="s">
        <v>1491</v>
      </c>
      <c r="C68" s="856"/>
      <c r="D68" s="331" t="s">
        <v>1492</v>
      </c>
      <c r="E68" s="331" t="s">
        <v>1493</v>
      </c>
      <c r="F68" s="832"/>
      <c r="G68" s="833"/>
      <c r="H68" s="2202"/>
      <c r="I68" s="2203"/>
      <c r="J68" s="1487"/>
      <c r="K68" s="1488"/>
      <c r="L68" s="832"/>
      <c r="M68" s="1489"/>
      <c r="N68" s="1490"/>
      <c r="O68" s="1491"/>
      <c r="P68" s="833"/>
      <c r="Q68" s="1492"/>
      <c r="R68" s="832"/>
      <c r="S68" s="833"/>
      <c r="T68" s="832"/>
      <c r="U68" s="833"/>
      <c r="V68" s="832"/>
      <c r="W68" s="833"/>
      <c r="X68" s="332"/>
      <c r="Y68" s="332"/>
      <c r="Z68" s="2560" t="n">
        <f t="shared" si="6"/>
        <v>0.0</v>
      </c>
      <c r="AA68" s="2963"/>
      <c r="AB68" s="2964"/>
      <c r="AC68" s="2589"/>
      <c r="AD68" s="2965"/>
      <c r="AE68" s="3218" t="s">
        <v>1369</v>
      </c>
    </row>
    <row r="69" spans="2:31" ht="14.25" hidden="1" customHeight="1" x14ac:dyDescent="0.15">
      <c r="B69" s="843" t="s">
        <v>1494</v>
      </c>
      <c r="C69" s="844"/>
      <c r="D69" s="2765" t="s">
        <v>1495</v>
      </c>
      <c r="E69" s="2765" t="s">
        <v>1496</v>
      </c>
      <c r="F69" s="2763"/>
      <c r="G69" s="2764"/>
      <c r="H69" s="2204"/>
      <c r="I69" s="2205"/>
      <c r="J69" s="1493"/>
      <c r="K69" s="1494"/>
      <c r="L69" s="2763"/>
      <c r="M69" s="1495"/>
      <c r="N69" s="1496"/>
      <c r="O69" s="1497"/>
      <c r="P69" s="2764"/>
      <c r="Q69" s="1498"/>
      <c r="R69" s="2763"/>
      <c r="S69" s="2764"/>
      <c r="T69" s="2763"/>
      <c r="U69" s="2764"/>
      <c r="V69" s="2763"/>
      <c r="W69" s="2764"/>
      <c r="X69" s="255"/>
      <c r="Y69" s="255"/>
      <c r="Z69" s="2557" t="n">
        <f t="shared" si="6"/>
        <v>0.0</v>
      </c>
      <c r="AA69" s="2952"/>
      <c r="AB69" s="2953"/>
      <c r="AC69" s="2586"/>
      <c r="AD69" s="2954"/>
      <c r="AE69" s="3218"/>
    </row>
    <row r="70" spans="2:31" ht="14.25" hidden="1" customHeight="1" x14ac:dyDescent="0.15">
      <c r="B70" s="843" t="s">
        <v>1497</v>
      </c>
      <c r="C70" s="844"/>
      <c r="D70" s="2765" t="s">
        <v>1498</v>
      </c>
      <c r="E70" s="2765" t="s">
        <v>1499</v>
      </c>
      <c r="F70" s="2763"/>
      <c r="G70" s="2764"/>
      <c r="H70" s="2204"/>
      <c r="I70" s="2205"/>
      <c r="J70" s="1493"/>
      <c r="K70" s="1494"/>
      <c r="L70" s="2763"/>
      <c r="M70" s="1495"/>
      <c r="N70" s="1496"/>
      <c r="O70" s="1497"/>
      <c r="P70" s="2764"/>
      <c r="Q70" s="1498"/>
      <c r="R70" s="2763"/>
      <c r="S70" s="2764"/>
      <c r="T70" s="2763"/>
      <c r="U70" s="2764"/>
      <c r="V70" s="2763"/>
      <c r="W70" s="2764"/>
      <c r="X70" s="255"/>
      <c r="Y70" s="255"/>
      <c r="Z70" s="2557" t="n">
        <f t="shared" si="6"/>
        <v>0.0</v>
      </c>
      <c r="AA70" s="2952"/>
      <c r="AB70" s="2953"/>
      <c r="AC70" s="2586"/>
      <c r="AD70" s="2954"/>
      <c r="AE70" s="3218"/>
    </row>
    <row r="71" spans="2:31" ht="14.25" hidden="1" customHeight="1" x14ac:dyDescent="0.15">
      <c r="B71" s="843" t="s">
        <v>1500</v>
      </c>
      <c r="C71" s="844"/>
      <c r="D71" s="2765" t="s">
        <v>1501</v>
      </c>
      <c r="E71" s="2765" t="s">
        <v>1502</v>
      </c>
      <c r="F71" s="2763"/>
      <c r="G71" s="2764"/>
      <c r="H71" s="2204"/>
      <c r="I71" s="2205"/>
      <c r="J71" s="1493"/>
      <c r="K71" s="1494"/>
      <c r="L71" s="2763"/>
      <c r="M71" s="1495"/>
      <c r="N71" s="1496"/>
      <c r="O71" s="1497"/>
      <c r="P71" s="2764"/>
      <c r="Q71" s="1498"/>
      <c r="R71" s="2763"/>
      <c r="S71" s="2764"/>
      <c r="T71" s="2763"/>
      <c r="U71" s="2764"/>
      <c r="V71" s="2763"/>
      <c r="W71" s="2764"/>
      <c r="X71" s="255"/>
      <c r="Y71" s="255"/>
      <c r="Z71" s="2557" t="n">
        <f t="shared" si="6"/>
        <v>0.0</v>
      </c>
      <c r="AA71" s="2952"/>
      <c r="AB71" s="2953"/>
      <c r="AC71" s="2586"/>
      <c r="AD71" s="2954"/>
      <c r="AE71" s="3218"/>
    </row>
    <row r="72" spans="2:31" ht="14.25" hidden="1" customHeight="1" x14ac:dyDescent="0.15">
      <c r="B72" s="843" t="s">
        <v>1503</v>
      </c>
      <c r="C72" s="844"/>
      <c r="D72" s="2765" t="s">
        <v>1504</v>
      </c>
      <c r="E72" s="2765" t="s">
        <v>1505</v>
      </c>
      <c r="F72" s="2763"/>
      <c r="G72" s="2764"/>
      <c r="H72" s="2204"/>
      <c r="I72" s="2205"/>
      <c r="J72" s="1493"/>
      <c r="K72" s="1494"/>
      <c r="L72" s="2763"/>
      <c r="M72" s="1495"/>
      <c r="N72" s="1496"/>
      <c r="O72" s="1497"/>
      <c r="P72" s="2764"/>
      <c r="Q72" s="1498"/>
      <c r="R72" s="2763"/>
      <c r="S72" s="2764"/>
      <c r="T72" s="2763"/>
      <c r="U72" s="2764"/>
      <c r="V72" s="2763"/>
      <c r="W72" s="2764"/>
      <c r="X72" s="255"/>
      <c r="Y72" s="255"/>
      <c r="Z72" s="2557" t="n">
        <f t="shared" si="6"/>
        <v>0.0</v>
      </c>
      <c r="AA72" s="2952"/>
      <c r="AB72" s="2953"/>
      <c r="AC72" s="2586"/>
      <c r="AD72" s="2954"/>
      <c r="AE72" s="3218"/>
    </row>
    <row r="73" spans="2:31" ht="14.25" hidden="1" customHeight="1" x14ac:dyDescent="0.15">
      <c r="B73" s="843" t="s">
        <v>1506</v>
      </c>
      <c r="C73" s="844"/>
      <c r="D73" s="2763" t="s">
        <v>1507</v>
      </c>
      <c r="E73" s="2763" t="s">
        <v>1508</v>
      </c>
      <c r="F73" s="2763" t="s">
        <v>1509</v>
      </c>
      <c r="G73" s="2764"/>
      <c r="H73" s="2204"/>
      <c r="I73" s="2205"/>
      <c r="J73" s="1493"/>
      <c r="K73" s="1494"/>
      <c r="L73" s="2763"/>
      <c r="M73" s="1495"/>
      <c r="N73" s="1496"/>
      <c r="O73" s="1497"/>
      <c r="P73" s="2764"/>
      <c r="Q73" s="1498"/>
      <c r="R73" s="2763"/>
      <c r="S73" s="2764"/>
      <c r="T73" s="2763"/>
      <c r="U73" s="2764"/>
      <c r="V73" s="2763"/>
      <c r="W73" s="2764"/>
      <c r="X73" s="255"/>
      <c r="Y73" s="255"/>
      <c r="Z73" s="2557" t="n">
        <f t="shared" si="6"/>
        <v>0.0</v>
      </c>
      <c r="AA73" s="2952"/>
      <c r="AB73" s="2953"/>
      <c r="AC73" s="2586"/>
      <c r="AD73" s="2955"/>
      <c r="AE73" s="3218"/>
    </row>
    <row r="74" spans="2:31" ht="14.25" hidden="1" customHeight="1" x14ac:dyDescent="0.15">
      <c r="B74" s="843" t="s">
        <v>1510</v>
      </c>
      <c r="C74" s="844"/>
      <c r="D74" s="2765" t="s">
        <v>1511</v>
      </c>
      <c r="E74" s="2765" t="s">
        <v>1512</v>
      </c>
      <c r="F74" s="2763"/>
      <c r="G74" s="2764"/>
      <c r="H74" s="2204"/>
      <c r="I74" s="2205"/>
      <c r="J74" s="1493"/>
      <c r="K74" s="1494"/>
      <c r="L74" s="2763"/>
      <c r="M74" s="1495"/>
      <c r="N74" s="1496"/>
      <c r="O74" s="1497"/>
      <c r="P74" s="2764"/>
      <c r="Q74" s="1498"/>
      <c r="R74" s="2763"/>
      <c r="S74" s="2764"/>
      <c r="T74" s="2763"/>
      <c r="U74" s="2764"/>
      <c r="V74" s="2763"/>
      <c r="W74" s="2764"/>
      <c r="X74" s="255"/>
      <c r="Y74" s="255"/>
      <c r="Z74" s="2557" t="n">
        <f t="shared" si="6"/>
        <v>0.0</v>
      </c>
      <c r="AA74" s="2952"/>
      <c r="AB74" s="2953"/>
      <c r="AC74" s="2586"/>
      <c r="AD74" s="2954"/>
      <c r="AE74" s="3218"/>
    </row>
    <row r="75" spans="2:31" ht="14.25" hidden="1" customHeight="1" x14ac:dyDescent="0.15">
      <c r="B75" s="3284" t="s">
        <v>1513</v>
      </c>
      <c r="C75" s="864"/>
      <c r="D75" s="2765" t="s">
        <v>1514</v>
      </c>
      <c r="E75" s="2765" t="s">
        <v>1515</v>
      </c>
      <c r="F75" s="2763"/>
      <c r="G75" s="2764"/>
      <c r="H75" s="2204"/>
      <c r="I75" s="2205"/>
      <c r="J75" s="1493"/>
      <c r="K75" s="1494"/>
      <c r="L75" s="2763"/>
      <c r="M75" s="1495"/>
      <c r="N75" s="1496"/>
      <c r="O75" s="1497"/>
      <c r="P75" s="2764"/>
      <c r="Q75" s="1498"/>
      <c r="R75" s="2763"/>
      <c r="S75" s="2764"/>
      <c r="T75" s="2763"/>
      <c r="U75" s="2764"/>
      <c r="V75" s="2763"/>
      <c r="W75" s="2764"/>
      <c r="X75" s="255"/>
      <c r="Y75" s="255"/>
      <c r="Z75" s="3250" t="n">
        <f>SUM(X75:Y76)</f>
        <v>0.0</v>
      </c>
      <c r="AA75" s="2952"/>
      <c r="AB75" s="2953"/>
      <c r="AC75" s="2586"/>
      <c r="AD75" s="2955"/>
      <c r="AE75" s="3218"/>
    </row>
    <row r="76" spans="2:31" ht="14.25" hidden="1" customHeight="1" x14ac:dyDescent="0.15">
      <c r="B76" s="3285"/>
      <c r="C76" s="865"/>
      <c r="D76" s="2765" t="s">
        <v>1516</v>
      </c>
      <c r="E76" s="2765" t="s">
        <v>1517</v>
      </c>
      <c r="F76" s="2763" t="s">
        <v>1518</v>
      </c>
      <c r="G76" s="2764"/>
      <c r="H76" s="2204"/>
      <c r="I76" s="2205"/>
      <c r="J76" s="1493"/>
      <c r="K76" s="1494"/>
      <c r="L76" s="2763"/>
      <c r="M76" s="1495"/>
      <c r="N76" s="1496"/>
      <c r="O76" s="1497"/>
      <c r="P76" s="2764"/>
      <c r="Q76" s="1498"/>
      <c r="R76" s="2763"/>
      <c r="S76" s="2764"/>
      <c r="T76" s="2763"/>
      <c r="U76" s="2764"/>
      <c r="V76" s="2763"/>
      <c r="W76" s="2764"/>
      <c r="X76" s="255"/>
      <c r="Y76" s="255"/>
      <c r="Z76" s="3252"/>
      <c r="AA76" s="2952"/>
      <c r="AB76" s="2953"/>
      <c r="AC76" s="2586"/>
      <c r="AD76" s="2955"/>
      <c r="AE76" s="3218"/>
    </row>
    <row r="77" spans="2:31" ht="14.25" hidden="1" customHeight="1" x14ac:dyDescent="0.15">
      <c r="B77" s="3284" t="s">
        <v>1519</v>
      </c>
      <c r="C77" s="864"/>
      <c r="D77" s="2765" t="s">
        <v>1520</v>
      </c>
      <c r="E77" s="2765" t="s">
        <v>1521</v>
      </c>
      <c r="F77" s="2763"/>
      <c r="G77" s="2764"/>
      <c r="H77" s="2204"/>
      <c r="I77" s="2205"/>
      <c r="J77" s="1493"/>
      <c r="K77" s="1494"/>
      <c r="L77" s="2763"/>
      <c r="M77" s="1495"/>
      <c r="N77" s="1496"/>
      <c r="O77" s="1497"/>
      <c r="P77" s="2764"/>
      <c r="Q77" s="1498"/>
      <c r="R77" s="2763"/>
      <c r="S77" s="2764"/>
      <c r="T77" s="2763"/>
      <c r="U77" s="2764"/>
      <c r="V77" s="2763"/>
      <c r="W77" s="2764"/>
      <c r="X77" s="255"/>
      <c r="Y77" s="255"/>
      <c r="Z77" s="3250" t="n">
        <f>SUM(X77:Y78)</f>
        <v>0.0</v>
      </c>
      <c r="AA77" s="2952"/>
      <c r="AB77" s="2953"/>
      <c r="AC77" s="2586"/>
      <c r="AD77" s="2955"/>
      <c r="AE77" s="3218"/>
    </row>
    <row r="78" spans="2:31" ht="14.25" hidden="1" customHeight="1" x14ac:dyDescent="0.15">
      <c r="B78" s="3286"/>
      <c r="C78" s="866"/>
      <c r="D78" s="2780" t="s">
        <v>1522</v>
      </c>
      <c r="E78" s="2780" t="s">
        <v>1523</v>
      </c>
      <c r="F78" s="2766" t="s">
        <v>1524</v>
      </c>
      <c r="G78" s="2767"/>
      <c r="H78" s="2206"/>
      <c r="I78" s="2207"/>
      <c r="J78" s="1499"/>
      <c r="K78" s="1500"/>
      <c r="L78" s="2766"/>
      <c r="M78" s="1501"/>
      <c r="N78" s="1502"/>
      <c r="O78" s="1503"/>
      <c r="P78" s="2767"/>
      <c r="Q78" s="1504"/>
      <c r="R78" s="2766"/>
      <c r="S78" s="2767"/>
      <c r="T78" s="2766"/>
      <c r="U78" s="2767"/>
      <c r="V78" s="2766"/>
      <c r="W78" s="2767"/>
      <c r="X78" s="333"/>
      <c r="Y78" s="333"/>
      <c r="Z78" s="3253"/>
      <c r="AA78" s="2956"/>
      <c r="AB78" s="2957"/>
      <c r="AC78" s="2587"/>
      <c r="AD78" s="2959"/>
      <c r="AE78" s="3218"/>
    </row>
    <row r="79" spans="2:31" ht="15" hidden="1" customHeight="1" x14ac:dyDescent="0.15">
      <c r="B79" s="855" t="s">
        <v>1525</v>
      </c>
      <c r="C79" s="856"/>
      <c r="D79" s="331" t="s">
        <v>1526</v>
      </c>
      <c r="E79" s="331" t="s">
        <v>1527</v>
      </c>
      <c r="F79" s="832"/>
      <c r="G79" s="833"/>
      <c r="H79" s="2202"/>
      <c r="I79" s="2203"/>
      <c r="J79" s="1487"/>
      <c r="K79" s="1488"/>
      <c r="L79" s="832"/>
      <c r="M79" s="1489"/>
      <c r="N79" s="1490"/>
      <c r="O79" s="1491"/>
      <c r="P79" s="833"/>
      <c r="Q79" s="1492"/>
      <c r="R79" s="832"/>
      <c r="S79" s="833"/>
      <c r="T79" s="832"/>
      <c r="U79" s="833"/>
      <c r="V79" s="832"/>
      <c r="W79" s="833"/>
      <c r="X79" s="332"/>
      <c r="Y79" s="332"/>
      <c r="Z79" s="2560" t="n">
        <f t="shared" ref="Z79:Z106" si="7">SUM(X79:Y79)</f>
        <v>0.0</v>
      </c>
      <c r="AA79" s="2963"/>
      <c r="AB79" s="2964"/>
      <c r="AC79" s="2589"/>
      <c r="AD79" s="2965"/>
      <c r="AE79" s="3218" t="s">
        <v>1369</v>
      </c>
    </row>
    <row r="80" spans="2:31" ht="14.25" hidden="1" customHeight="1" x14ac:dyDescent="0.15">
      <c r="B80" s="843" t="s">
        <v>1528</v>
      </c>
      <c r="C80" s="844"/>
      <c r="D80" s="2765" t="s">
        <v>1529</v>
      </c>
      <c r="E80" s="2765" t="s">
        <v>1530</v>
      </c>
      <c r="F80" s="2763"/>
      <c r="G80" s="2764"/>
      <c r="H80" s="2204"/>
      <c r="I80" s="2205"/>
      <c r="J80" s="1493"/>
      <c r="K80" s="1494"/>
      <c r="L80" s="2763"/>
      <c r="M80" s="1495"/>
      <c r="N80" s="1496"/>
      <c r="O80" s="1497"/>
      <c r="P80" s="2764"/>
      <c r="Q80" s="1498"/>
      <c r="R80" s="2763"/>
      <c r="S80" s="2764"/>
      <c r="T80" s="2763"/>
      <c r="U80" s="2764"/>
      <c r="V80" s="2763"/>
      <c r="W80" s="2764"/>
      <c r="X80" s="255"/>
      <c r="Y80" s="255"/>
      <c r="Z80" s="2557" t="n">
        <f t="shared" si="7"/>
        <v>0.0</v>
      </c>
      <c r="AA80" s="2952"/>
      <c r="AB80" s="2953"/>
      <c r="AC80" s="2586"/>
      <c r="AD80" s="2954"/>
      <c r="AE80" s="3218"/>
    </row>
    <row r="81" spans="2:31" ht="14.25" hidden="1" customHeight="1" x14ac:dyDescent="0.15">
      <c r="B81" s="843" t="s">
        <v>1531</v>
      </c>
      <c r="C81" s="844"/>
      <c r="D81" s="2765" t="s">
        <v>1532</v>
      </c>
      <c r="E81" s="2765" t="s">
        <v>1533</v>
      </c>
      <c r="F81" s="2763"/>
      <c r="G81" s="2764"/>
      <c r="H81" s="2204"/>
      <c r="I81" s="2205"/>
      <c r="J81" s="1493"/>
      <c r="K81" s="1494"/>
      <c r="L81" s="2763"/>
      <c r="M81" s="1495"/>
      <c r="N81" s="1496"/>
      <c r="O81" s="1497"/>
      <c r="P81" s="2764"/>
      <c r="Q81" s="1498"/>
      <c r="R81" s="2763"/>
      <c r="S81" s="2764"/>
      <c r="T81" s="2763"/>
      <c r="U81" s="2764"/>
      <c r="V81" s="2763"/>
      <c r="W81" s="2764"/>
      <c r="X81" s="255"/>
      <c r="Y81" s="255"/>
      <c r="Z81" s="2557" t="n">
        <f t="shared" si="7"/>
        <v>0.0</v>
      </c>
      <c r="AA81" s="2952"/>
      <c r="AB81" s="2953"/>
      <c r="AC81" s="2586"/>
      <c r="AD81" s="2954"/>
      <c r="AE81" s="3218"/>
    </row>
    <row r="82" spans="2:31" ht="14.25" hidden="1" customHeight="1" x14ac:dyDescent="0.15">
      <c r="B82" s="843" t="s">
        <v>1534</v>
      </c>
      <c r="C82" s="844"/>
      <c r="D82" s="2765" t="s">
        <v>1535</v>
      </c>
      <c r="E82" s="2765" t="s">
        <v>1536</v>
      </c>
      <c r="F82" s="2763"/>
      <c r="G82" s="2764"/>
      <c r="H82" s="2204"/>
      <c r="I82" s="2205"/>
      <c r="J82" s="1493"/>
      <c r="K82" s="1494"/>
      <c r="L82" s="2763"/>
      <c r="M82" s="1495"/>
      <c r="N82" s="1496"/>
      <c r="O82" s="1497"/>
      <c r="P82" s="2764"/>
      <c r="Q82" s="1498"/>
      <c r="R82" s="2763"/>
      <c r="S82" s="2764"/>
      <c r="T82" s="2763"/>
      <c r="U82" s="2764"/>
      <c r="V82" s="2763"/>
      <c r="W82" s="2764"/>
      <c r="X82" s="255"/>
      <c r="Y82" s="255"/>
      <c r="Z82" s="2557" t="n">
        <f t="shared" si="7"/>
        <v>0.0</v>
      </c>
      <c r="AA82" s="2952"/>
      <c r="AB82" s="2953"/>
      <c r="AC82" s="2586"/>
      <c r="AD82" s="2954"/>
      <c r="AE82" s="3218"/>
    </row>
    <row r="83" spans="2:31" ht="14.25" hidden="1" customHeight="1" x14ac:dyDescent="0.15">
      <c r="B83" s="843" t="s">
        <v>1537</v>
      </c>
      <c r="C83" s="844"/>
      <c r="D83" s="2765" t="s">
        <v>1538</v>
      </c>
      <c r="E83" s="2765" t="s">
        <v>1539</v>
      </c>
      <c r="F83" s="2763"/>
      <c r="G83" s="2764"/>
      <c r="H83" s="2204"/>
      <c r="I83" s="2205"/>
      <c r="J83" s="1493"/>
      <c r="K83" s="1494"/>
      <c r="L83" s="2763"/>
      <c r="M83" s="1495"/>
      <c r="N83" s="1496"/>
      <c r="O83" s="1497"/>
      <c r="P83" s="2764"/>
      <c r="Q83" s="1498"/>
      <c r="R83" s="2763"/>
      <c r="S83" s="2764"/>
      <c r="T83" s="2763"/>
      <c r="U83" s="2764"/>
      <c r="V83" s="2763"/>
      <c r="W83" s="2764"/>
      <c r="X83" s="255"/>
      <c r="Y83" s="255"/>
      <c r="Z83" s="2557" t="n">
        <f t="shared" si="7"/>
        <v>0.0</v>
      </c>
      <c r="AA83" s="2952"/>
      <c r="AB83" s="2953"/>
      <c r="AC83" s="2586"/>
      <c r="AD83" s="2954"/>
      <c r="AE83" s="3218"/>
    </row>
    <row r="84" spans="2:31" ht="14.25" hidden="1" customHeight="1" x14ac:dyDescent="0.15">
      <c r="B84" s="843" t="s">
        <v>1540</v>
      </c>
      <c r="C84" s="844"/>
      <c r="D84" s="2765" t="s">
        <v>1541</v>
      </c>
      <c r="E84" s="2765" t="s">
        <v>1542</v>
      </c>
      <c r="F84" s="2763"/>
      <c r="G84" s="2764"/>
      <c r="H84" s="2204"/>
      <c r="I84" s="2205"/>
      <c r="J84" s="1493"/>
      <c r="K84" s="1494"/>
      <c r="L84" s="2763"/>
      <c r="M84" s="1495"/>
      <c r="N84" s="1496"/>
      <c r="O84" s="1497"/>
      <c r="P84" s="2764"/>
      <c r="Q84" s="1498"/>
      <c r="R84" s="2763"/>
      <c r="S84" s="2764"/>
      <c r="T84" s="2763"/>
      <c r="U84" s="2764"/>
      <c r="V84" s="2763"/>
      <c r="W84" s="2764"/>
      <c r="X84" s="255"/>
      <c r="Y84" s="255"/>
      <c r="Z84" s="2557" t="n">
        <f t="shared" si="7"/>
        <v>0.0</v>
      </c>
      <c r="AA84" s="2952"/>
      <c r="AB84" s="2953"/>
      <c r="AC84" s="2586"/>
      <c r="AD84" s="2954"/>
      <c r="AE84" s="3218"/>
    </row>
    <row r="85" spans="2:31" ht="14.25" hidden="1" customHeight="1" x14ac:dyDescent="0.15">
      <c r="B85" s="843" t="s">
        <v>1543</v>
      </c>
      <c r="C85" s="844"/>
      <c r="D85" s="2765" t="s">
        <v>1544</v>
      </c>
      <c r="E85" s="2765" t="s">
        <v>1545</v>
      </c>
      <c r="F85" s="2763"/>
      <c r="G85" s="2764"/>
      <c r="H85" s="2204"/>
      <c r="I85" s="2205"/>
      <c r="J85" s="1493"/>
      <c r="K85" s="1494"/>
      <c r="L85" s="2763"/>
      <c r="M85" s="1495"/>
      <c r="N85" s="1496"/>
      <c r="O85" s="1497"/>
      <c r="P85" s="2764"/>
      <c r="Q85" s="1498"/>
      <c r="R85" s="2763"/>
      <c r="S85" s="2764"/>
      <c r="T85" s="2763"/>
      <c r="U85" s="2764"/>
      <c r="V85" s="2763"/>
      <c r="W85" s="2764"/>
      <c r="X85" s="255"/>
      <c r="Y85" s="255"/>
      <c r="Z85" s="2557" t="n">
        <f t="shared" si="7"/>
        <v>0.0</v>
      </c>
      <c r="AA85" s="2952"/>
      <c r="AB85" s="2953"/>
      <c r="AC85" s="2586"/>
      <c r="AD85" s="2954"/>
      <c r="AE85" s="3218"/>
    </row>
    <row r="86" spans="2:31" ht="14.25" hidden="1" customHeight="1" x14ac:dyDescent="0.15">
      <c r="B86" s="843" t="s">
        <v>1546</v>
      </c>
      <c r="C86" s="844"/>
      <c r="D86" s="2765" t="s">
        <v>1547</v>
      </c>
      <c r="E86" s="2765" t="s">
        <v>1548</v>
      </c>
      <c r="F86" s="2763"/>
      <c r="G86" s="2764"/>
      <c r="H86" s="2204"/>
      <c r="I86" s="2205"/>
      <c r="J86" s="1493"/>
      <c r="K86" s="1494"/>
      <c r="L86" s="2763"/>
      <c r="M86" s="1495"/>
      <c r="N86" s="1496"/>
      <c r="O86" s="1497"/>
      <c r="P86" s="2764"/>
      <c r="Q86" s="1498"/>
      <c r="R86" s="2763"/>
      <c r="S86" s="2764"/>
      <c r="T86" s="2763"/>
      <c r="U86" s="2764"/>
      <c r="V86" s="2763"/>
      <c r="W86" s="2764"/>
      <c r="X86" s="255"/>
      <c r="Y86" s="255"/>
      <c r="Z86" s="2557" t="n">
        <f t="shared" si="7"/>
        <v>0.0</v>
      </c>
      <c r="AA86" s="2952"/>
      <c r="AB86" s="2953"/>
      <c r="AC86" s="2586"/>
      <c r="AD86" s="2954"/>
      <c r="AE86" s="3218"/>
    </row>
    <row r="87" spans="2:31" ht="14.25" hidden="1" customHeight="1" x14ac:dyDescent="0.15">
      <c r="B87" s="845" t="s">
        <v>1549</v>
      </c>
      <c r="C87" s="846"/>
      <c r="D87" s="2780" t="s">
        <v>1550</v>
      </c>
      <c r="E87" s="2780" t="s">
        <v>1551</v>
      </c>
      <c r="F87" s="2766"/>
      <c r="G87" s="2767"/>
      <c r="H87" s="2206"/>
      <c r="I87" s="2207"/>
      <c r="J87" s="1499"/>
      <c r="K87" s="1500"/>
      <c r="L87" s="2766"/>
      <c r="M87" s="1501"/>
      <c r="N87" s="1502"/>
      <c r="O87" s="1503"/>
      <c r="P87" s="2767"/>
      <c r="Q87" s="1504"/>
      <c r="R87" s="2766"/>
      <c r="S87" s="2767"/>
      <c r="T87" s="2766"/>
      <c r="U87" s="2767"/>
      <c r="V87" s="2766"/>
      <c r="W87" s="2767"/>
      <c r="X87" s="333"/>
      <c r="Y87" s="333"/>
      <c r="Z87" s="2558" t="n">
        <f t="shared" si="7"/>
        <v>0.0</v>
      </c>
      <c r="AA87" s="2956"/>
      <c r="AB87" s="2957"/>
      <c r="AC87" s="2587"/>
      <c r="AD87" s="2958"/>
      <c r="AE87" s="3218"/>
    </row>
    <row r="88" spans="2:31" ht="15" hidden="1" customHeight="1" x14ac:dyDescent="0.15">
      <c r="B88" s="855" t="s">
        <v>1552</v>
      </c>
      <c r="C88" s="856"/>
      <c r="D88" s="331" t="s">
        <v>1553</v>
      </c>
      <c r="E88" s="331" t="s">
        <v>1554</v>
      </c>
      <c r="F88" s="832"/>
      <c r="G88" s="833"/>
      <c r="H88" s="2202"/>
      <c r="I88" s="2203"/>
      <c r="J88" s="1487"/>
      <c r="K88" s="1488"/>
      <c r="L88" s="832"/>
      <c r="M88" s="1489"/>
      <c r="N88" s="1490"/>
      <c r="O88" s="1491"/>
      <c r="P88" s="833"/>
      <c r="Q88" s="1492"/>
      <c r="R88" s="832"/>
      <c r="S88" s="833"/>
      <c r="T88" s="832"/>
      <c r="U88" s="833"/>
      <c r="V88" s="832"/>
      <c r="W88" s="833"/>
      <c r="X88" s="332"/>
      <c r="Y88" s="332"/>
      <c r="Z88" s="2560" t="n">
        <f t="shared" si="7"/>
        <v>0.0</v>
      </c>
      <c r="AA88" s="2963"/>
      <c r="AB88" s="2964"/>
      <c r="AC88" s="2589"/>
      <c r="AD88" s="2965"/>
    </row>
    <row r="89" spans="2:31" ht="14.25" hidden="1" customHeight="1" x14ac:dyDescent="0.15">
      <c r="B89" s="843" t="s">
        <v>1555</v>
      </c>
      <c r="C89" s="844"/>
      <c r="D89" s="2765" t="s">
        <v>1556</v>
      </c>
      <c r="E89" s="2765" t="s">
        <v>1557</v>
      </c>
      <c r="F89" s="2763"/>
      <c r="G89" s="2764"/>
      <c r="H89" s="2204"/>
      <c r="I89" s="2205"/>
      <c r="J89" s="1493"/>
      <c r="K89" s="1494"/>
      <c r="L89" s="2763"/>
      <c r="M89" s="1495"/>
      <c r="N89" s="1496"/>
      <c r="O89" s="1497"/>
      <c r="P89" s="2764"/>
      <c r="Q89" s="1498"/>
      <c r="R89" s="2763"/>
      <c r="S89" s="2764"/>
      <c r="T89" s="2763"/>
      <c r="U89" s="2764"/>
      <c r="V89" s="2763"/>
      <c r="W89" s="2764"/>
      <c r="X89" s="255"/>
      <c r="Y89" s="255"/>
      <c r="Z89" s="2557" t="n">
        <f t="shared" si="7"/>
        <v>0.0</v>
      </c>
      <c r="AA89" s="2952"/>
      <c r="AB89" s="2953"/>
      <c r="AC89" s="2586"/>
      <c r="AD89" s="2954"/>
    </row>
    <row r="90" spans="2:31" ht="14.25" hidden="1" customHeight="1" x14ac:dyDescent="0.15">
      <c r="B90" s="843" t="s">
        <v>1558</v>
      </c>
      <c r="C90" s="844"/>
      <c r="D90" s="2765" t="s">
        <v>1559</v>
      </c>
      <c r="E90" s="2765" t="s">
        <v>1560</v>
      </c>
      <c r="F90" s="2763"/>
      <c r="G90" s="2764"/>
      <c r="H90" s="2204"/>
      <c r="I90" s="2205"/>
      <c r="J90" s="1493"/>
      <c r="K90" s="1494"/>
      <c r="L90" s="2763"/>
      <c r="M90" s="1495"/>
      <c r="N90" s="1496"/>
      <c r="O90" s="1497"/>
      <c r="P90" s="2764"/>
      <c r="Q90" s="1498"/>
      <c r="R90" s="2763"/>
      <c r="S90" s="2764"/>
      <c r="T90" s="2763"/>
      <c r="U90" s="2764"/>
      <c r="V90" s="2763"/>
      <c r="W90" s="2764"/>
      <c r="X90" s="255"/>
      <c r="Y90" s="255"/>
      <c r="Z90" s="2557" t="n">
        <f t="shared" si="7"/>
        <v>0.0</v>
      </c>
      <c r="AA90" s="2952"/>
      <c r="AB90" s="2953"/>
      <c r="AC90" s="2586"/>
      <c r="AD90" s="2954"/>
    </row>
    <row r="91" spans="2:31" ht="14.25" hidden="1" customHeight="1" x14ac:dyDescent="0.15">
      <c r="B91" s="843" t="s">
        <v>1561</v>
      </c>
      <c r="C91" s="844"/>
      <c r="D91" s="2765" t="s">
        <v>1562</v>
      </c>
      <c r="E91" s="2765" t="s">
        <v>1563</v>
      </c>
      <c r="F91" s="2763"/>
      <c r="G91" s="2764"/>
      <c r="H91" s="2204"/>
      <c r="I91" s="2205"/>
      <c r="J91" s="1493"/>
      <c r="K91" s="1494"/>
      <c r="L91" s="2763"/>
      <c r="M91" s="1495"/>
      <c r="N91" s="1496"/>
      <c r="O91" s="1497"/>
      <c r="P91" s="2764"/>
      <c r="Q91" s="1498"/>
      <c r="R91" s="2763"/>
      <c r="S91" s="2764"/>
      <c r="T91" s="2763"/>
      <c r="U91" s="2764"/>
      <c r="V91" s="2763"/>
      <c r="W91" s="2764"/>
      <c r="X91" s="255"/>
      <c r="Y91" s="255"/>
      <c r="Z91" s="2557" t="n">
        <f t="shared" si="7"/>
        <v>0.0</v>
      </c>
      <c r="AA91" s="2952"/>
      <c r="AB91" s="2953"/>
      <c r="AC91" s="2586"/>
      <c r="AD91" s="2954"/>
    </row>
    <row r="92" spans="2:31" ht="14.25" hidden="1" customHeight="1" x14ac:dyDescent="0.15">
      <c r="B92" s="843" t="s">
        <v>1564</v>
      </c>
      <c r="C92" s="844"/>
      <c r="D92" s="2765" t="s">
        <v>1565</v>
      </c>
      <c r="E92" s="2765" t="s">
        <v>1566</v>
      </c>
      <c r="F92" s="2763"/>
      <c r="G92" s="2764"/>
      <c r="H92" s="2204"/>
      <c r="I92" s="2205"/>
      <c r="J92" s="1493"/>
      <c r="K92" s="1494"/>
      <c r="L92" s="2763"/>
      <c r="M92" s="1495"/>
      <c r="N92" s="1496"/>
      <c r="O92" s="1497"/>
      <c r="P92" s="2764"/>
      <c r="Q92" s="1498"/>
      <c r="R92" s="2763"/>
      <c r="S92" s="2764"/>
      <c r="T92" s="2763"/>
      <c r="U92" s="2764"/>
      <c r="V92" s="2763"/>
      <c r="W92" s="2764"/>
      <c r="X92" s="255"/>
      <c r="Y92" s="255"/>
      <c r="Z92" s="2557" t="n">
        <f t="shared" si="7"/>
        <v>0.0</v>
      </c>
      <c r="AA92" s="2952"/>
      <c r="AB92" s="2953"/>
      <c r="AC92" s="2586"/>
      <c r="AD92" s="2954"/>
    </row>
    <row r="93" spans="2:31" ht="14.25" hidden="1" customHeight="1" x14ac:dyDescent="0.15">
      <c r="B93" s="843" t="s">
        <v>1567</v>
      </c>
      <c r="C93" s="844"/>
      <c r="D93" s="2765" t="s">
        <v>1568</v>
      </c>
      <c r="E93" s="2765" t="s">
        <v>1569</v>
      </c>
      <c r="F93" s="2763"/>
      <c r="G93" s="2764"/>
      <c r="H93" s="2204"/>
      <c r="I93" s="2205"/>
      <c r="J93" s="1493"/>
      <c r="K93" s="1494"/>
      <c r="L93" s="2763"/>
      <c r="M93" s="1495"/>
      <c r="N93" s="1496"/>
      <c r="O93" s="1497"/>
      <c r="P93" s="2764"/>
      <c r="Q93" s="1498"/>
      <c r="R93" s="2763"/>
      <c r="S93" s="2764"/>
      <c r="T93" s="2763"/>
      <c r="U93" s="2764"/>
      <c r="V93" s="2763"/>
      <c r="W93" s="2764"/>
      <c r="X93" s="255"/>
      <c r="Y93" s="262"/>
      <c r="Z93" s="2557" t="n">
        <f t="shared" si="7"/>
        <v>0.0</v>
      </c>
      <c r="AA93" s="2952"/>
      <c r="AB93" s="2953"/>
      <c r="AC93" s="2586"/>
      <c r="AD93" s="2954"/>
    </row>
    <row r="94" spans="2:31" ht="14.25" hidden="1" customHeight="1" x14ac:dyDescent="0.15">
      <c r="B94" s="843" t="s">
        <v>1570</v>
      </c>
      <c r="C94" s="844"/>
      <c r="D94" s="2765" t="s">
        <v>1571</v>
      </c>
      <c r="E94" s="2765" t="s">
        <v>1572</v>
      </c>
      <c r="F94" s="2763"/>
      <c r="G94" s="2764"/>
      <c r="H94" s="2204"/>
      <c r="I94" s="2205"/>
      <c r="J94" s="1493"/>
      <c r="K94" s="1494"/>
      <c r="L94" s="2763"/>
      <c r="M94" s="1495"/>
      <c r="N94" s="1496"/>
      <c r="O94" s="1497"/>
      <c r="P94" s="2764"/>
      <c r="Q94" s="1498"/>
      <c r="R94" s="2763"/>
      <c r="S94" s="2764"/>
      <c r="T94" s="2763"/>
      <c r="U94" s="2764"/>
      <c r="V94" s="2763"/>
      <c r="W94" s="2764"/>
      <c r="X94" s="255"/>
      <c r="Y94" s="255"/>
      <c r="Z94" s="2557" t="n">
        <f t="shared" si="7"/>
        <v>0.0</v>
      </c>
      <c r="AA94" s="2952"/>
      <c r="AB94" s="2953"/>
      <c r="AC94" s="2586"/>
      <c r="AD94" s="2954"/>
    </row>
    <row r="95" spans="2:31" ht="14.25" hidden="1" customHeight="1" x14ac:dyDescent="0.15">
      <c r="B95" s="843" t="s">
        <v>1573</v>
      </c>
      <c r="C95" s="844"/>
      <c r="D95" s="2765" t="s">
        <v>1574</v>
      </c>
      <c r="E95" s="2765" t="s">
        <v>1575</v>
      </c>
      <c r="F95" s="2763"/>
      <c r="G95" s="2764"/>
      <c r="H95" s="2204"/>
      <c r="I95" s="2205"/>
      <c r="J95" s="1493"/>
      <c r="K95" s="1494"/>
      <c r="L95" s="2763"/>
      <c r="M95" s="1495"/>
      <c r="N95" s="1496"/>
      <c r="O95" s="1497"/>
      <c r="P95" s="2764"/>
      <c r="Q95" s="1498"/>
      <c r="R95" s="2763"/>
      <c r="S95" s="2764"/>
      <c r="T95" s="2763"/>
      <c r="U95" s="2764"/>
      <c r="V95" s="2763"/>
      <c r="W95" s="2764"/>
      <c r="X95" s="255"/>
      <c r="Y95" s="255"/>
      <c r="Z95" s="2557" t="n">
        <f t="shared" si="7"/>
        <v>0.0</v>
      </c>
      <c r="AA95" s="2952"/>
      <c r="AB95" s="2953"/>
      <c r="AC95" s="2586"/>
      <c r="AD95" s="2954"/>
    </row>
    <row r="96" spans="2:31" ht="14.25" hidden="1" customHeight="1" x14ac:dyDescent="0.15">
      <c r="B96" s="2770" t="s">
        <v>1576</v>
      </c>
      <c r="C96" s="864"/>
      <c r="D96" s="2774" t="s">
        <v>1577</v>
      </c>
      <c r="E96" s="2774" t="s">
        <v>1578</v>
      </c>
      <c r="F96" s="1066"/>
      <c r="G96" s="1067"/>
      <c r="H96" s="2216"/>
      <c r="I96" s="2217"/>
      <c r="J96" s="1517"/>
      <c r="K96" s="1518"/>
      <c r="L96" s="1066"/>
      <c r="M96" s="1519"/>
      <c r="N96" s="1520"/>
      <c r="O96" s="1521"/>
      <c r="P96" s="1067"/>
      <c r="Q96" s="1522"/>
      <c r="R96" s="1066"/>
      <c r="S96" s="1067"/>
      <c r="T96" s="1066"/>
      <c r="U96" s="1067"/>
      <c r="V96" s="1066"/>
      <c r="W96" s="1067"/>
      <c r="X96" s="334"/>
      <c r="Y96" s="334"/>
      <c r="Z96" s="2561" t="n">
        <f t="shared" si="7"/>
        <v>0.0</v>
      </c>
      <c r="AA96" s="2966"/>
      <c r="AB96" s="2967"/>
      <c r="AC96" s="2590"/>
      <c r="AD96" s="2968"/>
    </row>
    <row r="97" spans="1:32" ht="14.25" thickTop="1" x14ac:dyDescent="0.15">
      <c r="A97" s="1105" t="s">
        <v>804</v>
      </c>
      <c r="B97" s="834"/>
      <c r="C97" s="834"/>
      <c r="D97" s="834"/>
      <c r="E97" s="834"/>
      <c r="F97" s="902"/>
      <c r="G97" s="903"/>
      <c r="H97" s="2218"/>
      <c r="I97" s="2219"/>
      <c r="J97" s="1523"/>
      <c r="K97" s="1524"/>
      <c r="L97" s="902"/>
      <c r="M97" s="1525"/>
      <c r="N97" s="1526"/>
      <c r="O97" s="1527"/>
      <c r="P97" s="903"/>
      <c r="Q97" s="1528"/>
      <c r="R97" s="835"/>
      <c r="S97" s="836"/>
      <c r="T97" s="835"/>
      <c r="U97" s="836"/>
      <c r="V97" s="835"/>
      <c r="W97" s="836"/>
      <c r="X97" s="837"/>
      <c r="Y97" s="837"/>
      <c r="Z97" s="2562"/>
      <c r="AA97" s="2969"/>
      <c r="AB97" s="2970"/>
      <c r="AC97" s="2591" t="n">
        <f>SUM(AA97:AB97)</f>
        <v>0.0</v>
      </c>
      <c r="AD97" s="2971" t="s">
        <v>1579</v>
      </c>
    </row>
    <row r="98" spans="1:32" ht="27.75" customHeight="1" x14ac:dyDescent="0.15">
      <c r="A98" s="2769" t="s">
        <v>1580</v>
      </c>
      <c r="B98" s="2765" t="s">
        <v>1581</v>
      </c>
      <c r="C98" s="2765"/>
      <c r="D98" s="2765" t="s">
        <v>1582</v>
      </c>
      <c r="E98" s="2765" t="s">
        <v>1583</v>
      </c>
      <c r="F98" s="2757" t="s">
        <v>1584</v>
      </c>
      <c r="G98" s="2752" t="s">
        <v>1585</v>
      </c>
      <c r="H98" s="2220" t="str">
        <f t="shared" ref="H98:H106" si="8">"6-DaHall 1-PDU-"&amp;L98&amp;"-"&amp;K98&amp;"-"&amp;M98</f>
        <v>6-DaHall 1-PDU-09-30-20</v>
      </c>
      <c r="I98" s="2221" t="str">
        <f t="shared" ref="I98:I106" si="9">"6-DaHall 1-PDU-"&amp;P98&amp;"-"&amp;O98&amp;"-"&amp;Q98</f>
        <v>6-DaHall 1-PDU-10-30-20</v>
      </c>
      <c r="J98" s="1531">
        <v>220</v>
      </c>
      <c r="K98" s="1532">
        <v>30</v>
      </c>
      <c r="L98" s="2540" t="s">
        <v>7011</v>
      </c>
      <c r="M98" s="1533">
        <v>20</v>
      </c>
      <c r="N98" s="1534">
        <v>220</v>
      </c>
      <c r="O98" s="1535">
        <v>30</v>
      </c>
      <c r="P98" s="2546" t="s">
        <v>7012</v>
      </c>
      <c r="Q98" s="1536">
        <v>20</v>
      </c>
      <c r="R98" s="3231" t="s">
        <v>1586</v>
      </c>
      <c r="S98" s="3223" t="s">
        <v>1587</v>
      </c>
      <c r="T98" s="3231" t="s">
        <v>1588</v>
      </c>
      <c r="U98" s="3223" t="s">
        <v>1589</v>
      </c>
      <c r="V98" s="3231" t="s">
        <v>1590</v>
      </c>
      <c r="W98" s="3223" t="s">
        <v>1591</v>
      </c>
      <c r="X98" s="255" t="n">
        <f>SUM('6층_부하량(월간_AVG)'!L93:N93)</f>
        <v>0.0</v>
      </c>
      <c r="Y98" s="255" t="n">
        <f>SUM('6층_부하량(월간_AVG)'!L123:N123)</f>
        <v>0.0</v>
      </c>
      <c r="Z98" s="2557" t="n">
        <f t="shared" si="7"/>
        <v>0.0</v>
      </c>
      <c r="AA98" s="2838" t="n" cm="1">
        <f t="array" ref="AA98">INDEX('각층분기별_유효전력량(전월)'!$I$2:$I$2017,MATCH(1,("6-DaHall 1-PDU-09"='각층분기별_유효전력량(전월)'!$G$2:$G$2017)*("[branch#020] [A] kWh last month"='각층분기별_유효전력량(전월)'!$H$2:$H$2017),0))</f>
        <v>0.0</v>
      </c>
      <c r="AB98" s="2859" t="n" cm="1">
        <f t="array" ref="AB98">INDEX('각층분기별_유효전력량(전월)'!$I$2:$I$2017,MATCH(1,("6-DaHall 1-PDU-10"='각층분기별_유효전력량(전월)'!$G$2:$G$2017)*("[branch#020] [A] kWh last month"='각층분기별_유효전력량(전월)'!$H$2:$H$2017),0))</f>
        <v>0.0</v>
      </c>
      <c r="AC98" s="2972" t="n">
        <f t="shared" ref="AC98:AC122" si="10">SUM(AA98:AB98)</f>
        <v>0.0</v>
      </c>
      <c r="AD98" s="2954"/>
    </row>
    <row r="99" spans="1:32" ht="27.75" customHeight="1" x14ac:dyDescent="0.15">
      <c r="A99" s="2769" t="s">
        <v>1592</v>
      </c>
      <c r="B99" s="2765" t="s">
        <v>1593</v>
      </c>
      <c r="C99" s="2765"/>
      <c r="D99" s="2765" t="s">
        <v>1594</v>
      </c>
      <c r="E99" s="2765" t="s">
        <v>1595</v>
      </c>
      <c r="F99" s="2757" t="s">
        <v>1596</v>
      </c>
      <c r="G99" s="2752" t="s">
        <v>1597</v>
      </c>
      <c r="H99" s="2220" t="str">
        <f t="shared" si="8"/>
        <v>6-DaHall 1-PDU-09-30-22</v>
      </c>
      <c r="I99" s="2221" t="str">
        <f t="shared" si="9"/>
        <v>6-DaHall 1-PDU-10-30-22</v>
      </c>
      <c r="J99" s="1531">
        <v>220</v>
      </c>
      <c r="K99" s="1532">
        <v>30</v>
      </c>
      <c r="L99" s="2540" t="s">
        <v>7011</v>
      </c>
      <c r="M99" s="1533">
        <v>22</v>
      </c>
      <c r="N99" s="1534">
        <v>220</v>
      </c>
      <c r="O99" s="1535">
        <v>30</v>
      </c>
      <c r="P99" s="2546" t="s">
        <v>7012</v>
      </c>
      <c r="Q99" s="1536">
        <v>22</v>
      </c>
      <c r="R99" s="3231"/>
      <c r="S99" s="3242"/>
      <c r="T99" s="3241"/>
      <c r="U99" s="3242"/>
      <c r="V99" s="3241"/>
      <c r="W99" s="3242"/>
      <c r="X99" s="255" t="n">
        <f>SUM('6층_부하량(월간_AVG)'!L94:N94)</f>
        <v>0.0</v>
      </c>
      <c r="Y99" s="255" t="n">
        <f>SUM('6층_부하량(월간_AVG)'!L124:N124)</f>
        <v>0.0</v>
      </c>
      <c r="Z99" s="2557" t="n">
        <f t="shared" si="7"/>
        <v>0.0</v>
      </c>
      <c r="AA99" s="2838" t="n" cm="1">
        <f t="array" ref="AA99">INDEX('각층분기별_유효전력량(전월)'!$I$2:$I$2017,MATCH(1,("6-DaHall 1-PDU-09"='각층분기별_유효전력량(전월)'!$G$2:$G$2017)*("[branch#022] [A] kWh last month"='각층분기별_유효전력량(전월)'!$H$2:$H$2017),0))</f>
        <v>0.0</v>
      </c>
      <c r="AB99" s="2859" t="n" cm="1">
        <f t="array" ref="AB99">INDEX('각층분기별_유효전력량(전월)'!$I$2:$I$2017,MATCH(1,("6-DaHall 1-PDU-10"='각층분기별_유효전력량(전월)'!$G$2:$G$2017)*("[branch#022] [A] kWh last month"='각층분기별_유효전력량(전월)'!$H$2:$H$2017),0))</f>
        <v>0.0</v>
      </c>
      <c r="AC99" s="2972" t="n">
        <f t="shared" si="10"/>
        <v>0.0</v>
      </c>
      <c r="AD99" s="2954"/>
    </row>
    <row r="100" spans="1:32" ht="27.75" customHeight="1" x14ac:dyDescent="0.15">
      <c r="A100" s="2769" t="s">
        <v>1598</v>
      </c>
      <c r="B100" s="2765" t="s">
        <v>1599</v>
      </c>
      <c r="C100" s="2765"/>
      <c r="D100" s="2765" t="s">
        <v>1600</v>
      </c>
      <c r="E100" s="2765" t="s">
        <v>1601</v>
      </c>
      <c r="F100" s="2757" t="s">
        <v>1602</v>
      </c>
      <c r="G100" s="2752" t="s">
        <v>1603</v>
      </c>
      <c r="H100" s="2220" t="str">
        <f t="shared" si="8"/>
        <v>6-DaHall 1-PDU-09-30-24</v>
      </c>
      <c r="I100" s="2221" t="str">
        <f t="shared" si="9"/>
        <v>6-DaHall 1-PDU-10-30-48</v>
      </c>
      <c r="J100" s="1531">
        <v>220</v>
      </c>
      <c r="K100" s="1532">
        <v>30</v>
      </c>
      <c r="L100" s="2540" t="s">
        <v>7011</v>
      </c>
      <c r="M100" s="1533">
        <v>24</v>
      </c>
      <c r="N100" s="1537">
        <v>220</v>
      </c>
      <c r="O100" s="1538">
        <v>30</v>
      </c>
      <c r="P100" s="2546" t="s">
        <v>7012</v>
      </c>
      <c r="Q100" s="1536">
        <v>48</v>
      </c>
      <c r="R100" s="3231"/>
      <c r="S100" s="3242"/>
      <c r="T100" s="3241"/>
      <c r="U100" s="3242"/>
      <c r="V100" s="3241"/>
      <c r="W100" s="3242"/>
      <c r="X100" s="255" t="n">
        <f>SUM('6층_부하량(월간_AVG)'!L95:N95)</f>
        <v>0.0</v>
      </c>
      <c r="Y100" s="262" t="n">
        <f>SUM('6층_부하량(월간_AVG)'!L137:N137)</f>
        <v>0.0</v>
      </c>
      <c r="Z100" s="2557" t="n">
        <f t="shared" si="7"/>
        <v>0.0</v>
      </c>
      <c r="AA100" s="2838" t="n" cm="1">
        <f t="array" ref="AA100">INDEX('각층분기별_유효전력량(전월)'!$I$2:$I$2017,MATCH(1,("6-DaHall 1-PDU-09"='각층분기별_유효전력량(전월)'!$G$2:$G$2017)*("[branch#024] [A] kWh last month"='각층분기별_유효전력량(전월)'!$H$2:$H$2017),0))</f>
        <v>0.0</v>
      </c>
      <c r="AB100" s="2859" t="n" cm="1">
        <f t="array" ref="AB100">INDEX('각층분기별_유효전력량(전월)'!$I$2:$I$2017,MATCH(1,("6-DaHall 1-PDU-10"='각층분기별_유효전력량(전월)'!$G$2:$G$2017)*("[branch#048] [A] kWh last month"='각층분기별_유효전력량(전월)'!$H$2:$H$2017),0))</f>
        <v>0.0</v>
      </c>
      <c r="AC100" s="2972" t="n">
        <f t="shared" si="10"/>
        <v>0.0</v>
      </c>
      <c r="AD100" s="2582"/>
      <c r="AF100" t="s">
        <v>9163</v>
      </c>
    </row>
    <row r="101" spans="1:32" ht="27.75" customHeight="1" x14ac:dyDescent="0.15">
      <c r="A101" s="2769" t="s">
        <v>1604</v>
      </c>
      <c r="B101" s="2765" t="s">
        <v>1605</v>
      </c>
      <c r="C101" s="2765"/>
      <c r="D101" s="2765" t="s">
        <v>1606</v>
      </c>
      <c r="E101" s="2765" t="s">
        <v>1607</v>
      </c>
      <c r="F101" s="2757" t="s">
        <v>1608</v>
      </c>
      <c r="G101" s="2752" t="s">
        <v>1609</v>
      </c>
      <c r="H101" s="2220" t="str">
        <f t="shared" si="8"/>
        <v>6-DaHall 1-PDU-09-30-26</v>
      </c>
      <c r="I101" s="2221" t="str">
        <f t="shared" si="9"/>
        <v>6-DaHall 1-PDU-10-30-26</v>
      </c>
      <c r="J101" s="1531">
        <v>220</v>
      </c>
      <c r="K101" s="1532">
        <v>30</v>
      </c>
      <c r="L101" s="2540" t="s">
        <v>7011</v>
      </c>
      <c r="M101" s="1533">
        <v>26</v>
      </c>
      <c r="N101" s="1534">
        <v>220</v>
      </c>
      <c r="O101" s="1535">
        <v>30</v>
      </c>
      <c r="P101" s="2546" t="s">
        <v>7012</v>
      </c>
      <c r="Q101" s="1536">
        <v>26</v>
      </c>
      <c r="R101" s="3231"/>
      <c r="S101" s="3242"/>
      <c r="T101" s="3241"/>
      <c r="U101" s="3242"/>
      <c r="V101" s="3241"/>
      <c r="W101" s="3242"/>
      <c r="X101" s="255" t="n">
        <f>SUM('6층_부하량(월간_AVG)'!L96:N96)</f>
        <v>0.0</v>
      </c>
      <c r="Y101" s="255" t="n">
        <f>SUM('6층_부하량(월간_AVG)'!L126:N126)</f>
        <v>0.0</v>
      </c>
      <c r="Z101" s="2557" t="n">
        <f t="shared" si="7"/>
        <v>0.0</v>
      </c>
      <c r="AA101" s="2838" t="n" cm="1">
        <f t="array" ref="AA101">INDEX('각층분기별_유효전력량(전월)'!$I$2:$I$2017,MATCH(1,("6-DaHall 1-PDU-09"='각층분기별_유효전력량(전월)'!$G$2:$G$2017)*("[branch#026] [A] kWh last month"='각층분기별_유효전력량(전월)'!$H$2:$H$2017),0))</f>
        <v>0.0</v>
      </c>
      <c r="AB101" s="2859" t="n" cm="1">
        <f t="array" ref="AB101">INDEX('각층분기별_유효전력량(전월)'!$I$2:$I$2017,MATCH(1,("6-DaHall 1-PDU-10"='각층분기별_유효전력량(전월)'!$G$2:$G$2017)*("[branch#026] [A] kWh last month"='각층분기별_유효전력량(전월)'!$H$2:$H$2017),0))</f>
        <v>0.0</v>
      </c>
      <c r="AC101" s="2972" t="n">
        <f t="shared" si="10"/>
        <v>0.0</v>
      </c>
      <c r="AD101" s="2973"/>
    </row>
    <row r="102" spans="1:32" ht="27.75" customHeight="1" x14ac:dyDescent="0.15">
      <c r="A102" s="2769" t="s">
        <v>1610</v>
      </c>
      <c r="B102" s="2765" t="s">
        <v>1611</v>
      </c>
      <c r="C102" s="2765"/>
      <c r="D102" s="2765" t="s">
        <v>1612</v>
      </c>
      <c r="E102" s="2765" t="s">
        <v>1613</v>
      </c>
      <c r="F102" s="2757" t="s">
        <v>1614</v>
      </c>
      <c r="G102" s="2752" t="s">
        <v>1615</v>
      </c>
      <c r="H102" s="2220" t="str">
        <f t="shared" si="8"/>
        <v>6-DaHall 1-PDU-09-30-28</v>
      </c>
      <c r="I102" s="2221" t="str">
        <f t="shared" si="9"/>
        <v>6-DaHall 1-PDU-10-30-28</v>
      </c>
      <c r="J102" s="1531">
        <v>220</v>
      </c>
      <c r="K102" s="1532">
        <v>30</v>
      </c>
      <c r="L102" s="2540" t="s">
        <v>7011</v>
      </c>
      <c r="M102" s="1533">
        <v>28</v>
      </c>
      <c r="N102" s="1534">
        <v>220</v>
      </c>
      <c r="O102" s="1535">
        <v>30</v>
      </c>
      <c r="P102" s="2546" t="s">
        <v>7012</v>
      </c>
      <c r="Q102" s="1536">
        <v>28</v>
      </c>
      <c r="R102" s="3231"/>
      <c r="S102" s="3242"/>
      <c r="T102" s="3241"/>
      <c r="U102" s="3242"/>
      <c r="V102" s="3241"/>
      <c r="W102" s="3242"/>
      <c r="X102" s="255" t="n">
        <f>SUM('6층_부하량(월간_AVG)'!L97:N97)</f>
        <v>0.0</v>
      </c>
      <c r="Y102" s="255" t="n">
        <f>SUM('6층_부하량(월간_AVG)'!L127:N127)</f>
        <v>0.0</v>
      </c>
      <c r="Z102" s="2557" t="n">
        <f t="shared" si="7"/>
        <v>0.0</v>
      </c>
      <c r="AA102" s="2838" t="n" cm="1">
        <f t="array" ref="AA102">INDEX('각층분기별_유효전력량(전월)'!I2:I2017,MATCH(1,("6-DaHall 1-PDU-09"='각층분기별_유효전력량(전월)'!G2:G2017)*("[branch#028] [A] kWh last month"='각층분기별_유효전력량(전월)'!H2:H2017),0))</f>
        <v>0.0</v>
      </c>
      <c r="AB102" s="2859" t="n" cm="1">
        <f t="array" ref="AB102">INDEX('각층분기별_유효전력량(전월)'!$I$2:$I$2017,MATCH(1,("6-DaHall 1-PDU-10"='각층분기별_유효전력량(전월)'!$G$2:$G$2017)*("[branch#028] [A] kWh last month"='각층분기별_유효전력량(전월)'!$H$2:$H$2017),0))</f>
        <v>0.0</v>
      </c>
      <c r="AC102" s="2972" t="n">
        <f t="shared" si="10"/>
        <v>0.0</v>
      </c>
      <c r="AD102" s="2974"/>
    </row>
    <row r="103" spans="1:32" ht="27.75" customHeight="1" x14ac:dyDescent="0.15">
      <c r="A103" s="2769" t="s">
        <v>1616</v>
      </c>
      <c r="B103" s="2765" t="s">
        <v>1617</v>
      </c>
      <c r="C103" s="2765"/>
      <c r="D103" s="2765" t="s">
        <v>1618</v>
      </c>
      <c r="E103" s="2765" t="s">
        <v>1619</v>
      </c>
      <c r="F103" s="2757" t="s">
        <v>1620</v>
      </c>
      <c r="G103" s="2752" t="s">
        <v>1621</v>
      </c>
      <c r="H103" s="2220" t="str">
        <f t="shared" si="8"/>
        <v>6-DaHall 1-PDU-09-30-30</v>
      </c>
      <c r="I103" s="2221" t="str">
        <f t="shared" si="9"/>
        <v>6-DaHall 1-PDU-10-30-30</v>
      </c>
      <c r="J103" s="1531">
        <v>220</v>
      </c>
      <c r="K103" s="1532">
        <v>30</v>
      </c>
      <c r="L103" s="2540" t="s">
        <v>7011</v>
      </c>
      <c r="M103" s="1533">
        <v>30</v>
      </c>
      <c r="N103" s="1534">
        <v>220</v>
      </c>
      <c r="O103" s="1535">
        <v>30</v>
      </c>
      <c r="P103" s="2546" t="s">
        <v>7012</v>
      </c>
      <c r="Q103" s="1536">
        <v>30</v>
      </c>
      <c r="R103" s="3231"/>
      <c r="S103" s="3242"/>
      <c r="T103" s="3241"/>
      <c r="U103" s="3242"/>
      <c r="V103" s="3241"/>
      <c r="W103" s="3242"/>
      <c r="X103" s="255" t="n">
        <f>SUM('6층_부하량(월간_AVG)'!L98:N98)</f>
        <v>0.0</v>
      </c>
      <c r="Y103" s="255" t="n">
        <f>SUM('6층_부하량(월간_AVG)'!L128:N128)</f>
        <v>0.0</v>
      </c>
      <c r="Z103" s="2557" t="n">
        <f t="shared" si="7"/>
        <v>0.0</v>
      </c>
      <c r="AA103" s="2838" t="n" cm="1">
        <f t="array" ref="AA103">INDEX('각층분기별_유효전력량(전월)'!$I$2:$I$2017,MATCH(1,("6-DaHall 1-PDU-09"='각층분기별_유효전력량(전월)'!$G$2:$G$2017)*("[branch#030] [A] kWh last month"='각층분기별_유효전력량(전월)'!$H$2:$H$2017),0))</f>
        <v>0.0</v>
      </c>
      <c r="AB103" s="2859" t="n" cm="1">
        <f t="array" ref="AB103">INDEX('각층분기별_유효전력량(전월)'!$I$2:$I$2017,MATCH(1,("6-DaHall 1-PDU-10"='각층분기별_유효전력량(전월)'!$G$2:$G$2017)*("[branch#030] [A] kWh last month"='각층분기별_유효전력량(전월)'!$H$2:$H$2017),0))</f>
        <v>0.0</v>
      </c>
      <c r="AC103" s="2972" t="n">
        <f t="shared" si="10"/>
        <v>0.0</v>
      </c>
      <c r="AD103" s="2975"/>
    </row>
    <row r="104" spans="1:32" ht="27.75" customHeight="1" x14ac:dyDescent="0.15">
      <c r="A104" s="2769" t="s">
        <v>1622</v>
      </c>
      <c r="B104" s="2765" t="s">
        <v>1623</v>
      </c>
      <c r="C104" s="2765"/>
      <c r="D104" s="2765" t="s">
        <v>1624</v>
      </c>
      <c r="E104" s="2765" t="s">
        <v>1625</v>
      </c>
      <c r="F104" s="2757" t="s">
        <v>1626</v>
      </c>
      <c r="G104" s="2752" t="s">
        <v>1627</v>
      </c>
      <c r="H104" s="2220" t="str">
        <f t="shared" si="8"/>
        <v>6-DaHall 1-PDU-09-30-32</v>
      </c>
      <c r="I104" s="2221" t="str">
        <f t="shared" si="9"/>
        <v>6-DaHall 1-PDU-10-30-32</v>
      </c>
      <c r="J104" s="1531">
        <v>220</v>
      </c>
      <c r="K104" s="1532">
        <v>30</v>
      </c>
      <c r="L104" s="2540" t="s">
        <v>7011</v>
      </c>
      <c r="M104" s="1533">
        <v>32</v>
      </c>
      <c r="N104" s="1534">
        <v>220</v>
      </c>
      <c r="O104" s="1535">
        <v>30</v>
      </c>
      <c r="P104" s="2546" t="s">
        <v>7012</v>
      </c>
      <c r="Q104" s="1536">
        <v>32</v>
      </c>
      <c r="R104" s="3231"/>
      <c r="S104" s="3242"/>
      <c r="T104" s="3241"/>
      <c r="U104" s="3242"/>
      <c r="V104" s="3241"/>
      <c r="W104" s="3242"/>
      <c r="X104" s="255" t="n">
        <f>SUM('6층_부하량(월간_AVG)'!L99:N99)</f>
        <v>0.0</v>
      </c>
      <c r="Y104" s="255" t="n">
        <f>SUM('6층_부하량(월간_AVG)'!L129:N129)</f>
        <v>0.0</v>
      </c>
      <c r="Z104" s="2557" t="n">
        <f t="shared" si="7"/>
        <v>0.0</v>
      </c>
      <c r="AA104" s="2838" t="n" cm="1">
        <f t="array" ref="AA104">INDEX('각층분기별_유효전력량(전월)'!$I$2:$I$2017,MATCH(1,("6-DaHall 1-PDU-09"='각층분기별_유효전력량(전월)'!$G$2:$G$2017)*("[branch#032] [A] kWh last month"='각층분기별_유효전력량(전월)'!$H$2:$H$2017),0))</f>
        <v>0.0</v>
      </c>
      <c r="AB104" s="2859" t="n" cm="1">
        <f t="array" ref="AB104">INDEX('각층분기별_유효전력량(전월)'!$I$2:$I$2017,MATCH(1,("6-DaHall 1-PDU-10"='각층분기별_유효전력량(전월)'!$G$2:$G$2017)*("[branch#032] [A] kWh last month"='각층분기별_유효전력량(전월)'!$H$2:$H$2017),0))</f>
        <v>0.0</v>
      </c>
      <c r="AC104" s="2972" t="n">
        <f t="shared" si="10"/>
        <v>0.0</v>
      </c>
      <c r="AD104" s="2954"/>
    </row>
    <row r="105" spans="1:32" ht="27.75" customHeight="1" x14ac:dyDescent="0.15">
      <c r="A105" s="2769" t="s">
        <v>1628</v>
      </c>
      <c r="B105" s="2765" t="s">
        <v>1629</v>
      </c>
      <c r="C105" s="2765"/>
      <c r="D105" s="2765" t="s">
        <v>1630</v>
      </c>
      <c r="E105" s="2765" t="s">
        <v>1631</v>
      </c>
      <c r="F105" s="2757" t="s">
        <v>1632</v>
      </c>
      <c r="G105" s="2752" t="s">
        <v>1633</v>
      </c>
      <c r="H105" s="2220" t="str">
        <f t="shared" si="8"/>
        <v>6-DaHall 1-PDU-09-30-34</v>
      </c>
      <c r="I105" s="2221" t="str">
        <f t="shared" si="9"/>
        <v>6-DaHall 1-PDU-10-30-34</v>
      </c>
      <c r="J105" s="1531">
        <v>220</v>
      </c>
      <c r="K105" s="1532">
        <v>30</v>
      </c>
      <c r="L105" s="2540" t="s">
        <v>7011</v>
      </c>
      <c r="M105" s="1533">
        <v>34</v>
      </c>
      <c r="N105" s="1534">
        <v>220</v>
      </c>
      <c r="O105" s="1535">
        <v>30</v>
      </c>
      <c r="P105" s="2546" t="s">
        <v>7012</v>
      </c>
      <c r="Q105" s="1536">
        <v>34</v>
      </c>
      <c r="R105" s="3231"/>
      <c r="S105" s="3242"/>
      <c r="T105" s="3241"/>
      <c r="U105" s="3242"/>
      <c r="V105" s="3241"/>
      <c r="W105" s="3242"/>
      <c r="X105" s="255" t="n">
        <f>SUM('6층_부하량(월간_AVG)'!L100:N100)</f>
        <v>0.0</v>
      </c>
      <c r="Y105" s="255" t="n">
        <f>SUM('6층_부하량(월간_AVG)'!L130:N130)</f>
        <v>0.0</v>
      </c>
      <c r="Z105" s="2557" t="n">
        <f t="shared" si="7"/>
        <v>0.0</v>
      </c>
      <c r="AA105" s="2838" t="n" cm="1">
        <f t="array" ref="AA105">INDEX('각층분기별_유효전력량(전월)'!$I$2:$I$2017,MATCH(1,("6-DaHall 1-PDU-09"='각층분기별_유효전력량(전월)'!$G$2:$G$2017)*("[branch#034] [A] kWh last month"='각층분기별_유효전력량(전월)'!$H$2:$H$2017),0))</f>
        <v>0.0</v>
      </c>
      <c r="AB105" s="2859" t="n" cm="1">
        <f t="array" ref="AB105">INDEX('각층분기별_유효전력량(전월)'!$I$2:$I$2017,MATCH(1,("6-DaHall 1-PDU-10"='각층분기별_유효전력량(전월)'!$G$2:$G$2017)*("[branch#034] [A] kWh last month"='각층분기별_유효전력량(전월)'!$H$2:$H$2017),0))</f>
        <v>0.0</v>
      </c>
      <c r="AC105" s="2972" t="n">
        <f t="shared" si="10"/>
        <v>0.0</v>
      </c>
      <c r="AD105" s="2954"/>
    </row>
    <row r="106" spans="1:32" ht="27.75" customHeight="1" thickBot="1" x14ac:dyDescent="0.2">
      <c r="A106" s="2779" t="s">
        <v>1634</v>
      </c>
      <c r="B106" s="2780" t="s">
        <v>1635</v>
      </c>
      <c r="C106" s="2780"/>
      <c r="D106" s="2780" t="s">
        <v>1636</v>
      </c>
      <c r="E106" s="2780" t="s">
        <v>1637</v>
      </c>
      <c r="F106" s="2759" t="s">
        <v>1638</v>
      </c>
      <c r="G106" s="2753" t="s">
        <v>1639</v>
      </c>
      <c r="H106" s="2220" t="str">
        <f t="shared" si="8"/>
        <v>6-DaHall 1-PDU-09-30-36</v>
      </c>
      <c r="I106" s="2221" t="str">
        <f t="shared" si="9"/>
        <v>6-DaHall 1-PDU-10-30-36</v>
      </c>
      <c r="J106" s="1539">
        <v>220</v>
      </c>
      <c r="K106" s="1540">
        <v>30</v>
      </c>
      <c r="L106" s="2543" t="s">
        <v>7011</v>
      </c>
      <c r="M106" s="1541">
        <v>36</v>
      </c>
      <c r="N106" s="1542">
        <v>220</v>
      </c>
      <c r="O106" s="1543">
        <v>30</v>
      </c>
      <c r="P106" s="2549" t="s">
        <v>7012</v>
      </c>
      <c r="Q106" s="1544">
        <v>36</v>
      </c>
      <c r="R106" s="3235"/>
      <c r="S106" s="3248"/>
      <c r="T106" s="3247"/>
      <c r="U106" s="3248"/>
      <c r="V106" s="3247"/>
      <c r="W106" s="3248"/>
      <c r="X106" s="333" t="n">
        <f>SUM('6층_부하량(월간_AVG)'!L101:N101)</f>
        <v>0.0</v>
      </c>
      <c r="Y106" s="333" t="n">
        <f>SUM('6층_부하량(월간_AVG)'!L131:N131)</f>
        <v>0.0</v>
      </c>
      <c r="Z106" s="2558" t="n">
        <f t="shared" si="7"/>
        <v>0.0</v>
      </c>
      <c r="AA106" s="2838" t="n" cm="1">
        <f t="array" ref="AA106">INDEX('각층분기별_유효전력량(전월)'!$I$2:$I$2017,MATCH(1,("6-DaHall 1-PDU-09"='각층분기별_유효전력량(전월)'!$G$2:$G$2017)*("[branch#036] [A] kWh last month"='각층분기별_유효전력량(전월)'!$H$2:$H$2017),0))</f>
        <v>0.0</v>
      </c>
      <c r="AB106" s="2976" t="n" cm="1">
        <f t="array" ref="AB106">INDEX('각층분기별_유효전력량(전월)'!$I$2:$I$2017,MATCH(1,("6-DaHall 1-PDU-10"='각층분기별_유효전력량(전월)'!$G$2:$G$2017)*("[branch#036] [A] kWh last month"='각층분기별_유효전력량(전월)'!$H$2:$H$2017),0))</f>
        <v>0.0</v>
      </c>
      <c r="AC106" s="2977" t="n">
        <f t="shared" si="10"/>
        <v>0.0</v>
      </c>
      <c r="AD106" s="2958"/>
    </row>
    <row r="107" spans="1:32" ht="14.25" thickTop="1" x14ac:dyDescent="0.15">
      <c r="A107" s="1105" t="s">
        <v>153</v>
      </c>
      <c r="B107" s="834"/>
      <c r="C107" s="834"/>
      <c r="D107" s="834"/>
      <c r="E107" s="834"/>
      <c r="F107" s="902"/>
      <c r="G107" s="903"/>
      <c r="H107" s="2218"/>
      <c r="I107" s="2219"/>
      <c r="J107" s="1523"/>
      <c r="K107" s="1524"/>
      <c r="L107" s="902"/>
      <c r="M107" s="1525"/>
      <c r="N107" s="1526"/>
      <c r="O107" s="1527"/>
      <c r="P107" s="903"/>
      <c r="Q107" s="1528"/>
      <c r="R107" s="835"/>
      <c r="S107" s="836"/>
      <c r="T107" s="835"/>
      <c r="U107" s="836"/>
      <c r="V107" s="835"/>
      <c r="W107" s="836"/>
      <c r="X107" s="837"/>
      <c r="Y107" s="837"/>
      <c r="Z107" s="2562"/>
      <c r="AA107" s="2969"/>
      <c r="AB107" s="2970"/>
      <c r="AC107" s="2978" t="n">
        <f t="shared" si="10"/>
        <v>0.0</v>
      </c>
      <c r="AD107" s="2971" t="s">
        <v>1579</v>
      </c>
    </row>
    <row r="108" spans="1:32" ht="27.75" customHeight="1" x14ac:dyDescent="0.15">
      <c r="A108" s="2769" t="s">
        <v>1640</v>
      </c>
      <c r="B108" s="2765" t="s">
        <v>1641</v>
      </c>
      <c r="C108" s="2765"/>
      <c r="D108" s="2765" t="s">
        <v>1642</v>
      </c>
      <c r="E108" s="2765" t="s">
        <v>1643</v>
      </c>
      <c r="F108" s="2757" t="s">
        <v>1644</v>
      </c>
      <c r="G108" s="2752" t="s">
        <v>1645</v>
      </c>
      <c r="H108" s="2220" t="str">
        <f t="shared" ref="H108:H116" si="11">"6-DaHall 1-PDU-"&amp;L108&amp;"-"&amp;K108&amp;"-"&amp;M108</f>
        <v>6-DaHall 1-PDU-09-30-2</v>
      </c>
      <c r="I108" s="2221" t="str">
        <f t="shared" ref="I108:I116" si="12">"6-DaHall 1-PDU-"&amp;P108&amp;"-"&amp;O108&amp;"-"&amp;Q108</f>
        <v>6-DaHall 1-PDU-10-30-2</v>
      </c>
      <c r="J108" s="1531">
        <v>220</v>
      </c>
      <c r="K108" s="1532">
        <v>30</v>
      </c>
      <c r="L108" s="2540" t="s">
        <v>7011</v>
      </c>
      <c r="M108" s="1533">
        <v>2</v>
      </c>
      <c r="N108" s="1534">
        <v>220</v>
      </c>
      <c r="O108" s="1535">
        <v>30</v>
      </c>
      <c r="P108" s="2546" t="s">
        <v>7012</v>
      </c>
      <c r="Q108" s="1536">
        <v>2</v>
      </c>
      <c r="R108" s="3231" t="s">
        <v>1586</v>
      </c>
      <c r="S108" s="3223" t="s">
        <v>1587</v>
      </c>
      <c r="T108" s="3231" t="s">
        <v>1588</v>
      </c>
      <c r="U108" s="3223" t="s">
        <v>1589</v>
      </c>
      <c r="V108" s="3231" t="s">
        <v>1590</v>
      </c>
      <c r="W108" s="3223" t="s">
        <v>1591</v>
      </c>
      <c r="X108" s="255" t="n">
        <f>SUM('6층_부하량(월간_AVG)'!L84:N84)</f>
        <v>0.0</v>
      </c>
      <c r="Y108" s="255" t="n">
        <f>SUM('6층_부하량(월간_AVG)'!L114:N114)</f>
        <v>0.0</v>
      </c>
      <c r="Z108" s="2557" t="n">
        <f t="shared" ref="Z108:Z116" si="13">SUM(X108:Y108)</f>
        <v>0.0</v>
      </c>
      <c r="AA108" s="2838" t="n" cm="1">
        <f t="array" ref="AA108">INDEX('각층분기별_유효전력량(전월)'!$I$2:$I$2017,MATCH(1,("6-DaHall 1-PDU-09"='각층분기별_유효전력량(전월)'!$G$2:$G$2017)*("[branch#002] [A] kWh last month"='각층분기별_유효전력량(전월)'!$H$2:$H$2017),0))</f>
        <v>0.0</v>
      </c>
      <c r="AB108" s="2859" t="n" cm="1">
        <f t="array" ref="AB108">INDEX('각층분기별_유효전력량(전월)'!$I$2:$I$2017,MATCH(1,("6-DaHall 1-PDU-10"='각층분기별_유효전력량(전월)'!$G$2:$G$2017)*("[branch#002] [A] kWh last month"='각층분기별_유효전력량(전월)'!$H$2:$H$2017),0))</f>
        <v>0.0</v>
      </c>
      <c r="AC108" s="2972" t="n">
        <f t="shared" si="10"/>
        <v>0.0</v>
      </c>
      <c r="AD108" s="2954"/>
    </row>
    <row r="109" spans="1:32" ht="27.75" customHeight="1" x14ac:dyDescent="0.15">
      <c r="A109" s="2769" t="s">
        <v>1646</v>
      </c>
      <c r="B109" s="2765" t="s">
        <v>1647</v>
      </c>
      <c r="C109" s="2765"/>
      <c r="D109" s="2765" t="s">
        <v>1648</v>
      </c>
      <c r="E109" s="2765" t="s">
        <v>1649</v>
      </c>
      <c r="F109" s="2757" t="s">
        <v>1650</v>
      </c>
      <c r="G109" s="2752" t="s">
        <v>1651</v>
      </c>
      <c r="H109" s="2220" t="str">
        <f t="shared" si="11"/>
        <v>6-DaHall 1-PDU-09-30-4</v>
      </c>
      <c r="I109" s="2221" t="str">
        <f t="shared" si="12"/>
        <v>6-DaHall 1-PDU-10-30-4</v>
      </c>
      <c r="J109" s="1531">
        <v>220</v>
      </c>
      <c r="K109" s="1532">
        <v>30</v>
      </c>
      <c r="L109" s="2540" t="s">
        <v>7011</v>
      </c>
      <c r="M109" s="1533">
        <v>4</v>
      </c>
      <c r="N109" s="1534">
        <v>220</v>
      </c>
      <c r="O109" s="1535">
        <v>30</v>
      </c>
      <c r="P109" s="2546" t="s">
        <v>7012</v>
      </c>
      <c r="Q109" s="1536">
        <v>4</v>
      </c>
      <c r="R109" s="3231"/>
      <c r="S109" s="3242"/>
      <c r="T109" s="3241"/>
      <c r="U109" s="3242"/>
      <c r="V109" s="3241"/>
      <c r="W109" s="3242"/>
      <c r="X109" s="255" t="n">
        <f>SUM('6층_부하량(월간_AVG)'!L85:N85)</f>
        <v>0.0</v>
      </c>
      <c r="Y109" s="255" t="n">
        <f>SUM('6층_부하량(월간_AVG)'!L115:N115)</f>
        <v>0.0</v>
      </c>
      <c r="Z109" s="2557" t="n">
        <f t="shared" si="13"/>
        <v>0.0</v>
      </c>
      <c r="AA109" s="2838" t="n" cm="1">
        <f t="array" ref="AA109">INDEX('각층분기별_유효전력량(전월)'!$I$2:$I$2017,MATCH(1,("6-DaHall 1-PDU-09"='각층분기별_유효전력량(전월)'!$G$2:$G$2017)*("[branch#004] [A] kWh last month"='각층분기별_유효전력량(전월)'!$H$2:$H$2017),0))</f>
        <v>0.0</v>
      </c>
      <c r="AB109" s="2859" t="n" cm="1">
        <f t="array" ref="AB109">INDEX('각층분기별_유효전력량(전월)'!$I$2:$I$2017,MATCH(1,("6-DaHall 1-PDU-10"='각층분기별_유효전력량(전월)'!$G$2:$G$2017)*("[branch#004] [A] kWh last month"='각층분기별_유효전력량(전월)'!$H$2:$H$2017),0))</f>
        <v>0.0</v>
      </c>
      <c r="AC109" s="2972" t="n">
        <f t="shared" si="10"/>
        <v>0.0</v>
      </c>
      <c r="AD109" s="2954"/>
    </row>
    <row r="110" spans="1:32" ht="27.75" customHeight="1" x14ac:dyDescent="0.15">
      <c r="A110" s="2769" t="s">
        <v>1652</v>
      </c>
      <c r="B110" s="2765" t="s">
        <v>1653</v>
      </c>
      <c r="C110" s="2765"/>
      <c r="D110" s="2765" t="s">
        <v>1654</v>
      </c>
      <c r="E110" s="2765" t="s">
        <v>1655</v>
      </c>
      <c r="F110" s="2757" t="s">
        <v>1656</v>
      </c>
      <c r="G110" s="2752" t="s">
        <v>1657</v>
      </c>
      <c r="H110" s="2220" t="str">
        <f t="shared" si="11"/>
        <v>6-DaHall 1-PDU-09-30-6</v>
      </c>
      <c r="I110" s="2221" t="str">
        <f t="shared" si="12"/>
        <v>6-DaHall 1-PDU-10-30-6</v>
      </c>
      <c r="J110" s="1531">
        <v>220</v>
      </c>
      <c r="K110" s="1532">
        <v>30</v>
      </c>
      <c r="L110" s="2540" t="s">
        <v>7011</v>
      </c>
      <c r="M110" s="1533">
        <v>6</v>
      </c>
      <c r="N110" s="1534">
        <v>220</v>
      </c>
      <c r="O110" s="1535">
        <v>30</v>
      </c>
      <c r="P110" s="2546" t="s">
        <v>7012</v>
      </c>
      <c r="Q110" s="1536">
        <v>6</v>
      </c>
      <c r="R110" s="3231"/>
      <c r="S110" s="3242"/>
      <c r="T110" s="3241"/>
      <c r="U110" s="3242"/>
      <c r="V110" s="3241"/>
      <c r="W110" s="3242"/>
      <c r="X110" s="255" t="n">
        <f>SUM('6층_부하량(월간_AVG)'!L86:N86)</f>
        <v>0.0</v>
      </c>
      <c r="Y110" s="255" t="n">
        <f>SUM('6층_부하량(월간_AVG)'!L116:N116)</f>
        <v>0.0</v>
      </c>
      <c r="Z110" s="2557" t="n">
        <f t="shared" si="13"/>
        <v>0.0</v>
      </c>
      <c r="AA110" s="2838" t="n" cm="1">
        <f t="array" ref="AA110">INDEX('각층분기별_유효전력량(전월)'!$I$2:$I$2017,MATCH(1,("6-DaHall 1-PDU-09"='각층분기별_유효전력량(전월)'!$G$2:$G$2017)*("[branch#006] [A] kWh last month"='각층분기별_유효전력량(전월)'!$H$2:$H$2017),0))</f>
        <v>0.0</v>
      </c>
      <c r="AB110" s="2859" t="n" cm="1">
        <f t="array" ref="AB110">INDEX('각층분기별_유효전력량(전월)'!$I$2:$I$2017,MATCH(1,("6-DaHall 1-PDU-10"='각층분기별_유효전력량(전월)'!$G$2:$G$2017)*("[branch#006] [A] kWh last month"='각층분기별_유효전력량(전월)'!$H$2:$H$2017),0))</f>
        <v>0.0</v>
      </c>
      <c r="AC110" s="2972" t="n">
        <f t="shared" si="10"/>
        <v>0.0</v>
      </c>
      <c r="AD110" s="2954"/>
    </row>
    <row r="111" spans="1:32" ht="27.75" customHeight="1" x14ac:dyDescent="0.15">
      <c r="A111" s="2769" t="s">
        <v>1658</v>
      </c>
      <c r="B111" s="2771" t="s">
        <v>1659</v>
      </c>
      <c r="C111" s="2765" t="s">
        <v>1660</v>
      </c>
      <c r="D111" s="2765" t="s">
        <v>1661</v>
      </c>
      <c r="E111" s="2765" t="s">
        <v>1662</v>
      </c>
      <c r="F111" s="2757" t="s">
        <v>1663</v>
      </c>
      <c r="G111" s="2752" t="s">
        <v>1664</v>
      </c>
      <c r="H111" s="2220" t="str">
        <f t="shared" si="11"/>
        <v>6-DaHall 1-PDU-09-30-8</v>
      </c>
      <c r="I111" s="2221" t="str">
        <f t="shared" si="12"/>
        <v>6-DaHall 1-PDU-10-30-8</v>
      </c>
      <c r="J111" s="1531">
        <v>220</v>
      </c>
      <c r="K111" s="1532">
        <v>30</v>
      </c>
      <c r="L111" s="2540" t="s">
        <v>7011</v>
      </c>
      <c r="M111" s="1533">
        <v>8</v>
      </c>
      <c r="N111" s="1534">
        <v>220</v>
      </c>
      <c r="O111" s="1535">
        <v>30</v>
      </c>
      <c r="P111" s="2546" t="s">
        <v>7012</v>
      </c>
      <c r="Q111" s="1536">
        <v>8</v>
      </c>
      <c r="R111" s="3231"/>
      <c r="S111" s="3242"/>
      <c r="T111" s="3241"/>
      <c r="U111" s="3242"/>
      <c r="V111" s="3241"/>
      <c r="W111" s="3242"/>
      <c r="X111" s="255" t="n">
        <f>SUM('6층_부하량(월간_AVG)'!L87:N87)</f>
        <v>0.0</v>
      </c>
      <c r="Y111" s="255" t="n">
        <f>SUM('6층_부하량(월간_AVG)'!L117:N117)</f>
        <v>0.0</v>
      </c>
      <c r="Z111" s="2557" t="n">
        <f t="shared" si="13"/>
        <v>0.0</v>
      </c>
      <c r="AA111" s="2838" t="n" cm="1">
        <f t="array" ref="AA111">INDEX('각층분기별_유효전력량(전월)'!$I$2:$I$2017,MATCH(1,("6-DaHall 1-PDU-09"='각층분기별_유효전력량(전월)'!$G$2:$G$2017)*("[branch#008] [A] kWh last month"='각층분기별_유효전력량(전월)'!$H$2:$H$2017),0))</f>
        <v>0.0</v>
      </c>
      <c r="AB111" s="2859" t="n" cm="1">
        <f t="array" ref="AB111">INDEX('각층분기별_유효전력량(전월)'!$I$2:$I$2017,MATCH(1,("6-DaHall 1-PDU-10"='각층분기별_유효전력량(전월)'!$G$2:$G$2017)*("[branch#008] [A] kWh last month"='각층분기별_유효전력량(전월)'!$H$2:$H$2017),0))</f>
        <v>0.0</v>
      </c>
      <c r="AC111" s="2972" t="n">
        <f t="shared" si="10"/>
        <v>0.0</v>
      </c>
      <c r="AD111" s="2954"/>
      <c r="AE111" s="2144" t="s">
        <v>1665</v>
      </c>
    </row>
    <row r="112" spans="1:32" ht="27.75" customHeight="1" x14ac:dyDescent="0.15">
      <c r="A112" s="2769" t="s">
        <v>1666</v>
      </c>
      <c r="B112" s="2771" t="s">
        <v>1667</v>
      </c>
      <c r="C112" s="2765" t="s">
        <v>1660</v>
      </c>
      <c r="D112" s="2765" t="s">
        <v>1668</v>
      </c>
      <c r="E112" s="2765" t="s">
        <v>1669</v>
      </c>
      <c r="F112" s="2757" t="s">
        <v>1670</v>
      </c>
      <c r="G112" s="2752" t="s">
        <v>1671</v>
      </c>
      <c r="H112" s="2220" t="str">
        <f t="shared" si="11"/>
        <v>6-DaHall 1-PDU-09-30-10</v>
      </c>
      <c r="I112" s="2221" t="str">
        <f t="shared" si="12"/>
        <v>6-DaHall 1-PDU-10-30-10</v>
      </c>
      <c r="J112" s="1531">
        <v>220</v>
      </c>
      <c r="K112" s="1532">
        <v>30</v>
      </c>
      <c r="L112" s="2540" t="s">
        <v>7011</v>
      </c>
      <c r="M112" s="1533">
        <v>10</v>
      </c>
      <c r="N112" s="1534">
        <v>220</v>
      </c>
      <c r="O112" s="1535">
        <v>30</v>
      </c>
      <c r="P112" s="2546" t="s">
        <v>7012</v>
      </c>
      <c r="Q112" s="1536">
        <v>10</v>
      </c>
      <c r="R112" s="3231"/>
      <c r="S112" s="3242"/>
      <c r="T112" s="3241"/>
      <c r="U112" s="3242"/>
      <c r="V112" s="3241"/>
      <c r="W112" s="3242"/>
      <c r="X112" s="255" t="n">
        <f>SUM('6층_부하량(월간_AVG)'!L88:N88)</f>
        <v>0.0</v>
      </c>
      <c r="Y112" s="255" t="n">
        <f>SUM('6층_부하량(월간_AVG)'!L118:N118)</f>
        <v>0.0</v>
      </c>
      <c r="Z112" s="2557" t="n">
        <f t="shared" si="13"/>
        <v>0.0</v>
      </c>
      <c r="AA112" s="2838" t="n" cm="1">
        <f t="array" ref="AA112">INDEX('각층분기별_유효전력량(전월)'!$I$2:$I$2017,MATCH(1,("6-DaHall 1-PDU-09"='각층분기별_유효전력량(전월)'!$G$2:$G$2017)*("[branch#010] [A] kWh last month"='각층분기별_유효전력량(전월)'!$H$2:$H$2017),0))</f>
        <v>0.0</v>
      </c>
      <c r="AB112" s="2859" t="n" cm="1">
        <f t="array" ref="AB112">INDEX('각층분기별_유효전력량(전월)'!$I$2:$I$2017,MATCH(1,("6-DaHall 1-PDU-10"='각층분기별_유효전력량(전월)'!$G$2:$G$2017)*("[branch#010] [A] kWh last month"='각층분기별_유효전력량(전월)'!$H$2:$H$2017),0))</f>
        <v>0.0</v>
      </c>
      <c r="AC112" s="2972" t="n">
        <f t="shared" si="10"/>
        <v>0.0</v>
      </c>
      <c r="AD112" s="2954"/>
      <c r="AE112" s="2144" t="s">
        <v>1665</v>
      </c>
    </row>
    <row r="113" spans="1:31" ht="27.75" customHeight="1" x14ac:dyDescent="0.15">
      <c r="A113" s="2769" t="s">
        <v>1672</v>
      </c>
      <c r="B113" s="2771" t="s">
        <v>1673</v>
      </c>
      <c r="C113" s="2765" t="s">
        <v>1660</v>
      </c>
      <c r="D113" s="2765" t="s">
        <v>1674</v>
      </c>
      <c r="E113" s="2765" t="s">
        <v>1675</v>
      </c>
      <c r="F113" s="2757" t="s">
        <v>1676</v>
      </c>
      <c r="G113" s="2752" t="s">
        <v>1677</v>
      </c>
      <c r="H113" s="2220" t="str">
        <f t="shared" si="11"/>
        <v>6-DaHall 1-PDU-09-30-12</v>
      </c>
      <c r="I113" s="2221" t="str">
        <f t="shared" si="12"/>
        <v>6-DaHall 1-PDU-10-30-12</v>
      </c>
      <c r="J113" s="1531">
        <v>220</v>
      </c>
      <c r="K113" s="1532">
        <v>30</v>
      </c>
      <c r="L113" s="2540" t="s">
        <v>7011</v>
      </c>
      <c r="M113" s="1533">
        <v>12</v>
      </c>
      <c r="N113" s="1534">
        <v>220</v>
      </c>
      <c r="O113" s="1535">
        <v>30</v>
      </c>
      <c r="P113" s="2546" t="s">
        <v>7012</v>
      </c>
      <c r="Q113" s="1536">
        <v>12</v>
      </c>
      <c r="R113" s="3231"/>
      <c r="S113" s="3242"/>
      <c r="T113" s="3241"/>
      <c r="U113" s="3242"/>
      <c r="V113" s="3241"/>
      <c r="W113" s="3242"/>
      <c r="X113" s="255" t="n">
        <f>SUM('6층_부하량(월간_AVG)'!L89:N89)</f>
        <v>0.0</v>
      </c>
      <c r="Y113" s="255" t="n">
        <f>SUM('6층_부하량(월간_AVG)'!L119:N119)</f>
        <v>0.0</v>
      </c>
      <c r="Z113" s="2557" t="n">
        <f t="shared" si="13"/>
        <v>0.0</v>
      </c>
      <c r="AA113" s="2838" t="n" cm="1">
        <f t="array" ref="AA113">INDEX('각층분기별_유효전력량(전월)'!$I$2:$I$2017,MATCH(1,("6-DaHall 1-PDU-09"='각층분기별_유효전력량(전월)'!$G$2:$G$2017)*("[branch#012] [A] kWh last month"='각층분기별_유효전력량(전월)'!$H$2:$H$2017),0))</f>
        <v>0.0</v>
      </c>
      <c r="AB113" s="2859" t="n" cm="1">
        <f t="array" ref="AB113">INDEX('각층분기별_유효전력량(전월)'!$I$2:$I$2017,MATCH(1,("6-DaHall 1-PDU-10"='각층분기별_유효전력량(전월)'!$G$2:$G$2017)*("[branch#012] [A] kWh last month"='각층분기별_유효전력량(전월)'!$H$2:$H$2017),0))</f>
        <v>0.0</v>
      </c>
      <c r="AC113" s="2972" t="n">
        <f t="shared" si="10"/>
        <v>0.0</v>
      </c>
      <c r="AD113" s="2954"/>
      <c r="AE113" s="2144" t="s">
        <v>1665</v>
      </c>
    </row>
    <row r="114" spans="1:31" ht="27.75" customHeight="1" x14ac:dyDescent="0.15">
      <c r="A114" s="2769" t="s">
        <v>1678</v>
      </c>
      <c r="B114" s="2765" t="s">
        <v>1679</v>
      </c>
      <c r="C114" s="2765"/>
      <c r="D114" s="2765" t="s">
        <v>1680</v>
      </c>
      <c r="E114" s="2765" t="s">
        <v>1681</v>
      </c>
      <c r="F114" s="2757" t="s">
        <v>1682</v>
      </c>
      <c r="G114" s="2752" t="s">
        <v>1683</v>
      </c>
      <c r="H114" s="2220" t="str">
        <f t="shared" si="11"/>
        <v>6-DaHall 1-PDU-09-30-14</v>
      </c>
      <c r="I114" s="2221" t="str">
        <f t="shared" si="12"/>
        <v>6-DaHall 1-PDU-10-30-14</v>
      </c>
      <c r="J114" s="1531">
        <v>220</v>
      </c>
      <c r="K114" s="1532">
        <v>30</v>
      </c>
      <c r="L114" s="2540" t="s">
        <v>7011</v>
      </c>
      <c r="M114" s="1533">
        <v>14</v>
      </c>
      <c r="N114" s="1534">
        <v>220</v>
      </c>
      <c r="O114" s="1535">
        <v>30</v>
      </c>
      <c r="P114" s="2546" t="s">
        <v>7012</v>
      </c>
      <c r="Q114" s="1536">
        <v>14</v>
      </c>
      <c r="R114" s="3231"/>
      <c r="S114" s="3242"/>
      <c r="T114" s="3241"/>
      <c r="U114" s="3242"/>
      <c r="V114" s="3241"/>
      <c r="W114" s="3242"/>
      <c r="X114" s="255" t="n">
        <f>SUM('6층_부하량(월간_AVG)'!L90:N90)</f>
        <v>0.0</v>
      </c>
      <c r="Y114" s="255" t="n">
        <f>SUM('6층_부하량(월간_AVG)'!L120:N120)</f>
        <v>0.0</v>
      </c>
      <c r="Z114" s="2557" t="n">
        <f t="shared" si="13"/>
        <v>0.0</v>
      </c>
      <c r="AA114" s="2838" t="n" cm="1">
        <f t="array" ref="AA114">INDEX('각층분기별_유효전력량(전월)'!$I$2:$I$2017,MATCH(1,("6-DaHall 1-PDU-09"='각층분기별_유효전력량(전월)'!$G$2:$G$2017)*("[branch#014] [A] kWh last month"='각층분기별_유효전력량(전월)'!$H$2:$H$2017),0))</f>
        <v>0.0</v>
      </c>
      <c r="AB114" s="2859" t="n" cm="1">
        <f t="array" ref="AB114">INDEX('각층분기별_유효전력량(전월)'!$I$2:$I$2017,MATCH(1,("6-DaHall 1-PDU-10"='각층분기별_유효전력량(전월)'!$G$2:$G$2017)*("[branch#014] [A] kWh last month"='각층분기별_유효전력량(전월)'!$H$2:$H$2017),0))</f>
        <v>0.0</v>
      </c>
      <c r="AC114" s="2972" t="n">
        <f t="shared" si="10"/>
        <v>0.0</v>
      </c>
      <c r="AD114" s="2954"/>
    </row>
    <row r="115" spans="1:31" ht="27.75" customHeight="1" x14ac:dyDescent="0.15">
      <c r="A115" s="2769" t="s">
        <v>1684</v>
      </c>
      <c r="B115" s="2765" t="s">
        <v>1685</v>
      </c>
      <c r="C115" s="2765"/>
      <c r="D115" s="2765" t="s">
        <v>1686</v>
      </c>
      <c r="E115" s="2765" t="s">
        <v>1687</v>
      </c>
      <c r="F115" s="2757" t="s">
        <v>1688</v>
      </c>
      <c r="G115" s="2752" t="s">
        <v>1689</v>
      </c>
      <c r="H115" s="2220" t="str">
        <f t="shared" si="11"/>
        <v>6-DaHall 1-PDU-09-30-16</v>
      </c>
      <c r="I115" s="2221" t="str">
        <f t="shared" si="12"/>
        <v>6-DaHall 1-PDU-10-30-16</v>
      </c>
      <c r="J115" s="1531">
        <v>220</v>
      </c>
      <c r="K115" s="1532">
        <v>30</v>
      </c>
      <c r="L115" s="2540" t="s">
        <v>7011</v>
      </c>
      <c r="M115" s="1533">
        <v>16</v>
      </c>
      <c r="N115" s="1534">
        <v>220</v>
      </c>
      <c r="O115" s="1535">
        <v>30</v>
      </c>
      <c r="P115" s="2546" t="s">
        <v>7012</v>
      </c>
      <c r="Q115" s="1536">
        <v>16</v>
      </c>
      <c r="R115" s="3231"/>
      <c r="S115" s="3242"/>
      <c r="T115" s="3241"/>
      <c r="U115" s="3242"/>
      <c r="V115" s="3241"/>
      <c r="W115" s="3242"/>
      <c r="X115" s="270" t="n">
        <f>SUM('6층_부하량(월간_AVG)'!L91:N91)</f>
        <v>0.0</v>
      </c>
      <c r="Y115" s="270" t="n">
        <f>SUM('6층_부하량(월간_AVG)'!L121:N121)</f>
        <v>0.0</v>
      </c>
      <c r="Z115" s="2557" t="n">
        <f t="shared" si="13"/>
        <v>0.0</v>
      </c>
      <c r="AA115" s="2838" t="n" cm="1">
        <f t="array" ref="AA115">INDEX('각층분기별_유효전력량(전월)'!$I$2:$I$2017,MATCH(1,("6-DaHall 1-PDU-09"='각층분기별_유효전력량(전월)'!$G$2:$G$2017)*("[branch#016] [A] kWh last month"='각층분기별_유효전력량(전월)'!$H$2:$H$2017),0))</f>
        <v>0.0</v>
      </c>
      <c r="AB115" s="2859" t="n" cm="1">
        <f t="array" ref="AB115">INDEX('각층분기별_유효전력량(전월)'!$I$2:$I$2017,MATCH(1,("6-DaHall 1-PDU-10"='각층분기별_유효전력량(전월)'!$G$2:$G$2017)*("[branch#016] [A] kWh last month"='각층분기별_유효전력량(전월)'!$H$2:$H$2017),0))</f>
        <v>0.0</v>
      </c>
      <c r="AC115" s="2972" t="n">
        <f t="shared" si="10"/>
        <v>0.0</v>
      </c>
      <c r="AD115" s="2954" t="s">
        <v>1690</v>
      </c>
    </row>
    <row r="116" spans="1:31" ht="27.75" customHeight="1" thickBot="1" x14ac:dyDescent="0.2">
      <c r="A116" s="2779" t="s">
        <v>1691</v>
      </c>
      <c r="B116" s="2780" t="s">
        <v>1692</v>
      </c>
      <c r="C116" s="2780"/>
      <c r="D116" s="2780" t="s">
        <v>1693</v>
      </c>
      <c r="E116" s="2780" t="s">
        <v>1694</v>
      </c>
      <c r="F116" s="2759" t="s">
        <v>1695</v>
      </c>
      <c r="G116" s="2753" t="s">
        <v>1696</v>
      </c>
      <c r="H116" s="2220" t="str">
        <f t="shared" si="11"/>
        <v>6-DaHall 1-PDU-09-30-18</v>
      </c>
      <c r="I116" s="2221" t="str">
        <f t="shared" si="12"/>
        <v>6-DaHall 1-PDU-10-30-18</v>
      </c>
      <c r="J116" s="1539">
        <v>220</v>
      </c>
      <c r="K116" s="1540">
        <v>30</v>
      </c>
      <c r="L116" s="2543" t="s">
        <v>7011</v>
      </c>
      <c r="M116" s="1541">
        <v>18</v>
      </c>
      <c r="N116" s="1542">
        <v>220</v>
      </c>
      <c r="O116" s="1543">
        <v>30</v>
      </c>
      <c r="P116" s="2549" t="s">
        <v>7012</v>
      </c>
      <c r="Q116" s="1544">
        <v>18</v>
      </c>
      <c r="R116" s="3235"/>
      <c r="S116" s="3248"/>
      <c r="T116" s="3247"/>
      <c r="U116" s="3248"/>
      <c r="V116" s="3247"/>
      <c r="W116" s="3248"/>
      <c r="X116" s="335" t="n">
        <f>SUM('6층_부하량(월간_AVG)'!L92:N92)</f>
        <v>0.0</v>
      </c>
      <c r="Y116" s="335" t="n">
        <f>SUM('6층_부하량(월간_AVG)'!L122:N122)</f>
        <v>0.0</v>
      </c>
      <c r="Z116" s="2558" t="n">
        <f t="shared" si="13"/>
        <v>0.0</v>
      </c>
      <c r="AA116" s="2838" t="n" cm="1">
        <f t="array" ref="AA116">INDEX('각층분기별_유효전력량(전월)'!$I$2:$I$2017,MATCH(1,("6-DaHall 1-PDU-09"='각층분기별_유효전력량(전월)'!$G$2:$G$2017)*("[branch#018] [A] kWh last month"='각층분기별_유효전력량(전월)'!$H$2:$H$2017),0))</f>
        <v>0.0</v>
      </c>
      <c r="AB116" s="2976" t="n" cm="1">
        <f t="array" ref="AB116">INDEX('각층분기별_유효전력량(전월)'!$I$2:$I$2017,MATCH(1,("6-DaHall 1-PDU-10"='각층분기별_유효전력량(전월)'!$G$2:$G$2017)*("[branch#018] [A] kWh last month"='각층분기별_유효전력량(전월)'!$H$2:$H$2017),0))</f>
        <v>0.0</v>
      </c>
      <c r="AC116" s="2977" t="n">
        <f t="shared" si="10"/>
        <v>0.0</v>
      </c>
      <c r="AD116" s="2958" t="s">
        <v>1690</v>
      </c>
    </row>
    <row r="117" spans="1:31" ht="14.25" thickTop="1" x14ac:dyDescent="0.15">
      <c r="A117" s="1105" t="s">
        <v>1697</v>
      </c>
      <c r="B117" s="834"/>
      <c r="C117" s="834"/>
      <c r="D117" s="834"/>
      <c r="E117" s="834"/>
      <c r="F117" s="902"/>
      <c r="G117" s="903"/>
      <c r="H117" s="2218"/>
      <c r="I117" s="2219"/>
      <c r="J117" s="1523"/>
      <c r="K117" s="1524"/>
      <c r="L117" s="902"/>
      <c r="M117" s="1525"/>
      <c r="N117" s="1526"/>
      <c r="O117" s="1527"/>
      <c r="P117" s="903"/>
      <c r="Q117" s="1528"/>
      <c r="R117" s="835"/>
      <c r="S117" s="836"/>
      <c r="T117" s="835"/>
      <c r="U117" s="836"/>
      <c r="V117" s="835"/>
      <c r="W117" s="836"/>
      <c r="X117" s="841"/>
      <c r="Y117" s="841"/>
      <c r="Z117" s="2562"/>
      <c r="AA117" s="2969"/>
      <c r="AB117" s="2970"/>
      <c r="AC117" s="2978" t="n">
        <f t="shared" si="10"/>
        <v>0.0</v>
      </c>
      <c r="AD117" s="2971" t="s">
        <v>1579</v>
      </c>
    </row>
    <row r="118" spans="1:31" ht="27" x14ac:dyDescent="0.15">
      <c r="A118" s="2769" t="s">
        <v>1698</v>
      </c>
      <c r="B118" s="2765" t="s">
        <v>1699</v>
      </c>
      <c r="C118" s="2765"/>
      <c r="D118" s="2765" t="s">
        <v>1700</v>
      </c>
      <c r="E118" s="2765" t="s">
        <v>1701</v>
      </c>
      <c r="F118" s="2757" t="s">
        <v>1702</v>
      </c>
      <c r="G118" s="2752" t="s">
        <v>1703</v>
      </c>
      <c r="H118" s="2220" t="str">
        <f t="shared" ref="H118:H130" si="14">"6-DaHall 1-PDU-"&amp;L118&amp;"-"&amp;K118&amp;"-"&amp;M118</f>
        <v>6-DaHall 1-PDU-09-30-1</v>
      </c>
      <c r="I118" s="2221" t="str">
        <f t="shared" ref="I118:I130" si="15">"6-DaHall 1-PDU-"&amp;P118&amp;"-"&amp;O118&amp;"-"&amp;Q118</f>
        <v>6-DaHall 1-PDU-10-30-1</v>
      </c>
      <c r="J118" s="1531">
        <v>220</v>
      </c>
      <c r="K118" s="1532">
        <v>30</v>
      </c>
      <c r="L118" s="2540" t="s">
        <v>7011</v>
      </c>
      <c r="M118" s="1533">
        <v>1</v>
      </c>
      <c r="N118" s="1534">
        <v>220</v>
      </c>
      <c r="O118" s="1535">
        <v>30</v>
      </c>
      <c r="P118" s="2546" t="s">
        <v>7012</v>
      </c>
      <c r="Q118" s="1536">
        <v>1</v>
      </c>
      <c r="R118" s="3231" t="s">
        <v>1586</v>
      </c>
      <c r="S118" s="3223" t="s">
        <v>1587</v>
      </c>
      <c r="T118" s="3231" t="s">
        <v>1588</v>
      </c>
      <c r="U118" s="3223" t="s">
        <v>1589</v>
      </c>
      <c r="V118" s="3231" t="s">
        <v>1590</v>
      </c>
      <c r="W118" s="3223" t="s">
        <v>1591</v>
      </c>
      <c r="X118" s="270" t="n">
        <f>SUM('6층_부하량(월간_AVG)'!D84:F84)</f>
        <v>0.0</v>
      </c>
      <c r="Y118" s="270" t="n">
        <f>SUM('6층_부하량(월간_AVG)'!D114:F114)</f>
        <v>0.0</v>
      </c>
      <c r="Z118" s="2557" t="n">
        <f t="shared" ref="Z118:Z119" si="16">SUM(X118:Y118)</f>
        <v>0.0</v>
      </c>
      <c r="AA118" s="2838" t="n" cm="1">
        <f t="array" ref="AA118">INDEX('각층분기별_유효전력량(전월)'!$I$2:$I$2017,MATCH(1,("6-DaHall 1-PDU-09"='각층분기별_유효전력량(전월)'!$G$2:$G$2017)*("[branch#001] [A] kWh last month"='각층분기별_유효전력량(전월)'!$H$2:$H$2017),0))</f>
        <v>0.0</v>
      </c>
      <c r="AB118" s="2859" t="n" cm="1">
        <f t="array" ref="AB118">INDEX('각층분기별_유효전력량(전월)'!$I$2:$I$2017,MATCH(1,("6-DaHall 1-PDU-10"='각층분기별_유효전력량(전월)'!$G$2:$G$2017)*("[branch#001] [A] kWh last month"='각층분기별_유효전력량(전월)'!$H$2:$H$2017),0))</f>
        <v>0.0</v>
      </c>
      <c r="AC118" s="2972" t="n">
        <f t="shared" si="10"/>
        <v>0.0</v>
      </c>
      <c r="AD118" s="2954"/>
    </row>
    <row r="119" spans="1:31" ht="27" x14ac:dyDescent="0.15">
      <c r="A119" s="2769" t="s">
        <v>1704</v>
      </c>
      <c r="B119" s="2765" t="s">
        <v>1705</v>
      </c>
      <c r="C119" s="2765"/>
      <c r="D119" s="2765" t="s">
        <v>1706</v>
      </c>
      <c r="E119" s="2765" t="s">
        <v>1707</v>
      </c>
      <c r="F119" s="2757" t="s">
        <v>1708</v>
      </c>
      <c r="G119" s="2752" t="s">
        <v>1709</v>
      </c>
      <c r="H119" s="2220" t="str">
        <f t="shared" si="14"/>
        <v>6-DaHall 1-PDU-09-30-3</v>
      </c>
      <c r="I119" s="2221" t="str">
        <f t="shared" si="15"/>
        <v>6-DaHall 1-PDU-10-30-3</v>
      </c>
      <c r="J119" s="1531">
        <v>220</v>
      </c>
      <c r="K119" s="1532">
        <v>30</v>
      </c>
      <c r="L119" s="2540" t="s">
        <v>7011</v>
      </c>
      <c r="M119" s="1533">
        <v>3</v>
      </c>
      <c r="N119" s="1534">
        <v>220</v>
      </c>
      <c r="O119" s="1535">
        <v>30</v>
      </c>
      <c r="P119" s="2546" t="s">
        <v>7012</v>
      </c>
      <c r="Q119" s="1536">
        <v>3</v>
      </c>
      <c r="R119" s="3241"/>
      <c r="S119" s="3242"/>
      <c r="T119" s="3241"/>
      <c r="U119" s="3242"/>
      <c r="V119" s="3231"/>
      <c r="W119" s="3223"/>
      <c r="X119" s="270" t="n">
        <f>SUM('6층_부하량(월간_AVG)'!D85:F85)</f>
        <v>0.0</v>
      </c>
      <c r="Y119" s="270" t="n">
        <f>SUM('6층_부하량(월간_AVG)'!D115:F115)</f>
        <v>0.0</v>
      </c>
      <c r="Z119" s="2557" t="n">
        <f t="shared" si="16"/>
        <v>0.0</v>
      </c>
      <c r="AA119" s="2838" t="n" cm="1">
        <f t="array" ref="AA119">INDEX('각층분기별_유효전력량(전월)'!$I$2:$I$2017,MATCH(1,("6-DaHall 1-PDU-09"='각층분기별_유효전력량(전월)'!$G$2:$G$2017)*("[branch#003] [A] kWh last month"='각층분기별_유효전력량(전월)'!$H$2:$H$2017),0))</f>
        <v>0.0</v>
      </c>
      <c r="AB119" s="2859" t="n" cm="1">
        <f t="array" ref="AB119">INDEX('각층분기별_유효전력량(전월)'!$I$2:$I$2017,MATCH(1,("6-DaHall 1-PDU-10"='각층분기별_유효전력량(전월)'!$G$2:$G$2017)*("[branch#003] [A] kWh last month"='각층분기별_유효전력량(전월)'!$H$2:$H$2017),0))</f>
        <v>0.0</v>
      </c>
      <c r="AC119" s="2972" t="n">
        <f t="shared" si="10"/>
        <v>0.0</v>
      </c>
      <c r="AD119" s="2954"/>
    </row>
    <row r="120" spans="1:31" ht="27" x14ac:dyDescent="0.15">
      <c r="A120" s="3280" t="s">
        <v>1710</v>
      </c>
      <c r="B120" s="3246" t="s">
        <v>1711</v>
      </c>
      <c r="C120" s="3246"/>
      <c r="D120" s="2765" t="s">
        <v>1712</v>
      </c>
      <c r="E120" s="2765" t="s">
        <v>1713</v>
      </c>
      <c r="F120" s="2757" t="s">
        <v>1714</v>
      </c>
      <c r="G120" s="2752" t="s">
        <v>1715</v>
      </c>
      <c r="H120" s="2220" t="str">
        <f t="shared" si="14"/>
        <v>6-DaHall 1-PDU-09-30-5</v>
      </c>
      <c r="I120" s="2221" t="str">
        <f t="shared" si="15"/>
        <v>6-DaHall 1-PDU-10-30-5</v>
      </c>
      <c r="J120" s="1531">
        <v>220</v>
      </c>
      <c r="K120" s="1532">
        <v>30</v>
      </c>
      <c r="L120" s="2540" t="s">
        <v>7011</v>
      </c>
      <c r="M120" s="1533">
        <v>5</v>
      </c>
      <c r="N120" s="1534">
        <v>220</v>
      </c>
      <c r="O120" s="1535">
        <v>30</v>
      </c>
      <c r="P120" s="2546" t="s">
        <v>7012</v>
      </c>
      <c r="Q120" s="1536">
        <v>5</v>
      </c>
      <c r="R120" s="3241"/>
      <c r="S120" s="3242"/>
      <c r="T120" s="3241"/>
      <c r="U120" s="3242"/>
      <c r="V120" s="3231"/>
      <c r="W120" s="3223"/>
      <c r="X120" s="270" t="n">
        <f>SUM('6층_부하량(월간_AVG)'!D86:F86)</f>
        <v>0.0</v>
      </c>
      <c r="Y120" s="270" t="n">
        <f>SUM('6층_부하량(월간_AVG)'!D116:F116)</f>
        <v>0.0</v>
      </c>
      <c r="Z120" s="3249" t="n">
        <f>SUM(X120:Y122)</f>
        <v>0.0</v>
      </c>
      <c r="AA120" s="2838" t="n" cm="1">
        <f t="array" ref="AA120">INDEX('각층분기별_유효전력량(전월)'!$I$2:$I$2017,MATCH(1,("6-DaHall 1-PDU-09"='각층분기별_유효전력량(전월)'!$G$2:$G$2017)*("[branch#005] [A] kWh last month"='각층분기별_유효전력량(전월)'!$H$2:$H$2017),0))</f>
        <v>0.0</v>
      </c>
      <c r="AB120" s="2979" t="n" cm="1">
        <f t="array" ref="AB120">INDEX('각층분기별_유효전력량(전월)'!$I$2:$I$2017,MATCH(1,("6-DaHall 1-PDU-10"='각층분기별_유효전력량(전월)'!$G$2:$G$2017)*("[branch#005] [A] kWh last month"='각층분기별_유효전력량(전월)'!$H$2:$H$2017),0))</f>
        <v>0.0</v>
      </c>
      <c r="AC120" s="2980" t="n">
        <f t="shared" si="10"/>
        <v>0.0</v>
      </c>
      <c r="AD120" s="2954"/>
    </row>
    <row r="121" spans="1:31" ht="26.25" customHeight="1" x14ac:dyDescent="0.15">
      <c r="A121" s="3281"/>
      <c r="B121" s="3246"/>
      <c r="C121" s="3246"/>
      <c r="D121" s="2765" t="s">
        <v>1716</v>
      </c>
      <c r="E121" s="2765" t="s">
        <v>1717</v>
      </c>
      <c r="F121" s="2757" t="s">
        <v>1718</v>
      </c>
      <c r="G121" s="2752" t="s">
        <v>1719</v>
      </c>
      <c r="H121" s="2220" t="str">
        <f t="shared" si="14"/>
        <v>6-DaHall 1-PDU-13-30-32</v>
      </c>
      <c r="I121" s="2221" t="str">
        <f t="shared" si="15"/>
        <v>6-DaHall 1-PDU-14-30-34</v>
      </c>
      <c r="J121" s="1531">
        <v>220</v>
      </c>
      <c r="K121" s="1532">
        <v>30</v>
      </c>
      <c r="L121" s="2540" t="s">
        <v>6969</v>
      </c>
      <c r="M121" s="1533">
        <v>32</v>
      </c>
      <c r="N121" s="1537">
        <v>220</v>
      </c>
      <c r="O121" s="1538">
        <v>30</v>
      </c>
      <c r="P121" s="2546" t="s">
        <v>6976</v>
      </c>
      <c r="Q121" s="1536">
        <v>34</v>
      </c>
      <c r="R121" s="3231" t="s">
        <v>1720</v>
      </c>
      <c r="S121" s="3223" t="s">
        <v>1721</v>
      </c>
      <c r="T121" s="3231" t="s">
        <v>1722</v>
      </c>
      <c r="U121" s="3223" t="s">
        <v>1723</v>
      </c>
      <c r="V121" s="3231"/>
      <c r="W121" s="3223"/>
      <c r="X121" s="270" t="n">
        <f>SUM('6층_부하량(월간_AVG)'!L35:N35)</f>
        <v>0.0</v>
      </c>
      <c r="Y121" s="270" t="n">
        <f>SUM('6층_부하량(월간_AVG)'!L68:N68)</f>
        <v>0.0</v>
      </c>
      <c r="Z121" s="3249"/>
      <c r="AA121" s="2838" t="n" cm="1">
        <f t="array" ref="AA121">INDEX('각층분기별_유효전력량(전월)'!$I$2:$I$2017,MATCH(1,("6-DaHall 1-PDU-13"='각층분기별_유효전력량(전월)'!$G$2:$G$2017)*("[branch#032] [A] kWh last month"='각층분기별_유효전력량(전월)'!$H$2:$H$2017),0))</f>
        <v>0.0</v>
      </c>
      <c r="AB121" s="2979" t="n" cm="1">
        <f t="array" ref="AB121">INDEX('각층분기별_유효전력량(전월)'!$I$2:$I$2017,MATCH(1,("6-DaHall 1-PDU-14"='각층분기별_유효전력량(전월)'!$G$2:$G$2017)*("[branch#034] [A] kWh last month"='각층분기별_유효전력량(전월)'!$H$2:$H$2017),0))</f>
        <v>0.0</v>
      </c>
      <c r="AC121" s="2980" t="n">
        <f t="shared" si="10"/>
        <v>0.0</v>
      </c>
      <c r="AD121" s="2954"/>
    </row>
    <row r="122" spans="1:31" ht="26.25" customHeight="1" x14ac:dyDescent="0.15">
      <c r="A122" s="3282"/>
      <c r="B122" s="3246"/>
      <c r="C122" s="3246"/>
      <c r="D122" s="2765" t="s">
        <v>1724</v>
      </c>
      <c r="E122" s="2765" t="s">
        <v>1725</v>
      </c>
      <c r="F122" s="2757" t="s">
        <v>1726</v>
      </c>
      <c r="G122" s="2752" t="s">
        <v>1727</v>
      </c>
      <c r="H122" s="2220" t="str">
        <f t="shared" si="14"/>
        <v>6-DaHall 1-PDU-13-30-30</v>
      </c>
      <c r="I122" s="2221" t="str">
        <f t="shared" si="15"/>
        <v>6-DaHall 1-PDU-14-30-30</v>
      </c>
      <c r="J122" s="1531">
        <v>220</v>
      </c>
      <c r="K122" s="1532">
        <v>30</v>
      </c>
      <c r="L122" s="2540" t="s">
        <v>6969</v>
      </c>
      <c r="M122" s="1533">
        <v>30</v>
      </c>
      <c r="N122" s="1534">
        <v>220</v>
      </c>
      <c r="O122" s="1535">
        <v>30</v>
      </c>
      <c r="P122" s="2546" t="s">
        <v>6976</v>
      </c>
      <c r="Q122" s="1536">
        <v>30</v>
      </c>
      <c r="R122" s="3241"/>
      <c r="S122" s="3242"/>
      <c r="T122" s="3241"/>
      <c r="U122" s="3242"/>
      <c r="V122" s="3231"/>
      <c r="W122" s="3223"/>
      <c r="X122" s="270" t="n">
        <f>SUM('6층_부하량(월간_AVG)'!L34:N34)</f>
        <v>0.0</v>
      </c>
      <c r="Y122" s="270" t="n">
        <f>SUM('6층_부하량(월간_AVG)'!L66:M66)</f>
        <v>0.0</v>
      </c>
      <c r="Z122" s="3249"/>
      <c r="AA122" s="2838" t="n" cm="1">
        <f t="array" ref="AA122">INDEX('각층분기별_유효전력량(전월)'!$I$2:$I$2017,MATCH(1,("6-DaHall 1-PDU-13"='각층분기별_유효전력량(전월)'!$G$2:$G$2017)*("[branch#030] [A] kWh last month"='각층분기별_유효전력량(전월)'!$H$2:$H$2017),0))</f>
        <v>0.0</v>
      </c>
      <c r="AB122" s="2979" t="n" cm="1">
        <f t="array" ref="AB122">INDEX('각층분기별_유효전력량(전월)'!$I$2:$I$2017,MATCH(1,("6-DaHall 1-PDU-14"='각층분기별_유효전력량(전월)'!$G$2:$G$2017)*("[branch#030] [A] kWh last month"='각층분기별_유효전력량(전월)'!$H$2:$H$2017),0))</f>
        <v>0.0</v>
      </c>
      <c r="AC122" s="2980" t="n">
        <f t="shared" si="10"/>
        <v>0.0</v>
      </c>
      <c r="AD122" s="2954"/>
    </row>
    <row r="123" spans="1:31" ht="54" customHeight="1" x14ac:dyDescent="0.15">
      <c r="A123" s="3279" t="s">
        <v>328</v>
      </c>
      <c r="B123" s="3246" t="s">
        <v>1728</v>
      </c>
      <c r="C123" s="3246"/>
      <c r="D123" s="2765" t="s">
        <v>1729</v>
      </c>
      <c r="E123" s="2765" t="s">
        <v>1730</v>
      </c>
      <c r="F123" s="2757" t="s">
        <v>1731</v>
      </c>
      <c r="G123" s="2752" t="s">
        <v>1732</v>
      </c>
      <c r="H123" s="2220" t="str">
        <f t="shared" si="14"/>
        <v>6-DaHall 1-PDU-09-30-7</v>
      </c>
      <c r="I123" s="2221" t="str">
        <f t="shared" si="15"/>
        <v>6-DaHall 1-PDU-10-30-7</v>
      </c>
      <c r="J123" s="1531">
        <v>220</v>
      </c>
      <c r="K123" s="1532">
        <v>30</v>
      </c>
      <c r="L123" s="2540" t="s">
        <v>7011</v>
      </c>
      <c r="M123" s="1533">
        <v>7</v>
      </c>
      <c r="N123" s="1534">
        <v>220</v>
      </c>
      <c r="O123" s="1535">
        <v>30</v>
      </c>
      <c r="P123" s="2546" t="s">
        <v>7012</v>
      </c>
      <c r="Q123" s="1536">
        <v>7</v>
      </c>
      <c r="R123" s="2757" t="s">
        <v>1586</v>
      </c>
      <c r="S123" s="2752" t="s">
        <v>1587</v>
      </c>
      <c r="T123" s="2757" t="s">
        <v>1588</v>
      </c>
      <c r="U123" s="2752" t="s">
        <v>1589</v>
      </c>
      <c r="V123" s="3231"/>
      <c r="W123" s="3223"/>
      <c r="X123" s="270" t="n">
        <f>SUM('6층_부하량(월간_AVG)'!D87:F87)</f>
        <v>0.0</v>
      </c>
      <c r="Y123" s="270" t="n">
        <f>SUM('6층_부하량(월간_AVG)'!D117:F117)</f>
        <v>0.0</v>
      </c>
      <c r="Z123" s="3249" t="n">
        <f>SUM(X123:Y125)</f>
        <v>0.0</v>
      </c>
      <c r="AA123" s="2838" t="n" cm="1">
        <f t="array" ref="AA123">INDEX('각층분기별_유효전력량(전월)'!$I$2:$I$2017,MATCH(1,("6-DaHall 1-PDU-09"='각층분기별_유효전력량(전월)'!$G$2:$G$2017)*("[branch#007] [A] kWh last month"='각층분기별_유효전력량(전월)'!$H$2:$H$2017),0))</f>
        <v>0.0</v>
      </c>
      <c r="AB123" s="2979" t="n" cm="1">
        <f t="array" ref="AB123">INDEX('각층분기별_유효전력량(전월)'!$I$2:$I$2017,MATCH(1,("6-DaHall 1-PDU-10"='각층분기별_유효전력량(전월)'!$G$2:$G$2017)*("[branch#007] [A] kWh last month"='각층분기별_유효전력량(전월)'!$H$2:$H$2017),0))</f>
        <v>0.0</v>
      </c>
      <c r="AC123" s="3208" t="n">
        <f>SUM(AA123:AB125)</f>
        <v>0.0</v>
      </c>
      <c r="AD123" s="2954"/>
    </row>
    <row r="124" spans="1:31" ht="27" customHeight="1" x14ac:dyDescent="0.15">
      <c r="A124" s="3279"/>
      <c r="B124" s="3246"/>
      <c r="C124" s="3246"/>
      <c r="D124" s="2765" t="s">
        <v>1733</v>
      </c>
      <c r="E124" s="2765" t="s">
        <v>1734</v>
      </c>
      <c r="F124" s="2757" t="s">
        <v>1735</v>
      </c>
      <c r="G124" s="2752" t="s">
        <v>1736</v>
      </c>
      <c r="H124" s="2220" t="str">
        <f t="shared" si="14"/>
        <v>6-DaHall 1-PDU-13-30-34</v>
      </c>
      <c r="I124" s="2221" t="str">
        <f t="shared" si="15"/>
        <v>6-DaHall 1-PDU-14-30-32</v>
      </c>
      <c r="J124" s="1531">
        <v>220</v>
      </c>
      <c r="K124" s="1532">
        <v>30</v>
      </c>
      <c r="L124" s="2540" t="s">
        <v>6969</v>
      </c>
      <c r="M124" s="1533">
        <v>34</v>
      </c>
      <c r="N124" s="1534">
        <v>220</v>
      </c>
      <c r="O124" s="1535">
        <v>30</v>
      </c>
      <c r="P124" s="2546" t="s">
        <v>6976</v>
      </c>
      <c r="Q124" s="1536">
        <v>32</v>
      </c>
      <c r="R124" s="3231" t="s">
        <v>1720</v>
      </c>
      <c r="S124" s="3223" t="s">
        <v>1721</v>
      </c>
      <c r="T124" s="3231" t="s">
        <v>1722</v>
      </c>
      <c r="U124" s="3223" t="s">
        <v>1723</v>
      </c>
      <c r="V124" s="3231"/>
      <c r="W124" s="3223"/>
      <c r="X124" s="270" t="n">
        <f>SUM('6층_부하량(월간_AVG)'!L36:N36)</f>
        <v>0.0</v>
      </c>
      <c r="Y124" s="270" t="n">
        <f>SUM('6층_부하량(월간_AVG)'!L67:N67)</f>
        <v>0.0</v>
      </c>
      <c r="Z124" s="3249"/>
      <c r="AA124" s="2981" t="n" cm="1">
        <f t="array" ref="AA124">INDEX('각층분기별_유효전력량(전월)'!$I$2:$I$2017,MATCH(1,("6-DaHall 1-PDU-13"='각층분기별_유효전력량(전월)'!$G$2:$G$2017)*("[branch#034] [A] kWh last month"='각층분기별_유효전력량(전월)'!$H$2:$H$2017),0))</f>
        <v>0.0</v>
      </c>
      <c r="AB124" s="2979" t="n" cm="1">
        <f t="array" ref="AB124">INDEX('각층분기별_유효전력량(전월)'!$I$2:$I$2017,MATCH(1,("6-DaHall 1-PDU-10"='각층분기별_유효전력량(전월)'!$G$2:$G$2017)*("[branch#032] [A] kWh last month"='각층분기별_유효전력량(전월)'!$H$2:$H$2017),0))</f>
        <v>0.0</v>
      </c>
      <c r="AC124" s="3212"/>
      <c r="AD124" s="2954"/>
    </row>
    <row r="125" spans="1:31" ht="27" customHeight="1" x14ac:dyDescent="0.15">
      <c r="A125" s="3279"/>
      <c r="B125" s="3246"/>
      <c r="C125" s="3246"/>
      <c r="D125" s="2765" t="s">
        <v>1737</v>
      </c>
      <c r="E125" s="2765" t="s">
        <v>1738</v>
      </c>
      <c r="F125" s="2757" t="s">
        <v>1739</v>
      </c>
      <c r="G125" s="2752" t="s">
        <v>1740</v>
      </c>
      <c r="H125" s="2220" t="str">
        <f t="shared" si="14"/>
        <v>6-DaHall 1-PDU-13-30-28</v>
      </c>
      <c r="I125" s="2221" t="str">
        <f t="shared" si="15"/>
        <v>6-DaHall 1-PDU-14-30-28</v>
      </c>
      <c r="J125" s="1531">
        <v>220</v>
      </c>
      <c r="K125" s="1532">
        <v>30</v>
      </c>
      <c r="L125" s="2540" t="s">
        <v>6969</v>
      </c>
      <c r="M125" s="1533">
        <v>28</v>
      </c>
      <c r="N125" s="1534">
        <v>220</v>
      </c>
      <c r="O125" s="1535">
        <v>30</v>
      </c>
      <c r="P125" s="2546" t="s">
        <v>6976</v>
      </c>
      <c r="Q125" s="1536">
        <v>28</v>
      </c>
      <c r="R125" s="3241"/>
      <c r="S125" s="3242"/>
      <c r="T125" s="3241"/>
      <c r="U125" s="3242"/>
      <c r="V125" s="3231"/>
      <c r="W125" s="3223"/>
      <c r="X125" s="270" t="n">
        <f>SUM('6층_부하량(월간_AVG)'!L33:N33)</f>
        <v>0.0</v>
      </c>
      <c r="Y125" s="270" t="n">
        <f>SUM('6층_부하량(월간_AVG)'!L65:N65)</f>
        <v>0.0</v>
      </c>
      <c r="Z125" s="3249"/>
      <c r="AA125" s="2982" t="n" cm="1">
        <f t="array" ref="AA125">INDEX('각층분기별_유효전력량(전월)'!$I$2:$I$2017,MATCH(1,("6-DaHall 1-PDU-13"='각층분기별_유효전력량(전월)'!$G$2:$G$2017)*("[branch#028] [A] kWh last month"='각층분기별_유효전력량(전월)'!$H$2:$H$2017),0))</f>
        <v>0.0</v>
      </c>
      <c r="AB125" s="2979" t="n" cm="1">
        <f t="array" ref="AB125">INDEX('각층분기별_유효전력량(전월)'!$I$2:$I$2017,MATCH(1,("6-DaHall 1-PDU-10"='각층분기별_유효전력량(전월)'!$G$2:$G$2017)*("[branch#028] [A] kWh last month"='각층분기별_유효전력량(전월)'!$H$2:$H$2017),0))</f>
        <v>0.0</v>
      </c>
      <c r="AC125" s="3209"/>
      <c r="AD125" s="2954"/>
    </row>
    <row r="126" spans="1:31" ht="27" x14ac:dyDescent="0.15">
      <c r="A126" s="2769" t="s">
        <v>322</v>
      </c>
      <c r="B126" s="2765" t="s">
        <v>1741</v>
      </c>
      <c r="C126" s="2765"/>
      <c r="D126" s="2765" t="s">
        <v>1742</v>
      </c>
      <c r="E126" s="2765" t="s">
        <v>1743</v>
      </c>
      <c r="F126" s="2757" t="s">
        <v>1744</v>
      </c>
      <c r="G126" s="2752" t="s">
        <v>1745</v>
      </c>
      <c r="H126" s="2220" t="str">
        <f t="shared" si="14"/>
        <v>6-DaHall 1-PDU-09-30-9</v>
      </c>
      <c r="I126" s="2221" t="str">
        <f t="shared" si="15"/>
        <v>6-DaHall 1-PDU-10-30-9</v>
      </c>
      <c r="J126" s="1531">
        <v>220</v>
      </c>
      <c r="K126" s="1532">
        <v>30</v>
      </c>
      <c r="L126" s="2540" t="s">
        <v>7011</v>
      </c>
      <c r="M126" s="1533">
        <v>9</v>
      </c>
      <c r="N126" s="1534">
        <v>220</v>
      </c>
      <c r="O126" s="1535">
        <v>30</v>
      </c>
      <c r="P126" s="2546" t="s">
        <v>7012</v>
      </c>
      <c r="Q126" s="1536">
        <v>9</v>
      </c>
      <c r="R126" s="3231" t="s">
        <v>1586</v>
      </c>
      <c r="S126" s="3223" t="s">
        <v>1587</v>
      </c>
      <c r="T126" s="3231" t="s">
        <v>1588</v>
      </c>
      <c r="U126" s="3223" t="s">
        <v>1589</v>
      </c>
      <c r="V126" s="3231"/>
      <c r="W126" s="3223"/>
      <c r="X126" s="270" t="n">
        <f>SUM('6층_부하량(월간_AVG)'!D88:F88)</f>
        <v>0.0</v>
      </c>
      <c r="Y126" s="270" t="n">
        <f>SUM('6층_부하량(월간_AVG)'!D118:F118)</f>
        <v>0.0</v>
      </c>
      <c r="Z126" s="2557" t="n">
        <f t="shared" ref="Z126:Z130" si="17">SUM(X126:Y126)</f>
        <v>0.0</v>
      </c>
      <c r="AA126" s="2838" t="n" cm="1">
        <f t="array" ref="AA126">INDEX('각층분기별_유효전력량(전월)'!$I$2:$I$2017,MATCH(1,("6-DaHall 1-PDU-09"='각층분기별_유효전력량(전월)'!$G$2:$G$2017)*("[branch#009] [A] kWh last month"='각층분기별_유효전력량(전월)'!$H$2:$H$2017),0))</f>
        <v>0.0</v>
      </c>
      <c r="AB126" s="2859" t="n" cm="1">
        <f t="array" ref="AB126">INDEX('각층분기별_유효전력량(전월)'!$I$2:$I$2017,MATCH(1,("6-DaHall 1-PDU-10"='각층분기별_유효전력량(전월)'!$G$2:$G$2017)*("[branch#009] [A] kWh last month"='각층분기별_유효전력량(전월)'!$H$2:$H$2017),0))</f>
        <v>0.0</v>
      </c>
      <c r="AC126" s="2972" t="n">
        <f t="shared" ref="AC126:AC186" si="18">SUM(AA126:AB126)</f>
        <v>0.0</v>
      </c>
      <c r="AD126" s="2582" t="s">
        <v>1746</v>
      </c>
    </row>
    <row r="127" spans="1:31" ht="27.75" customHeight="1" x14ac:dyDescent="0.15">
      <c r="A127" s="2769" t="s">
        <v>1747</v>
      </c>
      <c r="B127" s="2765" t="s">
        <v>1748</v>
      </c>
      <c r="C127" s="2765"/>
      <c r="D127" s="2765" t="s">
        <v>1749</v>
      </c>
      <c r="E127" s="2765" t="s">
        <v>1750</v>
      </c>
      <c r="F127" s="2757" t="s">
        <v>1751</v>
      </c>
      <c r="G127" s="2752" t="s">
        <v>1752</v>
      </c>
      <c r="H127" s="2220" t="str">
        <f t="shared" si="14"/>
        <v>6-DaHall 1-PDU-09-30-11</v>
      </c>
      <c r="I127" s="2221" t="str">
        <f t="shared" si="15"/>
        <v>6-DaHall 1-PDU-10-30-11</v>
      </c>
      <c r="J127" s="1531">
        <v>220</v>
      </c>
      <c r="K127" s="1532">
        <v>30</v>
      </c>
      <c r="L127" s="2540" t="s">
        <v>7011</v>
      </c>
      <c r="M127" s="1533">
        <v>11</v>
      </c>
      <c r="N127" s="1534">
        <v>220</v>
      </c>
      <c r="O127" s="1535">
        <v>30</v>
      </c>
      <c r="P127" s="2546" t="s">
        <v>7012</v>
      </c>
      <c r="Q127" s="1536">
        <v>11</v>
      </c>
      <c r="R127" s="3241"/>
      <c r="S127" s="3242"/>
      <c r="T127" s="3241"/>
      <c r="U127" s="3223"/>
      <c r="V127" s="3231"/>
      <c r="W127" s="3223"/>
      <c r="X127" s="270" t="n">
        <f>SUM('6층_부하량(월간_AVG)'!D89:F89)</f>
        <v>0.0</v>
      </c>
      <c r="Y127" s="270" t="n">
        <f>SUM('6층_부하량(월간_AVG)'!D119:F119)</f>
        <v>0.0</v>
      </c>
      <c r="Z127" s="2557" t="n">
        <f t="shared" si="17"/>
        <v>0.0</v>
      </c>
      <c r="AA127" s="2838" t="n" cm="1">
        <f t="array" ref="AA127">INDEX('각층분기별_유효전력량(전월)'!$I$2:$I$2017,MATCH(1,("6-DaHall 1-PDU-09"='각층분기별_유효전력량(전월)'!$G$2:$G$2017)*("[branch#011] [A] kWh last month"='각층분기별_유효전력량(전월)'!$H$2:$H$2017),0))</f>
        <v>0.0</v>
      </c>
      <c r="AB127" s="2859" t="n" cm="1">
        <f t="array" ref="AB127">INDEX('각층분기별_유효전력량(전월)'!$I$2:$I$2017,MATCH(1,("6-DaHall 1-PDU-10"='각층분기별_유효전력량(전월)'!$G$2:$G$2017)*("[branch#011] [A] kWh last month"='각층분기별_유효전력량(전월)'!$H$2:$H$2017),0))</f>
        <v>0.0</v>
      </c>
      <c r="AC127" s="2972" t="n">
        <f t="shared" si="18"/>
        <v>0.0</v>
      </c>
      <c r="AD127" s="2954"/>
    </row>
    <row r="128" spans="1:31" ht="27.75" customHeight="1" x14ac:dyDescent="0.15">
      <c r="A128" s="2769" t="s">
        <v>1753</v>
      </c>
      <c r="B128" s="2765" t="s">
        <v>1754</v>
      </c>
      <c r="C128" s="2765"/>
      <c r="D128" s="2765" t="s">
        <v>1755</v>
      </c>
      <c r="E128" s="2765" t="s">
        <v>1756</v>
      </c>
      <c r="F128" s="2757" t="s">
        <v>1757</v>
      </c>
      <c r="G128" s="2752" t="s">
        <v>1758</v>
      </c>
      <c r="H128" s="2220" t="str">
        <f t="shared" si="14"/>
        <v>6-DaHall 1-PDU-09-30-13</v>
      </c>
      <c r="I128" s="2221" t="str">
        <f t="shared" si="15"/>
        <v>6-DaHall 1-PDU-10-30-13</v>
      </c>
      <c r="J128" s="1531">
        <v>220</v>
      </c>
      <c r="K128" s="1532">
        <v>30</v>
      </c>
      <c r="L128" s="2540" t="s">
        <v>7011</v>
      </c>
      <c r="M128" s="1533">
        <v>13</v>
      </c>
      <c r="N128" s="1534">
        <v>220</v>
      </c>
      <c r="O128" s="1535">
        <v>30</v>
      </c>
      <c r="P128" s="2546" t="s">
        <v>7012</v>
      </c>
      <c r="Q128" s="1536">
        <v>13</v>
      </c>
      <c r="R128" s="3241"/>
      <c r="S128" s="3242"/>
      <c r="T128" s="3241"/>
      <c r="U128" s="3223"/>
      <c r="V128" s="3231"/>
      <c r="W128" s="3223"/>
      <c r="X128" s="270" t="n">
        <f>SUM('6층_부하량(월간_AVG)'!D90:F90)</f>
        <v>0.0</v>
      </c>
      <c r="Y128" s="270" t="n">
        <f>SUM('6층_부하량(월간_AVG)'!D120:F120)</f>
        <v>0.0</v>
      </c>
      <c r="Z128" s="2557" t="n">
        <f t="shared" si="17"/>
        <v>0.0</v>
      </c>
      <c r="AA128" s="2838" t="n" cm="1">
        <f t="array" ref="AA128">INDEX('각층분기별_유효전력량(전월)'!$I$2:$I$2017,MATCH(1,("6-DaHall 1-PDU-09"='각층분기별_유효전력량(전월)'!$G$2:$G$2017)*("[branch#013] [A] kWh last month"='각층분기별_유효전력량(전월)'!$H$2:$H$2017),0))</f>
        <v>0.0</v>
      </c>
      <c r="AB128" s="2859" t="n" cm="1">
        <f t="array" ref="AB128">INDEX('각층분기별_유효전력량(전월)'!$I$2:$I$2017,MATCH(1,("6-DaHall 1-PDU-10"='각층분기별_유효전력량(전월)'!$G$2:$G$2017)*("[branch#013] [A] kWh last month"='각층분기별_유효전력량(전월)'!$H$2:$H$2017),0))</f>
        <v>0.0</v>
      </c>
      <c r="AC128" s="2972" t="n">
        <f t="shared" si="18"/>
        <v>0.0</v>
      </c>
      <c r="AD128" s="2954"/>
    </row>
    <row r="129" spans="1:30" ht="27.75" customHeight="1" x14ac:dyDescent="0.15">
      <c r="A129" s="2769" t="s">
        <v>1759</v>
      </c>
      <c r="B129" s="2765" t="s">
        <v>1760</v>
      </c>
      <c r="C129" s="2765"/>
      <c r="D129" s="2765" t="s">
        <v>1761</v>
      </c>
      <c r="E129" s="2765" t="s">
        <v>1762</v>
      </c>
      <c r="F129" s="2757" t="s">
        <v>1763</v>
      </c>
      <c r="G129" s="2752" t="s">
        <v>1764</v>
      </c>
      <c r="H129" s="2220" t="str">
        <f t="shared" si="14"/>
        <v>6-DaHall 1-PDU-09-30-15</v>
      </c>
      <c r="I129" s="2221" t="str">
        <f t="shared" si="15"/>
        <v>6-DaHall 1-PDU-10-30-15</v>
      </c>
      <c r="J129" s="1531">
        <v>220</v>
      </c>
      <c r="K129" s="1532">
        <v>30</v>
      </c>
      <c r="L129" s="2540" t="s">
        <v>7011</v>
      </c>
      <c r="M129" s="1533">
        <v>15</v>
      </c>
      <c r="N129" s="1534">
        <v>220</v>
      </c>
      <c r="O129" s="1535">
        <v>30</v>
      </c>
      <c r="P129" s="2546" t="s">
        <v>7012</v>
      </c>
      <c r="Q129" s="1536">
        <v>15</v>
      </c>
      <c r="R129" s="3241"/>
      <c r="S129" s="3242"/>
      <c r="T129" s="3241"/>
      <c r="U129" s="3223"/>
      <c r="V129" s="3231"/>
      <c r="W129" s="3223"/>
      <c r="X129" s="270" t="n">
        <f>SUM('6층_부하량(월간_AVG)'!D91:F91)</f>
        <v>0.0</v>
      </c>
      <c r="Y129" s="270" t="n">
        <f>SUM('6층_부하량(월간_AVG)'!D121:F121)</f>
        <v>0.0</v>
      </c>
      <c r="Z129" s="2557" t="n">
        <f t="shared" si="17"/>
        <v>0.0</v>
      </c>
      <c r="AA129" s="2838" t="n" cm="1">
        <f t="array" ref="AA129">INDEX('각층분기별_유효전력량(전월)'!$I$2:$I$2017,MATCH(1,("6-DaHall 1-PDU-09"='각층분기별_유효전력량(전월)'!$G$2:$G$2017)*("[branch#015] [A] kWh last month"='각층분기별_유효전력량(전월)'!$H$2:$H$2017),0))</f>
        <v>0.0</v>
      </c>
      <c r="AB129" s="2859" t="n" cm="1">
        <f t="array" ref="AB129">INDEX('각층분기별_유효전력량(전월)'!$I$2:$I$2017,MATCH(1,("6-DaHall 1-PDU-10"='각층분기별_유효전력량(전월)'!$G$2:$G$2017)*("[branch#015] [A] kWh last month"='각층분기별_유효전력량(전월)'!$H$2:$H$2017),0))</f>
        <v>0.0</v>
      </c>
      <c r="AC129" s="2972" t="n">
        <f t="shared" si="18"/>
        <v>0.0</v>
      </c>
      <c r="AD129" s="2954"/>
    </row>
    <row r="130" spans="1:30" ht="27.75" customHeight="1" thickBot="1" x14ac:dyDescent="0.2">
      <c r="A130" s="2779" t="s">
        <v>1765</v>
      </c>
      <c r="B130" s="2780" t="s">
        <v>1766</v>
      </c>
      <c r="C130" s="2780"/>
      <c r="D130" s="2780" t="s">
        <v>1767</v>
      </c>
      <c r="E130" s="2780" t="s">
        <v>1768</v>
      </c>
      <c r="F130" s="2759" t="s">
        <v>1769</v>
      </c>
      <c r="G130" s="2753" t="s">
        <v>1770</v>
      </c>
      <c r="H130" s="2220" t="str">
        <f t="shared" si="14"/>
        <v>6-DaHall 1-PDU-09-30-17</v>
      </c>
      <c r="I130" s="2221" t="str">
        <f t="shared" si="15"/>
        <v>6-DaHall 1-PDU-10-30-17</v>
      </c>
      <c r="J130" s="1539">
        <v>220</v>
      </c>
      <c r="K130" s="1540">
        <v>30</v>
      </c>
      <c r="L130" s="2543" t="s">
        <v>7011</v>
      </c>
      <c r="M130" s="1541">
        <v>17</v>
      </c>
      <c r="N130" s="1542">
        <v>220</v>
      </c>
      <c r="O130" s="1543">
        <v>30</v>
      </c>
      <c r="P130" s="2549" t="s">
        <v>7012</v>
      </c>
      <c r="Q130" s="1544">
        <v>17</v>
      </c>
      <c r="R130" s="3247"/>
      <c r="S130" s="3248"/>
      <c r="T130" s="3247"/>
      <c r="U130" s="3224"/>
      <c r="V130" s="3235"/>
      <c r="W130" s="3224"/>
      <c r="X130" s="335" t="n">
        <f>SUM('6층_부하량(월간_AVG)'!D92:F92)</f>
        <v>0.0</v>
      </c>
      <c r="Y130" s="335" t="n">
        <f>SUM('6층_부하량(월간_AVG)'!D122:F122)</f>
        <v>0.0</v>
      </c>
      <c r="Z130" s="2558" t="n">
        <f t="shared" si="17"/>
        <v>0.0</v>
      </c>
      <c r="AA130" s="2838" t="n" cm="1">
        <f t="array" ref="AA130">INDEX('각층분기별_유효전력량(전월)'!$I$2:$I$2017,MATCH(1,("6-DaHall 1-PDU-09"='각층분기별_유효전력량(전월)'!$G$2:$G$2017)*("[branch#017] [A] kWh last month"='각층분기별_유효전력량(전월)'!$H$2:$H$2017),0))</f>
        <v>0.0</v>
      </c>
      <c r="AB130" s="2976" t="n" cm="1">
        <f t="array" ref="AB130">INDEX('각층분기별_유효전력량(전월)'!$I$2:$I$2017,MATCH(1,("6-DaHall 1-PDU-10"='각층분기별_유효전력량(전월)'!$G$2:$G$2017)*("[branch#017] [A] kWh last month"='각층분기별_유효전력량(전월)'!$H$2:$H$2017),0))</f>
        <v>0.0</v>
      </c>
      <c r="AC130" s="2977" t="n">
        <f t="shared" si="18"/>
        <v>0.0</v>
      </c>
      <c r="AD130" s="2958"/>
    </row>
    <row r="131" spans="1:30" ht="14.25" thickTop="1" x14ac:dyDescent="0.15">
      <c r="A131" s="1105" t="s">
        <v>541</v>
      </c>
      <c r="B131" s="834"/>
      <c r="C131" s="834"/>
      <c r="D131" s="834"/>
      <c r="E131" s="834"/>
      <c r="F131" s="902"/>
      <c r="G131" s="903"/>
      <c r="H131" s="2218"/>
      <c r="I131" s="2219"/>
      <c r="J131" s="1523"/>
      <c r="K131" s="1524"/>
      <c r="L131" s="902"/>
      <c r="M131" s="1525"/>
      <c r="N131" s="1526"/>
      <c r="O131" s="1527"/>
      <c r="P131" s="903"/>
      <c r="Q131" s="1528"/>
      <c r="R131" s="835"/>
      <c r="S131" s="836"/>
      <c r="T131" s="835"/>
      <c r="U131" s="836"/>
      <c r="V131" s="835"/>
      <c r="W131" s="836"/>
      <c r="X131" s="841"/>
      <c r="Y131" s="841"/>
      <c r="Z131" s="2562"/>
      <c r="AA131" s="2969"/>
      <c r="AB131" s="2970"/>
      <c r="AC131" s="2978" t="n">
        <f t="shared" si="18"/>
        <v>0.0</v>
      </c>
      <c r="AD131" s="2971" t="s">
        <v>1579</v>
      </c>
    </row>
    <row r="132" spans="1:30" ht="27.75" customHeight="1" x14ac:dyDescent="0.15">
      <c r="A132" s="2769" t="s">
        <v>1771</v>
      </c>
      <c r="B132" s="2765" t="s">
        <v>1772</v>
      </c>
      <c r="C132" s="2765"/>
      <c r="D132" s="2765" t="s">
        <v>1773</v>
      </c>
      <c r="E132" s="2765" t="s">
        <v>1774</v>
      </c>
      <c r="F132" s="2757" t="s">
        <v>1775</v>
      </c>
      <c r="G132" s="2752" t="s">
        <v>1776</v>
      </c>
      <c r="H132" s="2220" t="str">
        <f t="shared" ref="H132:H140" si="19">"6-DaHall 1-PDU-"&amp;L132&amp;"-"&amp;K132&amp;"-"&amp;M132</f>
        <v>6-DaHall 1-PDU-11-30-2</v>
      </c>
      <c r="I132" s="2221" t="str">
        <f t="shared" ref="I132:I140" si="20">"6-DaHall 1-PDU-"&amp;P132&amp;"-"&amp;O132&amp;"-"&amp;Q132</f>
        <v>6-DaHall 1-PDU-12-30-2</v>
      </c>
      <c r="J132" s="1531">
        <v>220</v>
      </c>
      <c r="K132" s="1532">
        <v>30</v>
      </c>
      <c r="L132" s="2540" t="s">
        <v>6968</v>
      </c>
      <c r="M132" s="1533">
        <v>2</v>
      </c>
      <c r="N132" s="1534">
        <v>220</v>
      </c>
      <c r="O132" s="1535">
        <v>30</v>
      </c>
      <c r="P132" s="2546" t="s">
        <v>6975</v>
      </c>
      <c r="Q132" s="1536">
        <v>2</v>
      </c>
      <c r="R132" s="3231" t="s">
        <v>1777</v>
      </c>
      <c r="S132" s="3223" t="s">
        <v>1778</v>
      </c>
      <c r="T132" s="3231" t="s">
        <v>1779</v>
      </c>
      <c r="U132" s="3223" t="s">
        <v>1780</v>
      </c>
      <c r="V132" s="3231" t="s">
        <v>1590</v>
      </c>
      <c r="W132" s="3223" t="s">
        <v>1591</v>
      </c>
      <c r="X132" s="1439" t="n">
        <f>SUM('6층_부하량(월간_AVG)'!L144:N144)</f>
        <v>0.0</v>
      </c>
      <c r="Y132" s="1439" t="n">
        <f>SUM('6층_부하량(월간_AVG)'!L173:N173)</f>
        <v>0.0</v>
      </c>
      <c r="Z132" s="2556" t="n">
        <f t="shared" ref="Z132:Z140" si="21">SUM(X132:Y132)</f>
        <v>0.0</v>
      </c>
      <c r="AA132" s="2983" t="n" cm="1">
        <f t="array" ref="AA132">INDEX('각층분기별_유효전력량(전월)'!$I$2:$I$2017,MATCH(1,("6-DaHall 1-PDU-11"='각층분기별_유효전력량(전월)'!$G$2:$G$2017)*("[branch#002] [A] kWh last month"='각층분기별_유효전력량(전월)'!$H$2:$H$2017),0))</f>
        <v>0.0</v>
      </c>
      <c r="AB132" s="2859" t="n" cm="1">
        <f t="array" ref="AB132">INDEX('각층분기별_유효전력량(전월)'!$I$2:$I$2017,MATCH(1,("6-DaHall 1-PDU-12"='각층분기별_유효전력량(전월)'!$G$2:$G$2017)*("[branch#002] [A] kWh last month"='각층분기별_유효전력량(전월)'!$H$2:$H$2017),0))</f>
        <v>0.0</v>
      </c>
      <c r="AC132" s="2972" t="n">
        <f t="shared" si="18"/>
        <v>0.0</v>
      </c>
      <c r="AD132" s="2954" t="s">
        <v>1781</v>
      </c>
    </row>
    <row r="133" spans="1:30" ht="27.75" customHeight="1" x14ac:dyDescent="0.15">
      <c r="A133" s="2769" t="s">
        <v>1782</v>
      </c>
      <c r="B133" s="2765" t="s">
        <v>1783</v>
      </c>
      <c r="C133" s="2765"/>
      <c r="D133" s="2765" t="s">
        <v>1784</v>
      </c>
      <c r="E133" s="2765" t="s">
        <v>1785</v>
      </c>
      <c r="F133" s="2757" t="s">
        <v>1786</v>
      </c>
      <c r="G133" s="2752" t="s">
        <v>1787</v>
      </c>
      <c r="H133" s="2220" t="str">
        <f t="shared" si="19"/>
        <v>6-DaHall 1-PDU-11-30-4</v>
      </c>
      <c r="I133" s="2221" t="str">
        <f t="shared" si="20"/>
        <v>6-DaHall 1-PDU-12-30-4</v>
      </c>
      <c r="J133" s="1531">
        <v>220</v>
      </c>
      <c r="K133" s="1532">
        <v>30</v>
      </c>
      <c r="L133" s="2540" t="s">
        <v>6968</v>
      </c>
      <c r="M133" s="1533">
        <v>4</v>
      </c>
      <c r="N133" s="1534">
        <v>220</v>
      </c>
      <c r="O133" s="1535">
        <v>30</v>
      </c>
      <c r="P133" s="2546" t="s">
        <v>6975</v>
      </c>
      <c r="Q133" s="1536">
        <v>4</v>
      </c>
      <c r="R133" s="3241"/>
      <c r="S133" s="3223"/>
      <c r="T133" s="3241"/>
      <c r="U133" s="3223"/>
      <c r="V133" s="3241"/>
      <c r="W133" s="3242"/>
      <c r="X133" s="1439" t="n">
        <f>SUM('6층_부하량(월간_AVG)'!L145:N145)</f>
        <v>0.0</v>
      </c>
      <c r="Y133" s="1439" t="n">
        <f>SUM('6층_부하량(월간_AVG)'!L174:N174)</f>
        <v>0.0</v>
      </c>
      <c r="Z133" s="2556" t="n">
        <f t="shared" si="21"/>
        <v>0.0</v>
      </c>
      <c r="AA133" s="2983" t="n" cm="1">
        <f t="array" ref="AA133">INDEX('각층분기별_유효전력량(전월)'!$I$2:$I$2017,MATCH(1,("6-DaHall 1-PDU-11"='각층분기별_유효전력량(전월)'!$G$2:$G$2017)*("[branch#004] [A] kWh last month"='각층분기별_유효전력량(전월)'!$H$2:$H$2017),0))</f>
        <v>0.0</v>
      </c>
      <c r="AB133" s="2859" t="n" cm="1">
        <f t="array" ref="AB133">INDEX('각층분기별_유효전력량(전월)'!$I$2:$I$2017,MATCH(1,("6-DaHall 1-PDU-12"='각층분기별_유효전력량(전월)'!$G$2:$G$2017)*("[branch#004] [A] kWh last month"='각층분기별_유효전력량(전월)'!$H$2:$H$2017),0))</f>
        <v>0.0</v>
      </c>
      <c r="AC133" s="2972" t="n">
        <f t="shared" si="18"/>
        <v>0.0</v>
      </c>
      <c r="AD133" s="2954" t="s">
        <v>1788</v>
      </c>
    </row>
    <row r="134" spans="1:30" ht="27.75" customHeight="1" x14ac:dyDescent="0.15">
      <c r="A134" s="2769" t="s">
        <v>1789</v>
      </c>
      <c r="B134" s="2765" t="s">
        <v>1790</v>
      </c>
      <c r="C134" s="2765"/>
      <c r="D134" s="2765" t="s">
        <v>1791</v>
      </c>
      <c r="E134" s="2765" t="s">
        <v>1792</v>
      </c>
      <c r="F134" s="2757" t="s">
        <v>1793</v>
      </c>
      <c r="G134" s="2752" t="s">
        <v>1794</v>
      </c>
      <c r="H134" s="2220" t="str">
        <f t="shared" si="19"/>
        <v>6-DaHall 1-PDU-11-30-6</v>
      </c>
      <c r="I134" s="2221" t="str">
        <f t="shared" si="20"/>
        <v>6-DaHall 1-PDU-12-30-6</v>
      </c>
      <c r="J134" s="1531">
        <v>220</v>
      </c>
      <c r="K134" s="1532">
        <v>30</v>
      </c>
      <c r="L134" s="2540" t="s">
        <v>6968</v>
      </c>
      <c r="M134" s="1533">
        <v>6</v>
      </c>
      <c r="N134" s="1534">
        <v>220</v>
      </c>
      <c r="O134" s="1535">
        <v>30</v>
      </c>
      <c r="P134" s="2546" t="s">
        <v>6975</v>
      </c>
      <c r="Q134" s="1536">
        <v>6</v>
      </c>
      <c r="R134" s="3241"/>
      <c r="S134" s="3223"/>
      <c r="T134" s="3241"/>
      <c r="U134" s="3223"/>
      <c r="V134" s="3241"/>
      <c r="W134" s="3242"/>
      <c r="X134" s="1439" t="n">
        <f>SUM('6층_부하량(월간_AVG)'!L146:N146)</f>
        <v>0.0</v>
      </c>
      <c r="Y134" s="1439" t="n">
        <f>SUM('6층_부하량(월간_AVG)'!L175:N175)</f>
        <v>0.0</v>
      </c>
      <c r="Z134" s="2556" t="n">
        <f t="shared" si="21"/>
        <v>0.0</v>
      </c>
      <c r="AA134" s="2983" t="n" cm="1">
        <f t="array" ref="AA134">INDEX('각층분기별_유효전력량(전월)'!$I$2:$I$2017,MATCH(1,("6-DaHall 1-PDU-11"='각층분기별_유효전력량(전월)'!$G$2:$G$2017)*("[branch#006] [A] kWh last month"='각층분기별_유효전력량(전월)'!$H$2:$H$2017),0))</f>
        <v>0.0</v>
      </c>
      <c r="AB134" s="2859" t="n" cm="1">
        <f t="array" ref="AB134">INDEX('각층분기별_유효전력량(전월)'!$I$2:$I$2017,MATCH(1,("6-DaHall 1-PDU-12"='각층분기별_유효전력량(전월)'!$G$2:$G$2017)*("[branch#006] [A] kWh last month"='각층분기별_유효전력량(전월)'!$H$2:$H$2017),0))</f>
        <v>0.0</v>
      </c>
      <c r="AC134" s="2972" t="n">
        <f t="shared" si="18"/>
        <v>0.0</v>
      </c>
      <c r="AD134" s="2954" t="s">
        <v>1788</v>
      </c>
    </row>
    <row r="135" spans="1:30" ht="27.75" customHeight="1" x14ac:dyDescent="0.15">
      <c r="A135" s="2769" t="s">
        <v>1795</v>
      </c>
      <c r="B135" s="2765" t="s">
        <v>1796</v>
      </c>
      <c r="C135" s="2765"/>
      <c r="D135" s="2765" t="s">
        <v>1797</v>
      </c>
      <c r="E135" s="2765" t="s">
        <v>1798</v>
      </c>
      <c r="F135" s="2757" t="s">
        <v>1799</v>
      </c>
      <c r="G135" s="2752" t="s">
        <v>1800</v>
      </c>
      <c r="H135" s="2220" t="str">
        <f t="shared" si="19"/>
        <v>6-DaHall 1-PDU-11-30-8</v>
      </c>
      <c r="I135" s="2221" t="str">
        <f t="shared" si="20"/>
        <v>6-DaHall 1-PDU-12-30-8</v>
      </c>
      <c r="J135" s="1531">
        <v>220</v>
      </c>
      <c r="K135" s="1532">
        <v>30</v>
      </c>
      <c r="L135" s="2540" t="s">
        <v>6968</v>
      </c>
      <c r="M135" s="1533">
        <v>8</v>
      </c>
      <c r="N135" s="1534">
        <v>220</v>
      </c>
      <c r="O135" s="1535">
        <v>30</v>
      </c>
      <c r="P135" s="2546" t="s">
        <v>6975</v>
      </c>
      <c r="Q135" s="1536">
        <v>8</v>
      </c>
      <c r="R135" s="3241"/>
      <c r="S135" s="3223"/>
      <c r="T135" s="3241"/>
      <c r="U135" s="3223"/>
      <c r="V135" s="3241"/>
      <c r="W135" s="3242"/>
      <c r="X135" s="1439" t="n">
        <f>SUM('6층_부하량(월간_AVG)'!L147:N147)</f>
        <v>0.0</v>
      </c>
      <c r="Y135" s="1439" t="n">
        <f>SUM('6층_부하량(월간_AVG)'!L176:N176)</f>
        <v>0.0</v>
      </c>
      <c r="Z135" s="2556" t="n">
        <f t="shared" si="21"/>
        <v>0.0</v>
      </c>
      <c r="AA135" s="2983" t="n" cm="1">
        <f t="array" ref="AA135">INDEX('각층분기별_유효전력량(전월)'!$I$2:$I$2017,MATCH(1,("6-DaHall 1-PDU-11"='각층분기별_유효전력량(전월)'!$G$2:$G$2017)*("[branch#008] [A] kWh last month"='각층분기별_유효전력량(전월)'!$H$2:$H$2017),0))</f>
        <v>0.0</v>
      </c>
      <c r="AB135" s="2859" t="n" cm="1">
        <f t="array" ref="AB135">INDEX('각층분기별_유효전력량(전월)'!$I$2:$I$2017,MATCH(1,("6-DaHall 1-PDU-12"='각층분기별_유효전력량(전월)'!$G$2:$G$2017)*("[branch#008] [A] kWh last month"='각층분기별_유효전력량(전월)'!$H$2:$H$2017),0))</f>
        <v>0.0</v>
      </c>
      <c r="AC135" s="2972" t="n">
        <f t="shared" si="18"/>
        <v>0.0</v>
      </c>
      <c r="AD135" s="2954" t="s">
        <v>1788</v>
      </c>
    </row>
    <row r="136" spans="1:30" ht="27.75" customHeight="1" x14ac:dyDescent="0.15">
      <c r="A136" s="2769" t="s">
        <v>1801</v>
      </c>
      <c r="B136" s="2765" t="s">
        <v>1802</v>
      </c>
      <c r="C136" s="2784"/>
      <c r="D136" s="2765" t="s">
        <v>1803</v>
      </c>
      <c r="E136" s="2765" t="s">
        <v>1804</v>
      </c>
      <c r="F136" s="2757" t="s">
        <v>1805</v>
      </c>
      <c r="G136" s="2752" t="s">
        <v>1806</v>
      </c>
      <c r="H136" s="2220" t="str">
        <f t="shared" si="19"/>
        <v>6-DaHall 1-PDU-11-30-10</v>
      </c>
      <c r="I136" s="2221" t="str">
        <f t="shared" si="20"/>
        <v>6-DaHall 1-PDU-12-30-10</v>
      </c>
      <c r="J136" s="1531">
        <v>220</v>
      </c>
      <c r="K136" s="1532">
        <v>30</v>
      </c>
      <c r="L136" s="2540" t="s">
        <v>6968</v>
      </c>
      <c r="M136" s="1533">
        <v>10</v>
      </c>
      <c r="N136" s="1534">
        <v>220</v>
      </c>
      <c r="O136" s="1535">
        <v>30</v>
      </c>
      <c r="P136" s="2546" t="s">
        <v>6975</v>
      </c>
      <c r="Q136" s="1536">
        <v>10</v>
      </c>
      <c r="R136" s="3241"/>
      <c r="S136" s="3223"/>
      <c r="T136" s="3241"/>
      <c r="U136" s="3223"/>
      <c r="V136" s="3241"/>
      <c r="W136" s="3242"/>
      <c r="X136" s="270" t="n">
        <f>SUM('6층_부하량(월간_AVG)'!L148:N148)</f>
        <v>4.970310707218785</v>
      </c>
      <c r="Y136" s="270" t="n">
        <f>SUM('6층_부하량(월간_AVG)'!L177:N177)</f>
        <v>4.940275096261333</v>
      </c>
      <c r="Z136" s="2557" t="n">
        <f t="shared" si="21"/>
        <v>9.910585803480117</v>
      </c>
      <c r="AA136" s="2983" t="n" cm="1">
        <f t="array" ref="AA136">INDEX('각층분기별_유효전력량(전월)'!$I$2:$I$2017,MATCH(1,("6-DaHall 1-PDU-11"='각층분기별_유효전력량(전월)'!$G$2:$G$2017)*("[branch#010] [A] kWh last month"='각층분기별_유효전력량(전월)'!$H$2:$H$2017),0))</f>
        <v>825.6</v>
      </c>
      <c r="AB136" s="2859" t="n" cm="1">
        <f t="array" ref="AB136">INDEX('각층분기별_유효전력량(전월)'!$I$2:$I$2017,MATCH(1,("6-DaHall 1-PDU-12"='각층분기별_유효전력량(전월)'!$G$2:$G$2017)*("[branch#010] [A] kWh last month"='각층분기별_유효전력량(전월)'!$H$2:$H$2017),0))</f>
        <v>825.7</v>
      </c>
      <c r="AC136" s="2972" t="n">
        <f t="shared" si="18"/>
        <v>1651.3000000000002</v>
      </c>
      <c r="AD136" s="2627" t="s">
        <v>1807</v>
      </c>
    </row>
    <row r="137" spans="1:30" ht="27.75" customHeight="1" x14ac:dyDescent="0.15">
      <c r="A137" s="2769" t="s">
        <v>1808</v>
      </c>
      <c r="B137" s="2765" t="s">
        <v>1809</v>
      </c>
      <c r="C137" s="2784"/>
      <c r="D137" s="2765" t="s">
        <v>1810</v>
      </c>
      <c r="E137" s="2765" t="s">
        <v>1811</v>
      </c>
      <c r="F137" s="2757" t="s">
        <v>1812</v>
      </c>
      <c r="G137" s="2752" t="s">
        <v>1813</v>
      </c>
      <c r="H137" s="2220" t="str">
        <f t="shared" si="19"/>
        <v>6-DaHall 1-PDU-11-30-12</v>
      </c>
      <c r="I137" s="2221" t="str">
        <f t="shared" si="20"/>
        <v>6-DaHall 1-PDU-12-30-12</v>
      </c>
      <c r="J137" s="1531">
        <v>220</v>
      </c>
      <c r="K137" s="1532">
        <v>30</v>
      </c>
      <c r="L137" s="2540" t="s">
        <v>6968</v>
      </c>
      <c r="M137" s="1533">
        <v>12</v>
      </c>
      <c r="N137" s="1534">
        <v>220</v>
      </c>
      <c r="O137" s="1535">
        <v>30</v>
      </c>
      <c r="P137" s="2546" t="s">
        <v>6975</v>
      </c>
      <c r="Q137" s="1536">
        <v>12</v>
      </c>
      <c r="R137" s="3241"/>
      <c r="S137" s="3223"/>
      <c r="T137" s="3241"/>
      <c r="U137" s="3223"/>
      <c r="V137" s="3241"/>
      <c r="W137" s="3242"/>
      <c r="X137" s="270" t="n">
        <f>SUM('6층_부하량(월간_AVG)'!L149:N149)</f>
        <v>0.0</v>
      </c>
      <c r="Y137" s="270" t="n">
        <f>SUM('6층_부하량(월간_AVG)'!L178:N178)</f>
        <v>0.0</v>
      </c>
      <c r="Z137" s="2557" t="n">
        <f t="shared" si="21"/>
        <v>0.0</v>
      </c>
      <c r="AA137" s="2983" t="n" cm="1">
        <f t="array" ref="AA137">INDEX('각층분기별_유효전력량(전월)'!$I$2:$I$2017,MATCH(1,("6-DaHall 1-PDU-11"='각층분기별_유효전력량(전월)'!$G$2:$G$2017)*("[branch#012] [A] kWh last month"='각층분기별_유효전력량(전월)'!$H$2:$H$2017),0))</f>
        <v>0.0</v>
      </c>
      <c r="AB137" s="2859" t="n" cm="1">
        <f t="array" ref="AB137">INDEX('각층분기별_유효전력량(전월)'!$I$2:$I$2017,MATCH(1,("6-DaHall 1-PDU-12"='각층분기별_유효전력량(전월)'!$G$2:$G$2017)*("[branch#012] [A] kWh last month"='각층분기별_유효전력량(전월)'!$H$2:$H$2017),0))</f>
        <v>0.0</v>
      </c>
      <c r="AC137" s="2972" t="n">
        <f t="shared" si="18"/>
        <v>0.0</v>
      </c>
      <c r="AD137" s="2954"/>
    </row>
    <row r="138" spans="1:30" ht="27.75" customHeight="1" x14ac:dyDescent="0.15">
      <c r="A138" s="2769" t="s">
        <v>1814</v>
      </c>
      <c r="B138" s="2765" t="s">
        <v>1815</v>
      </c>
      <c r="C138" s="2765"/>
      <c r="D138" s="2765" t="s">
        <v>1816</v>
      </c>
      <c r="E138" s="2763" t="s">
        <v>1817</v>
      </c>
      <c r="F138" s="2757" t="s">
        <v>1818</v>
      </c>
      <c r="G138" s="2752" t="s">
        <v>1819</v>
      </c>
      <c r="H138" s="2220" t="str">
        <f t="shared" si="19"/>
        <v>6-DaHall 1-PDU-11-30-14</v>
      </c>
      <c r="I138" s="2221" t="str">
        <f t="shared" si="20"/>
        <v>6-DaHall 1-PDU-10-30-21</v>
      </c>
      <c r="J138" s="1531">
        <v>220</v>
      </c>
      <c r="K138" s="1532">
        <v>30</v>
      </c>
      <c r="L138" s="2540" t="s">
        <v>6968</v>
      </c>
      <c r="M138" s="1533">
        <v>14</v>
      </c>
      <c r="N138" s="1534">
        <v>220</v>
      </c>
      <c r="O138" s="1535">
        <v>30</v>
      </c>
      <c r="P138" s="2546" t="s">
        <v>7012</v>
      </c>
      <c r="Q138" s="1536">
        <v>21</v>
      </c>
      <c r="R138" s="3241"/>
      <c r="S138" s="2752" t="s">
        <v>1587</v>
      </c>
      <c r="T138" s="3241"/>
      <c r="U138" s="2752" t="s">
        <v>1589</v>
      </c>
      <c r="V138" s="3241"/>
      <c r="W138" s="3242"/>
      <c r="X138" s="270" t="n">
        <f>SUM('6층_부하량(월간_AVG)'!L150:N150)</f>
        <v>0.0</v>
      </c>
      <c r="Y138" s="270" t="n">
        <f>SUM('6층_부하량(월간_AVG)'!D124:F124)</f>
        <v>0.0</v>
      </c>
      <c r="Z138" s="2557" t="n">
        <f t="shared" si="21"/>
        <v>0.0</v>
      </c>
      <c r="AA138" s="2983" t="n" cm="1">
        <f t="array" ref="AA138">INDEX('각층분기별_유효전력량(전월)'!$I$2:$I$2017,MATCH(1,("6-DaHall 1-PDU-11"='각층분기별_유효전력량(전월)'!$G$2:$G$2017)*("[branch#014] [A] kWh last month"='각층분기별_유효전력량(전월)'!$H$2:$H$2017),0))</f>
        <v>0.0</v>
      </c>
      <c r="AB138" s="2859" t="n" cm="1">
        <f t="array" ref="AB138">INDEX('각층분기별_유효전력량(전월)'!$I$2:$I$2017,MATCH(1,("6-DaHall 1-PDU-10"='각층분기별_유효전력량(전월)'!$G$2:$G$2017)*("[branch#021] [A] kWh last month"='각층분기별_유효전력량(전월)'!$H$2:$H$2017),0))</f>
        <v>0.0</v>
      </c>
      <c r="AC138" s="2972" t="n">
        <f t="shared" si="18"/>
        <v>0.0</v>
      </c>
      <c r="AD138" s="2954"/>
    </row>
    <row r="139" spans="1:30" ht="27.75" customHeight="1" x14ac:dyDescent="0.15">
      <c r="A139" s="2769" t="s">
        <v>1820</v>
      </c>
      <c r="B139" s="2765" t="s">
        <v>1821</v>
      </c>
      <c r="C139" s="2765"/>
      <c r="D139" s="2765" t="s">
        <v>1822</v>
      </c>
      <c r="E139" s="2765" t="s">
        <v>1823</v>
      </c>
      <c r="F139" s="2757" t="s">
        <v>1824</v>
      </c>
      <c r="G139" s="2752" t="s">
        <v>1825</v>
      </c>
      <c r="H139" s="2220" t="str">
        <f t="shared" si="19"/>
        <v>6-DaHall 1-PDU-11-30-16</v>
      </c>
      <c r="I139" s="2221" t="str">
        <f t="shared" si="20"/>
        <v>6-DaHall 1-PDU-12-30-16</v>
      </c>
      <c r="J139" s="1531">
        <v>220</v>
      </c>
      <c r="K139" s="1532">
        <v>30</v>
      </c>
      <c r="L139" s="2540" t="s">
        <v>6968</v>
      </c>
      <c r="M139" s="1533">
        <v>16</v>
      </c>
      <c r="N139" s="1534">
        <v>220</v>
      </c>
      <c r="O139" s="1535">
        <v>30</v>
      </c>
      <c r="P139" s="2546" t="s">
        <v>6975</v>
      </c>
      <c r="Q139" s="1536">
        <v>16</v>
      </c>
      <c r="R139" s="3241"/>
      <c r="S139" s="3223" t="s">
        <v>1826</v>
      </c>
      <c r="T139" s="3241"/>
      <c r="U139" s="3223" t="s">
        <v>1827</v>
      </c>
      <c r="V139" s="3241"/>
      <c r="W139" s="3242"/>
      <c r="X139" s="270" t="n">
        <f>SUM('6층_부하량(월간_AVG)'!L151:N151)</f>
        <v>0.0</v>
      </c>
      <c r="Y139" s="270" t="n">
        <f>SUM('6층_부하량(월간_AVG)'!L180:N180)</f>
        <v>0.0</v>
      </c>
      <c r="Z139" s="2557" t="n">
        <f t="shared" si="21"/>
        <v>0.0</v>
      </c>
      <c r="AA139" s="2983" t="n" cm="1">
        <f t="array" ref="AA139">INDEX('각층분기별_유효전력량(전월)'!$I$2:$I$2017,MATCH(1,("6-DaHall 1-PDU-11"='각층분기별_유효전력량(전월)'!$G$2:$G$2017)*("[branch#016] [A] kWh last month"='각층분기별_유효전력량(전월)'!$H$2:$H$2017),0))</f>
        <v>0.0</v>
      </c>
      <c r="AB139" s="2859" t="n" cm="1">
        <f t="array" ref="AB139">INDEX('각층분기별_유효전력량(전월)'!$I$2:$I$2017,MATCH(1,("6-DaHall 1-PDU-12"='각층분기별_유효전력량(전월)'!$G$2:$G$2017)*("[branch#016] [A] kWh last month"='각층분기별_유효전력량(전월)'!$H$2:$H$2017),0))</f>
        <v>0.0</v>
      </c>
      <c r="AC139" s="2972" t="n">
        <f t="shared" si="18"/>
        <v>0.0</v>
      </c>
      <c r="AD139" s="2954"/>
    </row>
    <row r="140" spans="1:30" ht="27.75" customHeight="1" thickBot="1" x14ac:dyDescent="0.2">
      <c r="A140" s="2779" t="s">
        <v>1828</v>
      </c>
      <c r="B140" s="2780" t="s">
        <v>1829</v>
      </c>
      <c r="C140" s="2780"/>
      <c r="D140" s="2780" t="s">
        <v>1830</v>
      </c>
      <c r="E140" s="2780" t="s">
        <v>1831</v>
      </c>
      <c r="F140" s="2759" t="s">
        <v>1832</v>
      </c>
      <c r="G140" s="2753" t="s">
        <v>1833</v>
      </c>
      <c r="H140" s="2222" t="str">
        <f t="shared" si="19"/>
        <v>6-DaHall 1-PDU-11-30-18</v>
      </c>
      <c r="I140" s="2223" t="str">
        <f t="shared" si="20"/>
        <v>6-DaHall 1-PDU-12-30-18</v>
      </c>
      <c r="J140" s="1539">
        <v>220</v>
      </c>
      <c r="K140" s="1540">
        <v>30</v>
      </c>
      <c r="L140" s="2543" t="s">
        <v>6968</v>
      </c>
      <c r="M140" s="1541">
        <v>18</v>
      </c>
      <c r="N140" s="1542">
        <v>220</v>
      </c>
      <c r="O140" s="1543">
        <v>30</v>
      </c>
      <c r="P140" s="2549" t="s">
        <v>6975</v>
      </c>
      <c r="Q140" s="1544">
        <v>18</v>
      </c>
      <c r="R140" s="3247"/>
      <c r="S140" s="3224"/>
      <c r="T140" s="3247"/>
      <c r="U140" s="3224"/>
      <c r="V140" s="3247"/>
      <c r="W140" s="3248"/>
      <c r="X140" s="335" t="n">
        <f>SUM('6층_부하량(월간_AVG)'!L152:N152)</f>
        <v>0.0</v>
      </c>
      <c r="Y140" s="335" t="n">
        <f>SUM('6층_부하량(월간_AVG)'!L181:N181)</f>
        <v>0.0</v>
      </c>
      <c r="Z140" s="2558" t="n">
        <f t="shared" si="21"/>
        <v>0.0</v>
      </c>
      <c r="AA140" s="2983" t="n" cm="1">
        <f t="array" ref="AA140">INDEX('각층분기별_유효전력량(전월)'!$I$2:$I$2017,MATCH(1,("6-DaHall 1-PDU-11"='각층분기별_유효전력량(전월)'!$G$2:$G$2017)*("[branch#018] [A] kWh last month"='각층분기별_유효전력량(전월)'!$H$2:$H$2017),0))</f>
        <v>0.0</v>
      </c>
      <c r="AB140" s="2976" t="n" cm="1">
        <f t="array" ref="AB140">INDEX('각층분기별_유효전력량(전월)'!$I$2:$I$2017,MATCH(1,("6-DaHall 1-PDU-12"='각층분기별_유효전력량(전월)'!$G$2:$G$2017)*("[branch#018] [A] kWh last month"='각층분기별_유효전력량(전월)'!$H$2:$H$2017),0))</f>
        <v>0.0</v>
      </c>
      <c r="AC140" s="2977" t="n">
        <f t="shared" si="18"/>
        <v>0.0</v>
      </c>
      <c r="AD140" s="2958"/>
    </row>
    <row r="141" spans="1:30" ht="14.25" thickTop="1" x14ac:dyDescent="0.15">
      <c r="A141" s="1105" t="s">
        <v>1834</v>
      </c>
      <c r="B141" s="834"/>
      <c r="C141" s="834"/>
      <c r="D141" s="834"/>
      <c r="E141" s="834"/>
      <c r="F141" s="902"/>
      <c r="G141" s="903"/>
      <c r="H141" s="2218"/>
      <c r="I141" s="2219"/>
      <c r="J141" s="1523"/>
      <c r="K141" s="1524"/>
      <c r="L141" s="902"/>
      <c r="M141" s="1525"/>
      <c r="N141" s="1526"/>
      <c r="O141" s="1527"/>
      <c r="P141" s="903"/>
      <c r="Q141" s="1528"/>
      <c r="R141" s="835"/>
      <c r="S141" s="836"/>
      <c r="T141" s="835"/>
      <c r="U141" s="836"/>
      <c r="V141" s="835"/>
      <c r="W141" s="836"/>
      <c r="X141" s="841"/>
      <c r="Y141" s="841"/>
      <c r="Z141" s="2562"/>
      <c r="AA141" s="2969"/>
      <c r="AB141" s="2970"/>
      <c r="AC141" s="2978" t="n">
        <f t="shared" si="18"/>
        <v>0.0</v>
      </c>
      <c r="AD141" s="2971" t="s">
        <v>1579</v>
      </c>
    </row>
    <row r="142" spans="1:30" ht="40.5" x14ac:dyDescent="0.15">
      <c r="A142" s="2769" t="s">
        <v>1835</v>
      </c>
      <c r="B142" s="2765" t="s">
        <v>1836</v>
      </c>
      <c r="C142" s="2765"/>
      <c r="D142" s="2765" t="s">
        <v>1837</v>
      </c>
      <c r="E142" s="2765" t="s">
        <v>1838</v>
      </c>
      <c r="F142" s="2757" t="s">
        <v>1839</v>
      </c>
      <c r="G142" s="2752" t="s">
        <v>1840</v>
      </c>
      <c r="H142" s="2220" t="str">
        <f t="shared" ref="H142:H150" si="22">"6-DaHall 1-PDU-"&amp;L142&amp;"-"&amp;K142&amp;"-"&amp;M142</f>
        <v>6-DaHall 1-PDU-13-30-52</v>
      </c>
      <c r="I142" s="2221" t="str">
        <f t="shared" ref="I142:I150" si="23">"6-DaHall 1-PDU-"&amp;P142&amp;"-"&amp;O142&amp;"-"&amp;Q142</f>
        <v>6-DaHall 1-PDU-14-30-52</v>
      </c>
      <c r="J142" s="1545">
        <v>220</v>
      </c>
      <c r="K142" s="1546">
        <v>30</v>
      </c>
      <c r="L142" s="2540" t="s">
        <v>6969</v>
      </c>
      <c r="M142" s="1533">
        <v>52</v>
      </c>
      <c r="N142" s="1537">
        <v>220</v>
      </c>
      <c r="O142" s="1538">
        <v>30</v>
      </c>
      <c r="P142" s="2546" t="s">
        <v>6976</v>
      </c>
      <c r="Q142" s="1536">
        <v>52</v>
      </c>
      <c r="R142" s="2757" t="s">
        <v>1720</v>
      </c>
      <c r="S142" s="2752" t="s">
        <v>1721</v>
      </c>
      <c r="T142" s="2757" t="s">
        <v>1722</v>
      </c>
      <c r="U142" s="2752" t="s">
        <v>1723</v>
      </c>
      <c r="V142" s="3231" t="s">
        <v>1590</v>
      </c>
      <c r="W142" s="3223" t="s">
        <v>1591</v>
      </c>
      <c r="X142" s="270" t="n">
        <f>SUM('6층_부하량(월간_AVG)'!L45:N45)</f>
        <v>0.0</v>
      </c>
      <c r="Y142" s="270" t="n">
        <f>SUM('6층_부하량(월간_AVG)'!L77:N77)</f>
        <v>0.0</v>
      </c>
      <c r="Z142" s="2557" t="n">
        <f t="shared" ref="Z142:Z147" si="24">SUM(X142:Y142)</f>
        <v>0.0</v>
      </c>
      <c r="AA142" s="2838" t="n" cm="1">
        <f t="array" ref="AA142">INDEX('각층분기별_유효전력량(전월)'!$I$2:$I$2017,MATCH(1,("6-DaHall 1-PDU-13"='각층분기별_유효전력량(전월)'!$G$2:$G$2017)*("[branch#052] [A] kWh last month"='각층분기별_유효전력량(전월)'!$H$2:$H$2017),0))</f>
        <v>0.0</v>
      </c>
      <c r="AB142" s="2859" t="n" cm="1">
        <f t="array" ref="AB142">INDEX('각층분기별_유효전력량(전월)'!$I$2:$I$2017,MATCH(1,("6-DaHall 1-PDU-14"='각층분기별_유효전력량(전월)'!$G$2:$G$2017)*("[branch#052] [A] kWh last month"='각층분기별_유효전력량(전월)'!$H$2:$H$2017),0))</f>
        <v>0.0</v>
      </c>
      <c r="AC142" s="2972" t="n">
        <f t="shared" si="18"/>
        <v>0.0</v>
      </c>
      <c r="AD142" s="2955"/>
    </row>
    <row r="143" spans="1:30" ht="27" x14ac:dyDescent="0.15">
      <c r="A143" s="2769" t="s">
        <v>1841</v>
      </c>
      <c r="B143" s="2765" t="s">
        <v>1842</v>
      </c>
      <c r="C143" s="2765"/>
      <c r="D143" s="2765" t="s">
        <v>1843</v>
      </c>
      <c r="E143" s="2765" t="s">
        <v>1844</v>
      </c>
      <c r="F143" s="2757" t="s">
        <v>1845</v>
      </c>
      <c r="G143" s="2752" t="s">
        <v>1846</v>
      </c>
      <c r="H143" s="2220" t="str">
        <f t="shared" si="22"/>
        <v>6-DaHall 1-PDU-11-30-3</v>
      </c>
      <c r="I143" s="2221" t="str">
        <f t="shared" si="23"/>
        <v>6-DaHall 1-PDU-12-30-3</v>
      </c>
      <c r="J143" s="1531">
        <v>220</v>
      </c>
      <c r="K143" s="1532">
        <v>30</v>
      </c>
      <c r="L143" s="2540" t="s">
        <v>6968</v>
      </c>
      <c r="M143" s="1533">
        <v>3</v>
      </c>
      <c r="N143" s="1534">
        <v>220</v>
      </c>
      <c r="O143" s="1535">
        <v>30</v>
      </c>
      <c r="P143" s="2546" t="s">
        <v>6975</v>
      </c>
      <c r="Q143" s="1536">
        <v>3</v>
      </c>
      <c r="R143" s="3231" t="s">
        <v>1777</v>
      </c>
      <c r="S143" s="3223" t="s">
        <v>1778</v>
      </c>
      <c r="T143" s="3231" t="s">
        <v>1779</v>
      </c>
      <c r="U143" s="3223" t="s">
        <v>1780</v>
      </c>
      <c r="V143" s="3241"/>
      <c r="W143" s="3242"/>
      <c r="X143" s="270" t="n">
        <f>SUM('6층_부하량(월간_AVG)'!D145:F145)</f>
        <v>0.0</v>
      </c>
      <c r="Y143" s="270" t="n">
        <f>SUM('6층_부하량(월간_AVG)'!D174:F174)</f>
        <v>0.0</v>
      </c>
      <c r="Z143" s="2557" t="n">
        <f t="shared" si="24"/>
        <v>0.0</v>
      </c>
      <c r="AA143" s="2838" t="n" cm="1">
        <f t="array" ref="AA143">INDEX('각층분기별_유효전력량(전월)'!$I$2:$I$2017,MATCH(1,("6-DaHall 1-PDU-11"='각층분기별_유효전력량(전월)'!$G$2:$G$2017)*("[branch#003] [A] kWh last month"='각층분기별_유효전력량(전월)'!$H$2:$H$2017),0))</f>
        <v>0.0</v>
      </c>
      <c r="AB143" s="2859" t="n" cm="1">
        <f t="array" ref="AB143">INDEX('각층분기별_유효전력량(전월)'!$I$2:$I$2017,MATCH(1,("6-DaHall 1-PDU-12"='각층분기별_유효전력량(전월)'!$G$2:$G$2017)*("[branch#003] [A] kWh last month"='각층분기별_유효전력량(전월)'!$H$2:$H$2017),0))</f>
        <v>0.0</v>
      </c>
      <c r="AC143" s="2972" t="n">
        <f t="shared" si="18"/>
        <v>0.0</v>
      </c>
      <c r="AD143" s="2954" t="s">
        <v>1847</v>
      </c>
    </row>
    <row r="144" spans="1:30" ht="27" x14ac:dyDescent="0.15">
      <c r="A144" s="2769" t="s">
        <v>1848</v>
      </c>
      <c r="B144" s="2765" t="s">
        <v>1849</v>
      </c>
      <c r="C144" s="2765"/>
      <c r="D144" s="2765" t="s">
        <v>1850</v>
      </c>
      <c r="E144" s="2765" t="s">
        <v>1851</v>
      </c>
      <c r="F144" s="2757" t="s">
        <v>1852</v>
      </c>
      <c r="G144" s="2752" t="s">
        <v>1853</v>
      </c>
      <c r="H144" s="2220" t="str">
        <f t="shared" si="22"/>
        <v>6-DaHall 1-PDU-11-30-5</v>
      </c>
      <c r="I144" s="2221" t="str">
        <f t="shared" si="23"/>
        <v>6-DaHall 1-PDU-12-30-5</v>
      </c>
      <c r="J144" s="1531">
        <v>220</v>
      </c>
      <c r="K144" s="1532">
        <v>30</v>
      </c>
      <c r="L144" s="2540" t="s">
        <v>6968</v>
      </c>
      <c r="M144" s="1533">
        <v>5</v>
      </c>
      <c r="N144" s="1534">
        <v>220</v>
      </c>
      <c r="O144" s="1535">
        <v>30</v>
      </c>
      <c r="P144" s="2546" t="s">
        <v>6975</v>
      </c>
      <c r="Q144" s="1536">
        <v>5</v>
      </c>
      <c r="R144" s="3241"/>
      <c r="S144" s="3242"/>
      <c r="T144" s="3231"/>
      <c r="U144" s="3242"/>
      <c r="V144" s="3241"/>
      <c r="W144" s="3242"/>
      <c r="X144" s="270" t="n">
        <f>SUM('6층_부하량(월간_AVG)'!D146:F146)</f>
        <v>0.0</v>
      </c>
      <c r="Y144" s="270" t="n">
        <f>SUM('6층_부하량(월간_AVG)'!D175:F175)</f>
        <v>0.0</v>
      </c>
      <c r="Z144" s="2557" t="n">
        <f t="shared" si="24"/>
        <v>0.0</v>
      </c>
      <c r="AA144" s="2838" t="n" cm="1">
        <f t="array" ref="AA144">INDEX('각층분기별_유효전력량(전월)'!$I$2:$I$2017,MATCH(1,("6-DaHall 1-PDU-11"='각층분기별_유효전력량(전월)'!$G$2:$G$2017)*("[branch#005] [A] kWh last month"='각층분기별_유효전력량(전월)'!$H$2:$H$2017),0))</f>
        <v>0.0</v>
      </c>
      <c r="AB144" s="2859" t="n" cm="1">
        <f t="array" ref="AB144">INDEX('각층분기별_유효전력량(전월)'!$I$2:$I$2017,MATCH(1,("6-DaHall 1-PDU-12"='각층분기별_유효전력량(전월)'!$G$2:$G$2017)*("[branch#005] [A] kWh last month"='각층분기별_유효전력량(전월)'!$H$2:$H$2017),0))</f>
        <v>0.0</v>
      </c>
      <c r="AC144" s="2972" t="n">
        <f t="shared" si="18"/>
        <v>0.0</v>
      </c>
      <c r="AD144" s="2954"/>
    </row>
    <row r="145" spans="1:30" ht="27" x14ac:dyDescent="0.15">
      <c r="A145" s="2769" t="s">
        <v>1854</v>
      </c>
      <c r="B145" s="2765" t="s">
        <v>1855</v>
      </c>
      <c r="C145" s="2765"/>
      <c r="D145" s="2765" t="s">
        <v>1856</v>
      </c>
      <c r="E145" s="2765" t="s">
        <v>1857</v>
      </c>
      <c r="F145" s="2757" t="s">
        <v>1858</v>
      </c>
      <c r="G145" s="2752" t="s">
        <v>1859</v>
      </c>
      <c r="H145" s="2220" t="str">
        <f t="shared" si="22"/>
        <v>6-DaHall 1-PDU-11-30-7</v>
      </c>
      <c r="I145" s="2221" t="str">
        <f t="shared" si="23"/>
        <v>6-DaHall 1-PDU-12-30-7</v>
      </c>
      <c r="J145" s="1531">
        <v>220</v>
      </c>
      <c r="K145" s="1532">
        <v>30</v>
      </c>
      <c r="L145" s="2540" t="s">
        <v>6968</v>
      </c>
      <c r="M145" s="1533">
        <v>7</v>
      </c>
      <c r="N145" s="1534">
        <v>220</v>
      </c>
      <c r="O145" s="1535">
        <v>30</v>
      </c>
      <c r="P145" s="2546" t="s">
        <v>6975</v>
      </c>
      <c r="Q145" s="1536">
        <v>7</v>
      </c>
      <c r="R145" s="3241"/>
      <c r="S145" s="3242"/>
      <c r="T145" s="3231"/>
      <c r="U145" s="3242"/>
      <c r="V145" s="3241"/>
      <c r="W145" s="3242"/>
      <c r="X145" s="270" t="n">
        <f>SUM('6층_부하량(월간_AVG)'!D147:F147)</f>
        <v>0.0</v>
      </c>
      <c r="Y145" s="270" t="n">
        <f>SUM('6층_부하량(월간_AVG)'!D176:F176)</f>
        <v>0.0</v>
      </c>
      <c r="Z145" s="2557" t="n">
        <f t="shared" si="24"/>
        <v>0.0</v>
      </c>
      <c r="AA145" s="2838" t="n" cm="1">
        <f t="array" ref="AA145">INDEX('각층분기별_유효전력량(전월)'!$I$2:$I$2017,MATCH(1,("6-DaHall 1-PDU-11"='각층분기별_유효전력량(전월)'!$G$2:$G$2017)*("[branch#007] [A] kWh last month"='각층분기별_유효전력량(전월)'!$H$2:$H$2017),0))</f>
        <v>0.0</v>
      </c>
      <c r="AB145" s="2859" t="n" cm="1">
        <f t="array" ref="AB145">INDEX('각층분기별_유효전력량(전월)'!$I$2:$I$2017,MATCH(1,("6-DaHall 1-PDU-12"='각층분기별_유효전력량(전월)'!$G$2:$G$2017)*("[branch#007] [A] kWh last month"='각층분기별_유효전력량(전월)'!$H$2:$H$2017),0))</f>
        <v>0.0</v>
      </c>
      <c r="AC145" s="2972" t="n">
        <f t="shared" si="18"/>
        <v>0.0</v>
      </c>
      <c r="AD145" s="2954"/>
    </row>
    <row r="146" spans="1:30" ht="27" x14ac:dyDescent="0.15">
      <c r="A146" s="2769" t="s">
        <v>1860</v>
      </c>
      <c r="B146" s="2765" t="s">
        <v>1861</v>
      </c>
      <c r="C146" s="2765"/>
      <c r="D146" s="2765" t="s">
        <v>1862</v>
      </c>
      <c r="E146" s="2765" t="s">
        <v>1863</v>
      </c>
      <c r="F146" s="2757" t="s">
        <v>1864</v>
      </c>
      <c r="G146" s="2752" t="s">
        <v>1865</v>
      </c>
      <c r="H146" s="2220" t="str">
        <f t="shared" si="22"/>
        <v>6-DaHall 1-PDU-11-30-9</v>
      </c>
      <c r="I146" s="2221" t="str">
        <f t="shared" si="23"/>
        <v>6-DaHall 1-PDU-12-30-9</v>
      </c>
      <c r="J146" s="1531">
        <v>220</v>
      </c>
      <c r="K146" s="1532">
        <v>30</v>
      </c>
      <c r="L146" s="2540" t="s">
        <v>6968</v>
      </c>
      <c r="M146" s="1533">
        <v>9</v>
      </c>
      <c r="N146" s="1534">
        <v>220</v>
      </c>
      <c r="O146" s="1535">
        <v>30</v>
      </c>
      <c r="P146" s="2546" t="s">
        <v>6975</v>
      </c>
      <c r="Q146" s="1536">
        <v>9</v>
      </c>
      <c r="R146" s="3241"/>
      <c r="S146" s="3242"/>
      <c r="T146" s="3231"/>
      <c r="U146" s="3242"/>
      <c r="V146" s="3241"/>
      <c r="W146" s="3242"/>
      <c r="X146" s="270" t="n">
        <f>SUM('6층_부하량(월간_AVG)'!D148:F148)</f>
        <v>0.0</v>
      </c>
      <c r="Y146" s="270" t="n">
        <f>SUM('6층_부하량(월간_AVG)'!D177:F177)</f>
        <v>0.0</v>
      </c>
      <c r="Z146" s="2557" t="n">
        <f t="shared" si="24"/>
        <v>0.0</v>
      </c>
      <c r="AA146" s="2838" t="n" cm="1">
        <f t="array" ref="AA146">INDEX('각층분기별_유효전력량(전월)'!$I$2:$I$2017,MATCH(1,("6-DaHall 1-PDU-11"='각층분기별_유효전력량(전월)'!$G$2:$G$2017)*("[branch#009] [A] kWh last month"='각층분기별_유효전력량(전월)'!$H$2:$H$2017),0))</f>
        <v>0.0</v>
      </c>
      <c r="AB146" s="2859" t="n" cm="1">
        <f t="array" ref="AB146">INDEX('각층분기별_유효전력량(전월)'!$I$2:$I$2017,MATCH(1,("6-DaHall 1-PDU-12"='각층분기별_유효전력량(전월)'!$G$2:$G$2017)*("[branch#009] [A] kWh last month"='각층분기별_유효전력량(전월)'!$H$2:$H$2017),0))</f>
        <v>0.0</v>
      </c>
      <c r="AC146" s="2972" t="n">
        <f t="shared" si="18"/>
        <v>0.0</v>
      </c>
      <c r="AD146" s="2954" t="s">
        <v>1690</v>
      </c>
    </row>
    <row r="147" spans="1:30" ht="27.75" customHeight="1" x14ac:dyDescent="0.15">
      <c r="A147" s="2769" t="s">
        <v>1866</v>
      </c>
      <c r="B147" s="2765" t="s">
        <v>1867</v>
      </c>
      <c r="C147" s="2765"/>
      <c r="D147" s="2765" t="s">
        <v>1868</v>
      </c>
      <c r="E147" s="2765" t="s">
        <v>1869</v>
      </c>
      <c r="F147" s="2757" t="s">
        <v>1870</v>
      </c>
      <c r="G147" s="2752" t="s">
        <v>1871</v>
      </c>
      <c r="H147" s="2220" t="str">
        <f t="shared" si="22"/>
        <v>6-DaHall 1-PDU-11-30-11</v>
      </c>
      <c r="I147" s="2221" t="str">
        <f t="shared" si="23"/>
        <v>6-DaHall 1-PDU-12-30-11</v>
      </c>
      <c r="J147" s="1531">
        <v>220</v>
      </c>
      <c r="K147" s="1532">
        <v>30</v>
      </c>
      <c r="L147" s="2540" t="s">
        <v>6968</v>
      </c>
      <c r="M147" s="1533">
        <v>11</v>
      </c>
      <c r="N147" s="1534">
        <v>220</v>
      </c>
      <c r="O147" s="1535">
        <v>30</v>
      </c>
      <c r="P147" s="2546" t="s">
        <v>6975</v>
      </c>
      <c r="Q147" s="1536">
        <v>11</v>
      </c>
      <c r="R147" s="3241"/>
      <c r="S147" s="3242"/>
      <c r="T147" s="3231"/>
      <c r="U147" s="3242"/>
      <c r="V147" s="3241"/>
      <c r="W147" s="3242"/>
      <c r="X147" s="270" t="n">
        <f>SUM('6층_부하량(월간_AVG)'!D149:F149)</f>
        <v>0.0</v>
      </c>
      <c r="Y147" s="270" t="n">
        <f>SUM('6층_부하량(월간_AVG)'!D178:F178)</f>
        <v>0.0</v>
      </c>
      <c r="Z147" s="2557" t="n">
        <f t="shared" si="24"/>
        <v>0.0</v>
      </c>
      <c r="AA147" s="2838" t="n" cm="1">
        <f t="array" ref="AA147">INDEX('각층분기별_유효전력량(전월)'!$I$2:$I$2017,MATCH(1,("6-DaHall 1-PDU-11"='각층분기별_유효전력량(전월)'!$G$2:$G$2017)*("[branch#011] [A] kWh last month"='각층분기별_유효전력량(전월)'!$H$2:$H$2017),0))</f>
        <v>0.0</v>
      </c>
      <c r="AB147" s="2859" t="n" cm="1">
        <f t="array" ref="AB147">INDEX('각층분기별_유효전력량(전월)'!$I$2:$I$2017,MATCH(1,("6-DaHall 1-PDU-12"='각층분기별_유효전력량(전월)'!$G$2:$G$2017)*("[branch#011] [A] kWh last month"='각층분기별_유효전력량(전월)'!$H$2:$H$2017),0))</f>
        <v>0.0</v>
      </c>
      <c r="AC147" s="2972" t="n">
        <f t="shared" si="18"/>
        <v>0.0</v>
      </c>
      <c r="AD147" s="2954" t="s">
        <v>1690</v>
      </c>
    </row>
    <row r="148" spans="1:30" ht="27.75" customHeight="1" x14ac:dyDescent="0.15">
      <c r="A148" s="2769" t="s">
        <v>1872</v>
      </c>
      <c r="B148" s="2765" t="s">
        <v>1873</v>
      </c>
      <c r="C148" s="2765"/>
      <c r="D148" s="2765" t="s">
        <v>1874</v>
      </c>
      <c r="E148" s="2765" t="s">
        <v>1875</v>
      </c>
      <c r="F148" s="2757" t="s">
        <v>1876</v>
      </c>
      <c r="G148" s="2757" t="s">
        <v>1877</v>
      </c>
      <c r="H148" s="2220" t="str">
        <f t="shared" si="22"/>
        <v>6-DaHall 1-PDU-11-30-13</v>
      </c>
      <c r="I148" s="2224" t="str">
        <f t="shared" si="23"/>
        <v>6-DaHall 1-PDU-09-30-31</v>
      </c>
      <c r="J148" s="1531">
        <v>220</v>
      </c>
      <c r="K148" s="1532">
        <v>30</v>
      </c>
      <c r="L148" s="2540" t="s">
        <v>6968</v>
      </c>
      <c r="M148" s="1533">
        <v>13</v>
      </c>
      <c r="N148" s="1547">
        <v>220</v>
      </c>
      <c r="O148" s="1532">
        <v>30</v>
      </c>
      <c r="P148" s="2540" t="s">
        <v>7011</v>
      </c>
      <c r="Q148" s="1533">
        <v>31</v>
      </c>
      <c r="R148" s="3241"/>
      <c r="S148" s="2757" t="s">
        <v>1586</v>
      </c>
      <c r="T148" s="3231"/>
      <c r="U148" s="2757" t="s">
        <v>1588</v>
      </c>
      <c r="V148" s="3241"/>
      <c r="W148" s="2757" t="s">
        <v>1590</v>
      </c>
      <c r="X148" s="270" t="n">
        <f>SUM('6층_부하량(월간_AVG)'!D150:F150)</f>
        <v>0.0</v>
      </c>
      <c r="Y148" s="1440" t="n">
        <f>SUM('6층_부하량(월간_AVG)'!D99:F99)</f>
        <v>0.0</v>
      </c>
      <c r="Z148" s="2557" t="n">
        <f t="shared" ref="Z148:Z150" si="25">SUM(X148:Y148)</f>
        <v>0.0</v>
      </c>
      <c r="AA148" s="2838" t="n" cm="1">
        <f t="array" ref="AA148">INDEX('각층분기별_유효전력량(전월)'!$I$2:$I$2017,MATCH(1,("6-DaHall 1-PDU-11"='각층분기별_유효전력량(전월)'!$G$2:$G$2017)*("[branch#013] [A] kWh last month"='각층분기별_유효전력량(전월)'!$H$2:$H$2017),0))</f>
        <v>0.0</v>
      </c>
      <c r="AB148" s="2859" t="n" cm="1">
        <f t="array" ref="AB148">INDEX('각층분기별_유효전력량(전월)'!$I$2:$I$2017,MATCH(1,("6-DaHall 1-PDU-09"='각층분기별_유효전력량(전월)'!$G$2:$G$2017)*("[branch#031] [A] kWh last month"='각층분기별_유효전력량(전월)'!$H$2:$H$2017),0))</f>
        <v>0.0</v>
      </c>
      <c r="AC148" s="2972" t="n">
        <f t="shared" si="18"/>
        <v>0.0</v>
      </c>
      <c r="AD148" s="2955" t="s">
        <v>1690</v>
      </c>
    </row>
    <row r="149" spans="1:30" ht="27.75" customHeight="1" x14ac:dyDescent="0.15">
      <c r="A149" s="2769" t="s">
        <v>1878</v>
      </c>
      <c r="B149" s="2765" t="s">
        <v>1879</v>
      </c>
      <c r="C149" s="2765"/>
      <c r="D149" s="2765" t="s">
        <v>1880</v>
      </c>
      <c r="E149" s="2765" t="s">
        <v>1881</v>
      </c>
      <c r="F149" s="2757" t="s">
        <v>1882</v>
      </c>
      <c r="G149" s="2752" t="s">
        <v>1883</v>
      </c>
      <c r="H149" s="2220" t="str">
        <f t="shared" si="22"/>
        <v>6-DaHall 1-PDU-11-30-15</v>
      </c>
      <c r="I149" s="2221" t="str">
        <f t="shared" si="23"/>
        <v>6-DaHall 1-PDU-12-30-15</v>
      </c>
      <c r="J149" s="1531">
        <v>220</v>
      </c>
      <c r="K149" s="1532">
        <v>30</v>
      </c>
      <c r="L149" s="2540" t="s">
        <v>6968</v>
      </c>
      <c r="M149" s="1533">
        <v>15</v>
      </c>
      <c r="N149" s="1534">
        <v>220</v>
      </c>
      <c r="O149" s="1535">
        <v>30</v>
      </c>
      <c r="P149" s="2546" t="s">
        <v>6975</v>
      </c>
      <c r="Q149" s="1536">
        <v>15</v>
      </c>
      <c r="R149" s="3241"/>
      <c r="S149" s="3223" t="s">
        <v>1778</v>
      </c>
      <c r="T149" s="3231"/>
      <c r="U149" s="3223" t="s">
        <v>1780</v>
      </c>
      <c r="V149" s="3241"/>
      <c r="W149" s="3223" t="s">
        <v>1591</v>
      </c>
      <c r="X149" s="270" t="n">
        <f>SUM('6층_부하량(월간_AVG)'!D151:F151)</f>
        <v>0.0</v>
      </c>
      <c r="Y149" s="270" t="n">
        <f>SUM('6층_부하량(월간_AVG)'!D180:F180)</f>
        <v>0.0</v>
      </c>
      <c r="Z149" s="2557" t="n">
        <f t="shared" si="25"/>
        <v>0.0</v>
      </c>
      <c r="AA149" s="2838" t="n" cm="1">
        <f t="array" ref="AA149">INDEX('각층분기별_유효전력량(전월)'!$I$2:$I$2017,MATCH(1,("6-DaHall 1-PDU-11"='각층분기별_유효전력량(전월)'!$G$2:$G$2017)*("[branch#015] [A] kWh last month"='각층분기별_유효전력량(전월)'!$H$2:$H$2017),0))</f>
        <v>0.0</v>
      </c>
      <c r="AB149" s="2859" t="n" cm="1">
        <f t="array" ref="AB149">INDEX('각층분기별_유효전력량(전월)'!$I$2:$I$2017,MATCH(1,("6-DaHall 1-PDU-12"='각층분기별_유효전력량(전월)'!$G$2:$G$2017)*("[branch#015] [A] kWh last month"='각층분기별_유효전력량(전월)'!$H$2:$H$2017),0))</f>
        <v>0.0</v>
      </c>
      <c r="AC149" s="2972" t="n">
        <f t="shared" si="18"/>
        <v>0.0</v>
      </c>
      <c r="AD149" s="2954" t="s">
        <v>1690</v>
      </c>
    </row>
    <row r="150" spans="1:30" ht="27.75" customHeight="1" thickBot="1" x14ac:dyDescent="0.2">
      <c r="A150" s="2779" t="s">
        <v>1884</v>
      </c>
      <c r="B150" s="2780" t="s">
        <v>1885</v>
      </c>
      <c r="C150" s="2780"/>
      <c r="D150" s="2780" t="s">
        <v>1886</v>
      </c>
      <c r="E150" s="2780" t="s">
        <v>1887</v>
      </c>
      <c r="F150" s="2759" t="s">
        <v>1888</v>
      </c>
      <c r="G150" s="2753" t="s">
        <v>1889</v>
      </c>
      <c r="H150" s="2222" t="str">
        <f t="shared" si="22"/>
        <v>6-DaHall 1-PDU-11-30-17</v>
      </c>
      <c r="I150" s="2223" t="str">
        <f t="shared" si="23"/>
        <v>6-DaHall 1-PDU-12-30-17</v>
      </c>
      <c r="J150" s="1539">
        <v>220</v>
      </c>
      <c r="K150" s="1540">
        <v>30</v>
      </c>
      <c r="L150" s="2543" t="s">
        <v>6968</v>
      </c>
      <c r="M150" s="1541">
        <v>17</v>
      </c>
      <c r="N150" s="1542">
        <v>220</v>
      </c>
      <c r="O150" s="1543">
        <v>30</v>
      </c>
      <c r="P150" s="2549" t="s">
        <v>6975</v>
      </c>
      <c r="Q150" s="1544">
        <v>17</v>
      </c>
      <c r="R150" s="3247"/>
      <c r="S150" s="3248"/>
      <c r="T150" s="3235"/>
      <c r="U150" s="3248"/>
      <c r="V150" s="3247"/>
      <c r="W150" s="3248"/>
      <c r="X150" s="335" t="n">
        <f>SUM('6층_부하량(월간_AVG)'!D152:F152)</f>
        <v>0.0</v>
      </c>
      <c r="Y150" s="335" t="n">
        <f>SUM('6층_부하량(월간_AVG)'!D181:F181)</f>
        <v>0.0</v>
      </c>
      <c r="Z150" s="2558" t="n">
        <f t="shared" si="25"/>
        <v>0.0</v>
      </c>
      <c r="AA150" s="2838" t="n" cm="1">
        <f t="array" ref="AA150">INDEX('각층분기별_유효전력량(전월)'!$I$2:$I$2017,MATCH(1,("6-DaHall 1-PDU-11"='각층분기별_유효전력량(전월)'!$G$2:$G$2017)*("[branch#017] [A] kWh last month"='각층분기별_유효전력량(전월)'!$H$2:$H$2017),0))</f>
        <v>0.0</v>
      </c>
      <c r="AB150" s="2976" t="n" cm="1">
        <f t="array" ref="AB150">INDEX('각층분기별_유효전력량(전월)'!$I$2:$I$2017,MATCH(1,("6-DaHall 1-PDU-12"='각층분기별_유효전력량(전월)'!$G$2:$G$2017)*("[branch#017] [A] kWh last month"='각층분기별_유효전력량(전월)'!$H$2:$H$2017),0))</f>
        <v>0.0</v>
      </c>
      <c r="AC150" s="2977" t="n">
        <f t="shared" si="18"/>
        <v>0.0</v>
      </c>
      <c r="AD150" s="2958"/>
    </row>
    <row r="151" spans="1:30" ht="14.25" thickTop="1" x14ac:dyDescent="0.15">
      <c r="A151" s="1105" t="s">
        <v>378</v>
      </c>
      <c r="B151" s="834"/>
      <c r="C151" s="834"/>
      <c r="D151" s="834"/>
      <c r="E151" s="834"/>
      <c r="F151" s="902"/>
      <c r="G151" s="903"/>
      <c r="H151" s="2218"/>
      <c r="I151" s="2219"/>
      <c r="J151" s="1523"/>
      <c r="K151" s="1524"/>
      <c r="L151" s="902"/>
      <c r="M151" s="1525"/>
      <c r="N151" s="1526"/>
      <c r="O151" s="1527"/>
      <c r="P151" s="903"/>
      <c r="Q151" s="1528"/>
      <c r="R151" s="835"/>
      <c r="S151" s="836"/>
      <c r="T151" s="835"/>
      <c r="U151" s="836"/>
      <c r="V151" s="835"/>
      <c r="W151" s="836"/>
      <c r="X151" s="841"/>
      <c r="Y151" s="841"/>
      <c r="Z151" s="2562"/>
      <c r="AA151" s="2969"/>
      <c r="AB151" s="2970"/>
      <c r="AC151" s="2978" t="n">
        <f t="shared" si="18"/>
        <v>0.0</v>
      </c>
      <c r="AD151" s="2971" t="s">
        <v>1579</v>
      </c>
    </row>
    <row r="152" spans="1:30" ht="27" x14ac:dyDescent="0.15">
      <c r="A152" s="2769" t="s">
        <v>1890</v>
      </c>
      <c r="B152" s="2765" t="s">
        <v>1891</v>
      </c>
      <c r="C152" s="2765"/>
      <c r="D152" s="2765" t="s">
        <v>1892</v>
      </c>
      <c r="E152" s="2765" t="s">
        <v>1893</v>
      </c>
      <c r="F152" s="2757" t="s">
        <v>1894</v>
      </c>
      <c r="G152" s="2752" t="s">
        <v>1895</v>
      </c>
      <c r="H152" s="2220" t="str">
        <f t="shared" ref="H152:H160" si="26">"6-DaHall 1-PDU-"&amp;L152&amp;"-"&amp;K152&amp;"-"&amp;M152</f>
        <v>6-DaHall 1-PDU-05-30-38</v>
      </c>
      <c r="I152" s="2221" t="str">
        <f t="shared" ref="I152:I160" si="27">"6-DaHall 1-PDU-"&amp;P152&amp;"-"&amp;O152&amp;"-"&amp;Q152</f>
        <v>6-DaHall 1-PDU-06-30-38</v>
      </c>
      <c r="J152" s="1545">
        <v>220</v>
      </c>
      <c r="K152" s="1546">
        <v>30</v>
      </c>
      <c r="L152" s="2540" t="s">
        <v>6918</v>
      </c>
      <c r="M152" s="1533">
        <v>38</v>
      </c>
      <c r="N152" s="1537">
        <v>220</v>
      </c>
      <c r="O152" s="1538">
        <v>30</v>
      </c>
      <c r="P152" s="2546" t="s">
        <v>6928</v>
      </c>
      <c r="Q152" s="1536">
        <v>38</v>
      </c>
      <c r="R152" s="3231" t="s">
        <v>1896</v>
      </c>
      <c r="S152" s="3223" t="s">
        <v>1897</v>
      </c>
      <c r="T152" s="3231" t="s">
        <v>1898</v>
      </c>
      <c r="U152" s="3223" t="s">
        <v>1899</v>
      </c>
      <c r="V152" s="3231" t="s">
        <v>1590</v>
      </c>
      <c r="W152" s="3223" t="s">
        <v>1591</v>
      </c>
      <c r="X152" s="270" t="n">
        <f>SUM('6층_부하량(월간_AVG)'!L340:N340)</f>
        <v>0.0</v>
      </c>
      <c r="Y152" s="270" t="n">
        <f>SUM('6층_부하량(월간_AVG)'!L372:N372)</f>
        <v>0.0</v>
      </c>
      <c r="Z152" s="2557" t="n">
        <f t="shared" ref="Z152:Z160" si="28">SUM(X152:Y152)</f>
        <v>0.0</v>
      </c>
      <c r="AA152" s="2838" t="n" cm="1">
        <f t="array" ref="AA152">INDEX('각층분기별_유효전력량(전월)'!$I$2:$I$2017,MATCH(1,("6-DaHall 1-PDU-05"='각층분기별_유효전력량(전월)'!$G$2:$G$2017)*("[branch#038] [A] kWh last month"='각층분기별_유효전력량(전월)'!H73:H2071),0))</f>
        <v>229.0</v>
      </c>
      <c r="AB152" s="2859" t="n" cm="1">
        <f t="array" ref="AB152">INDEX('각층분기별_유효전력량(전월)'!$I$2:$I$2017,MATCH(1,("6-DaHall 1-PDU-06"='각층분기별_유효전력량(전월)'!$G$2:$G$2017)*("[branch#038] [A] kWh last month"='각층분기별_유효전력량(전월)'!$H$2:$H$2017),0))</f>
        <v>0.0</v>
      </c>
      <c r="AC152" s="2972" t="n">
        <f t="shared" si="18"/>
        <v>229.0</v>
      </c>
      <c r="AD152" s="2582" t="s">
        <v>1900</v>
      </c>
    </row>
    <row r="153" spans="1:30" ht="27" x14ac:dyDescent="0.15">
      <c r="A153" s="2769" t="s">
        <v>1901</v>
      </c>
      <c r="B153" s="2765" t="s">
        <v>1902</v>
      </c>
      <c r="C153" s="2765"/>
      <c r="D153" s="2765" t="s">
        <v>1903</v>
      </c>
      <c r="E153" s="2765" t="s">
        <v>1904</v>
      </c>
      <c r="F153" s="2757" t="s">
        <v>1905</v>
      </c>
      <c r="G153" s="2752" t="s">
        <v>1906</v>
      </c>
      <c r="H153" s="2220" t="str">
        <f t="shared" si="26"/>
        <v>6-DaHall 1-PDU-05-30-40</v>
      </c>
      <c r="I153" s="2221" t="str">
        <f t="shared" si="27"/>
        <v>6-DaHall 1-PDU-06-30-40</v>
      </c>
      <c r="J153" s="1545">
        <v>220</v>
      </c>
      <c r="K153" s="1546">
        <v>30</v>
      </c>
      <c r="L153" s="2540" t="s">
        <v>6918</v>
      </c>
      <c r="M153" s="1533">
        <v>40</v>
      </c>
      <c r="N153" s="1537">
        <v>220</v>
      </c>
      <c r="O153" s="1538">
        <v>30</v>
      </c>
      <c r="P153" s="2546" t="s">
        <v>6928</v>
      </c>
      <c r="Q153" s="1536">
        <v>40</v>
      </c>
      <c r="R153" s="3241"/>
      <c r="S153" s="3242"/>
      <c r="T153" s="3241"/>
      <c r="U153" s="3242"/>
      <c r="V153" s="3241"/>
      <c r="W153" s="3242"/>
      <c r="X153" s="270" t="n">
        <f>SUM('6층_부하량(월간_AVG)'!L341:N341)</f>
        <v>0.0</v>
      </c>
      <c r="Y153" s="270" t="n">
        <f>SUM('6층_부하량(월간_AVG)'!L373:N373)</f>
        <v>0.0</v>
      </c>
      <c r="Z153" s="2557" t="n">
        <f t="shared" si="28"/>
        <v>0.0</v>
      </c>
      <c r="AA153" s="2838" t="n" cm="1">
        <f t="array" ref="AA153">INDEX('각층분기별_유효전력량(전월)'!$I$2:$I$2017,MATCH(1,("6-DaHall 1-PDU-05"='각층분기별_유효전력량(전월)'!$G$2:$G$2017)*("[branch#040] [A] kWh last month"='각층분기별_유효전력량(전월)'!$H$2:$H$2017),0))</f>
        <v>0.0</v>
      </c>
      <c r="AB153" s="2859" t="n" cm="1">
        <f t="array" ref="AB153">INDEX('각층분기별_유효전력량(전월)'!$I$2:$I$2017,MATCH(1,("6-DaHall 1-PDU-06"='각층분기별_유효전력량(전월)'!$G$2:$G$2017)*("[branch#040] [A] kWh last month"='각층분기별_유효전력량(전월)'!$H$2:$H$2017),0))</f>
        <v>0.0</v>
      </c>
      <c r="AC153" s="2972" t="n">
        <f t="shared" si="18"/>
        <v>0.0</v>
      </c>
      <c r="AD153" s="2582" t="s">
        <v>1579</v>
      </c>
    </row>
    <row r="154" spans="1:30" ht="27" x14ac:dyDescent="0.15">
      <c r="A154" s="2769" t="s">
        <v>1907</v>
      </c>
      <c r="B154" s="2765" t="s">
        <v>1908</v>
      </c>
      <c r="C154" s="2765"/>
      <c r="D154" s="2765" t="s">
        <v>1909</v>
      </c>
      <c r="E154" s="2765" t="s">
        <v>1910</v>
      </c>
      <c r="F154" s="2757" t="s">
        <v>1911</v>
      </c>
      <c r="G154" s="2752" t="s">
        <v>1912</v>
      </c>
      <c r="H154" s="2220" t="str">
        <f t="shared" si="26"/>
        <v>6-DaHall 1-PDU-05-30-42</v>
      </c>
      <c r="I154" s="2221" t="str">
        <f t="shared" si="27"/>
        <v>6-DaHall 1-PDU-06-30-42</v>
      </c>
      <c r="J154" s="1545">
        <v>220</v>
      </c>
      <c r="K154" s="1546">
        <v>30</v>
      </c>
      <c r="L154" s="2540" t="s">
        <v>6918</v>
      </c>
      <c r="M154" s="1533">
        <v>42</v>
      </c>
      <c r="N154" s="1537">
        <v>220</v>
      </c>
      <c r="O154" s="1538">
        <v>30</v>
      </c>
      <c r="P154" s="2546" t="s">
        <v>6928</v>
      </c>
      <c r="Q154" s="1536">
        <v>42</v>
      </c>
      <c r="R154" s="3241"/>
      <c r="S154" s="3242"/>
      <c r="T154" s="3241"/>
      <c r="U154" s="3242"/>
      <c r="V154" s="3241"/>
      <c r="W154" s="3242"/>
      <c r="X154" s="270" t="n">
        <f>SUM('6층_부하량(월간_AVG)'!L342:N342)</f>
        <v>0.0</v>
      </c>
      <c r="Y154" s="270" t="n">
        <f>SUM('6층_부하량(월간_AVG)'!L374:N374)</f>
        <v>0.0</v>
      </c>
      <c r="Z154" s="2557" t="n">
        <f t="shared" si="28"/>
        <v>0.0</v>
      </c>
      <c r="AA154" s="2838" t="n" cm="1">
        <f t="array" ref="AA154">INDEX('각층분기별_유효전력량(전월)'!$I$2:$I$2017,MATCH(1,("6-DaHall 1-PDU-05"='각층분기별_유효전력량(전월)'!$G$2:$G$2017)*("[branch#042] [A] kWh last month"='각층분기별_유효전력량(전월)'!$H$2:$H$2017),0))</f>
        <v>0.0</v>
      </c>
      <c r="AB154" s="2859" t="n" cm="1">
        <f t="array" ref="AB154">INDEX('각층분기별_유효전력량(전월)'!$I$2:$I$2017,MATCH(1,("6-DaHall 1-PDU-06"='각층분기별_유효전력량(전월)'!$G$2:$G$2017)*("[branch#042] [A] kWh last month"='각층분기별_유효전력량(전월)'!$H$2:$H$2017),0))</f>
        <v>0.0</v>
      </c>
      <c r="AC154" s="2972" t="n">
        <f t="shared" si="18"/>
        <v>0.0</v>
      </c>
      <c r="AD154" s="2582" t="s">
        <v>1579</v>
      </c>
    </row>
    <row r="155" spans="1:30" ht="27" x14ac:dyDescent="0.15">
      <c r="A155" s="2769" t="s">
        <v>1913</v>
      </c>
      <c r="B155" s="2765" t="s">
        <v>1914</v>
      </c>
      <c r="C155" s="2765"/>
      <c r="D155" s="2765" t="s">
        <v>1915</v>
      </c>
      <c r="E155" s="2765" t="s">
        <v>1916</v>
      </c>
      <c r="F155" s="2757" t="s">
        <v>1917</v>
      </c>
      <c r="G155" s="2752" t="s">
        <v>1918</v>
      </c>
      <c r="H155" s="2220" t="str">
        <f t="shared" si="26"/>
        <v>6-DaHall 1-PDU-05-30-44</v>
      </c>
      <c r="I155" s="2221" t="str">
        <f t="shared" si="27"/>
        <v>6-DaHall 1-PDU-06-30-44</v>
      </c>
      <c r="J155" s="1545">
        <v>220</v>
      </c>
      <c r="K155" s="1546">
        <v>30</v>
      </c>
      <c r="L155" s="2540" t="s">
        <v>6918</v>
      </c>
      <c r="M155" s="1533">
        <v>44</v>
      </c>
      <c r="N155" s="1537">
        <v>220</v>
      </c>
      <c r="O155" s="1538">
        <v>30</v>
      </c>
      <c r="P155" s="2546" t="s">
        <v>6928</v>
      </c>
      <c r="Q155" s="1536">
        <v>44</v>
      </c>
      <c r="R155" s="3241"/>
      <c r="S155" s="3242"/>
      <c r="T155" s="3241"/>
      <c r="U155" s="3242"/>
      <c r="V155" s="3241"/>
      <c r="W155" s="3242"/>
      <c r="X155" s="270" t="n">
        <f>SUM('6층_부하량(월간_AVG)'!L343:N343)</f>
        <v>0.0</v>
      </c>
      <c r="Y155" s="270" t="n">
        <f>SUM('6층_부하량(월간_AVG)'!L375:N375)</f>
        <v>0.0</v>
      </c>
      <c r="Z155" s="2557" t="n">
        <f t="shared" si="28"/>
        <v>0.0</v>
      </c>
      <c r="AA155" s="2838" t="n" cm="1">
        <f t="array" ref="AA155">INDEX('각층분기별_유효전력량(전월)'!$I$2:$I$2017,MATCH(1,("6-DaHall 1-PDU-05"='각층분기별_유효전력량(전월)'!$G$2:$G$2017)*("[branch#044] [A] kWh last month"='각층분기별_유효전력량(전월)'!$H$2:$H$2017),0))</f>
        <v>0.0</v>
      </c>
      <c r="AB155" s="2859" t="n" cm="1">
        <f t="array" ref="AB155">INDEX('각층분기별_유효전력량(전월)'!$I$2:$I$2017,MATCH(1,("6-DaHall 1-PDU-06"='각층분기별_유효전력량(전월)'!$G$2:$G$2017)*("[branch#044] [A] kWh last month"='각층분기별_유효전력량(전월)'!$H$2:$H$2017),0))</f>
        <v>0.0</v>
      </c>
      <c r="AC155" s="2972" t="n">
        <f t="shared" si="18"/>
        <v>0.0</v>
      </c>
      <c r="AD155" s="2582" t="s">
        <v>1579</v>
      </c>
    </row>
    <row r="156" spans="1:30" ht="27" x14ac:dyDescent="0.15">
      <c r="A156" s="2769" t="s">
        <v>1919</v>
      </c>
      <c r="B156" s="2765" t="s">
        <v>1920</v>
      </c>
      <c r="C156" s="2765"/>
      <c r="D156" s="2765" t="s">
        <v>1921</v>
      </c>
      <c r="E156" s="2765" t="s">
        <v>1922</v>
      </c>
      <c r="F156" s="2757" t="s">
        <v>1923</v>
      </c>
      <c r="G156" s="2752" t="s">
        <v>1924</v>
      </c>
      <c r="H156" s="2220" t="str">
        <f t="shared" si="26"/>
        <v>6-DaHall 1-PDU-05-30-46</v>
      </c>
      <c r="I156" s="2221" t="str">
        <f t="shared" si="27"/>
        <v>6-DaHall 1-PDU-06-30-46</v>
      </c>
      <c r="J156" s="1545">
        <v>220</v>
      </c>
      <c r="K156" s="1546">
        <v>30</v>
      </c>
      <c r="L156" s="2540" t="s">
        <v>6918</v>
      </c>
      <c r="M156" s="1533">
        <v>46</v>
      </c>
      <c r="N156" s="1537">
        <v>220</v>
      </c>
      <c r="O156" s="1538">
        <v>30</v>
      </c>
      <c r="P156" s="2546" t="s">
        <v>6928</v>
      </c>
      <c r="Q156" s="1536">
        <v>46</v>
      </c>
      <c r="R156" s="3241"/>
      <c r="S156" s="3242"/>
      <c r="T156" s="3241"/>
      <c r="U156" s="3242"/>
      <c r="V156" s="3241"/>
      <c r="W156" s="3242"/>
      <c r="X156" s="270" t="n">
        <f>SUM('6층_부하량(월간_AVG)'!L344:N344)</f>
        <v>0.0</v>
      </c>
      <c r="Y156" s="270" t="n">
        <f>SUM('6층_부하량(월간_AVG)'!L376:N376)</f>
        <v>0.0</v>
      </c>
      <c r="Z156" s="2557" t="n">
        <f t="shared" si="28"/>
        <v>0.0</v>
      </c>
      <c r="AA156" s="2984" t="n" cm="1">
        <f t="array" ref="AA156">INDEX('각층분기별_유효전력량(전월)'!$I$2:$I$2017,MATCH(1,("6-DaHall 1-PDU-05"='각층분기별_유효전력량(전월)'!$G$2:$G$2017)*("[branch#046] [A] kWh last month"='각층분기별_유효전력량(전월)'!$H$2:$H$2017),0))</f>
        <v>0.0</v>
      </c>
      <c r="AB156" s="2859" t="n" cm="1">
        <f t="array" ref="AB156">INDEX('각층분기별_유효전력량(전월)'!$I$2:$I$2017,MATCH(1,("6-DaHall 1-PDU-06"='각층분기별_유효전력량(전월)'!$G$2:$G$2017)*("[branch#046] [A] kWh last month"='각층분기별_유효전력량(전월)'!$H$2:$H$2017),0))</f>
        <v>0.0</v>
      </c>
      <c r="AC156" s="2972" t="n">
        <f t="shared" si="18"/>
        <v>0.0</v>
      </c>
      <c r="AD156" s="2582" t="s">
        <v>1579</v>
      </c>
    </row>
    <row r="157" spans="1:30" ht="27" x14ac:dyDescent="0.15">
      <c r="A157" s="2769" t="s">
        <v>1925</v>
      </c>
      <c r="B157" s="2765" t="s">
        <v>1926</v>
      </c>
      <c r="C157" s="2765"/>
      <c r="D157" s="2765" t="s">
        <v>1927</v>
      </c>
      <c r="E157" s="2765" t="s">
        <v>1928</v>
      </c>
      <c r="F157" s="2757" t="s">
        <v>1929</v>
      </c>
      <c r="G157" s="2752" t="s">
        <v>1930</v>
      </c>
      <c r="H157" s="2220" t="str">
        <f t="shared" si="26"/>
        <v>6-DaHall 1-PDU-13-30-1</v>
      </c>
      <c r="I157" s="2221" t="str">
        <f t="shared" si="27"/>
        <v>6-DaHall 1-PDU-14-30-1</v>
      </c>
      <c r="J157" s="1545">
        <v>220</v>
      </c>
      <c r="K157" s="1546">
        <v>30</v>
      </c>
      <c r="L157" s="2540" t="s">
        <v>6969</v>
      </c>
      <c r="M157" s="1533">
        <v>1</v>
      </c>
      <c r="N157" s="1537">
        <v>220</v>
      </c>
      <c r="O157" s="1538">
        <v>30</v>
      </c>
      <c r="P157" s="2546" t="s">
        <v>6976</v>
      </c>
      <c r="Q157" s="1536">
        <v>1</v>
      </c>
      <c r="R157" s="3231" t="s">
        <v>1720</v>
      </c>
      <c r="S157" s="3223" t="s">
        <v>1721</v>
      </c>
      <c r="T157" s="3231" t="s">
        <v>1722</v>
      </c>
      <c r="U157" s="3223" t="s">
        <v>1723</v>
      </c>
      <c r="V157" s="3241"/>
      <c r="W157" s="3242"/>
      <c r="X157" s="270" t="n">
        <f>SUM('6층_부하량(월간_AVG)'!D20:F20)</f>
        <v>0.0</v>
      </c>
      <c r="Y157" s="270" t="n">
        <f>SUM('6층_부하량(월간_AVG)'!D52:F52)</f>
        <v>0.0</v>
      </c>
      <c r="Z157" s="2557" t="n">
        <f t="shared" si="28"/>
        <v>0.0</v>
      </c>
      <c r="AA157" s="2838" t="n" cm="1">
        <f t="array" ref="AA157">INDEX('각층분기별_유효전력량(전월)'!$I$2:$I$2017,MATCH(1,("6-DaHall 1-PDU-13"='각층분기별_유효전력량(전월)'!$G$2:$G$2017)*("[branch#001] [A] kWh last month"='각층분기별_유효전력량(전월)'!$H$2:$H$2017),0))</f>
        <v>0.0</v>
      </c>
      <c r="AB157" s="2859" t="n" cm="1">
        <f t="array" ref="AB157">INDEX('각층분기별_유효전력량(전월)'!$I$2:$I$2017,MATCH(1,("6-DaHall 1-PDU-14"='각층분기별_유효전력량(전월)'!$G$2:$G$2017)*("[branch#001] [A] kWh last month"='각층분기별_유효전력량(전월)'!$H$2:$H$2017),0))</f>
        <v>0.0</v>
      </c>
      <c r="AC157" s="2972" t="n">
        <f t="shared" si="18"/>
        <v>0.0</v>
      </c>
      <c r="AD157" s="2582" t="s">
        <v>1579</v>
      </c>
    </row>
    <row r="158" spans="1:30" ht="27" x14ac:dyDescent="0.15">
      <c r="A158" s="2769" t="s">
        <v>346</v>
      </c>
      <c r="B158" s="2765" t="s">
        <v>1931</v>
      </c>
      <c r="C158" s="2765"/>
      <c r="D158" s="2765" t="s">
        <v>1932</v>
      </c>
      <c r="E158" s="2765" t="s">
        <v>1933</v>
      </c>
      <c r="F158" s="2757" t="s">
        <v>1934</v>
      </c>
      <c r="G158" s="2752" t="s">
        <v>1935</v>
      </c>
      <c r="H158" s="2220" t="str">
        <f t="shared" si="26"/>
        <v>6-DaHall 1-PDU-13-30-3</v>
      </c>
      <c r="I158" s="2221" t="str">
        <f t="shared" si="27"/>
        <v>6-DaHall 1-PDU-14-30-3</v>
      </c>
      <c r="J158" s="1545">
        <v>220</v>
      </c>
      <c r="K158" s="1546">
        <v>30</v>
      </c>
      <c r="L158" s="2540" t="s">
        <v>6969</v>
      </c>
      <c r="M158" s="1533">
        <v>3</v>
      </c>
      <c r="N158" s="1537">
        <v>220</v>
      </c>
      <c r="O158" s="1538">
        <v>30</v>
      </c>
      <c r="P158" s="2546" t="s">
        <v>6976</v>
      </c>
      <c r="Q158" s="1536">
        <v>3</v>
      </c>
      <c r="R158" s="3241"/>
      <c r="S158" s="3242"/>
      <c r="T158" s="3241"/>
      <c r="U158" s="3242"/>
      <c r="V158" s="3241"/>
      <c r="W158" s="3242"/>
      <c r="X158" s="270" t="n">
        <f>SUM('6층_부하량(월간_AVG)'!D21:F21)</f>
        <v>0.0</v>
      </c>
      <c r="Y158" s="270" t="n">
        <f>SUM('6층_부하량(월간_AVG)'!D53:F53)</f>
        <v>0.0</v>
      </c>
      <c r="Z158" s="2557" t="n">
        <f t="shared" si="28"/>
        <v>0.0</v>
      </c>
      <c r="AA158" s="2838" t="n" cm="1">
        <f t="array" ref="AA158">INDEX('각층분기별_유효전력량(전월)'!$I$2:$I$2017,MATCH(1,("6-DaHall 1-PDU-13"='각층분기별_유효전력량(전월)'!$G$2:$G$2017)*("[branch#003] [A] kWh last month"='각층분기별_유효전력량(전월)'!$H$2:$H$2017),0))</f>
        <v>0.0</v>
      </c>
      <c r="AB158" s="2859" t="n" cm="1">
        <f t="array" ref="AB158">INDEX('각층분기별_유효전력량(전월)'!$I$2:$I$2017,MATCH(1,("6-DaHall 1-PDU-14"='각층분기별_유효전력량(전월)'!$G$2:$G$2017)*("[branch#003] [A] kWh last month"='각층분기별_유효전력량(전월)'!$H$2:$H$2017),0))</f>
        <v>0.0</v>
      </c>
      <c r="AC158" s="2972" t="n">
        <f t="shared" si="18"/>
        <v>0.0</v>
      </c>
      <c r="AD158" s="2582" t="s">
        <v>1579</v>
      </c>
    </row>
    <row r="159" spans="1:30" ht="27" x14ac:dyDescent="0.15">
      <c r="A159" s="2769" t="s">
        <v>344</v>
      </c>
      <c r="B159" s="2765" t="s">
        <v>1936</v>
      </c>
      <c r="C159" s="2765"/>
      <c r="D159" s="2765" t="s">
        <v>1937</v>
      </c>
      <c r="E159" s="2765" t="s">
        <v>1938</v>
      </c>
      <c r="F159" s="2757" t="s">
        <v>1939</v>
      </c>
      <c r="G159" s="2752" t="s">
        <v>1940</v>
      </c>
      <c r="H159" s="2220" t="str">
        <f t="shared" si="26"/>
        <v>6-DaHall 1-PDU-13-30-5</v>
      </c>
      <c r="I159" s="2221" t="str">
        <f t="shared" si="27"/>
        <v>6-DaHall 1-PDU-14-30-5</v>
      </c>
      <c r="J159" s="1545">
        <v>220</v>
      </c>
      <c r="K159" s="1546">
        <v>30</v>
      </c>
      <c r="L159" s="2540" t="s">
        <v>6969</v>
      </c>
      <c r="M159" s="1533">
        <v>5</v>
      </c>
      <c r="N159" s="1537">
        <v>220</v>
      </c>
      <c r="O159" s="1538">
        <v>30</v>
      </c>
      <c r="P159" s="2546" t="s">
        <v>6976</v>
      </c>
      <c r="Q159" s="1536">
        <v>5</v>
      </c>
      <c r="R159" s="3241"/>
      <c r="S159" s="3242"/>
      <c r="T159" s="3241"/>
      <c r="U159" s="3242"/>
      <c r="V159" s="3241"/>
      <c r="W159" s="3242"/>
      <c r="X159" s="270" t="n">
        <f>SUM('6층_부하량(월간_AVG)'!D22:F22)</f>
        <v>0.0</v>
      </c>
      <c r="Y159" s="270" t="n">
        <f>SUM('6층_부하량(월간_AVG)'!D54:F54)</f>
        <v>0.0</v>
      </c>
      <c r="Z159" s="2557" t="n">
        <f t="shared" si="28"/>
        <v>0.0</v>
      </c>
      <c r="AA159" s="2838" t="n" cm="1">
        <f t="array" ref="AA159">INDEX('각층분기별_유효전력량(전월)'!$I$2:$I$2017,MATCH(1,("6-DaHall 1-PDU-13"='각층분기별_유효전력량(전월)'!$G$2:$G$2017)*("[branch#005] [A] kWh last month"='각층분기별_유효전력량(전월)'!$H$2:$H$2017),0))</f>
        <v>0.0</v>
      </c>
      <c r="AB159" s="2859" t="n" cm="1">
        <f t="array" ref="AB159">INDEX('각층분기별_유효전력량(전월)'!$I$2:$I$2017,MATCH(1,("6-DaHall 1-PDU-14"='각층분기별_유효전력량(전월)'!$G$2:$G$2017)*("[branch#005] [A] kWh last month"='각층분기별_유효전력량(전월)'!$H$2:$H$2017),0))</f>
        <v>0.0</v>
      </c>
      <c r="AC159" s="2972" t="n">
        <f t="shared" si="18"/>
        <v>0.0</v>
      </c>
      <c r="AD159" s="2582" t="s">
        <v>1579</v>
      </c>
    </row>
    <row r="160" spans="1:30" ht="27" x14ac:dyDescent="0.15">
      <c r="A160" s="2769" t="s">
        <v>340</v>
      </c>
      <c r="B160" s="2765" t="s">
        <v>1941</v>
      </c>
      <c r="C160" s="2765"/>
      <c r="D160" s="2765" t="s">
        <v>1942</v>
      </c>
      <c r="E160" s="2765" t="s">
        <v>1943</v>
      </c>
      <c r="F160" s="2757" t="s">
        <v>1944</v>
      </c>
      <c r="G160" s="2752" t="s">
        <v>1945</v>
      </c>
      <c r="H160" s="2220" t="str">
        <f t="shared" si="26"/>
        <v>6-DaHall 1-PDU-13-30-7</v>
      </c>
      <c r="I160" s="2221" t="str">
        <f t="shared" si="27"/>
        <v>6-DaHall 1-PDU-14-30-7</v>
      </c>
      <c r="J160" s="1545">
        <v>220</v>
      </c>
      <c r="K160" s="1546">
        <v>30</v>
      </c>
      <c r="L160" s="2540" t="s">
        <v>6969</v>
      </c>
      <c r="M160" s="1533">
        <v>7</v>
      </c>
      <c r="N160" s="1537">
        <v>220</v>
      </c>
      <c r="O160" s="1538">
        <v>30</v>
      </c>
      <c r="P160" s="2546" t="s">
        <v>6976</v>
      </c>
      <c r="Q160" s="1536">
        <v>7</v>
      </c>
      <c r="R160" s="3241"/>
      <c r="S160" s="3242"/>
      <c r="T160" s="3241"/>
      <c r="U160" s="3242"/>
      <c r="V160" s="3241"/>
      <c r="W160" s="3242"/>
      <c r="X160" s="270" t="n">
        <f>SUM('6층_부하량(월간_AVG)'!D23:F23)</f>
        <v>0.0</v>
      </c>
      <c r="Y160" s="270" t="n">
        <f>SUM('6층_부하량(월간_AVG)'!D55:F55)</f>
        <v>0.0</v>
      </c>
      <c r="Z160" s="2557" t="n">
        <f t="shared" si="28"/>
        <v>0.0</v>
      </c>
      <c r="AA160" s="2838" t="n" cm="1">
        <f t="array" ref="AA160">INDEX('각층분기별_유효전력량(전월)'!$I$2:$I$2017,MATCH(1,("6-DaHall 1-PDU-13"='각층분기별_유효전력량(전월)'!$G$2:$G$2017)*("[branch#007] [A] kWh last month"='각층분기별_유효전력량(전월)'!$H$2:$H$2017),0))</f>
        <v>0.0</v>
      </c>
      <c r="AB160" s="2859" t="n" cm="1">
        <f t="array" ref="AB160">INDEX('각층분기별_유효전력량(전월)'!$I$2:$I$2017,MATCH(1,("6-DaHall 1-PDU-12"='각층분기별_유효전력량(전월)'!$G$2:$G$2017)*("[branch#017] [A] kWh last month"='각층분기별_유효전력량(전월)'!$H$2:$H$2017),0))</f>
        <v>0.0</v>
      </c>
      <c r="AC160" s="2972" t="n">
        <f t="shared" si="18"/>
        <v>0.0</v>
      </c>
      <c r="AD160" s="2582" t="s">
        <v>1579</v>
      </c>
    </row>
    <row r="161" spans="1:30" ht="14.25" thickBot="1" x14ac:dyDescent="0.2">
      <c r="A161" s="2779" t="s">
        <v>1946</v>
      </c>
      <c r="B161" s="847"/>
      <c r="C161" s="847"/>
      <c r="D161" s="847"/>
      <c r="E161" s="847"/>
      <c r="F161" s="2830"/>
      <c r="G161" s="2813"/>
      <c r="H161" s="2225"/>
      <c r="I161" s="2226"/>
      <c r="J161" s="1548"/>
      <c r="K161" s="1549"/>
      <c r="L161" s="2830"/>
      <c r="M161" s="1550"/>
      <c r="N161" s="1551"/>
      <c r="O161" s="1552"/>
      <c r="P161" s="2813"/>
      <c r="Q161" s="1553"/>
      <c r="R161" s="848"/>
      <c r="S161" s="867"/>
      <c r="T161" s="848"/>
      <c r="U161" s="867"/>
      <c r="V161" s="848"/>
      <c r="W161" s="867"/>
      <c r="X161" s="1124"/>
      <c r="Y161" s="1124"/>
      <c r="Z161" s="2563"/>
      <c r="AA161" s="2985"/>
      <c r="AB161" s="2986"/>
      <c r="AC161" s="2987" t="n">
        <f t="shared" si="18"/>
        <v>0.0</v>
      </c>
      <c r="AD161" s="2988" t="s">
        <v>1579</v>
      </c>
    </row>
    <row r="162" spans="1:30" ht="14.25" thickTop="1" x14ac:dyDescent="0.15">
      <c r="A162" s="1105" t="s">
        <v>582</v>
      </c>
      <c r="B162" s="834"/>
      <c r="C162" s="834"/>
      <c r="D162" s="834"/>
      <c r="E162" s="834"/>
      <c r="F162" s="902"/>
      <c r="G162" s="903"/>
      <c r="H162" s="2218"/>
      <c r="I162" s="2219"/>
      <c r="J162" s="1523"/>
      <c r="K162" s="1524"/>
      <c r="L162" s="902"/>
      <c r="M162" s="1525"/>
      <c r="N162" s="1526"/>
      <c r="O162" s="1527"/>
      <c r="P162" s="903"/>
      <c r="Q162" s="1528"/>
      <c r="R162" s="835"/>
      <c r="S162" s="836"/>
      <c r="T162" s="835"/>
      <c r="U162" s="836"/>
      <c r="V162" s="835"/>
      <c r="W162" s="836"/>
      <c r="X162" s="841"/>
      <c r="Y162" s="841"/>
      <c r="Z162" s="2562"/>
      <c r="AA162" s="2969"/>
      <c r="AB162" s="2970"/>
      <c r="AC162" s="2978" t="n">
        <f t="shared" si="18"/>
        <v>0.0</v>
      </c>
      <c r="AD162" s="2971" t="s">
        <v>1579</v>
      </c>
    </row>
    <row r="163" spans="1:30" ht="27" x14ac:dyDescent="0.15">
      <c r="A163" s="2769" t="s">
        <v>1947</v>
      </c>
      <c r="B163" s="2765" t="s">
        <v>1948</v>
      </c>
      <c r="C163" s="2765"/>
      <c r="D163" s="2765" t="s">
        <v>1949</v>
      </c>
      <c r="E163" s="2765" t="s">
        <v>1950</v>
      </c>
      <c r="F163" s="2757" t="s">
        <v>1951</v>
      </c>
      <c r="G163" s="2752" t="s">
        <v>1952</v>
      </c>
      <c r="H163" s="2220" t="str">
        <f t="shared" ref="H163:H171" si="29">"6-DaHall 1-PDU-"&amp;L163&amp;"-"&amp;K163&amp;"-"&amp;M163</f>
        <v>6-DaHall 1-PDU-05-30-20</v>
      </c>
      <c r="I163" s="2221" t="str">
        <f t="shared" ref="I163:I171" si="30">"6-DaHall 1-PDU-"&amp;P163&amp;"-"&amp;O163&amp;"-"&amp;Q163</f>
        <v>6-DaHall 1-PDU-06-30-20</v>
      </c>
      <c r="J163" s="1531">
        <v>220</v>
      </c>
      <c r="K163" s="1532">
        <v>30</v>
      </c>
      <c r="L163" s="2540" t="s">
        <v>6918</v>
      </c>
      <c r="M163" s="1533">
        <v>20</v>
      </c>
      <c r="N163" s="1534">
        <v>220</v>
      </c>
      <c r="O163" s="1535">
        <v>30</v>
      </c>
      <c r="P163" s="2546" t="s">
        <v>6928</v>
      </c>
      <c r="Q163" s="1536">
        <v>20</v>
      </c>
      <c r="R163" s="3231" t="s">
        <v>1896</v>
      </c>
      <c r="S163" s="3223" t="s">
        <v>1897</v>
      </c>
      <c r="T163" s="3231" t="s">
        <v>1898</v>
      </c>
      <c r="U163" s="3223" t="s">
        <v>1899</v>
      </c>
      <c r="V163" s="3231" t="s">
        <v>1590</v>
      </c>
      <c r="W163" s="3223" t="s">
        <v>1591</v>
      </c>
      <c r="X163" s="270" t="n">
        <f>SUM('6층_부하량(월간_AVG)'!L331:N331)</f>
        <v>1.9901868998014143</v>
      </c>
      <c r="Y163" s="270" t="n">
        <f>SUM('6층_부하량(월간_AVG)'!L363:N363)</f>
        <v>1.810296220005115</v>
      </c>
      <c r="Z163" s="2557" t="n">
        <f t="shared" ref="Z163:Z171" si="31">SUM(X163:Y163)</f>
        <v>3.800483119806529</v>
      </c>
      <c r="AA163" s="2838" t="n" cm="1">
        <f t="array" ref="AA163">INDEX('각층분기별_유효전력량(전월)'!$I$2:$I$2017,MATCH(1,("6-DaHall 1-PDU-05"='각층분기별_유효전력량(전월)'!$G$2:$G$2017)*("[branch#020] [A] kWh last month"='각층분기별_유효전력량(전월)'!$H$2:$H$2017),0))</f>
        <v>328.5</v>
      </c>
      <c r="AB163" s="2859" t="n" cm="1">
        <f t="array" ref="AB163">INDEX('각층분기별_유효전력량(전월)'!$I$2:$I$2017,MATCH(1,("6-DaHall 1-PDU-06"='각층분기별_유효전력량(전월)'!$G$2:$G$2017)*("[branch#020] [A] kWh last month"='각층분기별_유효전력량(전월)'!$H$2:$H$2017),0))</f>
        <v>294.3</v>
      </c>
      <c r="AC163" s="2972" t="n">
        <f t="shared" si="18"/>
        <v>622.8</v>
      </c>
      <c r="AD163" s="2954"/>
    </row>
    <row r="164" spans="1:30" ht="27" x14ac:dyDescent="0.15">
      <c r="A164" s="2769" t="s">
        <v>1953</v>
      </c>
      <c r="B164" s="2765" t="s">
        <v>1954</v>
      </c>
      <c r="C164" s="2765"/>
      <c r="D164" s="2765" t="s">
        <v>1955</v>
      </c>
      <c r="E164" s="2765" t="s">
        <v>1956</v>
      </c>
      <c r="F164" s="2757" t="s">
        <v>1957</v>
      </c>
      <c r="G164" s="2752" t="s">
        <v>1958</v>
      </c>
      <c r="H164" s="2220" t="str">
        <f t="shared" si="29"/>
        <v>6-DaHall 1-PDU-05-30-22</v>
      </c>
      <c r="I164" s="2221" t="str">
        <f t="shared" si="30"/>
        <v>6-DaHall 1-PDU-06-30-22</v>
      </c>
      <c r="J164" s="1531">
        <v>220</v>
      </c>
      <c r="K164" s="1532">
        <v>30</v>
      </c>
      <c r="L164" s="2540" t="s">
        <v>6918</v>
      </c>
      <c r="M164" s="1533">
        <v>22</v>
      </c>
      <c r="N164" s="1534">
        <v>220</v>
      </c>
      <c r="O164" s="1535">
        <v>30</v>
      </c>
      <c r="P164" s="2546" t="s">
        <v>6928</v>
      </c>
      <c r="Q164" s="1536">
        <v>22</v>
      </c>
      <c r="R164" s="3241"/>
      <c r="S164" s="3242"/>
      <c r="T164" s="3241"/>
      <c r="U164" s="3242"/>
      <c r="V164" s="3241"/>
      <c r="W164" s="3242"/>
      <c r="X164" s="270" t="n">
        <f>SUM('6층_부하량(월간_AVG)'!L332:N332)</f>
        <v>5.458110540472899</v>
      </c>
      <c r="Y164" s="270" t="n">
        <f>SUM('6층_부하량(월간_AVG)'!L364:N364)</f>
        <v>4.6349360958656165</v>
      </c>
      <c r="Z164" s="2557" t="n">
        <f t="shared" si="31"/>
        <v>10.093046636338515</v>
      </c>
      <c r="AA164" s="2838" t="n" cm="1">
        <f t="array" ref="AA164">INDEX('각층분기별_유효전력량(전월)'!$I$2:$I$2017,MATCH(1,("6-DaHall 1-PDU-05"='각층분기별_유효전력량(전월)'!$G$2:$G$2017)*("[branch#022] [A] kWh last month"='각층분기별_유효전력량(전월)'!$H$2:$H$2017),0))</f>
        <v>867.1</v>
      </c>
      <c r="AB164" s="2859" t="n" cm="1">
        <f t="array" ref="AB164">INDEX('각층분기별_유효전력량(전월)'!$I$2:$I$2017,MATCH(1,("6-DaHall 1-PDU-06"='각층분기별_유효전력량(전월)'!$G$2:$G$2017)*("[branch#022] [A] kWh last month"='각층분기별_유효전력량(전월)'!$H$2:$H$2017),0))</f>
        <v>754.4</v>
      </c>
      <c r="AC164" s="2972" t="n">
        <f t="shared" si="18"/>
        <v>1621.5</v>
      </c>
      <c r="AD164" s="2954"/>
    </row>
    <row r="165" spans="1:30" ht="27" x14ac:dyDescent="0.15">
      <c r="A165" s="2769" t="s">
        <v>1959</v>
      </c>
      <c r="B165" s="2765" t="s">
        <v>1960</v>
      </c>
      <c r="C165" s="2765"/>
      <c r="D165" s="2765" t="s">
        <v>1961</v>
      </c>
      <c r="E165" s="2765" t="s">
        <v>1962</v>
      </c>
      <c r="F165" s="2757" t="s">
        <v>1963</v>
      </c>
      <c r="G165" s="2752" t="s">
        <v>1964</v>
      </c>
      <c r="H165" s="2220" t="str">
        <f t="shared" si="29"/>
        <v>6-DaHall 1-PDU-05-30-24</v>
      </c>
      <c r="I165" s="2221" t="str">
        <f t="shared" si="30"/>
        <v>6-DaHall 1-PDU-06-30-24</v>
      </c>
      <c r="J165" s="1531">
        <v>220</v>
      </c>
      <c r="K165" s="1532">
        <v>30</v>
      </c>
      <c r="L165" s="2540" t="s">
        <v>6918</v>
      </c>
      <c r="M165" s="1533">
        <v>24</v>
      </c>
      <c r="N165" s="1534">
        <v>220</v>
      </c>
      <c r="O165" s="1535">
        <v>30</v>
      </c>
      <c r="P165" s="2546" t="s">
        <v>6928</v>
      </c>
      <c r="Q165" s="1536">
        <v>24</v>
      </c>
      <c r="R165" s="3241"/>
      <c r="S165" s="3242"/>
      <c r="T165" s="3241"/>
      <c r="U165" s="3242"/>
      <c r="V165" s="3241"/>
      <c r="W165" s="3242"/>
      <c r="X165" s="270" t="n">
        <f>SUM('6층_부하량(월간_AVG)'!L333:N333)</f>
        <v>3.981119202023048</v>
      </c>
      <c r="Y165" s="270" t="n">
        <f>SUM('6층_부하량(월간_AVG)'!L365:N365)</f>
        <v>3.66190963945832</v>
      </c>
      <c r="Z165" s="2557" t="n">
        <f t="shared" si="31"/>
        <v>7.643028841481368</v>
      </c>
      <c r="AA165" s="2838" t="n" cm="1">
        <f t="array" ref="AA165">INDEX('각층분기별_유효전력량(전월)'!$I$2:$I$2017,MATCH(1,("6-DaHall 1-PDU-05"='각층분기별_유효전력량(전월)'!$G$2:$G$2017)*("[branch#024] [A] kWh last month"='각층분기별_유효전력량(전월)'!$H$2:$H$2017),0))</f>
        <v>708.3</v>
      </c>
      <c r="AB165" s="2859" t="n" cm="1">
        <f t="array" ref="AB165">INDEX('각층분기별_유효전력량(전월)'!$I$2:$I$2017,MATCH(1,("6-DaHall 1-PDU-06"='각층분기별_유효전력량(전월)'!$G$2:$G$2017)*("[branch#024] [A] kWh last month"='각층분기별_유효전력량(전월)'!$H$2:$H$2017),0))</f>
        <v>642.4</v>
      </c>
      <c r="AC165" s="2972" t="n">
        <f t="shared" si="18"/>
        <v>1350.6999999999998</v>
      </c>
      <c r="AD165" s="2954"/>
    </row>
    <row r="166" spans="1:30" ht="27" x14ac:dyDescent="0.15">
      <c r="A166" s="2769" t="s">
        <v>1965</v>
      </c>
      <c r="B166" s="2765" t="s">
        <v>1966</v>
      </c>
      <c r="C166" s="2765"/>
      <c r="D166" s="2765" t="s">
        <v>1967</v>
      </c>
      <c r="E166" s="2765" t="s">
        <v>1968</v>
      </c>
      <c r="F166" s="2757" t="s">
        <v>1969</v>
      </c>
      <c r="G166" s="2752" t="s">
        <v>1970</v>
      </c>
      <c r="H166" s="2220" t="str">
        <f t="shared" si="29"/>
        <v>6-DaHall 1-PDU-05-30-26</v>
      </c>
      <c r="I166" s="2221" t="str">
        <f t="shared" si="30"/>
        <v>6-DaHall 1-PDU-06-30-26</v>
      </c>
      <c r="J166" s="1531">
        <v>220</v>
      </c>
      <c r="K166" s="1532">
        <v>30</v>
      </c>
      <c r="L166" s="2540" t="s">
        <v>6918</v>
      </c>
      <c r="M166" s="1533">
        <v>26</v>
      </c>
      <c r="N166" s="1534">
        <v>220</v>
      </c>
      <c r="O166" s="1535">
        <v>30</v>
      </c>
      <c r="P166" s="2546" t="s">
        <v>6928</v>
      </c>
      <c r="Q166" s="1536">
        <v>26</v>
      </c>
      <c r="R166" s="3241"/>
      <c r="S166" s="3242"/>
      <c r="T166" s="3241"/>
      <c r="U166" s="3242"/>
      <c r="V166" s="3241"/>
      <c r="W166" s="3242"/>
      <c r="X166" s="270" t="n">
        <f>SUM('6층_부하량(월간_AVG)'!L334:N334)</f>
        <v>4.0684076382517285</v>
      </c>
      <c r="Y166" s="270" t="n">
        <f>SUM('6층_부하량(월간_AVG)'!L366:N366)</f>
        <v>4.627262528836272</v>
      </c>
      <c r="Z166" s="2557" t="n">
        <f t="shared" si="31"/>
        <v>8.695670167088</v>
      </c>
      <c r="AA166" s="2838" t="n" cm="1">
        <f t="array" ref="AA166">INDEX('각층분기별_유효전력량(전월)'!$I$2:$I$2017,MATCH(1,("6-DaHall 1-PDU-05"='각층분기별_유효전력량(전월)'!$G$2:$G$2017)*("[branch#026] [A] kWh last month"='각층분기별_유효전력량(전월)'!$H$2:$H$2017),0))</f>
        <v>552.5</v>
      </c>
      <c r="AB166" s="2859" t="n" cm="1">
        <f t="array" ref="AB166">INDEX('각층분기별_유효전력량(전월)'!$I$2:$I$2017,MATCH(1,("6-DaHall 1-PDU-06"='각층분기별_유효전력량(전월)'!$G$2:$G$2017)*("[branch#026] [A] kWh last month"='각층분기별_유효전력량(전월)'!$H$2:$H$2017),0))</f>
        <v>664.7</v>
      </c>
      <c r="AC166" s="2972" t="n">
        <f t="shared" si="18"/>
        <v>1217.2</v>
      </c>
      <c r="AD166" s="2954"/>
    </row>
    <row r="167" spans="1:30" ht="27" x14ac:dyDescent="0.15">
      <c r="A167" s="2769" t="s">
        <v>1971</v>
      </c>
      <c r="B167" s="2765" t="s">
        <v>1972</v>
      </c>
      <c r="C167" s="2765"/>
      <c r="D167" s="2765" t="s">
        <v>1973</v>
      </c>
      <c r="E167" s="2765" t="s">
        <v>1974</v>
      </c>
      <c r="F167" s="2757" t="s">
        <v>1975</v>
      </c>
      <c r="G167" s="2752" t="s">
        <v>1976</v>
      </c>
      <c r="H167" s="2220" t="str">
        <f t="shared" si="29"/>
        <v>6-DaHall 1-PDU-05-30-28</v>
      </c>
      <c r="I167" s="2221" t="str">
        <f t="shared" si="30"/>
        <v>6-DaHall 1-PDU-06-30-28</v>
      </c>
      <c r="J167" s="1531">
        <v>220</v>
      </c>
      <c r="K167" s="1532">
        <v>30</v>
      </c>
      <c r="L167" s="2540" t="s">
        <v>6918</v>
      </c>
      <c r="M167" s="1533">
        <v>28</v>
      </c>
      <c r="N167" s="1534">
        <v>220</v>
      </c>
      <c r="O167" s="1535">
        <v>30</v>
      </c>
      <c r="P167" s="2546" t="s">
        <v>6928</v>
      </c>
      <c r="Q167" s="1536">
        <v>28</v>
      </c>
      <c r="R167" s="3241"/>
      <c r="S167" s="3242"/>
      <c r="T167" s="3241"/>
      <c r="U167" s="3242"/>
      <c r="V167" s="3241"/>
      <c r="W167" s="3242"/>
      <c r="X167" s="270" t="n">
        <f>SUM('6층_부하량(월간_AVG)'!L335:N335)</f>
        <v>11.291059469104349</v>
      </c>
      <c r="Y167" s="270" t="n">
        <f>SUM('6층_부하량(월간_AVG)'!L367:N367)</f>
        <v>10.200220316751064</v>
      </c>
      <c r="Z167" s="2557" t="n">
        <f t="shared" si="31"/>
        <v>21.49127978585541</v>
      </c>
      <c r="AA167" s="2838" t="n" cm="1">
        <f t="array" ref="AA167">INDEX('각층분기별_유효전력량(전월)'!$I$2:$I$2017,MATCH(1,("6-DaHall 1-PDU-05"='각층분기별_유효전력량(전월)'!$G$2:$G$2017)*("[branch#028] [A] kWh last month"='각층분기별_유효전력량(전월)'!$H$2:$H$2017),0))</f>
        <v>1931.8</v>
      </c>
      <c r="AB167" s="2859" t="n" cm="1">
        <f t="array" ref="AB167">INDEX('각층분기별_유효전력량(전월)'!$I$2:$I$2017,MATCH(1,("6-DaHall 1-PDU-06"='각층분기별_유효전력량(전월)'!$G$2:$G$2017)*("[branch#028] [A] kWh last month"='각층분기별_유효전력량(전월)'!$H$2:$H$2017),0))</f>
        <v>1745.2</v>
      </c>
      <c r="AC167" s="2972" t="n">
        <f t="shared" si="18"/>
        <v>3677.0</v>
      </c>
      <c r="AD167" s="2954"/>
    </row>
    <row r="168" spans="1:30" ht="27" x14ac:dyDescent="0.15">
      <c r="A168" s="2769" t="s">
        <v>1977</v>
      </c>
      <c r="B168" s="2765" t="s">
        <v>1978</v>
      </c>
      <c r="C168" s="2765"/>
      <c r="D168" s="2765" t="s">
        <v>1979</v>
      </c>
      <c r="E168" s="2765" t="s">
        <v>1980</v>
      </c>
      <c r="F168" s="2757" t="s">
        <v>1981</v>
      </c>
      <c r="G168" s="2752" t="s">
        <v>1982</v>
      </c>
      <c r="H168" s="2220" t="str">
        <f t="shared" si="29"/>
        <v>6-DaHall 1-PDU-05-30-30</v>
      </c>
      <c r="I168" s="2221" t="str">
        <f t="shared" si="30"/>
        <v>6-DaHall 1-PDU-06-30-30</v>
      </c>
      <c r="J168" s="1531">
        <v>220</v>
      </c>
      <c r="K168" s="1532">
        <v>30</v>
      </c>
      <c r="L168" s="2540" t="s">
        <v>6918</v>
      </c>
      <c r="M168" s="1533">
        <v>30</v>
      </c>
      <c r="N168" s="1534">
        <v>220</v>
      </c>
      <c r="O168" s="1535">
        <v>30</v>
      </c>
      <c r="P168" s="2546" t="s">
        <v>6928</v>
      </c>
      <c r="Q168" s="1536">
        <v>30</v>
      </c>
      <c r="R168" s="3241"/>
      <c r="S168" s="3242"/>
      <c r="T168" s="3241"/>
      <c r="U168" s="3242"/>
      <c r="V168" s="3241"/>
      <c r="W168" s="3242"/>
      <c r="X168" s="270" t="n">
        <f>SUM('6층_부하량(월간_AVG)'!L336:N336)</f>
        <v>0.6708666279581109</v>
      </c>
      <c r="Y168" s="270" t="n">
        <f>SUM('6층_부하량(월간_AVG)'!L368:N368)</f>
        <v>0.6533433738880324</v>
      </c>
      <c r="Z168" s="2557" t="n">
        <f t="shared" si="31"/>
        <v>1.3242100018461433</v>
      </c>
      <c r="AA168" s="2838" t="n" cm="1">
        <f t="array" ref="AA168">INDEX('각층분기별_유효전력량(전월)'!$I$2:$I$2017,MATCH(1,("6-DaHall 1-PDU-05"='각층분기별_유효전력량(전월)'!$G$2:$G$2017)*("[branch#030] [A] kWh last month"='각층분기별_유효전력량(전월)'!$H$2:$H$2017),0))</f>
        <v>96.3</v>
      </c>
      <c r="AB168" s="2859" t="n" cm="1">
        <f t="array" ref="AB168">INDEX('각층분기별_유효전력량(전월)'!$I$2:$I$2017,MATCH(1,("6-DaHall 1-PDU-06"='각층분기별_유효전력량(전월)'!$G$2:$G$2017)*("[branch#030] [A] kWh last month"='각층분기별_유효전력량(전월)'!$H$2:$H$2017),0))</f>
        <v>92.5</v>
      </c>
      <c r="AC168" s="2972" t="n">
        <f t="shared" si="18"/>
        <v>188.8</v>
      </c>
      <c r="AD168" s="2954"/>
    </row>
    <row r="169" spans="1:30" ht="27" x14ac:dyDescent="0.15">
      <c r="A169" s="2769" t="s">
        <v>1983</v>
      </c>
      <c r="B169" s="2765" t="s">
        <v>1984</v>
      </c>
      <c r="C169" s="2765"/>
      <c r="D169" s="2765" t="s">
        <v>1985</v>
      </c>
      <c r="E169" s="2765" t="s">
        <v>1986</v>
      </c>
      <c r="F169" s="2757" t="s">
        <v>1987</v>
      </c>
      <c r="G169" s="2752" t="s">
        <v>1988</v>
      </c>
      <c r="H169" s="2220" t="str">
        <f t="shared" si="29"/>
        <v>6-DaHall 1-PDU-05-30-32</v>
      </c>
      <c r="I169" s="2221" t="str">
        <f t="shared" si="30"/>
        <v>6-DaHall 1-PDU-06-30-32</v>
      </c>
      <c r="J169" s="1531">
        <v>220</v>
      </c>
      <c r="K169" s="1532">
        <v>30</v>
      </c>
      <c r="L169" s="2540" t="s">
        <v>6918</v>
      </c>
      <c r="M169" s="1533">
        <v>32</v>
      </c>
      <c r="N169" s="1534">
        <v>220</v>
      </c>
      <c r="O169" s="1535">
        <v>30</v>
      </c>
      <c r="P169" s="2546" t="s">
        <v>6928</v>
      </c>
      <c r="Q169" s="1536">
        <v>32</v>
      </c>
      <c r="R169" s="3241"/>
      <c r="S169" s="3242"/>
      <c r="T169" s="3241"/>
      <c r="U169" s="3242"/>
      <c r="V169" s="3241"/>
      <c r="W169" s="3242"/>
      <c r="X169" s="270" t="n">
        <f>SUM('6층_부하량(월간_AVG)'!L337:N337)</f>
        <v>0.8033246306909622</v>
      </c>
      <c r="Y169" s="270" t="n">
        <f>SUM('6층_부하량(월간_AVG)'!L369:N369)</f>
        <v>0.5102239134309489</v>
      </c>
      <c r="Z169" s="2557" t="n">
        <f t="shared" si="31"/>
        <v>1.313548544121911</v>
      </c>
      <c r="AA169" s="2838" t="n" cm="1">
        <f t="array" ref="AA169">INDEX('각층분기별_유효전력량(전월)'!$I$2:$I$2017,MATCH(1,("6-DaHall 1-PDU-05"='각층분기별_유효전력량(전월)'!$G$2:$G$2017)*("[branch#032] [A] kWh last month"='각층분기별_유효전력량(전월)'!$H$2:$H$2017),0))</f>
        <v>109.2</v>
      </c>
      <c r="AB169" s="2859" t="n" cm="1">
        <f t="array" ref="AB169">INDEX('각층분기별_유효전력량(전월)'!$I$2:$I$2017,MATCH(1,("6-DaHall 1-PDU-06"='각층분기별_유효전력량(전월)'!$G$2:$G$2017)*("[branch#032] [A] kWh last month"='각층분기별_유효전력량(전월)'!$H$2:$H$2017),0))</f>
        <v>71.5</v>
      </c>
      <c r="AC169" s="2972" t="n">
        <f t="shared" si="18"/>
        <v>180.7</v>
      </c>
      <c r="AD169" s="2954"/>
    </row>
    <row r="170" spans="1:30" ht="27" x14ac:dyDescent="0.15">
      <c r="A170" s="2769" t="s">
        <v>1989</v>
      </c>
      <c r="B170" s="2765" t="s">
        <v>1990</v>
      </c>
      <c r="C170" s="2765"/>
      <c r="D170" s="2765" t="s">
        <v>1991</v>
      </c>
      <c r="E170" s="2765" t="s">
        <v>1992</v>
      </c>
      <c r="F170" s="2757" t="s">
        <v>1993</v>
      </c>
      <c r="G170" s="2752" t="s">
        <v>1994</v>
      </c>
      <c r="H170" s="2220" t="str">
        <f t="shared" si="29"/>
        <v>6-DaHall 1-PDU-05-30-34</v>
      </c>
      <c r="I170" s="2221" t="str">
        <f t="shared" si="30"/>
        <v>6-DaHall 1-PDU-06-30-34</v>
      </c>
      <c r="J170" s="1531">
        <v>220</v>
      </c>
      <c r="K170" s="1532">
        <v>30</v>
      </c>
      <c r="L170" s="2540" t="s">
        <v>6918</v>
      </c>
      <c r="M170" s="1533">
        <v>34</v>
      </c>
      <c r="N170" s="1534">
        <v>220</v>
      </c>
      <c r="O170" s="1535">
        <v>30</v>
      </c>
      <c r="P170" s="2546" t="s">
        <v>6928</v>
      </c>
      <c r="Q170" s="1536">
        <v>34</v>
      </c>
      <c r="R170" s="3241"/>
      <c r="S170" s="3242"/>
      <c r="T170" s="3241"/>
      <c r="U170" s="3242"/>
      <c r="V170" s="3241"/>
      <c r="W170" s="3242"/>
      <c r="X170" s="270" t="n">
        <f>SUM('6층_부하량(월간_AVG)'!L338:N338)</f>
        <v>4.603319303668875</v>
      </c>
      <c r="Y170" s="270" t="n">
        <f>SUM('6층_부하량(월간_AVG)'!L370:N370)</f>
        <v>3.060201147579967</v>
      </c>
      <c r="Z170" s="2557" t="n">
        <f t="shared" si="31"/>
        <v>7.663520451248842</v>
      </c>
      <c r="AA170" s="2838" t="n" cm="1">
        <f t="array" ref="AA170">INDEX('각층분기별_유효전력량(전월)'!$I$2:$I$2017,MATCH(1,("6-DaHall 1-PDU-05"='각층분기별_유효전력량(전월)'!$G$2:$G$2017)*("[branch#034] [A] kWh last month"='각층분기별_유효전력량(전월)'!$H$2:$H$2017),0))</f>
        <v>766.9</v>
      </c>
      <c r="AB170" s="2859" t="n" cm="1">
        <f t="array" ref="AB170">INDEX('각층분기별_유효전력량(전월)'!$I$2:$I$2017,MATCH(1,("6-DaHall 1-PDU-06"='각층분기별_유효전력량(전월)'!$G$2:$G$2017)*("[branch#034] [A] kWh last month"='각층분기별_유효전력량(전월)'!$H$2:$H$2017),0))</f>
        <v>448.1</v>
      </c>
      <c r="AC170" s="2972" t="n">
        <f t="shared" si="18"/>
        <v>1215.0</v>
      </c>
      <c r="AD170" s="2954"/>
    </row>
    <row r="171" spans="1:30" ht="27" x14ac:dyDescent="0.15">
      <c r="A171" s="2769" t="s">
        <v>1995</v>
      </c>
      <c r="B171" s="2765" t="s">
        <v>1996</v>
      </c>
      <c r="C171" s="2765"/>
      <c r="D171" s="2765" t="s">
        <v>1997</v>
      </c>
      <c r="E171" s="2765" t="s">
        <v>1998</v>
      </c>
      <c r="F171" s="2757" t="s">
        <v>1999</v>
      </c>
      <c r="G171" s="2752" t="s">
        <v>2000</v>
      </c>
      <c r="H171" s="2220" t="str">
        <f t="shared" si="29"/>
        <v>6-DaHall 1-PDU-05-30-36</v>
      </c>
      <c r="I171" s="2221" t="str">
        <f t="shared" si="30"/>
        <v>6-DaHall 1-PDU-06-30-36</v>
      </c>
      <c r="J171" s="1531">
        <v>220</v>
      </c>
      <c r="K171" s="1532">
        <v>30</v>
      </c>
      <c r="L171" s="2540" t="s">
        <v>6918</v>
      </c>
      <c r="M171" s="1533">
        <v>36</v>
      </c>
      <c r="N171" s="1534">
        <v>220</v>
      </c>
      <c r="O171" s="1535">
        <v>30</v>
      </c>
      <c r="P171" s="2546" t="s">
        <v>6928</v>
      </c>
      <c r="Q171" s="1536">
        <v>36</v>
      </c>
      <c r="R171" s="3241"/>
      <c r="S171" s="3242"/>
      <c r="T171" s="3241"/>
      <c r="U171" s="3242"/>
      <c r="V171" s="3241"/>
      <c r="W171" s="3242"/>
      <c r="X171" s="270" t="n">
        <f>SUM('6층_부하량(월간_AVG)'!L339:N339)</f>
        <v>0.0</v>
      </c>
      <c r="Y171" s="270" t="n">
        <f>SUM('6층_부하량(월간_AVG)'!L371:N371)</f>
        <v>0.0</v>
      </c>
      <c r="Z171" s="2557" t="n">
        <f t="shared" si="31"/>
        <v>0.0</v>
      </c>
      <c r="AA171" s="2838" t="n" cm="1">
        <f t="array" ref="AA171">INDEX('각층분기별_유효전력량(전월)'!$I$2:$I$2017,MATCH(1,("6-DaHall 1-PDU-05"='각층분기별_유효전력량(전월)'!$G$2:$G$2017)*("[branch#036] [A] kWh last month"='각층분기별_유효전력량(전월)'!$H$2:$H$2017),0))</f>
        <v>0.0</v>
      </c>
      <c r="AB171" s="2859" t="n" cm="1">
        <f t="array" ref="AB171">INDEX('각층분기별_유효전력량(전월)'!$I$2:$I$2017,MATCH(1,("6-DaHall 1-PDU-06"='각층분기별_유효전력량(전월)'!$G$2:$G$2017)*("[branch#036] [A] kWh last month"='각층분기별_유효전력량(전월)'!$H$2:$H$2017),0))</f>
        <v>0.0</v>
      </c>
      <c r="AC171" s="2972" t="n">
        <f t="shared" si="18"/>
        <v>0.0</v>
      </c>
      <c r="AD171" s="2954"/>
    </row>
    <row r="172" spans="1:30" ht="14.25" thickBot="1" x14ac:dyDescent="0.2">
      <c r="A172" s="2779" t="s">
        <v>2001</v>
      </c>
      <c r="B172" s="847"/>
      <c r="C172" s="847"/>
      <c r="D172" s="847"/>
      <c r="E172" s="847"/>
      <c r="F172" s="2830"/>
      <c r="G172" s="2813"/>
      <c r="H172" s="2225"/>
      <c r="I172" s="2226"/>
      <c r="J172" s="1548"/>
      <c r="K172" s="1549"/>
      <c r="L172" s="2830"/>
      <c r="M172" s="1550"/>
      <c r="N172" s="1551"/>
      <c r="O172" s="1552"/>
      <c r="P172" s="2813"/>
      <c r="Q172" s="1553"/>
      <c r="R172" s="848"/>
      <c r="S172" s="867"/>
      <c r="T172" s="848"/>
      <c r="U172" s="867"/>
      <c r="V172" s="848"/>
      <c r="W172" s="867"/>
      <c r="X172" s="1124"/>
      <c r="Y172" s="1124"/>
      <c r="Z172" s="2563"/>
      <c r="AA172" s="2985"/>
      <c r="AB172" s="2986"/>
      <c r="AC172" s="2987" t="n">
        <f t="shared" si="18"/>
        <v>0.0</v>
      </c>
      <c r="AD172" s="2988" t="s">
        <v>1579</v>
      </c>
    </row>
    <row r="173" spans="1:30" ht="14.25" thickTop="1" x14ac:dyDescent="0.15">
      <c r="A173" s="1105" t="s">
        <v>2002</v>
      </c>
      <c r="B173" s="834"/>
      <c r="C173" s="834"/>
      <c r="D173" s="834"/>
      <c r="E173" s="834"/>
      <c r="F173" s="902"/>
      <c r="G173" s="903"/>
      <c r="H173" s="2218"/>
      <c r="I173" s="2219"/>
      <c r="J173" s="1523"/>
      <c r="K173" s="1524"/>
      <c r="L173" s="902"/>
      <c r="M173" s="1525"/>
      <c r="N173" s="1526"/>
      <c r="O173" s="1527"/>
      <c r="P173" s="903"/>
      <c r="Q173" s="1528"/>
      <c r="R173" s="835"/>
      <c r="S173" s="836"/>
      <c r="T173" s="835"/>
      <c r="U173" s="836"/>
      <c r="V173" s="835"/>
      <c r="W173" s="836"/>
      <c r="X173" s="841"/>
      <c r="Y173" s="841"/>
      <c r="Z173" s="2562"/>
      <c r="AA173" s="2969"/>
      <c r="AB173" s="2970"/>
      <c r="AC173" s="2978" t="n">
        <f t="shared" si="18"/>
        <v>0.0</v>
      </c>
      <c r="AD173" s="2971" t="s">
        <v>1579</v>
      </c>
    </row>
    <row r="174" spans="1:30" ht="28.5" customHeight="1" x14ac:dyDescent="0.15">
      <c r="A174" s="2769" t="s">
        <v>2003</v>
      </c>
      <c r="B174" s="2765" t="s">
        <v>2004</v>
      </c>
      <c r="C174" s="2765"/>
      <c r="D174" s="2765" t="s">
        <v>2005</v>
      </c>
      <c r="E174" s="2765" t="s">
        <v>2006</v>
      </c>
      <c r="F174" s="2757" t="s">
        <v>2007</v>
      </c>
      <c r="G174" s="2752" t="s">
        <v>2008</v>
      </c>
      <c r="H174" s="2220" t="str">
        <f t="shared" ref="H174:H182" si="32">"6-DaHall 1-PDU-"&amp;L174&amp;"-"&amp;K174&amp;"-"&amp;M174</f>
        <v>6-DaHall 1-PDU-01-30-45</v>
      </c>
      <c r="I174" s="2221" t="str">
        <f t="shared" ref="I174:I182" si="33">"6-DaHall 1-PDU-"&amp;P174&amp;"-"&amp;O174&amp;"-"&amp;Q174</f>
        <v>6-DaHall 1-PDU-02-30-45</v>
      </c>
      <c r="J174" s="1531">
        <v>220</v>
      </c>
      <c r="K174" s="1532">
        <v>30</v>
      </c>
      <c r="L174" s="2540" t="s">
        <v>6924</v>
      </c>
      <c r="M174" s="1533">
        <v>45</v>
      </c>
      <c r="N174" s="1534">
        <v>220</v>
      </c>
      <c r="O174" s="1535">
        <v>30</v>
      </c>
      <c r="P174" s="2546" t="s">
        <v>6920</v>
      </c>
      <c r="Q174" s="1536">
        <v>45</v>
      </c>
      <c r="R174" s="3231" t="s">
        <v>2009</v>
      </c>
      <c r="S174" s="3223" t="s">
        <v>2010</v>
      </c>
      <c r="T174" s="3231" t="s">
        <v>2011</v>
      </c>
      <c r="U174" s="3223" t="s">
        <v>2012</v>
      </c>
      <c r="V174" s="3231" t="s">
        <v>1590</v>
      </c>
      <c r="W174" s="3223" t="s">
        <v>1591</v>
      </c>
      <c r="X174" s="270" t="n">
        <f>SUM('6층_부하량(월간_AVG)'!D224:F224)</f>
        <v>0.0</v>
      </c>
      <c r="Y174" s="270" t="n">
        <f>SUM('6층_부하량(월간_AVG)'!D254:F254)</f>
        <v>0.0</v>
      </c>
      <c r="Z174" s="2557" t="n">
        <f t="shared" ref="Z174:Z182" si="34">SUM(X174:Y174)</f>
        <v>0.0</v>
      </c>
      <c r="AA174" s="2838" t="n" cm="1">
        <f t="array" ref="AA174">INDEX('각층분기별_유효전력량(전월)'!$I$2:$I$2017,MATCH(1,("6-DaHall 1-PDU-01"='각층분기별_유효전력량(전월)'!$G$2:$G$2017)*("[branch#045] [A] kWh last month"='각층분기별_유효전력량(전월)'!$H$2:$H$2017),0))</f>
        <v>0.0</v>
      </c>
      <c r="AB174" s="2859" t="n" cm="1">
        <f t="array" ref="AB174">INDEX('각층분기별_유효전력량(전월)'!$I$2:$I$2017,MATCH(1,("6-DaHall 1-PDU-02"='각층분기별_유효전력량(전월)'!$G$2:$G$2017)*("[branch#045] [A] kWh last month"='각층분기별_유효전력량(전월)'!$H$2:$H$2017),0))</f>
        <v>0.0</v>
      </c>
      <c r="AC174" s="2972" t="n">
        <f t="shared" si="18"/>
        <v>0.0</v>
      </c>
      <c r="AD174" s="2954"/>
    </row>
    <row r="175" spans="1:30" ht="27.75" customHeight="1" x14ac:dyDescent="0.15">
      <c r="A175" s="2769" t="s">
        <v>2013</v>
      </c>
      <c r="B175" s="2765" t="s">
        <v>2014</v>
      </c>
      <c r="C175" s="2765"/>
      <c r="D175" s="2765" t="s">
        <v>2015</v>
      </c>
      <c r="E175" s="2765" t="s">
        <v>2016</v>
      </c>
      <c r="F175" s="2757" t="s">
        <v>2017</v>
      </c>
      <c r="G175" s="2752" t="s">
        <v>2018</v>
      </c>
      <c r="H175" s="2220" t="str">
        <f t="shared" si="32"/>
        <v>6-DaHall 1-PDU-01-30-47</v>
      </c>
      <c r="I175" s="2221" t="str">
        <f t="shared" si="33"/>
        <v>6-DaHall 1-PDU-02-30-47</v>
      </c>
      <c r="J175" s="1531">
        <v>220</v>
      </c>
      <c r="K175" s="1532">
        <v>30</v>
      </c>
      <c r="L175" s="2540" t="s">
        <v>6924</v>
      </c>
      <c r="M175" s="1533">
        <v>47</v>
      </c>
      <c r="N175" s="1534">
        <v>220</v>
      </c>
      <c r="O175" s="1535">
        <v>30</v>
      </c>
      <c r="P175" s="2546" t="s">
        <v>6920</v>
      </c>
      <c r="Q175" s="1536">
        <v>47</v>
      </c>
      <c r="R175" s="3231"/>
      <c r="S175" s="3223"/>
      <c r="T175" s="3231"/>
      <c r="U175" s="3223"/>
      <c r="V175" s="3241"/>
      <c r="W175" s="3242"/>
      <c r="X175" s="270" t="n">
        <f>SUM('6층_부하량(월간_AVG)'!D225:F225)</f>
        <v>0.0</v>
      </c>
      <c r="Y175" s="270" t="n">
        <f>SUM('6층_부하량(월간_AVG)'!D255:F255)</f>
        <v>0.0</v>
      </c>
      <c r="Z175" s="2557" t="n">
        <f t="shared" si="34"/>
        <v>0.0</v>
      </c>
      <c r="AA175" s="2838" t="n" cm="1">
        <f t="array" ref="AA175">INDEX('각층분기별_유효전력량(전월)'!$I$2:$I$2017,MATCH(1,("6-DaHall 1-PDU-01"='각층분기별_유효전력량(전월)'!$G$2:$G$2017)*("[branch#047] [A] kWh last month"='각층분기별_유효전력량(전월)'!$H$2:$H$2017),0))</f>
        <v>0.0</v>
      </c>
      <c r="AB175" s="2859" t="n" cm="1">
        <f t="array" ref="AB175">INDEX('각층분기별_유효전력량(전월)'!$I$2:$I$2017,MATCH(1,("6-DaHall 1-PDU-02"='각층분기별_유효전력량(전월)'!$G$2:$G$2017)*("[branch#047] [A] kWh last month"='각층분기별_유효전력량(전월)'!$H$2:$H$2017),0))</f>
        <v>0.0</v>
      </c>
      <c r="AC175" s="2972" t="n">
        <f t="shared" si="18"/>
        <v>0.0</v>
      </c>
      <c r="AD175" s="2954"/>
    </row>
    <row r="176" spans="1:30" ht="40.5" x14ac:dyDescent="0.15">
      <c r="A176" s="2769" t="s">
        <v>2019</v>
      </c>
      <c r="B176" s="2765" t="s">
        <v>2020</v>
      </c>
      <c r="C176" s="2765"/>
      <c r="D176" s="2763" t="s">
        <v>2021</v>
      </c>
      <c r="E176" s="2763" t="s">
        <v>2022</v>
      </c>
      <c r="F176" s="2757" t="s">
        <v>2023</v>
      </c>
      <c r="G176" s="2752" t="s">
        <v>2024</v>
      </c>
      <c r="H176" s="2220" t="str">
        <f t="shared" si="32"/>
        <v>6-DaHall 1-PDU-05-30-48</v>
      </c>
      <c r="I176" s="2221" t="str">
        <f t="shared" si="33"/>
        <v>6-DaHall 1-PDU-06-30-48</v>
      </c>
      <c r="J176" s="1531">
        <v>220</v>
      </c>
      <c r="K176" s="1532">
        <v>30</v>
      </c>
      <c r="L176" s="2540" t="s">
        <v>6918</v>
      </c>
      <c r="M176" s="1533">
        <v>48</v>
      </c>
      <c r="N176" s="1534">
        <v>220</v>
      </c>
      <c r="O176" s="1535">
        <v>30</v>
      </c>
      <c r="P176" s="2546" t="s">
        <v>6928</v>
      </c>
      <c r="Q176" s="1536">
        <v>48</v>
      </c>
      <c r="R176" s="2757" t="s">
        <v>1896</v>
      </c>
      <c r="S176" s="2752" t="s">
        <v>1897</v>
      </c>
      <c r="T176" s="2757" t="s">
        <v>1898</v>
      </c>
      <c r="U176" s="2752" t="s">
        <v>1899</v>
      </c>
      <c r="V176" s="3241"/>
      <c r="W176" s="3242"/>
      <c r="X176" s="270" t="n">
        <f>SUM('6층_부하량(월간_AVG)'!L345:N345)</f>
        <v>0.0</v>
      </c>
      <c r="Y176" s="270" t="n">
        <f>SUM('6층_부하량(월간_AVG)'!L377:N377)</f>
        <v>0.0</v>
      </c>
      <c r="Z176" s="2557" t="n">
        <f t="shared" si="34"/>
        <v>0.0</v>
      </c>
      <c r="AA176" s="2838" t="n" cm="1">
        <f t="array" ref="AA176">INDEX('각층분기별_유효전력량(전월)'!$I$2:$I$2017,MATCH(1,("6-DaHall 1-PDU-05"='각층분기별_유효전력량(전월)'!$G$2:$G$2017)*("[branch#048] [A] kWh last month"='각층분기별_유효전력량(전월)'!$H$2:$H$2017),0))</f>
        <v>0.0</v>
      </c>
      <c r="AB176" s="2859" t="n" cm="1">
        <f t="array" ref="AB176">INDEX('각층분기별_유효전력량(전월)'!$I$2:$I$2017,MATCH(1,("6-DaHall 1-PDU-06"='각층분기별_유효전력량(전월)'!$G$2:$G$2017)*("[branch#048] [A] kWh last month"='각층분기별_유효전력량(전월)'!$H$2:$H$2017),0))</f>
        <v>0.0</v>
      </c>
      <c r="AC176" s="2972" t="n">
        <f t="shared" si="18"/>
        <v>0.0</v>
      </c>
      <c r="AD176" s="2955"/>
    </row>
    <row r="177" spans="1:31" ht="27" x14ac:dyDescent="0.15">
      <c r="A177" s="2769" t="s">
        <v>2025</v>
      </c>
      <c r="B177" s="2765" t="s">
        <v>2026</v>
      </c>
      <c r="C177" s="2765"/>
      <c r="D177" s="2765" t="s">
        <v>2027</v>
      </c>
      <c r="E177" s="2765" t="s">
        <v>2028</v>
      </c>
      <c r="F177" s="2757" t="s">
        <v>2029</v>
      </c>
      <c r="G177" s="2752" t="s">
        <v>2030</v>
      </c>
      <c r="H177" s="2220" t="str">
        <f t="shared" si="32"/>
        <v>6-DaHall 1-PDU-01-30-18</v>
      </c>
      <c r="I177" s="2221" t="str">
        <f t="shared" si="33"/>
        <v>6-DaHall 1-PDU-02-30-34</v>
      </c>
      <c r="J177" s="1531">
        <v>220</v>
      </c>
      <c r="K177" s="1532">
        <v>30</v>
      </c>
      <c r="L177" s="2540" t="s">
        <v>6924</v>
      </c>
      <c r="M177" s="1533">
        <v>18</v>
      </c>
      <c r="N177" s="1534">
        <v>220</v>
      </c>
      <c r="O177" s="1535">
        <v>30</v>
      </c>
      <c r="P177" s="2546" t="s">
        <v>6920</v>
      </c>
      <c r="Q177" s="1536">
        <v>34</v>
      </c>
      <c r="R177" s="3231" t="s">
        <v>2009</v>
      </c>
      <c r="S177" s="3223" t="s">
        <v>2010</v>
      </c>
      <c r="T177" s="3231" t="s">
        <v>2011</v>
      </c>
      <c r="U177" s="3223" t="s">
        <v>2012</v>
      </c>
      <c r="V177" s="3241"/>
      <c r="W177" s="3242"/>
      <c r="X177" s="270" t="n">
        <f>SUM('6층_부하량(월간_AVG)'!L210:N210)</f>
        <v>0.6539763814890536</v>
      </c>
      <c r="Y177" s="270" t="n">
        <f>SUM('6층_부하량(월간_AVG)'!L248:N248)</f>
        <v>0.0</v>
      </c>
      <c r="Z177" s="2557" t="n">
        <f t="shared" si="34"/>
        <v>0.6539763814890536</v>
      </c>
      <c r="AA177" s="2838" t="n" cm="1">
        <f t="array" ref="AA177">INDEX('각층분기별_유효전력량(전월)'!$I$2:$I$2017,MATCH(1,("6-DaHall 1-PDU-01"='각층분기별_유효전력량(전월)'!$G$2:$G$2017)*("[branch#018] [A] kWh last month"='각층분기별_유효전력량(전월)'!$H$2:$H$2017),0))</f>
        <v>94.2</v>
      </c>
      <c r="AB177" s="2989" t="n" cm="1">
        <f t="array" ref="AB177">INDEX('각층분기별_유효전력량(전월)'!$I$2:$I$2017,MATCH(1,("6-DaHall 1-PDU-02"='각층분기별_유효전력량(전월)'!$G$2:$G$2017)*("[branch#034] [A] kWh last month"='각층분기별_유효전력량(전월)'!$H$2:$H$2017),0))</f>
        <v>0.0</v>
      </c>
      <c r="AC177" s="2972" t="n">
        <f t="shared" si="18"/>
        <v>94.2</v>
      </c>
      <c r="AD177" s="2955"/>
    </row>
    <row r="178" spans="1:31" ht="27" x14ac:dyDescent="0.15">
      <c r="A178" s="2769" t="s">
        <v>2031</v>
      </c>
      <c r="B178" s="2771" t="s">
        <v>2032</v>
      </c>
      <c r="C178" s="2765" t="s">
        <v>2033</v>
      </c>
      <c r="D178" s="2765" t="s">
        <v>2034</v>
      </c>
      <c r="E178" s="2765" t="s">
        <v>2035</v>
      </c>
      <c r="F178" s="2757" t="s">
        <v>2036</v>
      </c>
      <c r="G178" s="2752" t="s">
        <v>2037</v>
      </c>
      <c r="H178" s="2220" t="str">
        <f t="shared" si="32"/>
        <v>6-DaHall 1-PDU-01-30-20</v>
      </c>
      <c r="I178" s="2221" t="str">
        <f t="shared" si="33"/>
        <v>6-DaHall 1-PDU-02-30-20</v>
      </c>
      <c r="J178" s="1531">
        <v>220</v>
      </c>
      <c r="K178" s="1532">
        <v>30</v>
      </c>
      <c r="L178" s="2540" t="s">
        <v>6924</v>
      </c>
      <c r="M178" s="1533">
        <v>20</v>
      </c>
      <c r="N178" s="1534">
        <v>220</v>
      </c>
      <c r="O178" s="1535">
        <v>30</v>
      </c>
      <c r="P178" s="2546" t="s">
        <v>6920</v>
      </c>
      <c r="Q178" s="1536">
        <v>20</v>
      </c>
      <c r="R178" s="3241"/>
      <c r="S178" s="3242"/>
      <c r="T178" s="3241"/>
      <c r="U178" s="3242"/>
      <c r="V178" s="3241"/>
      <c r="W178" s="3242"/>
      <c r="X178" s="270" t="n">
        <f>SUM('6층_부하량(월간_AVG)'!L211:N211)</f>
        <v>0.22619787119341453</v>
      </c>
      <c r="Y178" s="270" t="n">
        <f>SUM('6층_부하량(월간_AVG)'!L241:N241)</f>
        <v>0.20942276050046782</v>
      </c>
      <c r="Z178" s="2557" t="n">
        <f t="shared" si="34"/>
        <v>0.4356206316938823</v>
      </c>
      <c r="AA178" s="2838" t="n" cm="1">
        <f t="array" ref="AA178">INDEX('각층분기별_유효전력량(전월)'!$I$2:$I$2017,MATCH(1,("6-DaHall 1-PDU-01"='각층분기별_유효전력량(전월)'!$G$2:$G$2017)*("[branch#020] [A] kWh last month"='각층분기별_유효전력량(전월)'!$H$2:$H$2017),0))</f>
        <v>62.7</v>
      </c>
      <c r="AB178" s="2989" t="n" cm="1">
        <f t="array" ref="AB178">INDEX('각층분기별_유효전력량(전월)'!$I$2:$I$2017,MATCH(1,("6-DaHall 1-PDU-02"='각층분기별_유효전력량(전월)'!$G$2:$G$2017)*("[branch#020] [A] kWh last month"='각층분기별_유효전력량(전월)'!$H$2:$H$2017),0))</f>
        <v>1.8</v>
      </c>
      <c r="AC178" s="2972" t="n">
        <f t="shared" si="18"/>
        <v>64.5</v>
      </c>
      <c r="AD178" s="2954"/>
      <c r="AE178" s="2319" t="s">
        <v>2038</v>
      </c>
    </row>
    <row r="179" spans="1:31" ht="27" x14ac:dyDescent="0.15">
      <c r="A179" s="2769" t="s">
        <v>2039</v>
      </c>
      <c r="B179" s="2765" t="s">
        <v>2040</v>
      </c>
      <c r="C179" s="2765"/>
      <c r="D179" s="2765" t="s">
        <v>2041</v>
      </c>
      <c r="E179" s="2765" t="s">
        <v>2042</v>
      </c>
      <c r="F179" s="2757" t="s">
        <v>2043</v>
      </c>
      <c r="G179" s="2752" t="s">
        <v>2044</v>
      </c>
      <c r="H179" s="2220" t="str">
        <f t="shared" si="32"/>
        <v>6-DaHall 1-PDU-01-30-22</v>
      </c>
      <c r="I179" s="2221" t="str">
        <f t="shared" si="33"/>
        <v>6-DaHall 1-PDU-02-30-22</v>
      </c>
      <c r="J179" s="1531">
        <v>220</v>
      </c>
      <c r="K179" s="1532">
        <v>30</v>
      </c>
      <c r="L179" s="2540" t="s">
        <v>6924</v>
      </c>
      <c r="M179" s="1533">
        <v>22</v>
      </c>
      <c r="N179" s="1534">
        <v>220</v>
      </c>
      <c r="O179" s="1535">
        <v>30</v>
      </c>
      <c r="P179" s="2546" t="s">
        <v>6920</v>
      </c>
      <c r="Q179" s="1536">
        <v>22</v>
      </c>
      <c r="R179" s="3241"/>
      <c r="S179" s="3242"/>
      <c r="T179" s="3241"/>
      <c r="U179" s="3242"/>
      <c r="V179" s="3241"/>
      <c r="W179" s="3242"/>
      <c r="X179" s="270" t="n">
        <f>SUM('6층_부하량(월간_AVG)'!L212:N212)</f>
        <v>4.186397311447838</v>
      </c>
      <c r="Y179" s="270" t="n">
        <f>SUM('6층_부하량(월간_AVG)'!L242:N242)</f>
        <v>3.4016137390411365</v>
      </c>
      <c r="Z179" s="2557" t="n">
        <f t="shared" si="34"/>
        <v>7.588011050488975</v>
      </c>
      <c r="AA179" s="2838" t="n" cm="1">
        <f t="array" ref="AA179">INDEX('각층분기별_유효전력량(전월)'!$I$2:$I$2017,MATCH(1,("6-DaHall 1-PDU-01"='각층분기별_유효전력량(전월)'!$G$2:$G$2017)*("[branch#022] [A] kWh last month"='각층분기별_유효전력량(전월)'!$H$2:$H$2017),0))</f>
        <v>637.9</v>
      </c>
      <c r="AB179" s="2989" t="n" cm="1">
        <f t="array" ref="AB179">INDEX('각층분기별_유효전력량(전월)'!$I$2:$I$2017,MATCH(1,("6-DaHall 1-PDU-02"='각층분기별_유효전력량(전월)'!$G$2:$G$2017)*("[branch#022] [A] kWh last month"='각층분기별_유효전력량(전월)'!$H$2:$H$2017),0))</f>
        <v>559.3</v>
      </c>
      <c r="AC179" s="2972" t="n">
        <f t="shared" si="18"/>
        <v>1197.1999999999998</v>
      </c>
      <c r="AD179" s="2954"/>
      <c r="AE179" s="2319"/>
    </row>
    <row r="180" spans="1:31" ht="27" x14ac:dyDescent="0.15">
      <c r="A180" s="2769" t="s">
        <v>2045</v>
      </c>
      <c r="B180" s="2771" t="s">
        <v>2046</v>
      </c>
      <c r="C180" s="2765" t="s">
        <v>2033</v>
      </c>
      <c r="D180" s="2765" t="s">
        <v>2047</v>
      </c>
      <c r="E180" s="2765" t="s">
        <v>2048</v>
      </c>
      <c r="F180" s="2757" t="s">
        <v>2049</v>
      </c>
      <c r="G180" s="2752" t="s">
        <v>2050</v>
      </c>
      <c r="H180" s="2220" t="str">
        <f t="shared" si="32"/>
        <v>6-DaHall 1-PDU-01-30-24</v>
      </c>
      <c r="I180" s="2221" t="str">
        <f t="shared" si="33"/>
        <v>6-DaHall 1-PDU-02-30-24</v>
      </c>
      <c r="J180" s="1531">
        <v>220</v>
      </c>
      <c r="K180" s="1532">
        <v>30</v>
      </c>
      <c r="L180" s="2540" t="s">
        <v>6924</v>
      </c>
      <c r="M180" s="1533">
        <v>24</v>
      </c>
      <c r="N180" s="1534">
        <v>220</v>
      </c>
      <c r="O180" s="1535">
        <v>30</v>
      </c>
      <c r="P180" s="2546" t="s">
        <v>6920</v>
      </c>
      <c r="Q180" s="1536">
        <v>24</v>
      </c>
      <c r="R180" s="3241"/>
      <c r="S180" s="3242"/>
      <c r="T180" s="3241"/>
      <c r="U180" s="3242"/>
      <c r="V180" s="3241"/>
      <c r="W180" s="3242"/>
      <c r="X180" s="270" t="n">
        <f>SUM('6층_부하량(월간_AVG)'!L213:N213)</f>
        <v>0.0</v>
      </c>
      <c r="Y180" s="270" t="n">
        <f>SUM('6층_부하량(월간_AVG)'!L243:N243)</f>
        <v>0.0</v>
      </c>
      <c r="Z180" s="2557" t="n">
        <f t="shared" si="34"/>
        <v>0.0</v>
      </c>
      <c r="AA180" s="2838" t="n" cm="1">
        <f t="array" ref="AA180">INDEX('각층분기별_유효전력량(전월)'!$I$2:$I$2017,MATCH(1,("6-DaHall 1-PDU-01"='각층분기별_유효전력량(전월)'!$G$2:$G$2017)*("[branch#024] [A] kWh last month"='각층분기별_유효전력량(전월)'!$H$2:$H$2017),0))</f>
        <v>0.0</v>
      </c>
      <c r="AB180" s="2989" t="n" cm="1">
        <f t="array" ref="AB180">INDEX('각층분기별_유효전력량(전월)'!$I$2:$I$2017,MATCH(1,("6-DaHall 1-PDU-02"='각층분기별_유효전력량(전월)'!$G$2:$G$2017)*("[branch#024] [A] kWh last month"='각층분기별_유효전력량(전월)'!$H$2:$H$2017),0))</f>
        <v>0.0</v>
      </c>
      <c r="AC180" s="2972" t="n">
        <f t="shared" si="18"/>
        <v>0.0</v>
      </c>
      <c r="AD180" s="2954"/>
      <c r="AE180" s="2319" t="s">
        <v>2038</v>
      </c>
    </row>
    <row r="181" spans="1:31" ht="27" x14ac:dyDescent="0.15">
      <c r="A181" s="2769" t="s">
        <v>2051</v>
      </c>
      <c r="B181" s="2765" t="s">
        <v>2052</v>
      </c>
      <c r="C181" s="2765"/>
      <c r="D181" s="2765" t="s">
        <v>2053</v>
      </c>
      <c r="E181" s="2765" t="s">
        <v>2054</v>
      </c>
      <c r="F181" s="2757" t="s">
        <v>2055</v>
      </c>
      <c r="G181" s="2752" t="s">
        <v>2056</v>
      </c>
      <c r="H181" s="2220" t="str">
        <f t="shared" si="32"/>
        <v>6-DaHall 1-PDU-01-30-26</v>
      </c>
      <c r="I181" s="2221" t="str">
        <f t="shared" si="33"/>
        <v>6-DaHall 1-PDU-02-30-26</v>
      </c>
      <c r="J181" s="1531">
        <v>220</v>
      </c>
      <c r="K181" s="1532">
        <v>30</v>
      </c>
      <c r="L181" s="2540" t="s">
        <v>6924</v>
      </c>
      <c r="M181" s="1533">
        <v>26</v>
      </c>
      <c r="N181" s="1534">
        <v>220</v>
      </c>
      <c r="O181" s="1535">
        <v>30</v>
      </c>
      <c r="P181" s="2546" t="s">
        <v>6920</v>
      </c>
      <c r="Q181" s="1536">
        <v>26</v>
      </c>
      <c r="R181" s="3241"/>
      <c r="S181" s="3242"/>
      <c r="T181" s="3241"/>
      <c r="U181" s="3242"/>
      <c r="V181" s="3241"/>
      <c r="W181" s="3242"/>
      <c r="X181" s="270" t="n">
        <f>SUM('6층_부하량(월간_AVG)'!L214:N214)</f>
        <v>1.8658050467050913</v>
      </c>
      <c r="Y181" s="270" t="n">
        <f>SUM('6층_부하량(월간_AVG)'!L244:N244)</f>
        <v>1.403430419690342</v>
      </c>
      <c r="Z181" s="2557" t="n">
        <f t="shared" si="34"/>
        <v>3.2692354663954335</v>
      </c>
      <c r="AA181" s="2838" t="n" cm="1">
        <f t="array" ref="AA181">INDEX('각층분기별_유효전력량(전월)'!$I$2:$I$2017,MATCH(1,("6-DaHall 1-PDU-01"='각층분기별_유효전력량(전월)'!$G$2:$G$2017)*("[branch#026] [A] kWh last month"='각층분기별_유효전력량(전월)'!$H$2:$H$2017),0))</f>
        <v>245.4</v>
      </c>
      <c r="AB181" s="2989" t="n" cm="1">
        <f t="array" ref="AB181">INDEX('각층분기별_유효전력량(전월)'!$I$2:$I$2017,MATCH(1,("6-DaHall 1-PDU-02"='각층분기별_유효전력량(전월)'!$G$2:$G$2017)*("[branch#026] [A] kWh last month"='각층분기별_유효전력량(전월)'!$H$2:$H$2017),0))</f>
        <v>174.0</v>
      </c>
      <c r="AC181" s="2972" t="n">
        <f t="shared" si="18"/>
        <v>419.4</v>
      </c>
      <c r="AD181" s="2954"/>
    </row>
    <row r="182" spans="1:31" ht="27" x14ac:dyDescent="0.15">
      <c r="A182" s="2769" t="s">
        <v>2057</v>
      </c>
      <c r="B182" s="2765" t="s">
        <v>2058</v>
      </c>
      <c r="C182" s="2765"/>
      <c r="D182" s="2765" t="s">
        <v>2059</v>
      </c>
      <c r="E182" s="2765" t="s">
        <v>2060</v>
      </c>
      <c r="F182" s="2757" t="s">
        <v>2061</v>
      </c>
      <c r="G182" s="2752" t="s">
        <v>2062</v>
      </c>
      <c r="H182" s="2220" t="str">
        <f t="shared" si="32"/>
        <v>6-DaHall 1-PDU-01-30-28</v>
      </c>
      <c r="I182" s="2221" t="str">
        <f t="shared" si="33"/>
        <v>6-DaHall 1-PDU-02-30-28</v>
      </c>
      <c r="J182" s="1531">
        <v>220</v>
      </c>
      <c r="K182" s="1532">
        <v>30</v>
      </c>
      <c r="L182" s="2540" t="s">
        <v>6924</v>
      </c>
      <c r="M182" s="1533">
        <v>28</v>
      </c>
      <c r="N182" s="1534">
        <v>220</v>
      </c>
      <c r="O182" s="1535">
        <v>30</v>
      </c>
      <c r="P182" s="2546" t="s">
        <v>6920</v>
      </c>
      <c r="Q182" s="1536">
        <v>28</v>
      </c>
      <c r="R182" s="3241"/>
      <c r="S182" s="3242"/>
      <c r="T182" s="3241"/>
      <c r="U182" s="3242"/>
      <c r="V182" s="3241"/>
      <c r="W182" s="3242"/>
      <c r="X182" s="270" t="n">
        <f>SUM('6층_부하량(월간_AVG)'!L215:N215)</f>
        <v>2.8518648210089803</v>
      </c>
      <c r="Y182" s="270" t="n">
        <f>SUM('6층_부하량(월간_AVG)'!L245:N245)</f>
        <v>4.9424879403767035</v>
      </c>
      <c r="Z182" s="2557" t="n">
        <f t="shared" si="34"/>
        <v>7.794352761385683</v>
      </c>
      <c r="AA182" s="2838" t="n" cm="1">
        <f t="array" ref="AA182">INDEX('각층분기별_유효전력량(전월)'!$I$2:$I$2017,MATCH(1,("6-DaHall 1-PDU-01"='각층분기별_유효전력량(전월)'!$G$2:$G$2017)*("[branch#028] [A] kWh last month"='각층분기별_유효전력량(전월)'!$H$2:$H$2017),0))</f>
        <v>413.2</v>
      </c>
      <c r="AB182" s="2989" t="n" cm="1">
        <f t="array" ref="AB182">INDEX('각층분기별_유효전력량(전월)'!$I$2:$I$2017,MATCH(1,("6-DaHall 1-PDU-02"='각층분기별_유효전력량(전월)'!$G$2:$G$2017)*("[branch#028] [A] kWh last month"='각층분기별_유효전력량(전월)'!$H$2:$H$2017),0))</f>
        <v>769.7</v>
      </c>
      <c r="AC182" s="2972" t="n">
        <f t="shared" si="18"/>
        <v>1182.9</v>
      </c>
      <c r="AD182" s="2954"/>
    </row>
    <row r="183" spans="1:31" ht="14.25" thickBot="1" x14ac:dyDescent="0.2">
      <c r="A183" s="2779" t="s">
        <v>2063</v>
      </c>
      <c r="B183" s="847"/>
      <c r="C183" s="847"/>
      <c r="D183" s="847"/>
      <c r="E183" s="847"/>
      <c r="F183" s="2830"/>
      <c r="G183" s="2813"/>
      <c r="H183" s="2225"/>
      <c r="I183" s="2226"/>
      <c r="J183" s="1548"/>
      <c r="K183" s="1549"/>
      <c r="L183" s="2830"/>
      <c r="M183" s="1550"/>
      <c r="N183" s="1551"/>
      <c r="O183" s="1552"/>
      <c r="P183" s="2813"/>
      <c r="Q183" s="1553"/>
      <c r="R183" s="848"/>
      <c r="S183" s="867"/>
      <c r="T183" s="848"/>
      <c r="U183" s="867"/>
      <c r="V183" s="848"/>
      <c r="W183" s="867"/>
      <c r="X183" s="1124"/>
      <c r="Y183" s="1124"/>
      <c r="Z183" s="2563"/>
      <c r="AA183" s="2985"/>
      <c r="AB183" s="2986"/>
      <c r="AC183" s="2987" t="n">
        <f t="shared" si="18"/>
        <v>0.0</v>
      </c>
      <c r="AD183" s="2988" t="s">
        <v>1579</v>
      </c>
    </row>
    <row r="184" spans="1:31" ht="14.25" thickTop="1" x14ac:dyDescent="0.15">
      <c r="A184" s="1105" t="s">
        <v>2064</v>
      </c>
      <c r="B184" s="834"/>
      <c r="C184" s="834"/>
      <c r="D184" s="834"/>
      <c r="E184" s="834"/>
      <c r="F184" s="902"/>
      <c r="G184" s="903"/>
      <c r="H184" s="2218"/>
      <c r="I184" s="2219"/>
      <c r="J184" s="1523"/>
      <c r="K184" s="1524"/>
      <c r="L184" s="902"/>
      <c r="M184" s="1525"/>
      <c r="N184" s="1526"/>
      <c r="O184" s="1527"/>
      <c r="P184" s="903"/>
      <c r="Q184" s="1528"/>
      <c r="R184" s="835"/>
      <c r="S184" s="836"/>
      <c r="T184" s="835"/>
      <c r="U184" s="836"/>
      <c r="V184" s="835"/>
      <c r="W184" s="836"/>
      <c r="X184" s="841"/>
      <c r="Y184" s="841"/>
      <c r="Z184" s="2562"/>
      <c r="AA184" s="2969"/>
      <c r="AB184" s="2970"/>
      <c r="AC184" s="2978" t="n">
        <f t="shared" si="18"/>
        <v>0.0</v>
      </c>
      <c r="AD184" s="2971" t="s">
        <v>1579</v>
      </c>
    </row>
    <row r="185" spans="1:31" ht="27" x14ac:dyDescent="0.15">
      <c r="A185" s="2769" t="s">
        <v>2065</v>
      </c>
      <c r="B185" s="2834" t="s">
        <v>2066</v>
      </c>
      <c r="C185" s="2834"/>
      <c r="D185" s="2834" t="s">
        <v>2067</v>
      </c>
      <c r="E185" s="2834" t="s">
        <v>2068</v>
      </c>
      <c r="F185" s="2829" t="s">
        <v>2069</v>
      </c>
      <c r="G185" s="2812" t="s">
        <v>2070</v>
      </c>
      <c r="H185" s="2220" t="str">
        <f t="shared" ref="H185:H192" si="35">"6-DaHall 1-PDU-"&amp;L185&amp;"-"&amp;K185&amp;"-"&amp;M185</f>
        <v>6-DaHall 1-PDU-11-30-23</v>
      </c>
      <c r="I185" s="2221" t="str">
        <f t="shared" ref="I185:I192" si="36">"6-DaHall 1-PDU-"&amp;P185&amp;"-"&amp;O185&amp;"-"&amp;Q185</f>
        <v>6-DaHall 1-PDU-12-30-23</v>
      </c>
      <c r="J185" s="1545">
        <v>220</v>
      </c>
      <c r="K185" s="1546">
        <v>30</v>
      </c>
      <c r="L185" s="2540" t="s">
        <v>6968</v>
      </c>
      <c r="M185" s="1533">
        <v>23</v>
      </c>
      <c r="N185" s="1537">
        <v>220</v>
      </c>
      <c r="O185" s="1538">
        <v>30</v>
      </c>
      <c r="P185" s="2546" t="s">
        <v>6975</v>
      </c>
      <c r="Q185" s="1536">
        <v>23</v>
      </c>
      <c r="R185" s="3231" t="s">
        <v>1777</v>
      </c>
      <c r="S185" s="3223" t="s">
        <v>1778</v>
      </c>
      <c r="T185" s="3231" t="s">
        <v>1779</v>
      </c>
      <c r="U185" s="3223" t="s">
        <v>1780</v>
      </c>
      <c r="V185" s="3239" t="s">
        <v>1590</v>
      </c>
      <c r="W185" s="3227" t="s">
        <v>1591</v>
      </c>
      <c r="X185" s="1013" t="n">
        <f>SUM('6층_부하량(월간_AVG)'!D155:F155)</f>
        <v>0.0</v>
      </c>
      <c r="Y185" s="1013" t="n">
        <f>SUM('6층_부하량(월간_AVG)'!D184:F184)</f>
        <v>0.0</v>
      </c>
      <c r="Z185" s="2564" t="n">
        <f t="shared" ref="Z185:Z192" si="37">SUM(X185:Y185)</f>
        <v>0.0</v>
      </c>
      <c r="AA185" s="2838" t="n" cm="1">
        <f t="array" ref="AA185">INDEX('각층분기별_유효전력량(전월)'!$I$2:$I$2017,MATCH(1,("6-DaHall 1-PDU-11"='각층분기별_유효전력량(전월)'!$G$2:$G$2017)*("[branch#023] [A] kWh last month"='각층분기별_유효전력량(전월)'!$H$2:$H$2017),0))</f>
        <v>0.0</v>
      </c>
      <c r="AB185" s="2989" t="n" cm="1">
        <f t="array" ref="AB185">INDEX('각층분기별_유효전력량(전월)'!$I$2:$I$2017,MATCH(1,("6-DaHall 1-PDU-12"='각층분기별_유효전력량(전월)'!$G$2:$G$2017)*("[branch#023] [A] kWh last month"='각층분기별_유효전력량(전월)'!$H$2:$H$2017),0))</f>
        <v>0.0</v>
      </c>
      <c r="AC185" s="2990" t="n">
        <f t="shared" si="18"/>
        <v>0.0</v>
      </c>
      <c r="AD185" s="2991" t="s">
        <v>1579</v>
      </c>
    </row>
    <row r="186" spans="1:31" ht="27" x14ac:dyDescent="0.15">
      <c r="A186" s="2769" t="s">
        <v>2071</v>
      </c>
      <c r="B186" s="2834" t="s">
        <v>2072</v>
      </c>
      <c r="C186" s="2834"/>
      <c r="D186" s="2834" t="s">
        <v>2073</v>
      </c>
      <c r="E186" s="2834" t="s">
        <v>2074</v>
      </c>
      <c r="F186" s="2829" t="s">
        <v>2075</v>
      </c>
      <c r="G186" s="2812" t="s">
        <v>2076</v>
      </c>
      <c r="H186" s="2220" t="str">
        <f t="shared" si="35"/>
        <v>6-DaHall 1-PDU-11-30-25</v>
      </c>
      <c r="I186" s="2221" t="str">
        <f t="shared" si="36"/>
        <v>6-DaHall 1-PDU-12-30-25</v>
      </c>
      <c r="J186" s="1545">
        <v>220</v>
      </c>
      <c r="K186" s="1546">
        <v>30</v>
      </c>
      <c r="L186" s="2540" t="s">
        <v>6968</v>
      </c>
      <c r="M186" s="1533">
        <v>25</v>
      </c>
      <c r="N186" s="1537">
        <v>220</v>
      </c>
      <c r="O186" s="1538">
        <v>30</v>
      </c>
      <c r="P186" s="2546" t="s">
        <v>6975</v>
      </c>
      <c r="Q186" s="1536">
        <v>25</v>
      </c>
      <c r="R186" s="3241"/>
      <c r="S186" s="3242"/>
      <c r="T186" s="3241"/>
      <c r="U186" s="3242"/>
      <c r="V186" s="3244"/>
      <c r="W186" s="3229"/>
      <c r="X186" s="1013" t="n">
        <f>SUM('6층_부하량(월간_AVG)'!D156:F156)</f>
        <v>0.0</v>
      </c>
      <c r="Y186" s="1013" t="n">
        <f>SUM('6층_부하량(월간_AVG)'!D185:F185)</f>
        <v>0.0</v>
      </c>
      <c r="Z186" s="2564" t="n">
        <f t="shared" si="37"/>
        <v>0.0</v>
      </c>
      <c r="AA186" s="2838" t="n" cm="1">
        <f t="array" ref="AA186">INDEX('각층분기별_유효전력량(전월)'!$I$2:$I$2017,MATCH(1,("6-DaHall 1-PDU-11"='각층분기별_유효전력량(전월)'!$G$2:$G$2017)*("[branch#025] [A] kWh last month"='각층분기별_유효전력량(전월)'!$H$2:$H$2017),0))</f>
        <v>0.0</v>
      </c>
      <c r="AB186" s="2989" t="n" cm="1">
        <f t="array" ref="AB186">INDEX('각층분기별_유효전력량(전월)'!$I$2:$I$2017,MATCH(1,("6-DaHall 1-PDU-12"='각층분기별_유효전력량(전월)'!$G$2:$G$2017)*("[branch#025] [A] kWh last month"='각층분기별_유효전력량(전월)'!$H$2:$H$2017),0))</f>
        <v>0.0</v>
      </c>
      <c r="AC186" s="2990" t="n">
        <f t="shared" si="18"/>
        <v>0.0</v>
      </c>
      <c r="AD186" s="2991" t="s">
        <v>1579</v>
      </c>
    </row>
    <row r="187" spans="1:31" ht="27" x14ac:dyDescent="0.15">
      <c r="A187" s="3279" t="s">
        <v>2077</v>
      </c>
      <c r="B187" s="3246" t="s">
        <v>2078</v>
      </c>
      <c r="C187" s="2765"/>
      <c r="D187" s="2765" t="s">
        <v>2079</v>
      </c>
      <c r="E187" s="2765" t="s">
        <v>2080</v>
      </c>
      <c r="F187" s="2757" t="s">
        <v>2081</v>
      </c>
      <c r="G187" s="2752" t="s">
        <v>2082</v>
      </c>
      <c r="H187" s="2220" t="str">
        <f t="shared" si="35"/>
        <v>6-DaHall 1-PDU-11-30-27</v>
      </c>
      <c r="I187" s="2221" t="str">
        <f t="shared" si="36"/>
        <v>6-DaHall 1-PDU-12-30-27</v>
      </c>
      <c r="J187" s="1545">
        <v>220</v>
      </c>
      <c r="K187" s="1546">
        <v>30</v>
      </c>
      <c r="L187" s="2540" t="s">
        <v>6968</v>
      </c>
      <c r="M187" s="1533">
        <v>27</v>
      </c>
      <c r="N187" s="1537">
        <v>220</v>
      </c>
      <c r="O187" s="1538">
        <v>30</v>
      </c>
      <c r="P187" s="2546" t="s">
        <v>6975</v>
      </c>
      <c r="Q187" s="1536">
        <v>27</v>
      </c>
      <c r="R187" s="3241"/>
      <c r="S187" s="3242"/>
      <c r="T187" s="3241"/>
      <c r="U187" s="3242"/>
      <c r="V187" s="3244"/>
      <c r="W187" s="3229"/>
      <c r="X187" s="270" t="n">
        <f>SUM('6층_부하량(월간_AVG)'!D157:F157)</f>
        <v>0.0</v>
      </c>
      <c r="Y187" s="270" t="n">
        <f>SUM('6층_부하량(월간_AVG)'!D186:F186)</f>
        <v>0.0</v>
      </c>
      <c r="Z187" s="2557" t="n">
        <f t="shared" si="37"/>
        <v>0.0</v>
      </c>
      <c r="AA187" s="2838" t="n" cm="1">
        <f t="array" ref="AA187">INDEX('각층분기별_유효전력량(전월)'!$I$2:$I$2017,MATCH(1,("6-DaHall 1-PDU-11"='각층분기별_유효전력량(전월)'!$G$2:$G$2017)*("[branch#027] [A] kWh last month"='각층분기별_유효전력량(전월)'!$H$2:$H$2017),0))</f>
        <v>0.0</v>
      </c>
      <c r="AB187" s="2989" t="n" cm="1">
        <f t="array" ref="AB187">INDEX('각층분기별_유효전력량(전월)'!$I$2:$I$2017,MATCH(1,("6-DaHall 1-PDU-12"='각층분기별_유효전력량(전월)'!$G$2:$G$2017)*("[branch#027] [A] kWh last month"='각층분기별_유효전력량(전월)'!$H$2:$H$2017),0))</f>
        <v>0.0</v>
      </c>
      <c r="AC187" s="3208" t="n">
        <f>SUM(AA187:AB188)</f>
        <v>0.0</v>
      </c>
      <c r="AD187" s="2954"/>
    </row>
    <row r="188" spans="1:31" ht="27" x14ac:dyDescent="0.15">
      <c r="A188" s="3279"/>
      <c r="B188" s="3246"/>
      <c r="C188" s="2765"/>
      <c r="D188" s="2765" t="s">
        <v>2083</v>
      </c>
      <c r="E188" s="2765" t="s">
        <v>2084</v>
      </c>
      <c r="F188" s="2757" t="s">
        <v>2085</v>
      </c>
      <c r="G188" s="2752" t="s">
        <v>2086</v>
      </c>
      <c r="H188" s="2220" t="str">
        <f t="shared" si="35"/>
        <v>6-DaHall 1-PDU-11-30-49</v>
      </c>
      <c r="I188" s="2221" t="str">
        <f t="shared" si="36"/>
        <v>6-DaHall 1-PDU-12-30-49</v>
      </c>
      <c r="J188" s="1545">
        <v>220</v>
      </c>
      <c r="K188" s="1546">
        <v>30</v>
      </c>
      <c r="L188" s="2540" t="s">
        <v>6968</v>
      </c>
      <c r="M188" s="1533">
        <v>49</v>
      </c>
      <c r="N188" s="1537">
        <v>220</v>
      </c>
      <c r="O188" s="1538">
        <v>30</v>
      </c>
      <c r="P188" s="2546" t="s">
        <v>6975</v>
      </c>
      <c r="Q188" s="1536">
        <v>49</v>
      </c>
      <c r="R188" s="3241"/>
      <c r="S188" s="3242"/>
      <c r="T188" s="3241"/>
      <c r="U188" s="3242"/>
      <c r="V188" s="3244"/>
      <c r="W188" s="3229"/>
      <c r="X188" s="270" t="n">
        <f>SUM('6층_부하량(월간_AVG)'!D168:F168)</f>
        <v>0.0</v>
      </c>
      <c r="Y188" s="270" t="n">
        <f>SUM('6층_부하량(월간_AVG)'!D197:F197)</f>
        <v>0.0</v>
      </c>
      <c r="Z188" s="2557" t="n">
        <f t="shared" si="37"/>
        <v>0.0</v>
      </c>
      <c r="AA188" s="2838" t="n" cm="1">
        <f t="array" ref="AA188">INDEX('각층분기별_유효전력량(전월)'!$I$2:$I$2017,MATCH(1,("6-DaHall 1-PDU-11"='각층분기별_유효전력량(전월)'!$G$2:$G$2017)*("[branch#049] [A] kWh last month"='각층분기별_유효전력량(전월)'!$H$2:$H$2017),0))</f>
        <v>0.0</v>
      </c>
      <c r="AB188" s="2989" t="n" cm="1">
        <f t="array" ref="AB188">INDEX('각층분기별_유효전력량(전월)'!$I$2:$I$2017,MATCH(1,("6-DaHall 1-PDU-12"='각층분기별_유효전력량(전월)'!$G$2:$G$2017)*("[branch#049] [A] kWh last month"='각층분기별_유효전력량(전월)'!$H$2:$H$2017),0))</f>
        <v>0.0</v>
      </c>
      <c r="AC188" s="3209"/>
      <c r="AD188" s="2954"/>
    </row>
    <row r="189" spans="1:31" ht="27" x14ac:dyDescent="0.15">
      <c r="A189" s="2769" t="s">
        <v>2087</v>
      </c>
      <c r="B189" s="2765" t="s">
        <v>2088</v>
      </c>
      <c r="C189" s="2765"/>
      <c r="D189" s="2765" t="s">
        <v>2089</v>
      </c>
      <c r="E189" s="2765" t="s">
        <v>2090</v>
      </c>
      <c r="F189" s="2757" t="s">
        <v>2091</v>
      </c>
      <c r="G189" s="2752" t="s">
        <v>2092</v>
      </c>
      <c r="H189" s="2220" t="str">
        <f t="shared" si="35"/>
        <v>6-DaHall 1-PDU-11-30-29</v>
      </c>
      <c r="I189" s="2221" t="str">
        <f t="shared" si="36"/>
        <v>6-DaHall 1-PDU-12-30-29</v>
      </c>
      <c r="J189" s="1545">
        <v>220</v>
      </c>
      <c r="K189" s="1546">
        <v>30</v>
      </c>
      <c r="L189" s="2540" t="s">
        <v>6968</v>
      </c>
      <c r="M189" s="1533">
        <v>29</v>
      </c>
      <c r="N189" s="1537">
        <v>220</v>
      </c>
      <c r="O189" s="1538">
        <v>30</v>
      </c>
      <c r="P189" s="2546" t="s">
        <v>6975</v>
      </c>
      <c r="Q189" s="1536">
        <v>29</v>
      </c>
      <c r="R189" s="3241"/>
      <c r="S189" s="3242"/>
      <c r="T189" s="3241"/>
      <c r="U189" s="3242"/>
      <c r="V189" s="3244"/>
      <c r="W189" s="3229"/>
      <c r="X189" s="270" t="n">
        <f>SUM('6층_부하량(월간_AVG)'!D158:F158)</f>
        <v>0.0</v>
      </c>
      <c r="Y189" s="270" t="n">
        <f>SUM('6층_부하량(월간_AVG)'!D187:F187)</f>
        <v>0.0</v>
      </c>
      <c r="Z189" s="2557" t="n">
        <f t="shared" si="37"/>
        <v>0.0</v>
      </c>
      <c r="AA189" s="2838" t="n" cm="1">
        <f t="array" ref="AA189">INDEX('각층분기별_유효전력량(전월)'!$I$2:$I$2017,MATCH(1,("6-DaHall 1-PDU-11"='각층분기별_유효전력량(전월)'!$G$2:$G$2017)*("[branch#029] [A] kWh last month"='각층분기별_유효전력량(전월)'!$H$2:$H$2017),0))</f>
        <v>0.0</v>
      </c>
      <c r="AB189" s="2989" t="n" cm="1">
        <f t="array" ref="AB189">INDEX('각층분기별_유효전력량(전월)'!$I$2:$I$2017,MATCH(1,("6-DaHall 1-PDU-12"='각층분기별_유효전력량(전월)'!$G$2:$G$2017)*("[branch#029] [A] kWh last month"='각층분기별_유효전력량(전월)'!$H$2:$H$2017),0))</f>
        <v>0.0</v>
      </c>
      <c r="AC189" s="2972" t="n">
        <f t="shared" ref="AC189" si="38">SUM(AA189:AB189)</f>
        <v>0.0</v>
      </c>
      <c r="AD189" s="2954"/>
    </row>
    <row r="190" spans="1:31" ht="27" x14ac:dyDescent="0.15">
      <c r="A190" s="3279" t="s">
        <v>2093</v>
      </c>
      <c r="B190" s="3246" t="s">
        <v>2094</v>
      </c>
      <c r="C190" s="2765"/>
      <c r="D190" s="2765" t="s">
        <v>2095</v>
      </c>
      <c r="E190" s="2765" t="s">
        <v>2096</v>
      </c>
      <c r="F190" s="2757" t="s">
        <v>2097</v>
      </c>
      <c r="G190" s="2752" t="s">
        <v>2098</v>
      </c>
      <c r="H190" s="2220" t="str">
        <f t="shared" si="35"/>
        <v>6-DaHall 1-PDU-11-30-31</v>
      </c>
      <c r="I190" s="2221" t="str">
        <f t="shared" si="36"/>
        <v>6-DaHall 1-PDU-12-30-31</v>
      </c>
      <c r="J190" s="1545">
        <v>220</v>
      </c>
      <c r="K190" s="1546">
        <v>30</v>
      </c>
      <c r="L190" s="2540" t="s">
        <v>6968</v>
      </c>
      <c r="M190" s="1533">
        <v>31</v>
      </c>
      <c r="N190" s="1537">
        <v>220</v>
      </c>
      <c r="O190" s="1538">
        <v>30</v>
      </c>
      <c r="P190" s="2546" t="s">
        <v>6975</v>
      </c>
      <c r="Q190" s="1536">
        <v>31</v>
      </c>
      <c r="R190" s="3241"/>
      <c r="S190" s="3242"/>
      <c r="T190" s="3241"/>
      <c r="U190" s="3242"/>
      <c r="V190" s="3244"/>
      <c r="W190" s="3229"/>
      <c r="X190" s="270" t="n">
        <f>SUM('6층_부하량(월간_AVG)'!D159:F159)</f>
        <v>0.0</v>
      </c>
      <c r="Y190" s="270" t="n">
        <f>SUM('6층_부하량(월간_AVG)'!D188:F188)</f>
        <v>0.0</v>
      </c>
      <c r="Z190" s="2557" t="n">
        <f t="shared" si="37"/>
        <v>0.0</v>
      </c>
      <c r="AA190" s="2838" t="n" cm="1">
        <f t="array" ref="AA190">INDEX('각층분기별_유효전력량(전월)'!$I$2:$I$2017,MATCH(1,("6-DaHall 1-PDU-11"='각층분기별_유효전력량(전월)'!$G$2:$G$2017)*("[branch#031] [A] kWh last month"='각층분기별_유효전력량(전월)'!$H$2:$H$2017),0))</f>
        <v>0.0</v>
      </c>
      <c r="AB190" s="2989" t="n" cm="1">
        <f t="array" ref="AB190">INDEX('각층분기별_유효전력량(전월)'!$I$2:$I$2017,MATCH(1,("6-DaHall 1-PDU-12"='각층분기별_유효전력량(전월)'!$G$2:$G$2017)*("[branch#031] [A] kWh last month"='각층분기별_유효전력량(전월)'!$H$2:$H$2017),0))</f>
        <v>0.0</v>
      </c>
      <c r="AC190" s="3208" t="n">
        <f>SUM(AA190:AB191)</f>
        <v>0.0</v>
      </c>
      <c r="AD190" s="2954"/>
    </row>
    <row r="191" spans="1:31" ht="27" x14ac:dyDescent="0.15">
      <c r="A191" s="3279"/>
      <c r="B191" s="3246"/>
      <c r="C191" s="2765"/>
      <c r="D191" s="2765" t="s">
        <v>2099</v>
      </c>
      <c r="E191" s="2765" t="s">
        <v>2100</v>
      </c>
      <c r="F191" s="2757" t="s">
        <v>2101</v>
      </c>
      <c r="G191" s="2752" t="s">
        <v>2102</v>
      </c>
      <c r="H191" s="2220" t="str">
        <f t="shared" si="35"/>
        <v>6-DaHall 1-PDU-11-30-47</v>
      </c>
      <c r="I191" s="2221" t="str">
        <f t="shared" si="36"/>
        <v>6-DaHall 1-PDU-12-30-47</v>
      </c>
      <c r="J191" s="1545">
        <v>220</v>
      </c>
      <c r="K191" s="1546">
        <v>30</v>
      </c>
      <c r="L191" s="2540" t="s">
        <v>6968</v>
      </c>
      <c r="M191" s="1533">
        <v>47</v>
      </c>
      <c r="N191" s="1537">
        <v>220</v>
      </c>
      <c r="O191" s="1538">
        <v>30</v>
      </c>
      <c r="P191" s="2546" t="s">
        <v>6975</v>
      </c>
      <c r="Q191" s="1536">
        <v>47</v>
      </c>
      <c r="R191" s="3241"/>
      <c r="S191" s="3242"/>
      <c r="T191" s="3241"/>
      <c r="U191" s="3242"/>
      <c r="V191" s="3244"/>
      <c r="W191" s="3229"/>
      <c r="X191" s="270" t="n">
        <f>SUM('6층_부하량(월간_AVG)'!D167:F167)</f>
        <v>0.0</v>
      </c>
      <c r="Y191" s="270" t="n">
        <f>SUM('6층_부하량(월간_AVG)'!D196:F196)</f>
        <v>0.0</v>
      </c>
      <c r="Z191" s="2557" t="n">
        <f t="shared" si="37"/>
        <v>0.0</v>
      </c>
      <c r="AA191" s="2838" t="n" cm="1">
        <f t="array" ref="AA191">INDEX('각층분기별_유효전력량(전월)'!$I$2:$I$2017,MATCH(1,("6-DaHall 1-PDU-11"='각층분기별_유효전력량(전월)'!$G$2:$G$2017)*("[branch#047] [A] kWh last month"='각층분기별_유효전력량(전월)'!$H$2:$H$2017),0))</f>
        <v>0.0</v>
      </c>
      <c r="AB191" s="2989" t="n" cm="1">
        <f t="array" ref="AB191">INDEX('각층분기별_유효전력량(전월)'!$I$2:$I$2017,MATCH(1,("6-DaHall 1-PDU-12"='각층분기별_유효전력량(전월)'!$G$2:$G$2017)*("[branch#047] [A] kWh last month"='각층분기별_유효전력량(전월)'!$H$2:$H$2017),0))</f>
        <v>0.0</v>
      </c>
      <c r="AC191" s="3209"/>
      <c r="AD191" s="2954"/>
    </row>
    <row r="192" spans="1:31" ht="27" x14ac:dyDescent="0.15">
      <c r="A192" s="2769" t="s">
        <v>2103</v>
      </c>
      <c r="B192" s="2765" t="s">
        <v>2104</v>
      </c>
      <c r="C192" s="2765"/>
      <c r="D192" s="2765" t="s">
        <v>2105</v>
      </c>
      <c r="E192" s="2765" t="s">
        <v>2106</v>
      </c>
      <c r="F192" s="2757" t="s">
        <v>2107</v>
      </c>
      <c r="G192" s="2752" t="s">
        <v>2108</v>
      </c>
      <c r="H192" s="2220" t="str">
        <f t="shared" si="35"/>
        <v>6-DaHall 1-PDU-11-30-33</v>
      </c>
      <c r="I192" s="2221" t="str">
        <f t="shared" si="36"/>
        <v>6-DaHall 1-PDU-12-30-33</v>
      </c>
      <c r="J192" s="1545">
        <v>220</v>
      </c>
      <c r="K192" s="1546">
        <v>30</v>
      </c>
      <c r="L192" s="2540" t="s">
        <v>6968</v>
      </c>
      <c r="M192" s="1533">
        <v>33</v>
      </c>
      <c r="N192" s="1537">
        <v>220</v>
      </c>
      <c r="O192" s="1538">
        <v>30</v>
      </c>
      <c r="P192" s="2546" t="s">
        <v>6975</v>
      </c>
      <c r="Q192" s="1536">
        <v>33</v>
      </c>
      <c r="R192" s="3241"/>
      <c r="S192" s="3242"/>
      <c r="T192" s="3241"/>
      <c r="U192" s="3242"/>
      <c r="V192" s="3234"/>
      <c r="W192" s="3243"/>
      <c r="X192" s="270" t="n">
        <f>SUM('6층_부하량(월간_AVG)'!D160:F160)</f>
        <v>0.0</v>
      </c>
      <c r="Y192" s="270" t="n">
        <f>SUM('6층_부하량(월간_AVG)'!D189:F189)</f>
        <v>0.0</v>
      </c>
      <c r="Z192" s="2557" t="n">
        <f t="shared" si="37"/>
        <v>0.0</v>
      </c>
      <c r="AA192" s="2838" t="n" cm="1">
        <f t="array" ref="AA192">INDEX('각층분기별_유효전력량(전월)'!$I$2:$I$2017,MATCH(1,("6-DaHall 1-PDU-11"='각층분기별_유효전력량(전월)'!$G$2:$G$2017)*("[branch#033] [A] kWh last month"='각층분기별_유효전력량(전월)'!$H$2:$H$2017),0))</f>
        <v>0.0</v>
      </c>
      <c r="AB192" s="2989" t="n" cm="1">
        <f t="array" ref="AB192">INDEX('각층분기별_유효전력량(전월)'!$I$2:$I$2017,MATCH(1,("6-DaHall 1-PDU-12"='각층분기별_유효전력량(전월)'!$G$2:$G$2017)*("[branch#033] [A] kWh last month"='각층분기별_유효전력량(전월)'!$H$2:$H$2017),0))</f>
        <v>0.0</v>
      </c>
      <c r="AC192" s="2972" t="n">
        <f t="shared" ref="AC192:AC212" si="39">SUM(AA192:AB192)</f>
        <v>0.0</v>
      </c>
      <c r="AD192" s="2954"/>
    </row>
    <row r="193" spans="1:31" x14ac:dyDescent="0.15">
      <c r="A193" s="2769" t="s">
        <v>2109</v>
      </c>
      <c r="B193" s="2834" t="s">
        <v>2110</v>
      </c>
      <c r="C193" s="2834"/>
      <c r="D193" s="2834"/>
      <c r="E193" s="2834"/>
      <c r="F193" s="2829"/>
      <c r="G193" s="2812"/>
      <c r="H193" s="2220"/>
      <c r="I193" s="2221"/>
      <c r="J193" s="1531"/>
      <c r="K193" s="1532"/>
      <c r="L193" s="2757"/>
      <c r="M193" s="1533"/>
      <c r="N193" s="1534"/>
      <c r="O193" s="1535"/>
      <c r="P193" s="2752"/>
      <c r="Q193" s="1536"/>
      <c r="R193" s="838"/>
      <c r="S193" s="839"/>
      <c r="T193" s="838"/>
      <c r="U193" s="839"/>
      <c r="V193" s="1110"/>
      <c r="W193" s="1111"/>
      <c r="X193" s="1013"/>
      <c r="Y193" s="1013"/>
      <c r="Z193" s="2564"/>
      <c r="AA193" s="2840"/>
      <c r="AB193" s="2992"/>
      <c r="AC193" s="2990" t="n">
        <f t="shared" si="39"/>
        <v>0.0</v>
      </c>
      <c r="AD193" s="2991" t="s">
        <v>1579</v>
      </c>
    </row>
    <row r="194" spans="1:31" x14ac:dyDescent="0.15">
      <c r="A194" s="2769" t="s">
        <v>2111</v>
      </c>
      <c r="B194" s="2834" t="s">
        <v>2112</v>
      </c>
      <c r="C194" s="2834"/>
      <c r="D194" s="2834"/>
      <c r="E194" s="2834"/>
      <c r="F194" s="2829"/>
      <c r="G194" s="2812"/>
      <c r="H194" s="2220"/>
      <c r="I194" s="2221"/>
      <c r="J194" s="1531"/>
      <c r="K194" s="1532"/>
      <c r="L194" s="2757"/>
      <c r="M194" s="1533"/>
      <c r="N194" s="1534"/>
      <c r="O194" s="1535"/>
      <c r="P194" s="2752"/>
      <c r="Q194" s="1536"/>
      <c r="R194" s="838"/>
      <c r="S194" s="839"/>
      <c r="T194" s="838"/>
      <c r="U194" s="839"/>
      <c r="V194" s="1110"/>
      <c r="W194" s="1111"/>
      <c r="X194" s="1013"/>
      <c r="Y194" s="1013"/>
      <c r="Z194" s="2564"/>
      <c r="AA194" s="2840"/>
      <c r="AB194" s="2992"/>
      <c r="AC194" s="2990" t="n">
        <f t="shared" si="39"/>
        <v>0.0</v>
      </c>
      <c r="AD194" s="2991" t="s">
        <v>1579</v>
      </c>
    </row>
    <row r="195" spans="1:31" x14ac:dyDescent="0.15">
      <c r="A195" s="2769" t="s">
        <v>2113</v>
      </c>
      <c r="B195" s="2834" t="s">
        <v>2114</v>
      </c>
      <c r="C195" s="2834"/>
      <c r="D195" s="2834"/>
      <c r="E195" s="2834"/>
      <c r="F195" s="2829"/>
      <c r="G195" s="2812"/>
      <c r="H195" s="2220"/>
      <c r="I195" s="2221"/>
      <c r="J195" s="1531"/>
      <c r="K195" s="1532"/>
      <c r="L195" s="2757"/>
      <c r="M195" s="1533"/>
      <c r="N195" s="1534"/>
      <c r="O195" s="1535"/>
      <c r="P195" s="2752"/>
      <c r="Q195" s="1536"/>
      <c r="R195" s="838"/>
      <c r="S195" s="839"/>
      <c r="T195" s="838"/>
      <c r="U195" s="839"/>
      <c r="V195" s="1110"/>
      <c r="W195" s="1111"/>
      <c r="X195" s="1013"/>
      <c r="Y195" s="1013"/>
      <c r="Z195" s="2564"/>
      <c r="AA195" s="2840"/>
      <c r="AB195" s="2992"/>
      <c r="AC195" s="2990" t="n">
        <f t="shared" si="39"/>
        <v>0.0</v>
      </c>
      <c r="AD195" s="2991" t="s">
        <v>1579</v>
      </c>
    </row>
    <row r="196" spans="1:31" ht="14.25" thickBot="1" x14ac:dyDescent="0.2">
      <c r="A196" s="2779" t="s">
        <v>2115</v>
      </c>
      <c r="B196" s="847"/>
      <c r="C196" s="847"/>
      <c r="D196" s="847"/>
      <c r="E196" s="847"/>
      <c r="F196" s="2830"/>
      <c r="G196" s="2813"/>
      <c r="H196" s="2222"/>
      <c r="I196" s="2223"/>
      <c r="J196" s="1539"/>
      <c r="K196" s="1540"/>
      <c r="L196" s="2759"/>
      <c r="M196" s="1541"/>
      <c r="N196" s="1542"/>
      <c r="O196" s="1543"/>
      <c r="P196" s="2753"/>
      <c r="Q196" s="1544"/>
      <c r="R196" s="848"/>
      <c r="S196" s="867"/>
      <c r="T196" s="848"/>
      <c r="U196" s="867"/>
      <c r="V196" s="848"/>
      <c r="W196" s="867"/>
      <c r="X196" s="1124"/>
      <c r="Y196" s="1124"/>
      <c r="Z196" s="2563"/>
      <c r="AA196" s="2985"/>
      <c r="AB196" s="2986"/>
      <c r="AC196" s="2987" t="n">
        <f t="shared" si="39"/>
        <v>0.0</v>
      </c>
      <c r="AD196" s="2988" t="s">
        <v>1579</v>
      </c>
    </row>
    <row r="197" spans="1:31" ht="27.75" thickTop="1" x14ac:dyDescent="0.15">
      <c r="A197" s="1105" t="s">
        <v>2116</v>
      </c>
      <c r="B197" s="331"/>
      <c r="C197" s="331"/>
      <c r="D197" s="2765" t="s">
        <v>2117</v>
      </c>
      <c r="E197" s="2765" t="s">
        <v>2118</v>
      </c>
      <c r="F197" s="2757" t="s">
        <v>2119</v>
      </c>
      <c r="G197" s="2752" t="s">
        <v>2120</v>
      </c>
      <c r="H197" s="2220" t="str">
        <f t="shared" ref="H197:H236" si="40">"6-DaHall 1-PDU-"&amp;L197&amp;"-"&amp;K197&amp;"-"&amp;M197</f>
        <v>6-DaHall 1-PDU-05-30-54</v>
      </c>
      <c r="I197" s="2221" t="str">
        <f t="shared" ref="I197:I236" si="41">"6-DaHall 1-PDU-"&amp;P197&amp;"-"&amp;O197&amp;"-"&amp;Q197</f>
        <v>6-DaHall 1-PDU-06-30-54</v>
      </c>
      <c r="J197" s="1531">
        <v>220</v>
      </c>
      <c r="K197" s="1532">
        <v>30</v>
      </c>
      <c r="L197" s="2540" t="s">
        <v>6918</v>
      </c>
      <c r="M197" s="1533">
        <v>54</v>
      </c>
      <c r="N197" s="1534">
        <v>220</v>
      </c>
      <c r="O197" s="1535">
        <v>30</v>
      </c>
      <c r="P197" s="2546" t="s">
        <v>6928</v>
      </c>
      <c r="Q197" s="1536">
        <v>54</v>
      </c>
      <c r="R197" s="2316"/>
      <c r="S197" s="833"/>
      <c r="T197" s="832"/>
      <c r="U197" s="833"/>
      <c r="V197" s="832"/>
      <c r="W197" s="833"/>
      <c r="X197" s="842" t="n">
        <f>SUM('6층_부하량(월간_AVG)'!L348:N348)</f>
        <v>4.220377321272683</v>
      </c>
      <c r="Y197" s="842" t="n">
        <f>SUM('6층_부하량(월간_AVG)'!L380:N380)</f>
        <v>2.4267372394180073</v>
      </c>
      <c r="Z197" s="2557" t="n">
        <f t="shared" ref="Z197" si="42">SUM(X197:Y197)</f>
        <v>6.6471145606906905</v>
      </c>
      <c r="AA197" s="2838" t="n" cm="1">
        <f t="array" ref="AA197">INDEX('각층분기별_유효전력량(전월)'!$I$2:$I$2017,MATCH(1,("6-DaHall 1-PDU-05"='각층분기별_유효전력량(전월)'!$G$2:$G$2017)*("[branch#054] [A] kWh last month"='각층분기별_유효전력량(전월)'!$H$2:$H$2017),0))</f>
        <v>613.5</v>
      </c>
      <c r="AB197" s="2859" t="n" cm="1">
        <f t="array" ref="AB197">INDEX('각층분기별_유효전력량(전월)'!$I$2:$I$2017,MATCH(1,("6-DaHall 1-PDU-06"='각층분기별_유효전력량(전월)'!$G$2:$G$2017)*("[branch#054] [A] kWh last month"='각층분기별_유효전력량(전월)'!$H$2:$H$2017),0))</f>
        <v>395.0</v>
      </c>
      <c r="AC197" s="2993" t="n">
        <f t="shared" si="39"/>
        <v>1008.5</v>
      </c>
      <c r="AD197" s="2581" t="s">
        <v>1579</v>
      </c>
      <c r="AE197" s="2144" t="s">
        <v>2121</v>
      </c>
    </row>
    <row r="198" spans="1:31" ht="27" x14ac:dyDescent="0.15">
      <c r="A198" s="2769" t="s">
        <v>2122</v>
      </c>
      <c r="B198" s="2765" t="s">
        <v>2123</v>
      </c>
      <c r="C198" s="2765"/>
      <c r="D198" s="2765" t="s">
        <v>2124</v>
      </c>
      <c r="E198" s="2765" t="s">
        <v>2125</v>
      </c>
      <c r="F198" s="2757" t="s">
        <v>2126</v>
      </c>
      <c r="G198" s="2113" t="s">
        <v>2127</v>
      </c>
      <c r="H198" s="2220" t="str">
        <f t="shared" si="40"/>
        <v>6-DaHall 1-PDU-05-30-2</v>
      </c>
      <c r="I198" s="2221" t="str">
        <f t="shared" si="41"/>
        <v>6-DaHall 1-PDU-06-30-2</v>
      </c>
      <c r="J198" s="1531">
        <v>220</v>
      </c>
      <c r="K198" s="1532">
        <v>30</v>
      </c>
      <c r="L198" s="2540" t="s">
        <v>6918</v>
      </c>
      <c r="M198" s="1533">
        <v>2</v>
      </c>
      <c r="N198" s="1534">
        <v>220</v>
      </c>
      <c r="O198" s="1535">
        <v>30</v>
      </c>
      <c r="P198" s="2546" t="s">
        <v>6928</v>
      </c>
      <c r="Q198" s="1536">
        <v>2</v>
      </c>
      <c r="R198" s="3231" t="s">
        <v>1896</v>
      </c>
      <c r="S198" s="3223" t="s">
        <v>1897</v>
      </c>
      <c r="T198" s="3231" t="s">
        <v>1898</v>
      </c>
      <c r="U198" s="3223" t="s">
        <v>1899</v>
      </c>
      <c r="V198" s="3239" t="s">
        <v>1590</v>
      </c>
      <c r="W198" s="3227" t="s">
        <v>1591</v>
      </c>
      <c r="X198" s="270" t="n">
        <f>SUM('6층_부하량(월간_AVG)'!L322:N322)</f>
        <v>11.23827724277424</v>
      </c>
      <c r="Y198" s="270" t="n">
        <f>SUM('6층_부하량(월간_AVG)'!L354:N354)</f>
        <v>10.169192931811594</v>
      </c>
      <c r="Z198" s="2557" t="n">
        <f t="shared" ref="Z198:Z212" si="43">SUM(X198:Y198)</f>
        <v>21.407470174585832</v>
      </c>
      <c r="AA198" s="2838" t="n" cm="1">
        <f t="array" ref="AA198">INDEX('각층분기별_유효전력량(전월)'!$I$2:$I$2017,MATCH(1,("6-DaHall 1-PDU-05"='각층분기별_유효전력량(전월)'!$G$2:$G$2017)*("[branch#002] [A] kWh last month"='각층분기별_유효전력량(전월)'!$H$2:$H$2017),0))</f>
        <v>1931.8</v>
      </c>
      <c r="AB198" s="2859" t="n" cm="1">
        <f t="array" ref="AB198">INDEX('각층분기별_유효전력량(전월)'!$I$2:$I$2017,MATCH(1,("6-DaHall 1-PDU-06"='각층분기별_유효전력량(전월)'!$G$2:$G$2017)*("[branch#002] [A] kWh last month"='각층분기별_유효전력량(전월)'!$H$2:$H$2017),0))</f>
        <v>1745.2</v>
      </c>
      <c r="AC198" s="2972" t="n">
        <f t="shared" si="39"/>
        <v>3677.0</v>
      </c>
      <c r="AD198" s="2582" t="s">
        <v>1579</v>
      </c>
      <c r="AE198" s="2144" t="s">
        <v>2121</v>
      </c>
    </row>
    <row r="199" spans="1:31" ht="40.5" x14ac:dyDescent="0.15">
      <c r="A199" s="2769" t="s">
        <v>2128</v>
      </c>
      <c r="B199" s="2771" t="s">
        <v>2129</v>
      </c>
      <c r="C199" s="2784" t="s">
        <v>2130</v>
      </c>
      <c r="D199" s="2765" t="s">
        <v>2131</v>
      </c>
      <c r="E199" s="2765" t="s">
        <v>2132</v>
      </c>
      <c r="F199" s="2757" t="s">
        <v>2133</v>
      </c>
      <c r="G199" s="2752" t="s">
        <v>2134</v>
      </c>
      <c r="H199" s="2220" t="str">
        <f t="shared" si="40"/>
        <v>6-DaHall 1-PDU-05-30-4</v>
      </c>
      <c r="I199" s="2221" t="str">
        <f t="shared" si="41"/>
        <v>6-DaHall 1-PDU-06-30-4</v>
      </c>
      <c r="J199" s="1531">
        <v>220</v>
      </c>
      <c r="K199" s="1532">
        <v>30</v>
      </c>
      <c r="L199" s="2540" t="s">
        <v>6918</v>
      </c>
      <c r="M199" s="1533">
        <v>4</v>
      </c>
      <c r="N199" s="1534">
        <v>220</v>
      </c>
      <c r="O199" s="1535">
        <v>30</v>
      </c>
      <c r="P199" s="2546" t="s">
        <v>6928</v>
      </c>
      <c r="Q199" s="1536">
        <v>4</v>
      </c>
      <c r="R199" s="3231"/>
      <c r="S199" s="3223"/>
      <c r="T199" s="3231"/>
      <c r="U199" s="3223"/>
      <c r="V199" s="3244"/>
      <c r="W199" s="3229"/>
      <c r="X199" s="270" t="n">
        <f>SUM('6층_부하량(월간_AVG)'!L323:N323)</f>
        <v>5.057212697595213</v>
      </c>
      <c r="Y199" s="270" t="n">
        <f>SUM('6층_부하량(월간_AVG)'!L355:N355)</f>
        <v>3.9770839679891967</v>
      </c>
      <c r="Z199" s="2557" t="n">
        <f t="shared" si="43"/>
        <v>9.03429666558441</v>
      </c>
      <c r="AA199" s="2838" t="n" cm="1">
        <f t="array" ref="AA199">INDEX('각층분기별_유효전력량(전월)'!$I$2:$I$2017,MATCH(1,("6-DaHall 1-PDU-05"='각층분기별_유효전력량(전월)'!$G$2:$G$2017)*("[branch#004] [A] kWh last month"='각층분기별_유효전력량(전월)'!$H$2:$H$2017),0))</f>
        <v>762.7</v>
      </c>
      <c r="AB199" s="2859" t="n" cm="1">
        <f t="array" ref="AB199">INDEX('각층분기별_유효전력량(전월)'!$I$2:$I$2017,MATCH(1,("6-DaHall 1-PDU-06"='각층분기별_유효전력량(전월)'!$G$2:$G$2017)*("[branch#004] [A] kWh last month"='각층분기별_유효전력량(전월)'!$H$2:$H$2017),0))</f>
        <v>608.4</v>
      </c>
      <c r="AC199" s="2972" t="n">
        <f t="shared" si="39"/>
        <v>1371.1</v>
      </c>
      <c r="AD199" s="2954"/>
    </row>
    <row r="200" spans="1:31" ht="27" x14ac:dyDescent="0.15">
      <c r="A200" s="2769" t="s">
        <v>2135</v>
      </c>
      <c r="B200" s="2771" t="s">
        <v>2136</v>
      </c>
      <c r="C200" s="2784" t="s">
        <v>2137</v>
      </c>
      <c r="D200" s="2765" t="s">
        <v>2138</v>
      </c>
      <c r="E200" s="2765" t="s">
        <v>2139</v>
      </c>
      <c r="F200" s="2757" t="s">
        <v>2140</v>
      </c>
      <c r="G200" s="2752" t="s">
        <v>2141</v>
      </c>
      <c r="H200" s="2220" t="str">
        <f t="shared" si="40"/>
        <v>6-DaHall 1-PDU-05-30-6</v>
      </c>
      <c r="I200" s="2221" t="str">
        <f t="shared" si="41"/>
        <v>6-DaHall 1-PDU-06-30-6</v>
      </c>
      <c r="J200" s="1531">
        <v>220</v>
      </c>
      <c r="K200" s="1532">
        <v>30</v>
      </c>
      <c r="L200" s="2540" t="s">
        <v>6918</v>
      </c>
      <c r="M200" s="1533">
        <v>6</v>
      </c>
      <c r="N200" s="1534">
        <v>220</v>
      </c>
      <c r="O200" s="1535">
        <v>30</v>
      </c>
      <c r="P200" s="2546" t="s">
        <v>6928</v>
      </c>
      <c r="Q200" s="1536">
        <v>6</v>
      </c>
      <c r="R200" s="3231"/>
      <c r="S200" s="3223"/>
      <c r="T200" s="3231"/>
      <c r="U200" s="3223"/>
      <c r="V200" s="3244"/>
      <c r="W200" s="3229"/>
      <c r="X200" s="270" t="n">
        <f>SUM('6층_부하량(월간_AVG)'!L324:N324)</f>
        <v>0.9013545329225355</v>
      </c>
      <c r="Y200" s="270" t="n">
        <f>SUM('6층_부하량(월간_AVG)'!L356:N356)</f>
        <v>0.91603646536539</v>
      </c>
      <c r="Z200" s="2557" t="n">
        <f t="shared" si="43"/>
        <v>1.8173909982879255</v>
      </c>
      <c r="AA200" s="2838" t="n" cm="1">
        <f t="array" ref="AA200">INDEX('각층분기별_유효전력량(전월)'!$I$2:$I$2017,MATCH(1,("6-DaHall 1-PDU-05"='각층분기별_유효전력량(전월)'!$G$2:$G$2017)*("[branch#006] [A] kWh last month"='각층분기별_유효전력량(전월)'!$H$2:$H$2017),0))</f>
        <v>163.8</v>
      </c>
      <c r="AB200" s="2859" t="n" cm="1">
        <f t="array" ref="AB200">INDEX('각층분기별_유효전력량(전월)'!$I$2:$I$2017,MATCH(1,("6-DaHall 1-PDU-06"='각층분기별_유효전력량(전월)'!$G$2:$G$2017)*("[branch#006] [A] kWh last month"='각층분기별_유효전력량(전월)'!$H$2:$H$2017),0))</f>
        <v>194.2</v>
      </c>
      <c r="AC200" s="2972" t="n">
        <f t="shared" si="39"/>
        <v>358.0</v>
      </c>
      <c r="AD200" s="2954"/>
    </row>
    <row r="201" spans="1:31" ht="27" x14ac:dyDescent="0.15">
      <c r="A201" s="2769" t="s">
        <v>2142</v>
      </c>
      <c r="B201" s="2771" t="s">
        <v>2143</v>
      </c>
      <c r="C201" s="2784" t="s">
        <v>2144</v>
      </c>
      <c r="D201" s="2765" t="s">
        <v>2145</v>
      </c>
      <c r="E201" s="2765" t="s">
        <v>2146</v>
      </c>
      <c r="F201" s="2757" t="s">
        <v>2147</v>
      </c>
      <c r="G201" s="2752" t="s">
        <v>2148</v>
      </c>
      <c r="H201" s="2220" t="str">
        <f t="shared" si="40"/>
        <v>6-DaHall 1-PDU-05-30-8</v>
      </c>
      <c r="I201" s="2221" t="str">
        <f t="shared" si="41"/>
        <v>6-DaHall 1-PDU-06-30-8</v>
      </c>
      <c r="J201" s="1531">
        <v>220</v>
      </c>
      <c r="K201" s="1532">
        <v>30</v>
      </c>
      <c r="L201" s="2540" t="s">
        <v>6918</v>
      </c>
      <c r="M201" s="1533">
        <v>8</v>
      </c>
      <c r="N201" s="1534">
        <v>220</v>
      </c>
      <c r="O201" s="1535">
        <v>30</v>
      </c>
      <c r="P201" s="2546" t="s">
        <v>6928</v>
      </c>
      <c r="Q201" s="1536">
        <v>8</v>
      </c>
      <c r="R201" s="3231"/>
      <c r="S201" s="3223"/>
      <c r="T201" s="3231"/>
      <c r="U201" s="3223"/>
      <c r="V201" s="3244"/>
      <c r="W201" s="3229"/>
      <c r="X201" s="270" t="n">
        <f>SUM('6층_부하량(월간_AVG)'!L325:N325)</f>
        <v>2.876906975681374</v>
      </c>
      <c r="Y201" s="270" t="n">
        <f>SUM('6층_부하량(월간_AVG)'!L357:N357)</f>
        <v>3.354490991593231</v>
      </c>
      <c r="Z201" s="2557" t="n">
        <f t="shared" si="43"/>
        <v>6.231397967274605</v>
      </c>
      <c r="AA201" s="2838" t="n" cm="1">
        <f t="array" ref="AA201">INDEX('각층분기별_유효전력량(전월)'!$I$2:$I$2017,MATCH(1,("6-DaHall 1-PDU-05"='각층분기별_유효전력량(전월)'!$G$2:$G$2017)*("[branch#008] [A] kWh last month"='각층분기별_유효전력량(전월)'!$H$2:$H$2017),0))</f>
        <v>503.6</v>
      </c>
      <c r="AB201" s="2859" t="n" cm="1">
        <f t="array" ref="AB201">INDEX('각층분기별_유효전력량(전월)'!$I$2:$I$2017,MATCH(1,("6-DaHall 1-PDU-06"='각층분기별_유효전력량(전월)'!$G$2:$G$2017)*("[branch#008] [A] kWh last month"='각층분기별_유효전력량(전월)'!$H$2:$H$2017),0))</f>
        <v>508.8</v>
      </c>
      <c r="AC201" s="2972" t="n">
        <f t="shared" si="39"/>
        <v>1012.4000000000001</v>
      </c>
      <c r="AD201" s="2954"/>
    </row>
    <row r="202" spans="1:31" ht="27" x14ac:dyDescent="0.15">
      <c r="A202" s="2769" t="s">
        <v>2149</v>
      </c>
      <c r="B202" s="2765" t="s">
        <v>2150</v>
      </c>
      <c r="C202" s="2784"/>
      <c r="D202" s="2765" t="s">
        <v>2151</v>
      </c>
      <c r="E202" s="2765" t="s">
        <v>2152</v>
      </c>
      <c r="F202" s="2757" t="s">
        <v>2153</v>
      </c>
      <c r="G202" s="2752" t="s">
        <v>2154</v>
      </c>
      <c r="H202" s="2220" t="str">
        <f t="shared" si="40"/>
        <v>6-DaHall 1-PDU-05-30-10</v>
      </c>
      <c r="I202" s="2221" t="str">
        <f t="shared" si="41"/>
        <v>6-DaHall 1-PDU-06-30-10</v>
      </c>
      <c r="J202" s="1531">
        <v>220</v>
      </c>
      <c r="K202" s="1532">
        <v>30</v>
      </c>
      <c r="L202" s="2540" t="s">
        <v>6918</v>
      </c>
      <c r="M202" s="1533">
        <v>10</v>
      </c>
      <c r="N202" s="1534">
        <v>220</v>
      </c>
      <c r="O202" s="1535">
        <v>30</v>
      </c>
      <c r="P202" s="2546" t="s">
        <v>6928</v>
      </c>
      <c r="Q202" s="1536">
        <v>10</v>
      </c>
      <c r="R202" s="3231"/>
      <c r="S202" s="3223"/>
      <c r="T202" s="3231"/>
      <c r="U202" s="3223"/>
      <c r="V202" s="3244"/>
      <c r="W202" s="3229"/>
      <c r="X202" s="270" t="n">
        <f>SUM('6층_부하량(월간_AVG)'!L326:N326)</f>
        <v>0.8107594660605024</v>
      </c>
      <c r="Y202" s="270" t="n">
        <f>SUM('6층_부하량(월간_AVG)'!L358:N358)</f>
        <v>0.525556811340634</v>
      </c>
      <c r="Z202" s="2557" t="n">
        <f t="shared" si="43"/>
        <v>1.3363162774011363</v>
      </c>
      <c r="AA202" s="2838" t="n" cm="1">
        <f t="array" ref="AA202">INDEX('각층분기별_유효전력량(전월)'!$I$2:$I$2017,MATCH(1,("6-DaHall 1-PDU-05"='각층분기별_유효전력량(전월)'!$G$2:$G$2017)*("[branch#010] [A] kWh last month"='각층분기별_유효전력량(전월)'!$H$2:$H$2017),0))</f>
        <v>109.2</v>
      </c>
      <c r="AB202" s="2859" t="n" cm="1">
        <f t="array" ref="AB202">INDEX('각층분기별_유효전력량(전월)'!$I$2:$I$2017,MATCH(1,("6-DaHall 1-PDU-06"='각층분기별_유효전력량(전월)'!$G$2:$G$2017)*("[branch#010] [A] kWh last month"='각층분기별_유효전력량(전월)'!$H$2:$H$2017),0))</f>
        <v>71.5</v>
      </c>
      <c r="AC202" s="2972" t="n">
        <f t="shared" si="39"/>
        <v>180.7</v>
      </c>
      <c r="AD202" s="2954"/>
      <c r="AE202" s="2144" t="s">
        <v>2121</v>
      </c>
    </row>
    <row r="203" spans="1:31" ht="27" x14ac:dyDescent="0.15">
      <c r="A203" s="2769" t="s">
        <v>394</v>
      </c>
      <c r="B203" s="2771" t="s">
        <v>2155</v>
      </c>
      <c r="C203" s="2784" t="s">
        <v>2156</v>
      </c>
      <c r="D203" s="2765" t="s">
        <v>2157</v>
      </c>
      <c r="E203" s="2765" t="s">
        <v>2158</v>
      </c>
      <c r="F203" s="2757" t="s">
        <v>2159</v>
      </c>
      <c r="G203" s="2752" t="s">
        <v>2160</v>
      </c>
      <c r="H203" s="2220" t="str">
        <f t="shared" si="40"/>
        <v>6-DaHall 1-PDU-05-30-12</v>
      </c>
      <c r="I203" s="2221" t="str">
        <f t="shared" si="41"/>
        <v>6-DaHall 1-PDU-06-30-12</v>
      </c>
      <c r="J203" s="1531">
        <v>220</v>
      </c>
      <c r="K203" s="1532">
        <v>30</v>
      </c>
      <c r="L203" s="2540" t="s">
        <v>6918</v>
      </c>
      <c r="M203" s="1533">
        <v>12</v>
      </c>
      <c r="N203" s="1534">
        <v>220</v>
      </c>
      <c r="O203" s="1535">
        <v>30</v>
      </c>
      <c r="P203" s="2546" t="s">
        <v>6928</v>
      </c>
      <c r="Q203" s="1536">
        <v>12</v>
      </c>
      <c r="R203" s="3231"/>
      <c r="S203" s="3223"/>
      <c r="T203" s="3231"/>
      <c r="U203" s="3223"/>
      <c r="V203" s="3244"/>
      <c r="W203" s="3229"/>
      <c r="X203" s="270" t="n">
        <f>SUM('6층_부하량(월간_AVG)'!L327:N327)</f>
        <v>1.3706399795982511</v>
      </c>
      <c r="Y203" s="270" t="n">
        <f>SUM('6층_부하량(월간_AVG)'!L359:N359)</f>
        <v>0.0</v>
      </c>
      <c r="Z203" s="2557" t="n">
        <f t="shared" si="43"/>
        <v>1.3706399795982511</v>
      </c>
      <c r="AA203" s="2838" t="n" cm="1">
        <f t="array" ref="AA203">INDEX('각층분기별_유효전력량(전월)'!$I$2:$I$2017,MATCH(1,("6-DaHall 1-PDU-05"='각층분기별_유효전력량(전월)'!$G$2:$G$2017)*("[branch#012] [A] kWh last month"='각층분기별_유효전력량(전월)'!$H$2:$H$2017),0))</f>
        <v>211.6</v>
      </c>
      <c r="AB203" s="2859" t="n" cm="1">
        <f t="array" ref="AB203">INDEX('각층분기별_유효전력량(전월)'!$I$2:$I$2017,MATCH(1,("6-DaHall 1-PDU-06"='각층분기별_유효전력량(전월)'!$G$2:$G$2017)*("[branch#012] [A] kWh last month"='각층분기별_유효전력량(전월)'!$H$2:$H$2017),0))</f>
        <v>0.0</v>
      </c>
      <c r="AC203" s="2972" t="n">
        <f t="shared" si="39"/>
        <v>211.6</v>
      </c>
      <c r="AD203" s="2954"/>
    </row>
    <row r="204" spans="1:31" ht="27" x14ac:dyDescent="0.15">
      <c r="A204" s="2769" t="s">
        <v>2161</v>
      </c>
      <c r="B204" s="2771" t="s">
        <v>2162</v>
      </c>
      <c r="C204" s="2784" t="s">
        <v>2163</v>
      </c>
      <c r="D204" s="2765" t="s">
        <v>2164</v>
      </c>
      <c r="E204" s="2765" t="s">
        <v>2165</v>
      </c>
      <c r="F204" s="2757" t="s">
        <v>2166</v>
      </c>
      <c r="G204" s="2752" t="s">
        <v>2167</v>
      </c>
      <c r="H204" s="2220" t="str">
        <f t="shared" si="40"/>
        <v>6-DaHall 1-PDU-05-30-14</v>
      </c>
      <c r="I204" s="2221" t="str">
        <f t="shared" si="41"/>
        <v>6-DaHall 1-PDU-06-30-14</v>
      </c>
      <c r="J204" s="1531">
        <v>220</v>
      </c>
      <c r="K204" s="1532">
        <v>30</v>
      </c>
      <c r="L204" s="2540" t="s">
        <v>6918</v>
      </c>
      <c r="M204" s="1533">
        <v>14</v>
      </c>
      <c r="N204" s="1534">
        <v>220</v>
      </c>
      <c r="O204" s="1535">
        <v>30</v>
      </c>
      <c r="P204" s="2546" t="s">
        <v>6928</v>
      </c>
      <c r="Q204" s="1536">
        <v>14</v>
      </c>
      <c r="R204" s="3231"/>
      <c r="S204" s="3223"/>
      <c r="T204" s="3231"/>
      <c r="U204" s="3223"/>
      <c r="V204" s="3244"/>
      <c r="W204" s="3229"/>
      <c r="X204" s="270" t="n">
        <f>SUM('6층_부하량(월간_AVG)'!L328:N328)</f>
        <v>4.642571869055514</v>
      </c>
      <c r="Y204" s="270" t="n">
        <f>SUM('6층_부하량(월간_AVG)'!L360:N360)</f>
        <v>2.899333633533138</v>
      </c>
      <c r="Z204" s="2557" t="n">
        <f t="shared" si="43"/>
        <v>7.5419055025886514</v>
      </c>
      <c r="AA204" s="2838" t="n" cm="1">
        <f t="array" ref="AA204">INDEX('각층분기별_유효전력량(전월)'!$I$2:$I$2017,MATCH(1,("6-DaHall 1-PDU-05"='각층분기별_유효전력량(전월)'!$G$2:$G$2017)*("[branch#014] [A] kWh last month"='각층분기별_유효전력량(전월)'!$H$2:$H$2017),0))</f>
        <v>766.9</v>
      </c>
      <c r="AB204" s="2859" t="n" cm="1">
        <f t="array" ref="AB204">INDEX('각층분기별_유효전력량(전월)'!$I$2:$I$2017,MATCH(1,("6-DaHall 1-PDU-06"='각층분기별_유효전력량(전월)'!$G$2:$G$2017)*("[branch#014] [A] kWh last month"='각층분기별_유효전력량(전월)'!$H$2:$H$2017),0))</f>
        <v>448.1</v>
      </c>
      <c r="AC204" s="2972" t="n">
        <f t="shared" si="39"/>
        <v>1215.0</v>
      </c>
      <c r="AD204" s="2954"/>
    </row>
    <row r="205" spans="1:31" ht="27" x14ac:dyDescent="0.15">
      <c r="A205" s="2769" t="s">
        <v>2168</v>
      </c>
      <c r="B205" s="2771" t="s">
        <v>2169</v>
      </c>
      <c r="C205" s="2784" t="s">
        <v>2163</v>
      </c>
      <c r="D205" s="2765" t="s">
        <v>2170</v>
      </c>
      <c r="E205" s="2765" t="s">
        <v>2171</v>
      </c>
      <c r="F205" s="2757" t="s">
        <v>2172</v>
      </c>
      <c r="G205" s="2752" t="s">
        <v>2173</v>
      </c>
      <c r="H205" s="2220" t="str">
        <f t="shared" si="40"/>
        <v>6-DaHall 1-PDU-05-30-16</v>
      </c>
      <c r="I205" s="2221" t="str">
        <f t="shared" si="41"/>
        <v>6-DaHall 1-PDU-06-30-16</v>
      </c>
      <c r="J205" s="1531">
        <v>220</v>
      </c>
      <c r="K205" s="1532">
        <v>30</v>
      </c>
      <c r="L205" s="2540" t="s">
        <v>6918</v>
      </c>
      <c r="M205" s="1533">
        <v>16</v>
      </c>
      <c r="N205" s="1534">
        <v>220</v>
      </c>
      <c r="O205" s="1535">
        <v>30</v>
      </c>
      <c r="P205" s="2546" t="s">
        <v>6928</v>
      </c>
      <c r="Q205" s="1536">
        <v>16</v>
      </c>
      <c r="R205" s="3231"/>
      <c r="S205" s="3223"/>
      <c r="T205" s="3231"/>
      <c r="U205" s="3223"/>
      <c r="V205" s="3244"/>
      <c r="W205" s="3229"/>
      <c r="X205" s="270" t="n">
        <f>SUM('6층_부하량(월간_AVG)'!L329:N329)</f>
        <v>3.0141033377941526</v>
      </c>
      <c r="Y205" s="270" t="n">
        <f>SUM('6층_부하량(월간_AVG)'!L361:N361)</f>
        <v>3.5159798181865822</v>
      </c>
      <c r="Z205" s="2557" t="n">
        <f t="shared" si="43"/>
        <v>6.530083155980735</v>
      </c>
      <c r="AA205" s="2838" t="n" cm="1">
        <f t="array" ref="AA205">INDEX('각층분기별_유효전력량(전월)'!$I$2:$I$2017,MATCH(1,("6-DaHall 1-PDU-05"='각층분기별_유효전력량(전월)'!$G$2:$G$2017)*("[branch#016] [A] kWh last month"='각층분기별_유효전력량(전월)'!$H$2:$H$2017),0))</f>
        <v>487.7</v>
      </c>
      <c r="AB205" s="2859" t="n" cm="1">
        <f t="array" ref="AB205">INDEX('각층분기별_유효전력량(전월)'!$I$2:$I$2017,MATCH(1,("6-DaHall 1-PDU-06"='각층분기별_유효전력량(전월)'!$G$2:$G$2017)*("[branch#016] [A] kWh last month"='각층분기별_유효전력량(전월)'!$H$2:$H$2017),0))</f>
        <v>628.1</v>
      </c>
      <c r="AC205" s="2972" t="n">
        <f t="shared" si="39"/>
        <v>1115.8</v>
      </c>
      <c r="AD205" s="2954"/>
    </row>
    <row r="206" spans="1:31" ht="27" x14ac:dyDescent="0.15">
      <c r="A206" s="2769" t="s">
        <v>2174</v>
      </c>
      <c r="B206" s="2765" t="s">
        <v>2175</v>
      </c>
      <c r="C206" s="2765" t="s">
        <v>2176</v>
      </c>
      <c r="D206" s="2760" t="s">
        <v>2177</v>
      </c>
      <c r="E206" s="2760" t="s">
        <v>2178</v>
      </c>
      <c r="F206" s="2317" t="s">
        <v>2179</v>
      </c>
      <c r="G206" s="2318" t="s">
        <v>2180</v>
      </c>
      <c r="H206" s="2220" t="str">
        <f t="shared" si="40"/>
        <v>6-DaHall 1-PDU-01-30-43</v>
      </c>
      <c r="I206" s="2221" t="str">
        <f t="shared" si="41"/>
        <v>6-DaHall 1-PDU-02-30-43</v>
      </c>
      <c r="J206" s="1531">
        <v>220</v>
      </c>
      <c r="K206" s="1532">
        <v>30</v>
      </c>
      <c r="L206" s="2540" t="s">
        <v>6924</v>
      </c>
      <c r="M206" s="1533">
        <v>43</v>
      </c>
      <c r="N206" s="1534">
        <v>220</v>
      </c>
      <c r="O206" s="1535">
        <v>30</v>
      </c>
      <c r="P206" s="2546" t="s">
        <v>6920</v>
      </c>
      <c r="Q206" s="1536">
        <v>43</v>
      </c>
      <c r="R206" s="3300" t="s">
        <v>2181</v>
      </c>
      <c r="S206" s="3227" t="s">
        <v>2182</v>
      </c>
      <c r="T206" s="3239" t="s">
        <v>2183</v>
      </c>
      <c r="U206" s="3227" t="s">
        <v>2184</v>
      </c>
      <c r="V206" s="3244"/>
      <c r="W206" s="3229"/>
      <c r="X206" s="270" t="n">
        <f>SUM('6층_부하량(월간_AVG)'!D223:F223)</f>
        <v>3.271857462344186</v>
      </c>
      <c r="Y206" s="270" t="n">
        <f>SUM('6층_부하량(월간_AVG)'!D253:F253)</f>
        <v>3.592147862029142</v>
      </c>
      <c r="Z206" s="2557" t="n">
        <f t="shared" si="43"/>
        <v>6.864005324373328</v>
      </c>
      <c r="AA206" s="2838" t="n" cm="1">
        <f t="array" ref="AA206">INDEX('각층분기별_유효전력량(전월)'!$I$2:$I$2017,MATCH(1,("6-DaHall 1-PDU-01"='각층분기별_유효전력량(전월)'!$G$2:$G$2017)*("[branch#043] [A] kWh last month"='각층분기별_유효전력량(전월)'!$H$2:$H$2017),0))</f>
        <v>637.9</v>
      </c>
      <c r="AB206" s="2989" t="n" cm="1">
        <f t="array" ref="AB206">INDEX('각층분기별_유효전력량(전월)'!$I$2:$I$2017,MATCH(1,("6-DaHall 1-PDU-02"='각층분기별_유효전력량(전월)'!$G$2:$G$2017)*("[branch#043] [A] kWh last month"='각층분기별_유효전력량(전월)'!$H$2:$H$2017),0))</f>
        <v>600.7</v>
      </c>
      <c r="AC206" s="2972" t="n">
        <f t="shared" si="39"/>
        <v>1238.6</v>
      </c>
      <c r="AD206" s="2582" t="s">
        <v>2185</v>
      </c>
    </row>
    <row r="207" spans="1:31" ht="27.75" thickBot="1" x14ac:dyDescent="0.2">
      <c r="A207" s="2779" t="s">
        <v>2186</v>
      </c>
      <c r="B207" s="2780"/>
      <c r="C207" s="2780" t="s">
        <v>2176</v>
      </c>
      <c r="D207" s="2780"/>
      <c r="E207" s="2780"/>
      <c r="F207" s="2317" t="s">
        <v>2187</v>
      </c>
      <c r="G207" s="2318" t="s">
        <v>2188</v>
      </c>
      <c r="H207" s="2220" t="str">
        <f t="shared" si="40"/>
        <v>6-DaHall 1-PDU-01-30-42</v>
      </c>
      <c r="I207" s="2221" t="str">
        <f t="shared" si="41"/>
        <v>6-DaHall 1-PDU-02-30-42</v>
      </c>
      <c r="J207" s="1531">
        <v>220</v>
      </c>
      <c r="K207" s="1532">
        <v>30</v>
      </c>
      <c r="L207" s="2540" t="s">
        <v>6924</v>
      </c>
      <c r="M207" s="1533">
        <v>42</v>
      </c>
      <c r="N207" s="1534">
        <v>220</v>
      </c>
      <c r="O207" s="1535">
        <v>30</v>
      </c>
      <c r="P207" s="2546" t="s">
        <v>6920</v>
      </c>
      <c r="Q207" s="1536">
        <v>42</v>
      </c>
      <c r="R207" s="3290"/>
      <c r="S207" s="3228"/>
      <c r="T207" s="3240"/>
      <c r="U207" s="3228"/>
      <c r="V207" s="3240"/>
      <c r="W207" s="3228"/>
      <c r="X207" s="335" t="n">
        <f>SUM('6층_부하량(월간_AVG)'!L222:N222)</f>
        <v>3.799375694368051</v>
      </c>
      <c r="Y207" s="335" t="n">
        <f>SUM('6층_부하량(월간_AVG)'!L252:N252)</f>
        <v>3.956033369947676</v>
      </c>
      <c r="Z207" s="2557" t="n">
        <f t="shared" si="43"/>
        <v>7.755409064315727</v>
      </c>
      <c r="AA207" s="2838" t="n" cm="1">
        <f t="array" ref="AA207">INDEX('각층분기별_유효전력량(전월)'!$I$2:$I$2017,MATCH(1,("6-DaHall 1-PDU-01"='각층분기별_유효전력량(전월)'!$G$2:$G$2017)*("[branch#042] [A] kWh last month"='각층분기별_유효전력량(전월)'!$H$2:$H$2017),0))</f>
        <v>602.8</v>
      </c>
      <c r="AB207" s="2989" t="n" cm="1">
        <f t="array" ref="AB207">INDEX('각층분기별_유효전력량(전월)'!$I$2:$I$2017,MATCH(1,("6-DaHall 1-PDU-02"='각층분기별_유효전력량(전월)'!$G$2:$G$2017)*("[branch#042] [A] kWh last month"='각층분기별_유효전력량(전월)'!$H$2:$H$2017),0))</f>
        <v>624.3</v>
      </c>
      <c r="AC207" s="2994" t="n">
        <f t="shared" si="39"/>
        <v>1227.1</v>
      </c>
      <c r="AD207" s="2580" t="s">
        <v>2189</v>
      </c>
    </row>
    <row r="208" spans="1:31" ht="28.5" customHeight="1" thickTop="1" x14ac:dyDescent="0.15">
      <c r="A208" s="1105" t="s">
        <v>2190</v>
      </c>
      <c r="B208" s="1159" t="s">
        <v>2191</v>
      </c>
      <c r="C208" s="1159" t="s">
        <v>2192</v>
      </c>
      <c r="D208" s="331" t="s">
        <v>2193</v>
      </c>
      <c r="E208" s="331" t="s">
        <v>2194</v>
      </c>
      <c r="F208" s="2756" t="s">
        <v>2195</v>
      </c>
      <c r="G208" s="2198" t="s">
        <v>2196</v>
      </c>
      <c r="H208" s="2227" t="str">
        <f t="shared" si="40"/>
        <v>6-DaHall 1-PDU-05-30-37</v>
      </c>
      <c r="I208" s="2228" t="str">
        <f t="shared" si="41"/>
        <v>6-DaHall 1-PDU-06-30-37</v>
      </c>
      <c r="J208" s="1554">
        <v>220</v>
      </c>
      <c r="K208" s="1555">
        <v>30</v>
      </c>
      <c r="L208" s="2542" t="s">
        <v>6918</v>
      </c>
      <c r="M208" s="1556">
        <v>37</v>
      </c>
      <c r="N208" s="1557">
        <v>220</v>
      </c>
      <c r="O208" s="1558">
        <v>30</v>
      </c>
      <c r="P208" s="2548" t="s">
        <v>6928</v>
      </c>
      <c r="Q208" s="1559">
        <v>37</v>
      </c>
      <c r="R208" s="3288" t="s">
        <v>2197</v>
      </c>
      <c r="S208" s="3245" t="s">
        <v>2198</v>
      </c>
      <c r="T208" s="3233" t="s">
        <v>2199</v>
      </c>
      <c r="U208" s="3245" t="s">
        <v>2200</v>
      </c>
      <c r="V208" s="3233" t="s">
        <v>2201</v>
      </c>
      <c r="W208" s="3245" t="s">
        <v>2202</v>
      </c>
      <c r="X208" s="842" t="n">
        <f>SUM('6층_부하량(월간_AVG)'!D340:F340)</f>
        <v>2.896299747140026</v>
      </c>
      <c r="Y208" s="842" t="n">
        <f>SUM('6층_부하량(월간_AVG)'!D372:F372)</f>
        <v>2.7648304260769123</v>
      </c>
      <c r="Z208" s="2560" t="n">
        <f t="shared" si="43"/>
        <v>5.661130173216938</v>
      </c>
      <c r="AA208" s="2838" t="n" cm="1">
        <f t="array" ref="AA208">INDEX('각층분기별_유효전력량(전월)'!$I$2:$I$2017,MATCH(1,("6-DaHall 1-PDU-05"='각층분기별_유효전력량(전월)'!$G$2:$G$2017)*("[branch#037] [A] kWh last month"='각층분기별_유효전력량(전월)'!$H$2:$H$2017),0))</f>
        <v>843.5</v>
      </c>
      <c r="AB208" s="2859" t="n" cm="1">
        <f t="array" ref="AB208">INDEX('각층분기별_유효전력량(전월)'!$I$2:$I$2017,MATCH(1,("6-DaHall 1-PDU-06"='각층분기별_유효전력량(전월)'!$G$2:$G$2017)*("[branch#037] [A] kWh last month"='각층분기별_유효전력량(전월)'!$H$2:$H$2017),0))</f>
        <v>1171.1</v>
      </c>
      <c r="AC208" s="2995" t="n">
        <f t="shared" si="39"/>
        <v>2014.6</v>
      </c>
      <c r="AD208" s="2581"/>
    </row>
    <row r="209" spans="1:30" ht="27" x14ac:dyDescent="0.15">
      <c r="A209" s="2769" t="s">
        <v>2203</v>
      </c>
      <c r="B209" s="1109" t="s">
        <v>2204</v>
      </c>
      <c r="C209" s="2763" t="s">
        <v>2205</v>
      </c>
      <c r="D209" s="2765" t="s">
        <v>2206</v>
      </c>
      <c r="E209" s="2765" t="s">
        <v>2207</v>
      </c>
      <c r="F209" s="2757" t="s">
        <v>2208</v>
      </c>
      <c r="G209" s="2752" t="s">
        <v>2209</v>
      </c>
      <c r="H209" s="2220" t="str">
        <f t="shared" si="40"/>
        <v>6-DaHall 1-PDU-05-30-39</v>
      </c>
      <c r="I209" s="2221" t="str">
        <f t="shared" si="41"/>
        <v>6-DaHall 1-PDU-06-30-39</v>
      </c>
      <c r="J209" s="1531">
        <v>220</v>
      </c>
      <c r="K209" s="1532">
        <v>30</v>
      </c>
      <c r="L209" s="2540" t="s">
        <v>6918</v>
      </c>
      <c r="M209" s="1533">
        <v>39</v>
      </c>
      <c r="N209" s="1534">
        <v>220</v>
      </c>
      <c r="O209" s="1535">
        <v>30</v>
      </c>
      <c r="P209" s="2546" t="s">
        <v>6928</v>
      </c>
      <c r="Q209" s="1536">
        <v>39</v>
      </c>
      <c r="R209" s="3289"/>
      <c r="S209" s="3229"/>
      <c r="T209" s="3244"/>
      <c r="U209" s="3229"/>
      <c r="V209" s="3244"/>
      <c r="W209" s="3229"/>
      <c r="X209" s="270" t="n">
        <f>SUM('6층_부하량(월간_AVG)'!D341:F341)</f>
        <v>2.048466671758551</v>
      </c>
      <c r="Y209" s="270" t="n">
        <f>SUM('6층_부하량(월간_AVG)'!D373:F373)</f>
        <v>1.860547461023661</v>
      </c>
      <c r="Z209" s="2557" t="n">
        <f t="shared" si="43"/>
        <v>3.909014132782212</v>
      </c>
      <c r="AA209" s="2838" t="n" cm="1">
        <f t="array" ref="AA209">INDEX('각층분기별_유효전력량(전월)'!$I$2:$I$2017,MATCH(1,("6-DaHall 1-PDU-05"='각층분기별_유효전력량(전월)'!$G$2:$G$2017)*("[branch#039] [A] kWh last month"='각층분기별_유효전력량(전월)'!$H$2:$H$2017),0))</f>
        <v>328.5</v>
      </c>
      <c r="AB209" s="2859" t="n" cm="1">
        <f t="array" ref="AB209">INDEX('각층분기별_유효전력량(전월)'!$I$2:$I$2017,MATCH(1,("6-DaHall 1-PDU-06"='각층분기별_유효전력량(전월)'!$G$2:$G$2017)*("[branch#039] [A] kWh last month"='각층분기별_유효전력량(전월)'!$H$2:$H$2017),0))</f>
        <v>294.3</v>
      </c>
      <c r="AC209" s="2972" t="n">
        <f t="shared" si="39"/>
        <v>622.8</v>
      </c>
      <c r="AD209" s="2954"/>
    </row>
    <row r="210" spans="1:30" ht="27" x14ac:dyDescent="0.15">
      <c r="A210" s="2769" t="s">
        <v>2210</v>
      </c>
      <c r="B210" s="1109" t="s">
        <v>2211</v>
      </c>
      <c r="C210" s="2763" t="s">
        <v>2212</v>
      </c>
      <c r="D210" s="2765" t="s">
        <v>2213</v>
      </c>
      <c r="E210" s="2765" t="s">
        <v>2214</v>
      </c>
      <c r="F210" s="2757" t="s">
        <v>2215</v>
      </c>
      <c r="G210" s="2752" t="s">
        <v>2216</v>
      </c>
      <c r="H210" s="2220" t="str">
        <f t="shared" si="40"/>
        <v>6-DaHall 1-PDU-05-30-41</v>
      </c>
      <c r="I210" s="2221" t="str">
        <f t="shared" si="41"/>
        <v>6-DaHall 1-PDU-06-30-41</v>
      </c>
      <c r="J210" s="1531">
        <v>220</v>
      </c>
      <c r="K210" s="1532">
        <v>30</v>
      </c>
      <c r="L210" s="2540" t="s">
        <v>6918</v>
      </c>
      <c r="M210" s="1533">
        <v>41</v>
      </c>
      <c r="N210" s="1534">
        <v>220</v>
      </c>
      <c r="O210" s="1535">
        <v>30</v>
      </c>
      <c r="P210" s="2546" t="s">
        <v>6928</v>
      </c>
      <c r="Q210" s="1536">
        <v>41</v>
      </c>
      <c r="R210" s="3289"/>
      <c r="S210" s="3229"/>
      <c r="T210" s="3244"/>
      <c r="U210" s="3229"/>
      <c r="V210" s="3244"/>
      <c r="W210" s="3229"/>
      <c r="X210" s="270" t="n">
        <f>SUM('6층_부하량(월간_AVG)'!D342:F342)</f>
        <v>1.6433896386927698</v>
      </c>
      <c r="Y210" s="270" t="n">
        <f>SUM('6층_부하량(월간_AVG)'!D374:F374)</f>
        <v>0.5280262912583201</v>
      </c>
      <c r="Z210" s="2557" t="n">
        <f t="shared" si="43"/>
        <v>2.17141592995109</v>
      </c>
      <c r="AA210" s="2838" t="n" cm="1">
        <f t="array" ref="AA210">INDEX('각층분기별_유효전력량(전월)'!$I$2:$I$2017,MATCH(1,("6-DaHall 1-PDU-05"='각층분기별_유효전력량(전월)'!$G$2:$G$2017)*("[branch#041] [A] kWh last month"='각층분기별_유효전력량(전월)'!$H$2:$H$2017),0))</f>
        <v>249.4</v>
      </c>
      <c r="AB210" s="2859" t="n" cm="1">
        <f t="array" ref="AB210">INDEX('각층분기별_유효전력량(전월)'!$I$2:$I$2017,MATCH(1,("6-DaHall 1-PDU-06"='각층분기별_유효전력량(전월)'!$G$2:$G$2017)*("[branch#041] [A] kWh last month"='각층분기별_유효전력량(전월)'!$H$2:$H$2017),0))</f>
        <v>110.5</v>
      </c>
      <c r="AC210" s="2972" t="n">
        <f t="shared" si="39"/>
        <v>359.9</v>
      </c>
      <c r="AD210" s="2954"/>
    </row>
    <row r="211" spans="1:30" ht="27" x14ac:dyDescent="0.15">
      <c r="A211" s="2769" t="s">
        <v>2217</v>
      </c>
      <c r="B211" s="2195" t="s">
        <v>2218</v>
      </c>
      <c r="C211" s="1160" t="s">
        <v>2192</v>
      </c>
      <c r="D211" s="2765" t="s">
        <v>2219</v>
      </c>
      <c r="E211" s="2765" t="s">
        <v>2220</v>
      </c>
      <c r="F211" s="2757" t="s">
        <v>2221</v>
      </c>
      <c r="G211" s="2752" t="s">
        <v>2222</v>
      </c>
      <c r="H211" s="2220" t="str">
        <f t="shared" si="40"/>
        <v>6-DaHall 1-PDU-05-30-43</v>
      </c>
      <c r="I211" s="2221" t="str">
        <f t="shared" si="41"/>
        <v>6-DaHall 1-PDU-06-30-43</v>
      </c>
      <c r="J211" s="1531">
        <v>220</v>
      </c>
      <c r="K211" s="1532">
        <v>30</v>
      </c>
      <c r="L211" s="2540" t="s">
        <v>6918</v>
      </c>
      <c r="M211" s="1533">
        <v>43</v>
      </c>
      <c r="N211" s="1534">
        <v>220</v>
      </c>
      <c r="O211" s="1535">
        <v>30</v>
      </c>
      <c r="P211" s="2546" t="s">
        <v>6928</v>
      </c>
      <c r="Q211" s="1536">
        <v>43</v>
      </c>
      <c r="R211" s="3289"/>
      <c r="S211" s="3229"/>
      <c r="T211" s="3244"/>
      <c r="U211" s="3229"/>
      <c r="V211" s="3244"/>
      <c r="W211" s="3229"/>
      <c r="X211" s="270" t="n">
        <f>SUM('6층_부하량(월간_AVG)'!D343:F343)</f>
        <v>5.6121085274497435</v>
      </c>
      <c r="Y211" s="270" t="n">
        <f>SUM('6층_부하량(월간_AVG)'!D375:F375)</f>
        <v>4.7700040873720635</v>
      </c>
      <c r="Z211" s="2557" t="n">
        <f t="shared" si="43"/>
        <v>10.382112614821807</v>
      </c>
      <c r="AA211" s="2838" t="n" cm="1">
        <f t="array" ref="AA211">INDEX('각층분기별_유효전력량(전월)'!$I$2:$I$2017,MATCH(1,("6-DaHall 1-PDU-05"='각층분기별_유효전력량(전월)'!$G$2:$G$2017)*("[branch#043] [A] kWh last month"='각층분기별_유효전력량(전월)'!$H$2:$H$2017),0))</f>
        <v>867.1</v>
      </c>
      <c r="AB211" s="2859" t="n" cm="1">
        <f t="array" ref="AB211">INDEX('각층분기별_유효전력량(전월)'!$I$2:$I$2017,MATCH(1,("6-DaHall 1-PDU-06"='각층분기별_유효전력량(전월)'!$G$2:$G$2017)*("[branch#043] [A] kWh last month"='각층분기별_유효전력량(전월)'!$H$2:$H$2017),0))</f>
        <v>754.4</v>
      </c>
      <c r="AC211" s="2972" t="n">
        <f t="shared" si="39"/>
        <v>1621.5</v>
      </c>
      <c r="AD211" s="2954"/>
    </row>
    <row r="212" spans="1:30" ht="27" x14ac:dyDescent="0.15">
      <c r="A212" s="2769" t="s">
        <v>2223</v>
      </c>
      <c r="B212" s="2195" t="s">
        <v>2224</v>
      </c>
      <c r="C212" s="1160" t="s">
        <v>2192</v>
      </c>
      <c r="D212" s="2765" t="s">
        <v>2225</v>
      </c>
      <c r="E212" s="2765" t="s">
        <v>2226</v>
      </c>
      <c r="F212" s="2757" t="s">
        <v>2227</v>
      </c>
      <c r="G212" s="2752" t="s">
        <v>2228</v>
      </c>
      <c r="H212" s="2220" t="str">
        <f t="shared" si="40"/>
        <v>6-DaHall 1-PDU-05-30-45</v>
      </c>
      <c r="I212" s="2221" t="str">
        <f t="shared" si="41"/>
        <v>6-DaHall 1-PDU-06-30-45</v>
      </c>
      <c r="J212" s="1531">
        <v>220</v>
      </c>
      <c r="K212" s="1532">
        <v>30</v>
      </c>
      <c r="L212" s="2540" t="s">
        <v>6918</v>
      </c>
      <c r="M212" s="1533">
        <v>45</v>
      </c>
      <c r="N212" s="1534">
        <v>220</v>
      </c>
      <c r="O212" s="1535">
        <v>30</v>
      </c>
      <c r="P212" s="2546" t="s">
        <v>6928</v>
      </c>
      <c r="Q212" s="1536">
        <v>45</v>
      </c>
      <c r="R212" s="3289"/>
      <c r="S212" s="3229"/>
      <c r="T212" s="3244"/>
      <c r="U212" s="3229"/>
      <c r="V212" s="3244"/>
      <c r="W212" s="3229"/>
      <c r="X212" s="270" t="n">
        <f>SUM('6층_부하량(월간_AVG)'!D344:F344)</f>
        <v>4.832759028573322</v>
      </c>
      <c r="Y212" s="270" t="n">
        <f>SUM('6층_부하량(월간_AVG)'!D376:F376)</f>
        <v>4.924312780575548</v>
      </c>
      <c r="Z212" s="2557" t="n">
        <f t="shared" si="43"/>
        <v>9.757071809148869</v>
      </c>
      <c r="AA212" s="2838" t="n" cm="1">
        <f t="array" ref="AA212">INDEX('각층분기별_유효전력량(전월)'!$I$2:$I$2017,MATCH(1,("6-DaHall 1-PDU-05"='각층분기별_유효전력량(전월)'!$G$2:$G$2017)*("[branch#045] [A] kWh last month"='각층분기별_유효전력량(전월)'!$H$2:$H$2017),0))</f>
        <v>701.1</v>
      </c>
      <c r="AB212" s="2859" t="n" cm="1">
        <f t="array" ref="AB212">INDEX('각층분기별_유효전력량(전월)'!$I$2:$I$2017,MATCH(1,("6-DaHall 1-PDU-06"='각층분기별_유효전력량(전월)'!$G$2:$G$2017)*("[branch#045] [A] kWh last month"='각층분기별_유효전력량(전월)'!$H$2:$H$2017),0))</f>
        <v>731.6</v>
      </c>
      <c r="AC212" s="2972" t="n">
        <f t="shared" si="39"/>
        <v>1432.7</v>
      </c>
      <c r="AD212" s="2954"/>
    </row>
    <row r="213" spans="1:30" ht="27" x14ac:dyDescent="0.15">
      <c r="A213" s="3280" t="s">
        <v>2229</v>
      </c>
      <c r="B213" s="3292" t="s">
        <v>2230</v>
      </c>
      <c r="C213" s="3295" t="s">
        <v>2192</v>
      </c>
      <c r="D213" s="2765" t="s">
        <v>2231</v>
      </c>
      <c r="E213" s="2765" t="s">
        <v>2232</v>
      </c>
      <c r="F213" s="2757" t="s">
        <v>2233</v>
      </c>
      <c r="G213" s="2752" t="s">
        <v>2234</v>
      </c>
      <c r="H213" s="2220" t="str">
        <f t="shared" si="40"/>
        <v>6-DaHall 1-PDU-05-30-47</v>
      </c>
      <c r="I213" s="2221" t="str">
        <f t="shared" si="41"/>
        <v>6-DaHall 1-PDU-06-30-47</v>
      </c>
      <c r="J213" s="1531">
        <v>220</v>
      </c>
      <c r="K213" s="1532">
        <v>30</v>
      </c>
      <c r="L213" s="2540" t="s">
        <v>6918</v>
      </c>
      <c r="M213" s="1533">
        <v>47</v>
      </c>
      <c r="N213" s="1534">
        <v>220</v>
      </c>
      <c r="O213" s="1535">
        <v>30</v>
      </c>
      <c r="P213" s="2546" t="s">
        <v>6928</v>
      </c>
      <c r="Q213" s="1536">
        <v>47</v>
      </c>
      <c r="R213" s="3289"/>
      <c r="S213" s="3229"/>
      <c r="T213" s="3244"/>
      <c r="U213" s="3229"/>
      <c r="V213" s="3244"/>
      <c r="W213" s="3229"/>
      <c r="X213" s="270" t="n">
        <f>SUM('6층_부하량(월간_AVG)'!D345:F345)</f>
        <v>4.058154138543116</v>
      </c>
      <c r="Y213" s="270" t="n">
        <f>SUM('6층_부하량(월간_AVG)'!D377:F377)</f>
        <v>3.7378973240676587</v>
      </c>
      <c r="Z213" s="3250" t="n">
        <f>SUM(X213:Y215)</f>
        <v>22.306077753139974</v>
      </c>
      <c r="AA213" s="2838" t="n" cm="1">
        <f t="array" ref="AA213">INDEX('각층분기별_유효전력량(전월)'!$I$2:$I$2017,MATCH(1,("6-DaHall 1-PDU-05"='각층분기별_유효전력량(전월)'!$G$2:$G$2017)*("[branch#047] [A] kWh last month"='각층분기별_유효전력량(전월)'!$H$2:$H$2017),0))</f>
        <v>708.3</v>
      </c>
      <c r="AB213" s="2859" t="n" cm="1">
        <f t="array" ref="AB213">INDEX('각층분기별_유효전력량(전월)'!$I$2:$I$2017,MATCH(1,("6-DaHall 1-PDU-06"='각층분기별_유효전력량(전월)'!$G$2:$G$2017)*("[branch#047] [A] kWh last month"='각층분기별_유효전력량(전월)'!$H$2:$H$2017),0))</f>
        <v>642.4</v>
      </c>
      <c r="AC213" s="3208" t="n">
        <f>SUM(AA213:AB215)</f>
        <v>3673.2999999999997</v>
      </c>
      <c r="AD213" s="2954"/>
    </row>
    <row r="214" spans="1:30" x14ac:dyDescent="0.15">
      <c r="A214" s="3281"/>
      <c r="B214" s="3293"/>
      <c r="C214" s="3296"/>
      <c r="D214" s="2765"/>
      <c r="E214" s="2765"/>
      <c r="F214" s="2757"/>
      <c r="G214" s="2752"/>
      <c r="H214" s="2220" t="str">
        <f t="shared" si="40"/>
        <v>6-DaHall 1-PDU-05-30-51</v>
      </c>
      <c r="I214" s="2221" t="str">
        <f t="shared" si="41"/>
        <v>6-DaHall 1-PDU-06-30-51</v>
      </c>
      <c r="J214" s="1531"/>
      <c r="K214" s="1532">
        <v>30</v>
      </c>
      <c r="L214" s="2540" t="s">
        <v>6918</v>
      </c>
      <c r="M214" s="1533">
        <v>51</v>
      </c>
      <c r="N214" s="1534">
        <v>220</v>
      </c>
      <c r="O214" s="1535">
        <v>30</v>
      </c>
      <c r="P214" s="2546" t="s">
        <v>6928</v>
      </c>
      <c r="Q214" s="1536">
        <v>51</v>
      </c>
      <c r="R214" s="3289"/>
      <c r="S214" s="3229"/>
      <c r="T214" s="3244"/>
      <c r="U214" s="3229"/>
      <c r="V214" s="3244"/>
      <c r="W214" s="3229"/>
      <c r="X214" s="270" t="n">
        <f>SUM('6층_부하량(월간_AVG)'!D347:F347)</f>
        <v>3.9896537291310765</v>
      </c>
      <c r="Y214" s="270" t="n">
        <f>SUM('6층_부하량(월간_AVG)'!D379:F379)</f>
        <v>4.552255512957185</v>
      </c>
      <c r="Z214" s="3251"/>
      <c r="AA214" s="2838" t="n" cm="1">
        <f t="array" ref="AA214">INDEX('각층분기별_유효전력량(전월)'!$I$2:$I$2017,MATCH(1,("6-DaHall 1-PDU-05"='각층분기별_유효전력량(전월)'!$G$2:$G$2017)*("[branch#051] [A] kWh last month"='각층분기별_유효전력량(전월)'!$H$2:$H$2017),0))</f>
        <v>624.3</v>
      </c>
      <c r="AB214" s="2859" t="n" cm="1">
        <f t="array" ref="AB214">INDEX('각층분기별_유효전력량(전월)'!$I$2:$I$2017,MATCH(1,("6-DaHall 1-PDU-06"='각층분기별_유효전력량(전월)'!$G$2:$G$2017)*("[branch#051] [A] kWh last month"='각층분기별_유효전력량(전월)'!$H$2:$H$2017),0))</f>
        <v>721.9</v>
      </c>
      <c r="AC214" s="3212"/>
      <c r="AD214" s="2954"/>
    </row>
    <row r="215" spans="1:30" x14ac:dyDescent="0.15">
      <c r="A215" s="3282"/>
      <c r="B215" s="3294"/>
      <c r="C215" s="3297"/>
      <c r="D215" s="2765"/>
      <c r="E215" s="2765"/>
      <c r="F215" s="2757"/>
      <c r="G215" s="2752"/>
      <c r="H215" s="2220" t="str">
        <f t="shared" si="40"/>
        <v>6-DaHall 1-PDU-05-30-53</v>
      </c>
      <c r="I215" s="2221" t="str">
        <f t="shared" si="41"/>
        <v>6-DaHall 1-PDU-06-30-53</v>
      </c>
      <c r="J215" s="1531"/>
      <c r="K215" s="1532">
        <v>30</v>
      </c>
      <c r="L215" s="2540" t="s">
        <v>6918</v>
      </c>
      <c r="M215" s="1533">
        <v>53</v>
      </c>
      <c r="N215" s="1534">
        <v>220</v>
      </c>
      <c r="O215" s="1535">
        <v>30</v>
      </c>
      <c r="P215" s="2546" t="s">
        <v>6928</v>
      </c>
      <c r="Q215" s="1536">
        <v>53</v>
      </c>
      <c r="R215" s="3289"/>
      <c r="S215" s="3229"/>
      <c r="T215" s="3244"/>
      <c r="U215" s="3229"/>
      <c r="V215" s="3244"/>
      <c r="W215" s="3229"/>
      <c r="X215" s="270" t="n">
        <f>SUM('6층_부하량(월간_AVG)'!D348:F348)</f>
        <v>5.393365032462852</v>
      </c>
      <c r="Y215" s="270" t="n">
        <f>SUM('6층_부하량(월간_AVG)'!D380:F380)</f>
        <v>0.5747520159780852</v>
      </c>
      <c r="Z215" s="3252"/>
      <c r="AA215" s="2838" t="n" cm="1">
        <f t="array" ref="AA215">INDEX('각층분기별_유효전력량(전월)'!$I$2:$I$2017,MATCH(1,("6-DaHall 1-PDU-05"='각층분기별_유효전력량(전월)'!$G$2:$G$2017)*("[branch#053] [A] kWh last month"='각층분기별_유효전력량(전월)'!$H$2:$H$2017),0))</f>
        <v>881.4</v>
      </c>
      <c r="AB215" s="2859" t="n" cm="1">
        <f t="array" ref="AB215">INDEX('각층분기별_유효전력량(전월)'!$I$2:$I$2017,MATCH(1,("6-DaHall 1-PDU-06"='각층분기별_유효전력량(전월)'!$G$2:$G$2017)*("[branch#053] [A] kWh last month"='각층분기별_유효전력량(전월)'!$H$2:$H$2017),0))</f>
        <v>95.0</v>
      </c>
      <c r="AC215" s="3209"/>
      <c r="AD215" s="2954"/>
    </row>
    <row r="216" spans="1:30" ht="27" x14ac:dyDescent="0.15">
      <c r="A216" s="2769" t="s">
        <v>2235</v>
      </c>
      <c r="B216" s="1109" t="s">
        <v>2236</v>
      </c>
      <c r="C216" s="2763" t="s">
        <v>2237</v>
      </c>
      <c r="D216" s="2765" t="s">
        <v>2238</v>
      </c>
      <c r="E216" s="2765" t="s">
        <v>2239</v>
      </c>
      <c r="F216" s="2757" t="s">
        <v>2240</v>
      </c>
      <c r="G216" s="2752" t="s">
        <v>2241</v>
      </c>
      <c r="H216" s="2220" t="str">
        <f t="shared" si="40"/>
        <v>6-DaHall 1-PDU-05-30-49</v>
      </c>
      <c r="I216" s="2221" t="str">
        <f t="shared" si="41"/>
        <v>6-DaHall 1-PDU-06-30-49</v>
      </c>
      <c r="J216" s="1531">
        <v>220</v>
      </c>
      <c r="K216" s="1532">
        <v>30</v>
      </c>
      <c r="L216" s="2540" t="s">
        <v>6918</v>
      </c>
      <c r="M216" s="1533">
        <v>49</v>
      </c>
      <c r="N216" s="1534">
        <v>220</v>
      </c>
      <c r="O216" s="1535">
        <v>30</v>
      </c>
      <c r="P216" s="2546" t="s">
        <v>6928</v>
      </c>
      <c r="Q216" s="1536">
        <v>49</v>
      </c>
      <c r="R216" s="3291"/>
      <c r="S216" s="3243"/>
      <c r="T216" s="3234"/>
      <c r="U216" s="3243"/>
      <c r="V216" s="3244"/>
      <c r="W216" s="3229"/>
      <c r="X216" s="270" t="n">
        <f>SUM('6층_부하량(월간_AVG)'!D346:F346)</f>
        <v>8.007320668488973</v>
      </c>
      <c r="Y216" s="270" t="n">
        <f>SUM('6층_부하량(월간_AVG)'!D378:F378)</f>
        <v>1.3017880648648068</v>
      </c>
      <c r="Z216" s="2557" t="n">
        <f t="shared" ref="Z216" si="44">SUM(X216:Y216)</f>
        <v>9.30910873335378</v>
      </c>
      <c r="AA216" s="2838" t="n" cm="1">
        <f t="array" ref="AA216">INDEX('각층분기별_유효전력량(전월)'!$I$2:$I$2017,MATCH(1,("6-DaHall 1-PDU-05"='각층분기별_유효전력량(전월)'!$G$2:$G$2017)*("[branch#049] [A] kWh last month"='각층분기별_유효전력량(전월)'!$H$2:$H$2017),0))</f>
        <v>1246.0</v>
      </c>
      <c r="AB216" s="2859" t="n" cm="1">
        <f t="array" ref="AB216">INDEX('각층분기별_유효전력량(전월)'!$I$2:$I$2017,MATCH(1,("6-DaHall 1-PDU-06"='각층분기별_유효전력량(전월)'!$G$2:$G$2017)*("[branch#049] [A] kWh last month"='각층분기별_유효전력량(전월)'!$H$2:$H$2017),0))</f>
        <v>194.0</v>
      </c>
      <c r="AC216" s="2972" t="n">
        <f t="shared" ref="AC216" si="45">SUM(AA216:AB216)</f>
        <v>1440.0</v>
      </c>
      <c r="AD216" s="2954"/>
    </row>
    <row r="217" spans="1:30" ht="27" x14ac:dyDescent="0.15">
      <c r="A217" s="3280" t="s">
        <v>2242</v>
      </c>
      <c r="B217" s="3292" t="s">
        <v>2243</v>
      </c>
      <c r="C217" s="3295" t="s">
        <v>2192</v>
      </c>
      <c r="D217" s="2765" t="s">
        <v>2244</v>
      </c>
      <c r="E217" s="2765" t="s">
        <v>2245</v>
      </c>
      <c r="F217" s="2757" t="s">
        <v>2246</v>
      </c>
      <c r="G217" s="2752" t="s">
        <v>2247</v>
      </c>
      <c r="H217" s="2220" t="str">
        <f t="shared" si="40"/>
        <v>6-DaHall 1-PDU-03-30-1</v>
      </c>
      <c r="I217" s="2221" t="str">
        <f t="shared" si="41"/>
        <v>6-DaHall 1-PDU-04-30-1</v>
      </c>
      <c r="J217" s="1531">
        <v>220</v>
      </c>
      <c r="K217" s="1532">
        <v>30</v>
      </c>
      <c r="L217" s="2540" t="s">
        <v>6926</v>
      </c>
      <c r="M217" s="1533">
        <v>1</v>
      </c>
      <c r="N217" s="1534">
        <v>220</v>
      </c>
      <c r="O217" s="1535">
        <v>30</v>
      </c>
      <c r="P217" s="2546" t="s">
        <v>6922</v>
      </c>
      <c r="Q217" s="1536">
        <v>1</v>
      </c>
      <c r="R217" s="3300" t="s">
        <v>2248</v>
      </c>
      <c r="S217" s="3227" t="s">
        <v>2249</v>
      </c>
      <c r="T217" s="3239" t="s">
        <v>2250</v>
      </c>
      <c r="U217" s="3227" t="s">
        <v>2251</v>
      </c>
      <c r="V217" s="3244"/>
      <c r="W217" s="3229"/>
      <c r="X217" s="270" t="n">
        <f>SUM('6층_부하량(월간_AVG)'!D262:F262)</f>
        <v>4.585554509970289</v>
      </c>
      <c r="Y217" s="270" t="n">
        <f>SUM('6층_부하량(월간_AVG)'!D292:F292)</f>
        <v>3.4110275072707483</v>
      </c>
      <c r="Z217" s="3250" t="n">
        <f>SUM(X217:Y219)</f>
        <v>17.62154731249693</v>
      </c>
      <c r="AA217" s="2996" t="n" cm="1">
        <f t="array" ref="AA217">INDEX('각층분기별_유효전력량(전월)'!$I$2:$I$2017,MATCH(1,("6-DaHall 1-PDU-03"='각층분기별_유효전력량(전월)'!$G$2:$G$2017)*("[branch#001] [A] kWh last month"='각층분기별_유효전력량(전월)'!$H$2:$H$2017),0))</f>
        <v>972.5</v>
      </c>
      <c r="AB217" s="2989" t="n" cm="1">
        <f t="array" ref="AB217">INDEX('각층분기별_유효전력량(전월)'!$I$2:$I$2017,MATCH(1,("6-DaHall 1-PDU-04"='각층분기별_유효전력량(전월)'!$G$2:$G$2017)*("[branch#001] [A] kWh last month"='각층분기별_유효전력량(전월)'!$H$2:$H$2017),0))</f>
        <v>777.3</v>
      </c>
      <c r="AC217" s="3208" t="n">
        <f>SUM(AA217:AB219)</f>
        <v>4439.3</v>
      </c>
      <c r="AD217" s="3213"/>
    </row>
    <row r="218" spans="1:30" x14ac:dyDescent="0.15">
      <c r="A218" s="3281"/>
      <c r="B218" s="3293"/>
      <c r="C218" s="3296"/>
      <c r="D218" s="2765"/>
      <c r="E218" s="2765"/>
      <c r="F218" s="2757"/>
      <c r="G218" s="2752"/>
      <c r="H218" s="2220" t="str">
        <f t="shared" si="40"/>
        <v>6-DaHall 1-PDU-03-30-3</v>
      </c>
      <c r="I218" s="2221" t="str">
        <f t="shared" si="41"/>
        <v>6-DaHall 1-PDU-04-30-3</v>
      </c>
      <c r="J218" s="1531"/>
      <c r="K218" s="1532">
        <v>30</v>
      </c>
      <c r="L218" s="2540" t="s">
        <v>6926</v>
      </c>
      <c r="M218" s="1533">
        <v>3</v>
      </c>
      <c r="N218" s="1534">
        <v>220</v>
      </c>
      <c r="O218" s="1535">
        <v>30</v>
      </c>
      <c r="P218" s="2546" t="s">
        <v>6922</v>
      </c>
      <c r="Q218" s="1536">
        <v>3</v>
      </c>
      <c r="R218" s="3289"/>
      <c r="S218" s="3229"/>
      <c r="T218" s="3244"/>
      <c r="U218" s="3229"/>
      <c r="V218" s="3244"/>
      <c r="W218" s="3229"/>
      <c r="X218" s="270" t="n">
        <f>SUM('6층_부하량(월간_AVG)'!D263:F263)</f>
        <v>3.38199466840998</v>
      </c>
      <c r="Y218" s="270" t="n">
        <f>SUM('6층_부하량(월간_AVG)'!D293:F293)</f>
        <v>3.681532228062914</v>
      </c>
      <c r="Z218" s="3251"/>
      <c r="AA218" s="2996" t="n" cm="1">
        <f t="array" ref="AA218">INDEX('각층분기별_유효전력량(전월)'!$I$2:$I$2017,MATCH(1,("6-DaHall 1-PDU-03"='각층분기별_유효전력량(전월)'!$G$2:$G$2017)*("[branch#003] [A] kWh last month"='각층분기별_유효전력량(전월)'!$H$2:$H$2017),0))</f>
        <v>752.8</v>
      </c>
      <c r="AB218" s="2989" t="n" cm="1">
        <f t="array" ref="AB218">INDEX('각층분기별_유효전력량(전월)'!$I$2:$I$2017,MATCH(1,("6-DaHall 1-PDU-04"='각층분기별_유효전력량(전월)'!$G$2:$G$2017)*("[branch#003] [A] kWh last month"='각층분기별_유효전력량(전월)'!$H$2:$H$2017),0))</f>
        <v>946.7</v>
      </c>
      <c r="AC218" s="3212"/>
      <c r="AD218" s="3214"/>
    </row>
    <row r="219" spans="1:30" x14ac:dyDescent="0.15">
      <c r="A219" s="3282"/>
      <c r="B219" s="3294"/>
      <c r="C219" s="3297"/>
      <c r="D219" s="2765"/>
      <c r="E219" s="2765"/>
      <c r="F219" s="2757"/>
      <c r="G219" s="2752"/>
      <c r="H219" s="2220" t="str">
        <f t="shared" si="40"/>
        <v>6-DaHall 1-PDU-03-30-5</v>
      </c>
      <c r="I219" s="2221" t="str">
        <f t="shared" si="41"/>
        <v>6-DaHall 1-PDU-04-30-5</v>
      </c>
      <c r="J219" s="1531"/>
      <c r="K219" s="1532">
        <v>30</v>
      </c>
      <c r="L219" s="2540" t="s">
        <v>6926</v>
      </c>
      <c r="M219" s="1533">
        <v>5</v>
      </c>
      <c r="N219" s="1534">
        <v>220</v>
      </c>
      <c r="O219" s="1535">
        <v>30</v>
      </c>
      <c r="P219" s="2546" t="s">
        <v>6922</v>
      </c>
      <c r="Q219" s="1536">
        <v>5</v>
      </c>
      <c r="R219" s="3289"/>
      <c r="S219" s="3229"/>
      <c r="T219" s="3244"/>
      <c r="U219" s="3229"/>
      <c r="V219" s="3244"/>
      <c r="W219" s="3229"/>
      <c r="X219" s="270" t="n">
        <f>SUM('6층_부하량(월간_AVG)'!D264:F264)</f>
        <v>1.2079645046393812</v>
      </c>
      <c r="Y219" s="270" t="n">
        <f>SUM('6층_부하량(월간_AVG)'!D294:F294)</f>
        <v>1.3534738941436142</v>
      </c>
      <c r="Z219" s="3252"/>
      <c r="AA219" s="2996" t="n" cm="1">
        <f t="array" ref="AA219">INDEX('각층분기별_유효전력량(전월)'!$I$2:$I$2017,MATCH(1,("6-DaHall 1-PDU-03"='각층분기별_유효전력량(전월)'!$G$2:$G$2017)*("[branch#005] [A] kWh last month"='각층분기별_유효전력량(전월)'!$H$2:$H$2017),0))</f>
        <v>457.8</v>
      </c>
      <c r="AB219" s="2989" t="n" cm="1">
        <f t="array" ref="AB219">INDEX('각층분기별_유효전력량(전월)'!$I$2:$I$2017,MATCH(1,("6-DaHall 1-PDU-04"='각층분기별_유효전력량(전월)'!$G$2:$G$2017)*("[branch#005] [A] kWh last month"='각층분기별_유효전력량(전월)'!$H$2:$H$2017),0))</f>
        <v>532.2</v>
      </c>
      <c r="AC219" s="3209"/>
      <c r="AD219" s="3215"/>
    </row>
    <row r="220" spans="1:30" ht="27" x14ac:dyDescent="0.15">
      <c r="A220" s="3280" t="s">
        <v>2252</v>
      </c>
      <c r="B220" s="3292" t="s">
        <v>2253</v>
      </c>
      <c r="C220" s="3295" t="s">
        <v>2192</v>
      </c>
      <c r="D220" s="2765" t="s">
        <v>2254</v>
      </c>
      <c r="E220" s="2765" t="s">
        <v>2255</v>
      </c>
      <c r="F220" s="2757" t="s">
        <v>2256</v>
      </c>
      <c r="G220" s="2752" t="s">
        <v>2257</v>
      </c>
      <c r="H220" s="2220" t="str">
        <f t="shared" si="40"/>
        <v>6-DaHall 1-PDU-03-30-7</v>
      </c>
      <c r="I220" s="2221" t="str">
        <f t="shared" si="41"/>
        <v>6-DaHall 1-PDU-04-30-7</v>
      </c>
      <c r="J220" s="1531">
        <v>220</v>
      </c>
      <c r="K220" s="1532">
        <v>30</v>
      </c>
      <c r="L220" s="2540" t="s">
        <v>6926</v>
      </c>
      <c r="M220" s="1533">
        <v>7</v>
      </c>
      <c r="N220" s="1534">
        <v>220</v>
      </c>
      <c r="O220" s="1535">
        <v>30</v>
      </c>
      <c r="P220" s="2546" t="s">
        <v>6922</v>
      </c>
      <c r="Q220" s="1536">
        <v>7</v>
      </c>
      <c r="R220" s="3289"/>
      <c r="S220" s="3229"/>
      <c r="T220" s="3244"/>
      <c r="U220" s="3229"/>
      <c r="V220" s="3244"/>
      <c r="W220" s="3229"/>
      <c r="X220" s="270" t="n">
        <f>SUM('6층_부하량(월간_AVG)'!D265:F265)</f>
        <v>4.038509556282127</v>
      </c>
      <c r="Y220" s="270" t="n">
        <f>SUM('6층_부하량(월간_AVG)'!D295:F295)</f>
        <v>3.708118547281813</v>
      </c>
      <c r="Z220" s="3250" t="n">
        <f>SUM(X220:Y221)</f>
        <v>15.02919272821469</v>
      </c>
      <c r="AA220" s="2996" t="n" cm="1">
        <f t="array" ref="AA220">INDEX('각층분기별_유효전력량(전월)'!$I$2:$I$2017,MATCH(1,("6-DaHall 1-PDU-03"='각층분기별_유효전력량(전월)'!$G$2:$G$2017)*("[branch#007] [A] kWh last month"='각층분기별_유효전력량(전월)'!$H$2:$H$2017),0))</f>
        <v>823.5</v>
      </c>
      <c r="AB220" s="2989" t="n" cm="1">
        <f t="array" ref="AB220">INDEX('각층분기별_유효전력량(전월)'!$I$2:$I$2017,MATCH(1,("6-DaHall 1-PDU-04"='각층분기별_유효전력량(전월)'!$G$2:$G$2017)*("[branch#007] [A] kWh last month"='각층분기별_유효전력량(전월)'!$H$2:$H$2017),0))</f>
        <v>618.0</v>
      </c>
      <c r="AC220" s="3208" t="n">
        <f>SUM(AA220:AB221)</f>
        <v>2634.8</v>
      </c>
      <c r="AD220" s="3216"/>
    </row>
    <row r="221" spans="1:30" x14ac:dyDescent="0.15">
      <c r="A221" s="3282"/>
      <c r="B221" s="3294"/>
      <c r="C221" s="3297"/>
      <c r="D221" s="2765"/>
      <c r="E221" s="2765"/>
      <c r="F221" s="2757"/>
      <c r="G221" s="2752"/>
      <c r="H221" s="2220" t="str">
        <f t="shared" si="40"/>
        <v>6-DaHall 1-PDU-03-30-9</v>
      </c>
      <c r="I221" s="2221" t="str">
        <f t="shared" si="41"/>
        <v>6-DaHall 1-PDU-04-30-9</v>
      </c>
      <c r="J221" s="1531"/>
      <c r="K221" s="1532">
        <v>30</v>
      </c>
      <c r="L221" s="2540" t="s">
        <v>6926</v>
      </c>
      <c r="M221" s="1533">
        <v>9</v>
      </c>
      <c r="N221" s="1534">
        <v>220</v>
      </c>
      <c r="O221" s="1535">
        <v>30</v>
      </c>
      <c r="P221" s="2546" t="s">
        <v>6922</v>
      </c>
      <c r="Q221" s="1536">
        <v>9</v>
      </c>
      <c r="R221" s="3289"/>
      <c r="S221" s="3229"/>
      <c r="T221" s="3244"/>
      <c r="U221" s="3229"/>
      <c r="V221" s="3244"/>
      <c r="W221" s="3229"/>
      <c r="X221" s="270" t="n">
        <f>SUM('6층_부하량(월간_AVG)'!D266:F266)</f>
        <v>3.4998799806360137</v>
      </c>
      <c r="Y221" s="270" t="n">
        <f>SUM('6층_부하량(월간_AVG)'!D296:F296)</f>
        <v>3.7826846440147364</v>
      </c>
      <c r="Z221" s="3252"/>
      <c r="AA221" s="2996" t="n" cm="1">
        <f t="array" ref="AA221">INDEX('각층분기별_유효전력량(전월)'!$I$2:$I$2017,MATCH(1,("6-DaHall 1-PDU-03"='각층분기별_유효전력량(전월)'!$G$2:$G$2017)*("[branch#009] [A] kWh last month"='각층분기별_유효전력량(전월)'!$H$2:$H$2017),0))</f>
        <v>562.4</v>
      </c>
      <c r="AB221" s="2989" t="n" cm="1">
        <f t="array" ref="AB221">INDEX('각층분기별_유효전력량(전월)'!$I$2:$I$2017,MATCH(1,("6-DaHall 1-PDU-04"='각층분기별_유효전력량(전월)'!$G$2:$G$2017)*("[branch#009] [A] kWh last month"='각층분기별_유효전력량(전월)'!$H$2:$H$2017),0))</f>
        <v>630.9</v>
      </c>
      <c r="AC221" s="3209"/>
      <c r="AD221" s="3217"/>
    </row>
    <row r="222" spans="1:30" x14ac:dyDescent="0.15">
      <c r="A222" s="3280" t="s">
        <v>2258</v>
      </c>
      <c r="B222" s="3292"/>
      <c r="C222" s="3295" t="s">
        <v>2192</v>
      </c>
      <c r="D222" s="2765"/>
      <c r="E222" s="2765"/>
      <c r="F222" s="2757"/>
      <c r="G222" s="2752"/>
      <c r="H222" s="2220" t="str">
        <f t="shared" si="40"/>
        <v>6-DaHall 1-PDU-03-30-11</v>
      </c>
      <c r="I222" s="2221" t="str">
        <f t="shared" si="41"/>
        <v>6-DaHall 1-PDU-04-30-11</v>
      </c>
      <c r="J222" s="1531">
        <v>220</v>
      </c>
      <c r="K222" s="1532">
        <v>30</v>
      </c>
      <c r="L222" s="2540" t="s">
        <v>6926</v>
      </c>
      <c r="M222" s="1533">
        <v>11</v>
      </c>
      <c r="N222" s="1534">
        <v>220</v>
      </c>
      <c r="O222" s="1535">
        <v>30</v>
      </c>
      <c r="P222" s="2546" t="s">
        <v>6922</v>
      </c>
      <c r="Q222" s="1536">
        <v>11</v>
      </c>
      <c r="R222" s="3289"/>
      <c r="S222" s="3229"/>
      <c r="T222" s="3244"/>
      <c r="U222" s="3229"/>
      <c r="V222" s="3244"/>
      <c r="W222" s="3229"/>
      <c r="X222" s="270" t="n">
        <f>SUM('6층_부하량(월간_AVG)'!D267:F267)</f>
        <v>2.8968455462412526</v>
      </c>
      <c r="Y222" s="270" t="n">
        <f>SUM('6층_부하량(월간_AVG)'!D297:F297)</f>
        <v>4.3490375026493915</v>
      </c>
      <c r="Z222" s="3250" t="n">
        <f t="shared" ref="Z222" si="46">SUM(X222:Y223)</f>
        <v>15.013455392939656</v>
      </c>
      <c r="AA222" s="2996" t="n" cm="1">
        <f t="array" ref="AA222">INDEX('각층분기별_유효전력량(전월)'!$I$2:$I$2017,MATCH(1,("6-DaHall 1-PDU-03"='각층분기별_유효전력량(전월)'!$G$2:$G$2017)*("[branch#011] [A] kWh last month"='각층분기별_유효전력량(전월)'!$H$2:$H$2017),0))</f>
        <v>465.8</v>
      </c>
      <c r="AB222" s="2989" t="n" cm="1">
        <f t="array" ref="AB222">INDEX('각층분기별_유효전력량(전월)'!$I$2:$I$2017,MATCH(1,("6-DaHall 1-PDU-04"='각층분기별_유효전력량(전월)'!$G$2:$G$2017)*("[branch#011] [A] kWh last month"='각층분기별_유효전력량(전월)'!$H$2:$H$2017),0))</f>
        <v>720.8</v>
      </c>
      <c r="AC222" s="3208" t="n">
        <f t="shared" ref="AC222" si="47">SUM(AA222:AB223)</f>
        <v>2444.1</v>
      </c>
      <c r="AD222" s="3216"/>
    </row>
    <row r="223" spans="1:30" x14ac:dyDescent="0.15">
      <c r="A223" s="3282"/>
      <c r="B223" s="3294"/>
      <c r="C223" s="3297"/>
      <c r="D223" s="2774"/>
      <c r="E223" s="2774"/>
      <c r="F223" s="2761"/>
      <c r="G223" s="2754"/>
      <c r="H223" s="2220" t="str">
        <f t="shared" si="40"/>
        <v>6-DaHall 1-PDU-03-30-13</v>
      </c>
      <c r="I223" s="2221" t="str">
        <f t="shared" si="41"/>
        <v>6-DaHall 1-PDU-04-30-13</v>
      </c>
      <c r="J223" s="1531"/>
      <c r="K223" s="1532">
        <v>30</v>
      </c>
      <c r="L223" s="2540" t="s">
        <v>6926</v>
      </c>
      <c r="M223" s="1533">
        <v>13</v>
      </c>
      <c r="N223" s="1534">
        <v>220</v>
      </c>
      <c r="O223" s="1535">
        <v>30</v>
      </c>
      <c r="P223" s="2550" t="s">
        <v>6922</v>
      </c>
      <c r="Q223" s="2199">
        <v>13</v>
      </c>
      <c r="R223" s="3289"/>
      <c r="S223" s="3229"/>
      <c r="T223" s="3244"/>
      <c r="U223" s="3229"/>
      <c r="V223" s="3244"/>
      <c r="W223" s="3229"/>
      <c r="X223" s="270" t="n">
        <f>SUM('6층_부하량(월간_AVG)'!D268:F268)</f>
        <v>5.0606469601323285</v>
      </c>
      <c r="Y223" s="270" t="n">
        <f>SUM('6층_부하량(월간_AVG)'!D298:F298)</f>
        <v>2.7069253839166856</v>
      </c>
      <c r="Z223" s="3252"/>
      <c r="AA223" s="2996" t="n" cm="1">
        <f t="array" ref="AA223">INDEX('각층분기별_유효전력량(전월)'!$I$2:$I$2017,MATCH(1,("6-DaHall 1-PDU-03"='각층분기별_유효전력량(전월)'!$G$2:$G$2017)*("[branch#013] [A] kWh last month"='각층분기별_유효전력량(전월)'!$H$2:$H$2017),0))</f>
        <v>823.5</v>
      </c>
      <c r="AB223" s="2989" t="n" cm="1">
        <f t="array" ref="AB223">INDEX('각층분기별_유효전력량(전월)'!$I$2:$I$2017,MATCH(1,("6-DaHall 1-PDU-04"='각층분기별_유효전력량(전월)'!$G$2:$G$2017)*("[branch#013] [A] kWh last month"='각층분기별_유효전력량(전월)'!$H$2:$H$2017),0))</f>
        <v>434.0</v>
      </c>
      <c r="AC223" s="3209"/>
      <c r="AD223" s="3217"/>
    </row>
    <row r="224" spans="1:30" x14ac:dyDescent="0.15">
      <c r="A224" s="3280" t="s">
        <v>2259</v>
      </c>
      <c r="B224" s="3292"/>
      <c r="C224" s="3295" t="s">
        <v>2192</v>
      </c>
      <c r="D224" s="2774"/>
      <c r="E224" s="2774"/>
      <c r="F224" s="2761"/>
      <c r="G224" s="2754"/>
      <c r="H224" s="2220" t="str">
        <f t="shared" si="40"/>
        <v>6-DaHall 1-PDU-03-30-15</v>
      </c>
      <c r="I224" s="2221" t="str">
        <f t="shared" si="41"/>
        <v>6-DaHall 1-PDU-04-30-15</v>
      </c>
      <c r="J224" s="1531"/>
      <c r="K224" s="1532">
        <v>30</v>
      </c>
      <c r="L224" s="2540" t="s">
        <v>6926</v>
      </c>
      <c r="M224" s="1533">
        <v>15</v>
      </c>
      <c r="N224" s="1534">
        <v>220</v>
      </c>
      <c r="O224" s="1535">
        <v>30</v>
      </c>
      <c r="P224" s="2550" t="s">
        <v>6922</v>
      </c>
      <c r="Q224" s="2199">
        <v>15</v>
      </c>
      <c r="R224" s="3289"/>
      <c r="S224" s="3229"/>
      <c r="T224" s="3244"/>
      <c r="U224" s="3229"/>
      <c r="V224" s="3244"/>
      <c r="W224" s="3229"/>
      <c r="X224" s="270" t="n">
        <f>SUM('6층_부하량(월간_AVG)'!D269:F269)</f>
        <v>3.905615064809628</v>
      </c>
      <c r="Y224" s="270" t="n">
        <f>SUM('6층_부하량(월간_AVG)'!D299:F299)</f>
        <v>3.624065911812693</v>
      </c>
      <c r="Z224" s="3250" t="n">
        <f t="shared" ref="Z224" si="48">SUM(X224:Y225)</f>
        <v>11.31989788207847</v>
      </c>
      <c r="AA224" s="2996" t="n" cm="1">
        <f t="array" ref="AA224">INDEX('각층분기별_유효전력량(전월)'!$I$2:$I$2017,MATCH(1,("6-DaHall 1-PDU-03"='각층분기별_유효전력량(전월)'!$G$2:$G$2017)*("[branch#015] [A] kWh last month"='각층분기별_유효전력량(전월)'!$H$2:$H$2017),0))</f>
        <v>606.8</v>
      </c>
      <c r="AB224" s="2989" t="n" cm="1">
        <f t="array" ref="AB224">INDEX('각층분기별_유효전력량(전월)'!$I$2:$I$2017,MATCH(1,("6-DaHall 1-PDU-04"='각층분기별_유효전력량(전월)'!$G$2:$G$2017)*("[branch#015] [A] kWh last month"='각층분기별_유효전력량(전월)'!$H$2:$H$2017),0))</f>
        <v>558.3</v>
      </c>
      <c r="AC224" s="3208" t="n">
        <f t="shared" ref="AC224" si="49">SUM(AA224:AB225)</f>
        <v>1727.1999999999998</v>
      </c>
      <c r="AD224" s="3216"/>
    </row>
    <row r="225" spans="1:30" ht="14.25" thickBot="1" x14ac:dyDescent="0.2">
      <c r="A225" s="3302"/>
      <c r="B225" s="3303"/>
      <c r="C225" s="3304"/>
      <c r="D225" s="2780"/>
      <c r="E225" s="2780"/>
      <c r="F225" s="2759"/>
      <c r="G225" s="2753"/>
      <c r="H225" s="2220" t="str">
        <f t="shared" si="40"/>
        <v>6-DaHall 1-PDU-03-30-17</v>
      </c>
      <c r="I225" s="2221" t="str">
        <f t="shared" si="41"/>
        <v>6-DaHall 1-PDU-04-30-17</v>
      </c>
      <c r="J225" s="1531">
        <v>220</v>
      </c>
      <c r="K225" s="1532">
        <v>30</v>
      </c>
      <c r="L225" s="2540" t="s">
        <v>6926</v>
      </c>
      <c r="M225" s="1533">
        <v>17</v>
      </c>
      <c r="N225" s="1534">
        <v>220</v>
      </c>
      <c r="O225" s="1535">
        <v>30</v>
      </c>
      <c r="P225" s="2549" t="s">
        <v>6922</v>
      </c>
      <c r="Q225" s="1544">
        <v>17</v>
      </c>
      <c r="R225" s="3290"/>
      <c r="S225" s="3228"/>
      <c r="T225" s="3240"/>
      <c r="U225" s="3228"/>
      <c r="V225" s="3240"/>
      <c r="W225" s="3228"/>
      <c r="X225" s="270" t="n">
        <f>SUM('6층_부하량(월간_AVG)'!D270:F270)</f>
        <v>1.9962047006365833</v>
      </c>
      <c r="Y225" s="270" t="n">
        <f>SUM('6층_부하량(월간_AVG)'!D300:F300)</f>
        <v>1.794012204819564</v>
      </c>
      <c r="Z225" s="3252"/>
      <c r="AA225" s="2996" t="n" cm="1">
        <f t="array" ref="AA225">INDEX('각층분기별_유효전력량(전월)'!$I$2:$I$2017,MATCH(1,("6-DaHall 1-PDU-03"='각층분기별_유효전력량(전월)'!$G$2:$G$2017)*("[branch#017] [A] kWh last month"='각층분기별_유효전력량(전월)'!$H$2:$H$2017),0))</f>
        <v>298.6</v>
      </c>
      <c r="AB225" s="2989" t="n" cm="1">
        <f t="array" ref="AB225">INDEX('각층분기별_유효전력량(전월)'!$I$2:$I$2017,MATCH(1,("6-DaHall 1-PDU-04"='각층분기별_유효전력량(전월)'!$G$2:$G$2017)*("[branch#017] [A] kWh last month"='각층분기별_유효전력량(전월)'!$H$2:$H$2017),0))</f>
        <v>263.5</v>
      </c>
      <c r="AC225" s="3209"/>
      <c r="AD225" s="3217"/>
    </row>
    <row r="226" spans="1:30" ht="15" customHeight="1" thickTop="1" x14ac:dyDescent="0.15">
      <c r="A226" s="1105" t="s">
        <v>2260</v>
      </c>
      <c r="B226" s="2771"/>
      <c r="C226" s="2784" t="s">
        <v>2261</v>
      </c>
      <c r="D226" s="2765" t="s">
        <v>2262</v>
      </c>
      <c r="E226" s="2765" t="s">
        <v>2263</v>
      </c>
      <c r="F226" s="2757"/>
      <c r="G226" s="2752"/>
      <c r="H226" s="2220" t="str">
        <f t="shared" si="40"/>
        <v>6-DaHall 1-PDU-01-30-25</v>
      </c>
      <c r="I226" s="2221" t="str">
        <f t="shared" si="41"/>
        <v>6-DaHall 1-PDU-02-30-25</v>
      </c>
      <c r="J226" s="1531">
        <v>220</v>
      </c>
      <c r="K226" s="1532">
        <v>30</v>
      </c>
      <c r="L226" s="2540" t="s">
        <v>6924</v>
      </c>
      <c r="M226" s="1533">
        <v>25</v>
      </c>
      <c r="N226" s="1534">
        <v>220</v>
      </c>
      <c r="O226" s="1535">
        <v>30</v>
      </c>
      <c r="P226" s="2546" t="s">
        <v>6920</v>
      </c>
      <c r="Q226" s="1536">
        <v>25</v>
      </c>
      <c r="R226" s="3288" t="s">
        <v>2181</v>
      </c>
      <c r="S226" s="3245" t="s">
        <v>2182</v>
      </c>
      <c r="T226" s="3233" t="s">
        <v>2183</v>
      </c>
      <c r="U226" s="3245" t="s">
        <v>2184</v>
      </c>
      <c r="V226" s="3233" t="s">
        <v>2201</v>
      </c>
      <c r="W226" s="3245" t="s">
        <v>2202</v>
      </c>
      <c r="X226" s="332" t="n">
        <f>SUM('6층_부하량(월간_AVG)'!D214:F214)</f>
        <v>1.8535513348292314</v>
      </c>
      <c r="Y226" s="332" t="n">
        <f>SUM('6층_부하량(월간_AVG)'!D244:F244)</f>
        <v>2.1427040920548497</v>
      </c>
      <c r="Z226" s="2560" t="n">
        <f t="shared" ref="Z226:Z233" si="50">SUM(X226:Y226)</f>
        <v>3.996255426884081</v>
      </c>
      <c r="AA226" s="2838" t="n" cm="1">
        <f t="array" ref="AA226">INDEX('각층분기별_유효전력량(전월)'!$I$2:$I$2017,MATCH(1,("6-DaHall 1-PDU-01"='각층분기별_유효전력량(전월)'!$G$2:$G$2017)*("[branch#025] [A] kWh last month"='각층분기별_유효전력량(전월)'!$H$2:$H$2017),0))</f>
        <v>294.5</v>
      </c>
      <c r="AB226" s="2989" t="n" cm="1">
        <f t="array" ref="AB226">INDEX('각층분기별_유효전력량(전월)'!$I$2:$I$2017,MATCH(1,("6-DaHall 1-PDU-02"='각층분기별_유효전력량(전월)'!$G$2:$G$2017)*("[branch#025] [A] kWh last month"='각층분기별_유효전력량(전월)'!$H$2:$H$2017),0))</f>
        <v>345.8</v>
      </c>
      <c r="AC226" s="2995" t="n">
        <f t="shared" ref="AC226:AC237" si="51">SUM(AA226:AB226)</f>
        <v>640.3</v>
      </c>
      <c r="AD226" s="2581"/>
    </row>
    <row r="227" spans="1:30" ht="42" customHeight="1" x14ac:dyDescent="0.15">
      <c r="A227" s="2769" t="s">
        <v>768</v>
      </c>
      <c r="B227" s="2771" t="s">
        <v>2264</v>
      </c>
      <c r="C227" s="2784" t="s">
        <v>2265</v>
      </c>
      <c r="D227" s="2765" t="s">
        <v>2266</v>
      </c>
      <c r="E227" s="2765" t="s">
        <v>2267</v>
      </c>
      <c r="F227" s="2757" t="s">
        <v>2268</v>
      </c>
      <c r="G227" s="2752" t="s">
        <v>2269</v>
      </c>
      <c r="H227" s="2220" t="str">
        <f t="shared" si="40"/>
        <v>6-DaHall 1-PDU-01-30-27</v>
      </c>
      <c r="I227" s="2221" t="str">
        <f t="shared" si="41"/>
        <v>6-DaHall 1-PDU-02-30-27</v>
      </c>
      <c r="J227" s="1531">
        <v>220</v>
      </c>
      <c r="K227" s="1532">
        <v>30</v>
      </c>
      <c r="L227" s="2540" t="s">
        <v>6924</v>
      </c>
      <c r="M227" s="1533">
        <v>27</v>
      </c>
      <c r="N227" s="1534">
        <v>220</v>
      </c>
      <c r="O227" s="1535">
        <v>30</v>
      </c>
      <c r="P227" s="2546" t="s">
        <v>6920</v>
      </c>
      <c r="Q227" s="1536">
        <v>27</v>
      </c>
      <c r="R227" s="3289"/>
      <c r="S227" s="3229"/>
      <c r="T227" s="3244"/>
      <c r="U227" s="3229"/>
      <c r="V227" s="3244"/>
      <c r="W227" s="3229"/>
      <c r="X227" s="255" t="n">
        <f>SUM('6층_부하량(월간_AVG)'!D215:F215)</f>
        <v>2.481588846171157</v>
      </c>
      <c r="Y227" s="255" t="n">
        <f>SUM('6층_부하량(월간_AVG)'!D245:F245)</f>
        <v>1.4932047947950835</v>
      </c>
      <c r="Z227" s="2557" t="n">
        <f t="shared" si="50"/>
        <v>3.9747936409662405</v>
      </c>
      <c r="AA227" s="2838" t="n" cm="1">
        <f t="array" ref="AA227">INDEX('각층분기별_유효전력량(전월)'!$I$2:$I$2017,MATCH(1,("6-DaHall 1-PDU-01"='각층분기별_유효전력량(전월)'!$G$2:$G$2017)*("[branch#027] [A] kWh last month"='각층분기별_유효전력량(전월)'!$H$2:$H$2017),0))</f>
        <v>475.4</v>
      </c>
      <c r="AB227" s="2989" t="n" cm="1">
        <f t="array" ref="AB227">INDEX('각층분기별_유효전력량(전월)'!$I$2:$I$2017,MATCH(1,("6-DaHall 1-PDU-02"='각층분기별_유효전력량(전월)'!$G$2:$G$2017)*("[branch#027] [A] kWh last month"='각층분기별_유효전력량(전월)'!$H$2:$H$2017),0))</f>
        <v>369.0</v>
      </c>
      <c r="AC227" s="2972" t="n">
        <f t="shared" si="51"/>
        <v>844.4</v>
      </c>
      <c r="AD227" s="2954"/>
    </row>
    <row r="228" spans="1:30" ht="27" x14ac:dyDescent="0.15">
      <c r="A228" s="2769" t="s">
        <v>763</v>
      </c>
      <c r="B228" s="2771" t="s">
        <v>2270</v>
      </c>
      <c r="C228" s="2784"/>
      <c r="D228" s="2765" t="s">
        <v>2271</v>
      </c>
      <c r="E228" s="2765" t="s">
        <v>2272</v>
      </c>
      <c r="F228" s="2757" t="s">
        <v>2273</v>
      </c>
      <c r="G228" s="2752" t="s">
        <v>2274</v>
      </c>
      <c r="H228" s="2220" t="str">
        <f t="shared" si="40"/>
        <v>6-DaHall 1-PDU-01-30-29</v>
      </c>
      <c r="I228" s="2221" t="str">
        <f t="shared" si="41"/>
        <v>6-DaHall 1-PDU-02-30-29</v>
      </c>
      <c r="J228" s="1531">
        <v>220</v>
      </c>
      <c r="K228" s="1532">
        <v>30</v>
      </c>
      <c r="L228" s="2540" t="s">
        <v>6924</v>
      </c>
      <c r="M228" s="1533">
        <v>29</v>
      </c>
      <c r="N228" s="1534">
        <v>220</v>
      </c>
      <c r="O228" s="1535">
        <v>30</v>
      </c>
      <c r="P228" s="2546" t="s">
        <v>6920</v>
      </c>
      <c r="Q228" s="1536">
        <v>29</v>
      </c>
      <c r="R228" s="3289"/>
      <c r="S228" s="3229"/>
      <c r="T228" s="3244"/>
      <c r="U228" s="3229"/>
      <c r="V228" s="3244"/>
      <c r="W228" s="3229"/>
      <c r="X228" s="255" t="n">
        <f>SUM('6층_부하량(월간_AVG)'!D216:F216)</f>
        <v>4.516717793253609</v>
      </c>
      <c r="Y228" s="255" t="n">
        <f>SUM('6층_부하량(월간_AVG)'!D246:F246)</f>
        <v>3.042457809548502</v>
      </c>
      <c r="Z228" s="2557" t="n">
        <f t="shared" si="50"/>
        <v>7.559175602802112</v>
      </c>
      <c r="AA228" s="2838" t="n" cm="1">
        <f t="array" ref="AA228">INDEX('각층분기별_유효전력량(전월)'!$I$2:$I$2017,MATCH(1,("6-DaHall 1-PDU-01"='각층분기별_유효전력량(전월)'!$G$2:$G$2017)*("[branch#029] [A] kWh last month"='각층분기별_유효전력량(전월)'!$H$2:$H$2017),0))</f>
        <v>724.5</v>
      </c>
      <c r="AB228" s="2989" t="n" cm="1">
        <f t="array" ref="AB228">INDEX('각층분기별_유효전력량(전월)'!$I$2:$I$2017,MATCH(1,("6-DaHall 1-PDU-02"='각층분기별_유효전력량(전월)'!$G$2:$G$2017)*("[branch#029] [A] kWh last month"='각층분기별_유효전력량(전월)'!$H$2:$H$2017),0))</f>
        <v>439.1</v>
      </c>
      <c r="AC228" s="2972" t="n">
        <f t="shared" si="51"/>
        <v>1163.6</v>
      </c>
      <c r="AD228" s="2954"/>
    </row>
    <row r="229" spans="1:30" ht="27" x14ac:dyDescent="0.15">
      <c r="A229" s="2769" t="s">
        <v>2275</v>
      </c>
      <c r="B229" s="2771" t="s">
        <v>2276</v>
      </c>
      <c r="C229" s="2784" t="s">
        <v>2261</v>
      </c>
      <c r="D229" s="2765" t="s">
        <v>2277</v>
      </c>
      <c r="E229" s="2765" t="s">
        <v>2278</v>
      </c>
      <c r="F229" s="2757" t="s">
        <v>2279</v>
      </c>
      <c r="G229" s="2113" t="s">
        <v>2280</v>
      </c>
      <c r="H229" s="2220" t="str">
        <f t="shared" si="40"/>
        <v>6-DaHall 1-PDU-01-30-31</v>
      </c>
      <c r="I229" s="2221" t="str">
        <f t="shared" si="41"/>
        <v>6-DaHall 1-PDU-02-30-31</v>
      </c>
      <c r="J229" s="1531">
        <v>220</v>
      </c>
      <c r="K229" s="1532">
        <v>30</v>
      </c>
      <c r="L229" s="2540" t="s">
        <v>6924</v>
      </c>
      <c r="M229" s="1533">
        <v>31</v>
      </c>
      <c r="N229" s="1534">
        <v>220</v>
      </c>
      <c r="O229" s="1535">
        <v>30</v>
      </c>
      <c r="P229" s="2546" t="s">
        <v>6920</v>
      </c>
      <c r="Q229" s="1536">
        <v>31</v>
      </c>
      <c r="R229" s="3289"/>
      <c r="S229" s="3229"/>
      <c r="T229" s="3244"/>
      <c r="U229" s="3229"/>
      <c r="V229" s="3244"/>
      <c r="W229" s="3229"/>
      <c r="X229" s="255" t="n">
        <f>SUM('6층_부하량(월간_AVG)'!D217:F217)</f>
        <v>3.0448689145702543</v>
      </c>
      <c r="Y229" s="255" t="n">
        <f>SUM('6층_부하량(월간_AVG)'!D247:F247)</f>
        <v>3.3323179006452173</v>
      </c>
      <c r="Z229" s="2557" t="n">
        <f t="shared" si="50"/>
        <v>6.377186815215472</v>
      </c>
      <c r="AA229" s="2838" t="n" cm="1">
        <f t="array" ref="AA229">INDEX('각층분기별_유효전력량(전월)'!$I$2:$I$2017,MATCH(1,("6-DaHall 1-PDU-01"='각층분기별_유효전력량(전월)'!$G$2:$G$2017)*("[branch#031] [A] kWh last month"='각층분기별_유효전력량(전월)'!$H$2:$H$2017),0))</f>
        <v>1196.9</v>
      </c>
      <c r="AB229" s="2989" t="n" cm="1">
        <f t="array" ref="AB229">INDEX('각층분기별_유효전력량(전월)'!$I$2:$I$2017,MATCH(1,("6-DaHall 1-PDU-02"='각층분기별_유효전력량(전월)'!$G$2:$G$2017)*("[branch#031] [A] kWh last month"='각층분기별_유효전력량(전월)'!$H$2:$H$2017),0))</f>
        <v>1540.6</v>
      </c>
      <c r="AC229" s="2972" t="n">
        <f t="shared" si="51"/>
        <v>2737.5</v>
      </c>
      <c r="AD229" s="2582"/>
    </row>
    <row r="230" spans="1:30" ht="27" x14ac:dyDescent="0.15">
      <c r="A230" s="2769" t="s">
        <v>2281</v>
      </c>
      <c r="B230" s="2771" t="s">
        <v>2282</v>
      </c>
      <c r="C230" s="2784" t="s">
        <v>2261</v>
      </c>
      <c r="D230" s="2765" t="s">
        <v>2283</v>
      </c>
      <c r="E230" s="2765" t="s">
        <v>2284</v>
      </c>
      <c r="F230" s="2757" t="s">
        <v>2285</v>
      </c>
      <c r="G230" s="2113" t="s">
        <v>2286</v>
      </c>
      <c r="H230" s="2220" t="str">
        <f t="shared" si="40"/>
        <v>6-DaHall 1-PDU-01-30-33</v>
      </c>
      <c r="I230" s="2221" t="str">
        <f t="shared" si="41"/>
        <v>6-DaHall 1-PDU-02-30-33</v>
      </c>
      <c r="J230" s="1531">
        <v>220</v>
      </c>
      <c r="K230" s="1532">
        <v>30</v>
      </c>
      <c r="L230" s="2540" t="s">
        <v>6924</v>
      </c>
      <c r="M230" s="1533">
        <v>33</v>
      </c>
      <c r="N230" s="1534">
        <v>220</v>
      </c>
      <c r="O230" s="1535">
        <v>30</v>
      </c>
      <c r="P230" s="2546" t="s">
        <v>6920</v>
      </c>
      <c r="Q230" s="1536">
        <v>33</v>
      </c>
      <c r="R230" s="3289"/>
      <c r="S230" s="3229"/>
      <c r="T230" s="3244"/>
      <c r="U230" s="3229"/>
      <c r="V230" s="3244"/>
      <c r="W230" s="3229"/>
      <c r="X230" s="255" t="n">
        <f>SUM('6층_부하량(월간_AVG)'!D218:F218)</f>
        <v>2.384645558458097</v>
      </c>
      <c r="Y230" s="255" t="n">
        <f>SUM('6층_부하량(월간_AVG)'!D248:F248)</f>
        <v>2.5159052478693273</v>
      </c>
      <c r="Z230" s="2557" t="n">
        <f t="shared" si="50"/>
        <v>4.900550806327424</v>
      </c>
      <c r="AA230" s="2838" t="n" cm="1">
        <f t="array" ref="AA230">INDEX('각층분기별_유효전력량(전월)'!$I$2:$I$2017,MATCH(1,("6-DaHall 1-PDU-01"='각층분기별_유효전력량(전월)'!$G$2:$G$2017)*("[branch#033] [A] kWh last month"='각층분기별_유효전력량(전월)'!$H$2:$H$2017),0))</f>
        <v>766.0</v>
      </c>
      <c r="AB230" s="2989" t="n" cm="1">
        <f t="array" ref="AB230">INDEX('각층분기별_유효전력량(전월)'!$I$2:$I$2017,MATCH(1,("6-DaHall 1-PDU-02"='각층분기별_유효전력량(전월)'!$G$2:$G$2017)*("[branch#033] [A] kWh last month"='각층분기별_유효전력량(전월)'!$H$2:$H$2017),0))</f>
        <v>769.1</v>
      </c>
      <c r="AC230" s="2972" t="n">
        <f t="shared" si="51"/>
        <v>1535.1</v>
      </c>
      <c r="AD230" s="2582"/>
    </row>
    <row r="231" spans="1:30" ht="27" x14ac:dyDescent="0.15">
      <c r="A231" s="2769" t="s">
        <v>2287</v>
      </c>
      <c r="B231" s="2771" t="s">
        <v>2288</v>
      </c>
      <c r="C231" s="2784" t="s">
        <v>2261</v>
      </c>
      <c r="D231" s="2765" t="s">
        <v>2262</v>
      </c>
      <c r="E231" s="2765" t="s">
        <v>2263</v>
      </c>
      <c r="F231" s="2757" t="s">
        <v>2289</v>
      </c>
      <c r="G231" s="2113" t="s">
        <v>2290</v>
      </c>
      <c r="H231" s="2220" t="str">
        <f t="shared" si="40"/>
        <v>6-DaHall 1-PDU-01-30-35</v>
      </c>
      <c r="I231" s="2221" t="str">
        <f t="shared" si="41"/>
        <v>6-DaHall 1-PDU-02-30-35</v>
      </c>
      <c r="J231" s="1531">
        <v>220</v>
      </c>
      <c r="K231" s="1532">
        <v>30</v>
      </c>
      <c r="L231" s="2540" t="s">
        <v>6924</v>
      </c>
      <c r="M231" s="1533">
        <v>35</v>
      </c>
      <c r="N231" s="1534">
        <v>220</v>
      </c>
      <c r="O231" s="1535">
        <v>30</v>
      </c>
      <c r="P231" s="2546" t="s">
        <v>6920</v>
      </c>
      <c r="Q231" s="1536">
        <v>35</v>
      </c>
      <c r="R231" s="3289"/>
      <c r="S231" s="3229"/>
      <c r="T231" s="3244"/>
      <c r="U231" s="3229"/>
      <c r="V231" s="3244"/>
      <c r="W231" s="3229"/>
      <c r="X231" s="255" t="n">
        <f>SUM('6층_부하량(월간_AVG)'!D219:F219)</f>
        <v>0.6683691803225886</v>
      </c>
      <c r="Y231" s="255" t="n">
        <f>SUM('6층_부하량(월간_AVG)'!D249:F249)</f>
        <v>0.6202577670651693</v>
      </c>
      <c r="Z231" s="2557" t="n">
        <f t="shared" si="50"/>
        <v>1.2886269473877578</v>
      </c>
      <c r="AA231" s="2838" t="n" cm="1">
        <f t="array" ref="AA231">INDEX('각층분기별_유효전력량(전월)'!$I$2:$I$2017,MATCH(1,("6-DaHall 1-PDU-01"='각층분기별_유효전력량(전월)'!$G$2:$G$2017)*("[branch#035] [A] kWh last month"='각층분기별_유효전력량(전월)'!$H$2:$H$2017),0))</f>
        <v>94.2</v>
      </c>
      <c r="AB231" s="2989" t="n" cm="1">
        <f t="array" ref="AB231">INDEX('각층분기별_유효전력량(전월)'!$I$2:$I$2017,MATCH(1,("6-DaHall 1-PDU-02"='각층분기별_유효전력량(전월)'!$G$2:$G$2017)*("[branch#035] [A] kWh last month"='각층분기별_유효전력량(전월)'!$H$2:$H$2017),0))</f>
        <v>87.7</v>
      </c>
      <c r="AC231" s="2972" t="n">
        <f t="shared" si="51"/>
        <v>181.9</v>
      </c>
      <c r="AD231" s="2954"/>
    </row>
    <row r="232" spans="1:30" ht="27" x14ac:dyDescent="0.15">
      <c r="A232" s="2769" t="s">
        <v>2291</v>
      </c>
      <c r="B232" s="2771" t="s">
        <v>2292</v>
      </c>
      <c r="C232" s="2784" t="s">
        <v>2261</v>
      </c>
      <c r="D232" s="2765" t="s">
        <v>2293</v>
      </c>
      <c r="E232" s="2765" t="s">
        <v>2294</v>
      </c>
      <c r="F232" s="2757" t="s">
        <v>2295</v>
      </c>
      <c r="G232" s="2113" t="s">
        <v>2296</v>
      </c>
      <c r="H232" s="2220" t="str">
        <f t="shared" si="40"/>
        <v>6-DaHall 1-PDU-01-30-37</v>
      </c>
      <c r="I232" s="2221" t="str">
        <f t="shared" si="41"/>
        <v>6-DaHall 1-PDU-02-30-37</v>
      </c>
      <c r="J232" s="1531">
        <v>220</v>
      </c>
      <c r="K232" s="1532">
        <v>30</v>
      </c>
      <c r="L232" s="2540" t="s">
        <v>6924</v>
      </c>
      <c r="M232" s="1533">
        <v>37</v>
      </c>
      <c r="N232" s="1534">
        <v>220</v>
      </c>
      <c r="O232" s="1535">
        <v>30</v>
      </c>
      <c r="P232" s="2546" t="s">
        <v>6920</v>
      </c>
      <c r="Q232" s="1536">
        <v>37</v>
      </c>
      <c r="R232" s="3289"/>
      <c r="S232" s="3229"/>
      <c r="T232" s="3244"/>
      <c r="U232" s="3229"/>
      <c r="V232" s="3244"/>
      <c r="W232" s="3229"/>
      <c r="X232" s="255" t="n">
        <f>SUM('6층_부하량(월간_AVG)'!D220:F220)</f>
        <v>0.0</v>
      </c>
      <c r="Y232" s="255" t="n">
        <f>SUM('6층_부하량(월간_AVG)'!D250:F250)</f>
        <v>0.0</v>
      </c>
      <c r="Z232" s="2557" t="n">
        <f t="shared" si="50"/>
        <v>0.0</v>
      </c>
      <c r="AA232" s="2838" t="n" cm="1">
        <f t="array" ref="AA232">INDEX('각층분기별_유효전력량(전월)'!$I$2:$I$2017,MATCH(1,("6-DaHall 1-PDU-01"='각층분기별_유효전력량(전월)'!$G$2:$G$2017)*("[branch#037] [A] kWh last month"='각층분기별_유효전력량(전월)'!$H$2:$H$2017),0))</f>
        <v>0.0</v>
      </c>
      <c r="AB232" s="2989" t="n" cm="1">
        <f t="array" ref="AB232">INDEX('각층분기별_유효전력량(전월)'!$I$2:$I$2017,MATCH(1,("6-DaHall 1-PDU-02"='각층분기별_유효전력량(전월)'!$G$2:$G$2017)*("[branch#037] [A] kWh last month"='각층분기별_유효전력량(전월)'!$H$2:$H$2017),0))</f>
        <v>0.0</v>
      </c>
      <c r="AC232" s="2972" t="n">
        <f t="shared" si="51"/>
        <v>0.0</v>
      </c>
      <c r="AD232" s="2954"/>
    </row>
    <row r="233" spans="1:30" ht="27" x14ac:dyDescent="0.15">
      <c r="A233" s="2769" t="s">
        <v>2297</v>
      </c>
      <c r="B233" s="2771" t="s">
        <v>2298</v>
      </c>
      <c r="C233" s="2784" t="s">
        <v>2261</v>
      </c>
      <c r="D233" s="2765" t="s">
        <v>2299</v>
      </c>
      <c r="E233" s="2765" t="s">
        <v>2300</v>
      </c>
      <c r="F233" s="2757" t="s">
        <v>2301</v>
      </c>
      <c r="G233" s="2113" t="s">
        <v>2302</v>
      </c>
      <c r="H233" s="2220" t="str">
        <f t="shared" si="40"/>
        <v>6-DaHall 1-PDU-01-30-39</v>
      </c>
      <c r="I233" s="2221" t="str">
        <f t="shared" si="41"/>
        <v>6-DaHall 1-PDU-02-30-39</v>
      </c>
      <c r="J233" s="1531">
        <v>220</v>
      </c>
      <c r="K233" s="1532">
        <v>30</v>
      </c>
      <c r="L233" s="2540" t="s">
        <v>6924</v>
      </c>
      <c r="M233" s="1533">
        <v>39</v>
      </c>
      <c r="N233" s="1534">
        <v>220</v>
      </c>
      <c r="O233" s="1535">
        <v>30</v>
      </c>
      <c r="P233" s="2546" t="s">
        <v>6920</v>
      </c>
      <c r="Q233" s="1536">
        <v>39</v>
      </c>
      <c r="R233" s="3289"/>
      <c r="S233" s="3229"/>
      <c r="T233" s="3244"/>
      <c r="U233" s="3229"/>
      <c r="V233" s="3244"/>
      <c r="W233" s="3229"/>
      <c r="X233" s="255" t="n">
        <f>SUM('6층_부하량(월간_AVG)'!D221:F221)</f>
        <v>0.2317139608449841</v>
      </c>
      <c r="Y233" s="255" t="n">
        <f>SUM('6층_부하량(월간_AVG)'!D251:F251)</f>
        <v>0.21443277244834508</v>
      </c>
      <c r="Z233" s="2557" t="n">
        <f t="shared" si="50"/>
        <v>0.4461467332933292</v>
      </c>
      <c r="AA233" s="2838" t="n" cm="1">
        <f t="array" ref="AA233">INDEX('각층분기별_유효전력량(전월)'!$I$2:$I$2017,MATCH(1,("6-DaHall 1-PDU-01"='각층분기별_유효전력량(전월)'!$G$2:$G$2017)*("[branch#039] [A] kWh last month"='각층분기별_유효전력량(전월)'!$H$2:$H$2017),0))</f>
        <v>62.7</v>
      </c>
      <c r="AB233" s="2989" t="n" cm="1">
        <f t="array" ref="AB233">INDEX('각층분기별_유효전력량(전월)'!$I$2:$I$2017,MATCH(1,("6-DaHall 1-PDU-02"='각층분기별_유효전력량(전월)'!$G$2:$G$2017)*("[branch#039] [A] kWh last month"='각층분기별_유효전력량(전월)'!$H$2:$H$2017),0))</f>
        <v>30.8</v>
      </c>
      <c r="AC233" s="2972" t="n">
        <f t="shared" si="51"/>
        <v>93.5</v>
      </c>
      <c r="AD233" s="2582"/>
    </row>
    <row r="234" spans="1:30" ht="27.95" customHeight="1" x14ac:dyDescent="0.15">
      <c r="A234" s="2769" t="s">
        <v>2303</v>
      </c>
      <c r="B234" s="2771" t="s">
        <v>2304</v>
      </c>
      <c r="C234" s="2784" t="s">
        <v>2305</v>
      </c>
      <c r="D234" s="2765" t="s">
        <v>2306</v>
      </c>
      <c r="E234" s="2765" t="s">
        <v>2307</v>
      </c>
      <c r="F234" s="2757" t="s">
        <v>2308</v>
      </c>
      <c r="G234" s="2752" t="s">
        <v>2309</v>
      </c>
      <c r="H234" s="2220" t="str">
        <f t="shared" si="40"/>
        <v>6-DaHall 1-PDU-01-30-41</v>
      </c>
      <c r="I234" s="2221" t="str">
        <f t="shared" si="41"/>
        <v>6-DaHall 1-PDU-02-30-41</v>
      </c>
      <c r="J234" s="1531">
        <v>220</v>
      </c>
      <c r="K234" s="1532">
        <v>30</v>
      </c>
      <c r="L234" s="2540" t="s">
        <v>6924</v>
      </c>
      <c r="M234" s="1533">
        <v>41</v>
      </c>
      <c r="N234" s="1534">
        <v>220</v>
      </c>
      <c r="O234" s="1535">
        <v>30</v>
      </c>
      <c r="P234" s="2546" t="s">
        <v>6920</v>
      </c>
      <c r="Q234" s="1536">
        <v>41</v>
      </c>
      <c r="R234" s="3289"/>
      <c r="S234" s="3229"/>
      <c r="T234" s="3244"/>
      <c r="U234" s="3229"/>
      <c r="V234" s="3244"/>
      <c r="W234" s="3229"/>
      <c r="X234" s="255" t="n">
        <f>SUM('6층_부하량(월간_AVG)'!D222:F222)</f>
        <v>0.793084977320545</v>
      </c>
      <c r="Y234" s="255" t="n">
        <f>SUM('6층_부하량(월간_AVG)'!D252:F252)</f>
        <v>0.6176879752155199</v>
      </c>
      <c r="Z234" s="2573" t="n">
        <f>SUM(X234:Y234)</f>
        <v>1.4107729525360648</v>
      </c>
      <c r="AA234" s="2838" t="n" cm="1">
        <f t="array" ref="AA234">INDEX('각층분기별_유효전력량(전월)'!$I$2:$I$2017,MATCH(1,("6-DaHall 1-PDU-01"='각층분기별_유효전력량(전월)'!$G$2:$G$2017)*("[branch#041] [A] kWh last month"='각층분기별_유효전력량(전월)'!$H$2:$H$2017),0))</f>
        <v>119.8</v>
      </c>
      <c r="AB234" s="2989" t="n" cm="1">
        <f t="array" ref="AB234">INDEX('각층분기별_유효전력량(전월)'!$I$2:$I$2017,MATCH(1,("6-DaHall 1-PDU-02"='각층분기별_유효전력량(전월)'!$G$2:$G$2017)*("[branch#041] [A] kWh last month"='각층분기별_유효전력량(전월)'!$H$2:$H$2017),0))</f>
        <v>85.7</v>
      </c>
      <c r="AC234" s="2997" t="n">
        <f t="shared" si="51"/>
        <v>205.5</v>
      </c>
      <c r="AD234" s="2998"/>
    </row>
    <row r="235" spans="1:30" ht="27" x14ac:dyDescent="0.15">
      <c r="A235" s="2769" t="s">
        <v>738</v>
      </c>
      <c r="B235" s="2834" t="s">
        <v>2310</v>
      </c>
      <c r="C235" s="904"/>
      <c r="D235" s="2834" t="s">
        <v>2311</v>
      </c>
      <c r="E235" s="2834" t="s">
        <v>2312</v>
      </c>
      <c r="F235" s="2757" t="s">
        <v>2313</v>
      </c>
      <c r="G235" s="2752" t="s">
        <v>2314</v>
      </c>
      <c r="H235" s="2220" t="str">
        <f t="shared" si="40"/>
        <v>6-DaHall 1-PDU-01-30-49</v>
      </c>
      <c r="I235" s="2221" t="str">
        <f t="shared" si="41"/>
        <v>6-DaHall 1-PDU-02-30-30</v>
      </c>
      <c r="J235" s="1531">
        <v>220</v>
      </c>
      <c r="K235" s="1532">
        <v>30</v>
      </c>
      <c r="L235" s="2540" t="s">
        <v>6924</v>
      </c>
      <c r="M235" s="1533">
        <v>49</v>
      </c>
      <c r="N235" s="1534">
        <v>220</v>
      </c>
      <c r="O235" s="1535">
        <v>30</v>
      </c>
      <c r="P235" s="2546" t="s">
        <v>6920</v>
      </c>
      <c r="Q235" s="1536">
        <v>30</v>
      </c>
      <c r="R235" s="3289"/>
      <c r="S235" s="3229"/>
      <c r="T235" s="3244"/>
      <c r="U235" s="3229"/>
      <c r="V235" s="3244"/>
      <c r="W235" s="3229"/>
      <c r="X235" s="255" t="n">
        <f>SUM('6층_부하량(월간_AVG)'!D226:F226)</f>
        <v>7.703388478181897</v>
      </c>
      <c r="Y235" s="255" t="n">
        <f>SUM('6층_부하량(월간_AVG)'!L246:N246)</f>
        <v>7.824738788359807</v>
      </c>
      <c r="Z235" s="2556" t="n">
        <f>SUM(X235:Y235)</f>
        <v>15.528127266541704</v>
      </c>
      <c r="AA235" s="2838" t="n" cm="1">
        <f t="array" ref="AA235">INDEX('각층분기별_유효전력량(전월)'!$I$2:$I$2017,MATCH(1,("6-DaHall 1-PDU-01"='각층분기별_유효전력량(전월)'!$G$2:$G$2017)*("[branch#049] [A] kWh last month"='각층분기별_유효전력량(전월)'!$H$2:$H$2017),0))</f>
        <v>958.0</v>
      </c>
      <c r="AB235" s="2989" t="n" cm="1">
        <f t="array" ref="AB235">INDEX('각층분기별_유효전력량(전월)'!$I$2:$I$2017,MATCH(1,("6-DaHall 1-PDU-02"='각층분기별_유효전력량(전월)'!$G$2:$G$2017)*("[branch#030] [A] kWh last month"='각층분기별_유효전력량(전월)'!$H$2:$H$2017),0))</f>
        <v>1262.6</v>
      </c>
      <c r="AC235" s="2972" t="n">
        <f t="shared" si="51"/>
        <v>2220.6</v>
      </c>
      <c r="AD235" s="2991" t="s">
        <v>1579</v>
      </c>
    </row>
    <row r="236" spans="1:30" ht="14.25" thickBot="1" x14ac:dyDescent="0.2">
      <c r="A236" s="2779" t="s">
        <v>2315</v>
      </c>
      <c r="B236" s="847"/>
      <c r="C236" s="993"/>
      <c r="D236" s="847"/>
      <c r="E236" s="847"/>
      <c r="F236" s="2830"/>
      <c r="G236" s="2813"/>
      <c r="H236" s="2222" t="str">
        <f t="shared" si="40"/>
        <v>6-DaHall 1-PDU-01-30-44</v>
      </c>
      <c r="I236" s="2223" t="str">
        <f t="shared" si="41"/>
        <v>6-DaHall 1-PDU-02-30-44</v>
      </c>
      <c r="J236" s="1548"/>
      <c r="K236" s="1549">
        <v>30</v>
      </c>
      <c r="L236" s="2541" t="s">
        <v>6924</v>
      </c>
      <c r="M236" s="1550">
        <v>44</v>
      </c>
      <c r="N236" s="1551">
        <v>220</v>
      </c>
      <c r="O236" s="1552">
        <v>30</v>
      </c>
      <c r="P236" s="2547" t="s">
        <v>6920</v>
      </c>
      <c r="Q236" s="1553">
        <v>44</v>
      </c>
      <c r="R236" s="3290"/>
      <c r="S236" s="3228"/>
      <c r="T236" s="3240"/>
      <c r="U236" s="3228"/>
      <c r="V236" s="3240"/>
      <c r="W236" s="3228"/>
      <c r="X236" s="254" t="n">
        <f>SUM('6층_부하량(월간_AVG)'!L223:N223)</f>
        <v>0.0</v>
      </c>
      <c r="Y236" s="254" t="n">
        <f>SUM('6층_부하량(월간_AVG)'!L253:N253)</f>
        <v>0.0</v>
      </c>
      <c r="Z236" s="2556" t="n">
        <f>SUM(X236:Y236)</f>
        <v>0.0</v>
      </c>
      <c r="AA236" s="2983" t="n" cm="1">
        <f t="array" ref="AA236">INDEX('각층분기별_유효전력량(전월)'!$I$2:$I$2017,MATCH(1,("6-DaHall 1-PDU-01"='각층분기별_유효전력량(전월)'!$G$2:$G$2017)*("[branch#044] [A] kWh last month"='각층분기별_유효전력량(전월)'!$H$2:$H$2017),0))</f>
        <v>0.0</v>
      </c>
      <c r="AB236" s="2859" t="n" cm="1">
        <f t="array" ref="AB236">INDEX('각층분기별_유효전력량(전월)'!$I$2:$I$2017,MATCH(1,("6-DaHall 1-PDU-02"='각층분기별_유효전력량(전월)'!$G$2:$G$2017)*("[branch#044] [A] kWh last month"='각층분기별_유효전력량(전월)'!$H$2:$H$2017),0))</f>
        <v>0.0</v>
      </c>
      <c r="AC236" s="2972" t="n">
        <f t="shared" si="51"/>
        <v>0.0</v>
      </c>
      <c r="AD236" s="2991" t="s">
        <v>1579</v>
      </c>
    </row>
    <row r="237" spans="1:30" ht="14.25" thickTop="1" x14ac:dyDescent="0.15">
      <c r="A237" s="1105" t="s">
        <v>285</v>
      </c>
      <c r="B237" s="834" t="s">
        <v>2316</v>
      </c>
      <c r="C237" s="834"/>
      <c r="D237" s="834"/>
      <c r="E237" s="834"/>
      <c r="F237" s="902"/>
      <c r="G237" s="903"/>
      <c r="H237" s="2218"/>
      <c r="I237" s="2219"/>
      <c r="J237" s="1523"/>
      <c r="K237" s="1524"/>
      <c r="L237" s="902"/>
      <c r="M237" s="1525"/>
      <c r="N237" s="1526"/>
      <c r="O237" s="1527"/>
      <c r="P237" s="903"/>
      <c r="Q237" s="1528"/>
      <c r="R237" s="835"/>
      <c r="S237" s="836"/>
      <c r="T237" s="835"/>
      <c r="U237" s="836"/>
      <c r="V237" s="835"/>
      <c r="W237" s="836"/>
      <c r="X237" s="841"/>
      <c r="Y237" s="1441"/>
      <c r="Z237" s="2555" t="n">
        <f>SUM(X237:Y237)</f>
        <v>0.0</v>
      </c>
      <c r="AA237" s="2999"/>
      <c r="AB237" s="3000"/>
      <c r="AC237" s="2995" t="n">
        <f t="shared" si="51"/>
        <v>0.0</v>
      </c>
      <c r="AD237" s="2971" t="s">
        <v>1579</v>
      </c>
    </row>
    <row r="238" spans="1:30" ht="27" customHeight="1" x14ac:dyDescent="0.15">
      <c r="A238" s="3279" t="s">
        <v>280</v>
      </c>
      <c r="B238" s="3287" t="s">
        <v>2317</v>
      </c>
      <c r="C238" s="3246" t="s">
        <v>2318</v>
      </c>
      <c r="D238" s="2765" t="s">
        <v>2319</v>
      </c>
      <c r="E238" s="2765" t="s">
        <v>2320</v>
      </c>
      <c r="F238" s="2757" t="s">
        <v>2321</v>
      </c>
      <c r="G238" s="2752" t="s">
        <v>2322</v>
      </c>
      <c r="H238" s="2220" t="str">
        <f t="shared" ref="H238:H246" si="52">"6-DaHall 1-PDU-"&amp;L238&amp;"-"&amp;K238&amp;"-"&amp;M238</f>
        <v>6-DaHall 1-PDU-03-30-24</v>
      </c>
      <c r="I238" s="2221" t="str">
        <f t="shared" ref="I238:I246" si="53">"6-DaHall 1-PDU-"&amp;P238&amp;"-"&amp;O238&amp;"-"&amp;Q238</f>
        <v>6-DaHall 1-PDU-04-30-24</v>
      </c>
      <c r="J238" s="1531">
        <v>220</v>
      </c>
      <c r="K238" s="1532">
        <v>30</v>
      </c>
      <c r="L238" s="2540" t="s">
        <v>6926</v>
      </c>
      <c r="M238" s="1533">
        <v>24</v>
      </c>
      <c r="N238" s="1534">
        <v>220</v>
      </c>
      <c r="O238" s="1535">
        <v>30</v>
      </c>
      <c r="P238" s="2546" t="s">
        <v>6922</v>
      </c>
      <c r="Q238" s="1536">
        <v>24</v>
      </c>
      <c r="R238" s="3239" t="s">
        <v>2248</v>
      </c>
      <c r="S238" s="3227" t="s">
        <v>2249</v>
      </c>
      <c r="T238" s="3239" t="s">
        <v>2250</v>
      </c>
      <c r="U238" s="3227" t="s">
        <v>2251</v>
      </c>
      <c r="V238" s="3239" t="s">
        <v>1590</v>
      </c>
      <c r="W238" s="3227" t="s">
        <v>1591</v>
      </c>
      <c r="X238" s="270" t="n">
        <f>SUM('6층_부하량(월간_AVG)'!L273:N273)</f>
        <v>0.0</v>
      </c>
      <c r="Y238" s="270" t="n">
        <f>SUM('6층_부하량(월간_AVG)'!L303:N303)</f>
        <v>0.0</v>
      </c>
      <c r="Z238" s="3249" t="n">
        <f>SUM(X238:Y239)</f>
        <v>0.0</v>
      </c>
      <c r="AA238" s="2838" t="n" cm="1">
        <f t="array" ref="AA238">INDEX('각층분기별_유효전력량(전월)'!$I$2:$I$2017,MATCH(1,("6-DaHall 1-PDU-03"='각층분기별_유효전력량(전월)'!$G$2:$G$2017)*("[branch#024] [A] kWh last month"='각층분기별_유효전력량(전월)'!$H$2:$H$2017),0))</f>
        <v>71.9</v>
      </c>
      <c r="AB238" s="2989" t="n" cm="1">
        <f t="array" ref="AB238">INDEX('각층분기별_유효전력량(전월)'!$I$2:$I$2017,MATCH(1,("6-DaHall 1-PDU-04"='각층분기별_유효전력량(전월)'!$G$2:$G$2017)*("[branch#024] [A] kWh last month"='각층분기별_유효전력량(전월)'!$H$2:$H$2017),0))</f>
        <v>202.2</v>
      </c>
      <c r="AC238" s="3208" t="n">
        <f>SUM(AA238:AB239)</f>
        <v>538.4000000000001</v>
      </c>
      <c r="AD238" s="2954"/>
    </row>
    <row r="239" spans="1:30" ht="27" customHeight="1" x14ac:dyDescent="0.15">
      <c r="A239" s="3279"/>
      <c r="B239" s="3287"/>
      <c r="C239" s="3246"/>
      <c r="D239" s="2765" t="s">
        <v>2323</v>
      </c>
      <c r="E239" s="2765" t="s">
        <v>2324</v>
      </c>
      <c r="F239" s="2757" t="s">
        <v>2325</v>
      </c>
      <c r="G239" s="2752" t="s">
        <v>2326</v>
      </c>
      <c r="H239" s="2220" t="str">
        <f t="shared" si="52"/>
        <v>6-DaHall 1-PDU-03-30-22</v>
      </c>
      <c r="I239" s="2221" t="str">
        <f t="shared" si="53"/>
        <v>6-DaHall 1-PDU-04-30-22</v>
      </c>
      <c r="J239" s="1531">
        <v>220</v>
      </c>
      <c r="K239" s="1532">
        <v>30</v>
      </c>
      <c r="L239" s="2540" t="s">
        <v>6926</v>
      </c>
      <c r="M239" s="1533">
        <v>22</v>
      </c>
      <c r="N239" s="1534">
        <v>220</v>
      </c>
      <c r="O239" s="1535">
        <v>30</v>
      </c>
      <c r="P239" s="2546" t="s">
        <v>6922</v>
      </c>
      <c r="Q239" s="1536">
        <v>22</v>
      </c>
      <c r="R239" s="3244"/>
      <c r="S239" s="3229"/>
      <c r="T239" s="3244"/>
      <c r="U239" s="3229"/>
      <c r="V239" s="3244"/>
      <c r="W239" s="3229"/>
      <c r="X239" s="270" t="n">
        <f>SUM('6층_부하량(월간_AVG)'!L272:N272)</f>
        <v>0.0</v>
      </c>
      <c r="Y239" s="270" t="n">
        <f>SUM('6층_부하량(월간_AVG)'!L302:N302)</f>
        <v>0.0</v>
      </c>
      <c r="Z239" s="3249"/>
      <c r="AA239" s="2838" t="n" cm="1">
        <f t="array" ref="AA239">INDEX('각층분기별_유효전력량(전월)'!$I$2:$I$2017,MATCH(1,("6-DaHall 1-PDU-03"='각층분기별_유효전력량(전월)'!$G$2:$G$2017)*("[branch#022] [A] kWh last month"='각층분기별_유효전력량(전월)'!$H$2:$H$2017),0))</f>
        <v>47.8</v>
      </c>
      <c r="AB239" s="2989" t="n" cm="1">
        <f t="array" ref="AB239">INDEX('각층분기별_유효전력량(전월)'!$I$2:$I$2017,MATCH(1,("6-DaHall 1-PDU-04"='각층분기별_유효전력량(전월)'!$G$2:$G$2017)*("[branch#022] [A] kWh last month"='각층분기별_유효전력량(전월)'!$H$2:$H$2017),0))</f>
        <v>216.5</v>
      </c>
      <c r="AC239" s="3209"/>
      <c r="AD239" s="2954"/>
    </row>
    <row r="240" spans="1:30" ht="27" x14ac:dyDescent="0.15">
      <c r="A240" s="3279" t="s">
        <v>275</v>
      </c>
      <c r="B240" s="3287" t="s">
        <v>2327</v>
      </c>
      <c r="C240" s="3246" t="s">
        <v>2318</v>
      </c>
      <c r="D240" s="2765" t="s">
        <v>2328</v>
      </c>
      <c r="E240" s="2765" t="s">
        <v>2329</v>
      </c>
      <c r="F240" s="2757" t="s">
        <v>2330</v>
      </c>
      <c r="G240" s="2752" t="s">
        <v>2331</v>
      </c>
      <c r="H240" s="2220" t="str">
        <f t="shared" si="52"/>
        <v>6-DaHall 1-PDU-03-30-26</v>
      </c>
      <c r="I240" s="2221" t="str">
        <f t="shared" si="53"/>
        <v>6-DaHall 1-PDU-04-30-26</v>
      </c>
      <c r="J240" s="1531">
        <v>220</v>
      </c>
      <c r="K240" s="1532">
        <v>30</v>
      </c>
      <c r="L240" s="2540" t="s">
        <v>6926</v>
      </c>
      <c r="M240" s="1533">
        <v>26</v>
      </c>
      <c r="N240" s="1534">
        <v>220</v>
      </c>
      <c r="O240" s="1535">
        <v>30</v>
      </c>
      <c r="P240" s="2546" t="s">
        <v>6922</v>
      </c>
      <c r="Q240" s="1536">
        <v>26</v>
      </c>
      <c r="R240" s="3244"/>
      <c r="S240" s="3229"/>
      <c r="T240" s="3244"/>
      <c r="U240" s="3229"/>
      <c r="V240" s="3244"/>
      <c r="W240" s="3229"/>
      <c r="X240" s="270" t="n">
        <f>SUM('6층_부하량(월간_AVG)'!L274:N274)</f>
        <v>0.0</v>
      </c>
      <c r="Y240" s="270" t="n">
        <f>SUM('6층_부하량(월간_AVG)'!L304:N304)</f>
        <v>0.0</v>
      </c>
      <c r="Z240" s="3249" t="n">
        <f>SUM(X240:Y241)</f>
        <v>0.0</v>
      </c>
      <c r="AA240" s="2838" t="n" cm="1">
        <f t="array" ref="AA240">INDEX('각층분기별_유효전력량(전월)'!$I$2:$I$2017,MATCH(1,("6-DaHall 1-PDU-03"='각층분기별_유효전력량(전월)'!$G$2:$G$2017)*("[branch#026] [A] kWh last month"='각층분기별_유효전력량(전월)'!$H$2:$H$2017),0))</f>
        <v>276.6</v>
      </c>
      <c r="AB240" s="2989" t="n" cm="1">
        <f t="array" ref="AB240">INDEX('각층분기별_유효전력량(전월)'!$I$2:$I$2017,MATCH(1,("6-DaHall 1-PDU-04"='각층분기별_유효전력량(전월)'!$G$2:$G$2017)*("[branch#026] [A] kWh last month"='각층분기별_유효전력량(전월)'!$H$2:$H$2017),0))</f>
        <v>127.6</v>
      </c>
      <c r="AC240" s="3208" t="n">
        <f>SUM(AA240:AB241)</f>
        <v>808.4000000000001</v>
      </c>
      <c r="AD240" s="2954"/>
    </row>
    <row r="241" spans="1:30" ht="27" x14ac:dyDescent="0.15">
      <c r="A241" s="3279"/>
      <c r="B241" s="3287"/>
      <c r="C241" s="3246"/>
      <c r="D241" s="2765" t="s">
        <v>2332</v>
      </c>
      <c r="E241" s="2765" t="s">
        <v>2333</v>
      </c>
      <c r="F241" s="2757" t="s">
        <v>2334</v>
      </c>
      <c r="G241" s="2752" t="s">
        <v>2335</v>
      </c>
      <c r="H241" s="2220" t="str">
        <f t="shared" si="52"/>
        <v>6-DaHall 1-PDU-03-30-38</v>
      </c>
      <c r="I241" s="2221" t="str">
        <f t="shared" si="53"/>
        <v>6-DaHall 1-PDU-04-30-38</v>
      </c>
      <c r="J241" s="1531">
        <v>220</v>
      </c>
      <c r="K241" s="1532">
        <v>30</v>
      </c>
      <c r="L241" s="2540" t="s">
        <v>6926</v>
      </c>
      <c r="M241" s="1533">
        <v>38</v>
      </c>
      <c r="N241" s="1534">
        <v>220</v>
      </c>
      <c r="O241" s="1535">
        <v>30</v>
      </c>
      <c r="P241" s="2546" t="s">
        <v>6922</v>
      </c>
      <c r="Q241" s="1536">
        <v>38</v>
      </c>
      <c r="R241" s="3244"/>
      <c r="S241" s="3229"/>
      <c r="T241" s="3244"/>
      <c r="U241" s="3229"/>
      <c r="V241" s="3244"/>
      <c r="W241" s="3229"/>
      <c r="X241" s="270" t="n">
        <f>SUM('6층_부하량(월간_AVG)'!L280:N280)</f>
        <v>0.0</v>
      </c>
      <c r="Y241" s="270" t="n">
        <f>SUM('6층_부하량(월간_AVG)'!L310:N310)</f>
        <v>0.0</v>
      </c>
      <c r="Z241" s="3249"/>
      <c r="AA241" s="2838" t="n" cm="1">
        <f t="array" ref="AA241">INDEX('각층분기별_유효전력량(전월)'!$I$2:$I$2017,MATCH(1,("6-DaHall 1-PDU-03"='각층분기별_유효전력량(전월)'!$G$2:$G$2017)*("[branch#038] [A] kWh last month"='각층분기별_유효전력량(전월)'!$H$2:$H$2017),0))</f>
        <v>276.6</v>
      </c>
      <c r="AB241" s="2989" t="n" cm="1">
        <f t="array" ref="AB241">INDEX('각층분기별_유효전력량(전월)'!$I$2:$I$2017,MATCH(1,("6-DaHall 1-PDU-04"='각층분기별_유효전력량(전월)'!$G$2:$G$2017)*("[branch#038] [A] kWh last month"='각층분기별_유효전력량(전월)'!$H$2:$H$2017),0))</f>
        <v>127.6</v>
      </c>
      <c r="AC241" s="3209"/>
      <c r="AD241" s="2954"/>
    </row>
    <row r="242" spans="1:30" ht="27" x14ac:dyDescent="0.15">
      <c r="A242" s="2769" t="s">
        <v>268</v>
      </c>
      <c r="B242" s="2771" t="s">
        <v>2336</v>
      </c>
      <c r="C242" s="2765" t="s">
        <v>2318</v>
      </c>
      <c r="D242" s="2765" t="s">
        <v>2337</v>
      </c>
      <c r="E242" s="2765" t="s">
        <v>2338</v>
      </c>
      <c r="F242" s="2757" t="s">
        <v>2339</v>
      </c>
      <c r="G242" s="2752" t="s">
        <v>2340</v>
      </c>
      <c r="H242" s="2220" t="str">
        <f t="shared" si="52"/>
        <v>6-DaHall 1-PDU-03-30-28</v>
      </c>
      <c r="I242" s="2221" t="str">
        <f t="shared" si="53"/>
        <v>6-DaHall 1-PDU-04-30-28</v>
      </c>
      <c r="J242" s="1531">
        <v>220</v>
      </c>
      <c r="K242" s="1532">
        <v>30</v>
      </c>
      <c r="L242" s="2540" t="s">
        <v>6926</v>
      </c>
      <c r="M242" s="1533">
        <v>28</v>
      </c>
      <c r="N242" s="1534">
        <v>220</v>
      </c>
      <c r="O242" s="1535">
        <v>30</v>
      </c>
      <c r="P242" s="2546" t="s">
        <v>6922</v>
      </c>
      <c r="Q242" s="1536">
        <v>28</v>
      </c>
      <c r="R242" s="3244"/>
      <c r="S242" s="3229"/>
      <c r="T242" s="3244"/>
      <c r="U242" s="3229"/>
      <c r="V242" s="3244"/>
      <c r="W242" s="3229"/>
      <c r="X242" s="270" t="n">
        <f>SUM('6층_부하량(월간_AVG)'!L275:N275)</f>
        <v>0.0</v>
      </c>
      <c r="Y242" s="270" t="n">
        <f>SUM('6층_부하량(월간_AVG)'!L305:N305)</f>
        <v>0.0</v>
      </c>
      <c r="Z242" s="2557" t="n">
        <f>SUM(X242:Y242)</f>
        <v>0.0</v>
      </c>
      <c r="AA242" s="2838" t="n" cm="1">
        <f t="array" ref="AA242">INDEX('각층분기별_유효전력량(전월)'!$I$2:$I$2017,MATCH(1,("6-DaHall 1-PDU-03"='각층분기별_유효전력량(전월)'!$G$2:$G$2017)*("[branch#028] [A] kWh last month"='각층분기별_유효전력량(전월)'!$H$2:$H$2017),0))</f>
        <v>172.9</v>
      </c>
      <c r="AB242" s="2989" t="n" cm="1">
        <f t="array" ref="AB242">INDEX('각층분기별_유효전력량(전월)'!$I$2:$I$2017,MATCH(1,("6-DaHall 1-PDU-04"='각층분기별_유효전력량(전월)'!$G$2:$G$2017)*("[branch#028] [A] kWh last month"='각층분기별_유효전력량(전월)'!$H$2:$H$2017),0))</f>
        <v>135.6</v>
      </c>
      <c r="AC242" s="2972" t="n">
        <f t="shared" ref="AC242:AC252" si="54">SUM(AA242:AB242)</f>
        <v>308.5</v>
      </c>
      <c r="AD242" s="2954"/>
    </row>
    <row r="243" spans="1:30" ht="27" x14ac:dyDescent="0.15">
      <c r="A243" s="2769" t="s">
        <v>258</v>
      </c>
      <c r="B243" s="2771" t="s">
        <v>2341</v>
      </c>
      <c r="C243" s="2765" t="s">
        <v>2318</v>
      </c>
      <c r="D243" s="2765" t="s">
        <v>2342</v>
      </c>
      <c r="E243" s="2765" t="s">
        <v>2343</v>
      </c>
      <c r="F243" s="2757" t="s">
        <v>2344</v>
      </c>
      <c r="G243" s="2752" t="s">
        <v>2345</v>
      </c>
      <c r="H243" s="2220" t="str">
        <f t="shared" si="52"/>
        <v>6-DaHall 1-PDU-03-30-30</v>
      </c>
      <c r="I243" s="2221" t="str">
        <f t="shared" si="53"/>
        <v>6-DaHall 1-PDU-04-30-30</v>
      </c>
      <c r="J243" s="1531">
        <v>220</v>
      </c>
      <c r="K243" s="1532">
        <v>30</v>
      </c>
      <c r="L243" s="2540" t="s">
        <v>6926</v>
      </c>
      <c r="M243" s="1533">
        <v>30</v>
      </c>
      <c r="N243" s="1534">
        <v>220</v>
      </c>
      <c r="O243" s="1535">
        <v>30</v>
      </c>
      <c r="P243" s="2546" t="s">
        <v>6922</v>
      </c>
      <c r="Q243" s="1536">
        <v>30</v>
      </c>
      <c r="R243" s="3244"/>
      <c r="S243" s="3229"/>
      <c r="T243" s="3244"/>
      <c r="U243" s="3229"/>
      <c r="V243" s="3244"/>
      <c r="W243" s="3229"/>
      <c r="X243" s="270" t="n">
        <f>SUM('6층_부하량(월간_AVG)'!L276:N276)</f>
        <v>0.0</v>
      </c>
      <c r="Y243" s="270" t="n">
        <f>SUM('6층_부하량(월간_AVG)'!L306:N306)</f>
        <v>0.0</v>
      </c>
      <c r="Z243" s="2557" t="n">
        <f>SUM(X243:Y243)</f>
        <v>0.0</v>
      </c>
      <c r="AA243" s="2838" t="n" cm="1">
        <f t="array" ref="AA243">INDEX('각층분기별_유효전력량(전월)'!$I$2:$I$2017,MATCH(1,("6-DaHall 1-PDU-03"='각층분기별_유효전력량(전월)'!$G$2:$G$2017)*("[branch#030] [A] kWh last month"='각층분기별_유효전력량(전월)'!$H$2:$H$2017),0))</f>
        <v>171.5</v>
      </c>
      <c r="AB243" s="2989" t="n" cm="1">
        <f t="array" ref="AB243">INDEX('각층분기별_유효전력량(전월)'!$I$2:$I$2017,MATCH(1,("6-DaHall 1-PDU-04"='각층분기별_유효전력량(전월)'!$G$2:$G$2017)*("[branch#030] [A] kWh last month"='각층분기별_유효전력량(전월)'!$H$2:$H$2017),0))</f>
        <v>143.5</v>
      </c>
      <c r="AC243" s="2972" t="n">
        <f t="shared" si="54"/>
        <v>315.0</v>
      </c>
      <c r="AD243" s="2954"/>
    </row>
    <row r="244" spans="1:30" ht="27" x14ac:dyDescent="0.15">
      <c r="A244" s="2769" t="s">
        <v>253</v>
      </c>
      <c r="B244" s="2765" t="s">
        <v>2346</v>
      </c>
      <c r="C244" s="2765"/>
      <c r="D244" s="2765" t="s">
        <v>2347</v>
      </c>
      <c r="E244" s="2765" t="s">
        <v>2348</v>
      </c>
      <c r="F244" s="2757" t="s">
        <v>2349</v>
      </c>
      <c r="G244" s="2752" t="s">
        <v>2350</v>
      </c>
      <c r="H244" s="2220" t="str">
        <f t="shared" si="52"/>
        <v>6-DaHall 1-PDU-03-30-32</v>
      </c>
      <c r="I244" s="2221" t="str">
        <f t="shared" si="53"/>
        <v>6-DaHall 1-PDU-04-30-32</v>
      </c>
      <c r="J244" s="1531">
        <v>220</v>
      </c>
      <c r="K244" s="1532">
        <v>30</v>
      </c>
      <c r="L244" s="2540" t="s">
        <v>6926</v>
      </c>
      <c r="M244" s="1533">
        <v>32</v>
      </c>
      <c r="N244" s="1534">
        <v>220</v>
      </c>
      <c r="O244" s="1535">
        <v>30</v>
      </c>
      <c r="P244" s="2546" t="s">
        <v>6922</v>
      </c>
      <c r="Q244" s="1536">
        <v>32</v>
      </c>
      <c r="R244" s="3244"/>
      <c r="S244" s="3229"/>
      <c r="T244" s="3244"/>
      <c r="U244" s="3229"/>
      <c r="V244" s="3244"/>
      <c r="W244" s="3229"/>
      <c r="X244" s="270" t="n">
        <f>SUM('6층_부하량(월간_AVG)'!L277:N277)</f>
        <v>0.0</v>
      </c>
      <c r="Y244" s="270" t="n">
        <f>SUM('6층_부하량(월간_AVG)'!L307:N307)</f>
        <v>0.0</v>
      </c>
      <c r="Z244" s="2557" t="n">
        <f>SUM(X244:Y244)</f>
        <v>0.0</v>
      </c>
      <c r="AA244" s="2838" t="n" cm="1">
        <f t="array" ref="AA244">INDEX('각층분기별_유효전력량(전월)'!$I$2:$I$2017,MATCH(1,("6-DaHall 1-PDU-03"='각층분기별_유효전력량(전월)'!$G$2:$G$2017)*("[branch#032] [A] kWh last month"='각층분기별_유효전력량(전월)'!$H$2:$H$2017),0))</f>
        <v>0.0</v>
      </c>
      <c r="AB244" s="2989" t="n" cm="1">
        <f t="array" ref="AB244">INDEX('각층분기별_유효전력량(전월)'!$I$2:$I$2017,MATCH(1,("6-DaHall 1-PDU-04"='각층분기별_유효전력량(전월)'!$G$2:$G$2017)*("[branch#032] [A] kWh last month"='각층분기별_유효전력량(전월)'!$H$2:$H$2017),0))</f>
        <v>0.0</v>
      </c>
      <c r="AC244" s="2972" t="n">
        <f t="shared" si="54"/>
        <v>0.0</v>
      </c>
      <c r="AD244" s="2954"/>
    </row>
    <row r="245" spans="1:30" ht="27" x14ac:dyDescent="0.15">
      <c r="A245" s="2769" t="s">
        <v>248</v>
      </c>
      <c r="B245" s="2765" t="s">
        <v>2351</v>
      </c>
      <c r="C245" s="2765"/>
      <c r="D245" s="2765" t="s">
        <v>2352</v>
      </c>
      <c r="E245" s="2765" t="s">
        <v>2353</v>
      </c>
      <c r="F245" s="2757" t="s">
        <v>2354</v>
      </c>
      <c r="G245" s="2752" t="s">
        <v>2355</v>
      </c>
      <c r="H245" s="2220" t="str">
        <f t="shared" si="52"/>
        <v>6-DaHall 1-PDU-03-30-34</v>
      </c>
      <c r="I245" s="2221" t="str">
        <f t="shared" si="53"/>
        <v>6-DaHall 1-PDU-04-30-34</v>
      </c>
      <c r="J245" s="1531">
        <v>220</v>
      </c>
      <c r="K245" s="1532">
        <v>30</v>
      </c>
      <c r="L245" s="2540" t="s">
        <v>6926</v>
      </c>
      <c r="M245" s="1533">
        <v>34</v>
      </c>
      <c r="N245" s="1534">
        <v>220</v>
      </c>
      <c r="O245" s="1535">
        <v>30</v>
      </c>
      <c r="P245" s="2546" t="s">
        <v>6922</v>
      </c>
      <c r="Q245" s="1536">
        <v>34</v>
      </c>
      <c r="R245" s="3244"/>
      <c r="S245" s="3229"/>
      <c r="T245" s="3244"/>
      <c r="U245" s="3229"/>
      <c r="V245" s="3244"/>
      <c r="W245" s="3229"/>
      <c r="X245" s="270" t="n">
        <f>SUM('6층_부하량(월간_AVG)'!L278:N278)</f>
        <v>0.0</v>
      </c>
      <c r="Y245" s="270" t="n">
        <f>SUM('6층_부하량(월간_AVG)'!L308:N308)</f>
        <v>0.0</v>
      </c>
      <c r="Z245" s="2557" t="n">
        <f>SUM(X245:Y245)</f>
        <v>0.0</v>
      </c>
      <c r="AA245" s="2838" t="n" cm="1">
        <f t="array" ref="AA245">INDEX('각층분기별_유효전력량(전월)'!$I$2:$I$2017,MATCH(1,("6-DaHall 1-PDU-03"='각층분기별_유효전력량(전월)'!$G$2:$G$2017)*("[branch#034] [A] kWh last month"='각층분기별_유효전력량(전월)'!$H$2:$H$2017),0))</f>
        <v>0.0</v>
      </c>
      <c r="AB245" s="2989" t="n" cm="1">
        <f t="array" ref="AB245">INDEX('각층분기별_유효전력량(전월)'!$I$2:$I$2017,MATCH(1,("6-DaHall 1-PDU-04"='각층분기별_유효전력량(전월)'!$G$2:$G$2017)*("[branch#034] [A] kWh last month"='각층분기별_유효전력량(전월)'!$H$2:$H$2017),0))</f>
        <v>0.0</v>
      </c>
      <c r="AC245" s="2972" t="n">
        <f t="shared" si="54"/>
        <v>0.0</v>
      </c>
      <c r="AD245" s="2954"/>
    </row>
    <row r="246" spans="1:30" ht="27.75" customHeight="1" thickBot="1" x14ac:dyDescent="0.2">
      <c r="A246" s="2779" t="s">
        <v>239</v>
      </c>
      <c r="B246" s="2792" t="s">
        <v>2356</v>
      </c>
      <c r="C246" s="2780" t="s">
        <v>2357</v>
      </c>
      <c r="D246" s="2780" t="s">
        <v>2358</v>
      </c>
      <c r="E246" s="2780" t="s">
        <v>2359</v>
      </c>
      <c r="F246" s="2759" t="s">
        <v>2360</v>
      </c>
      <c r="G246" s="2753" t="s">
        <v>2361</v>
      </c>
      <c r="H246" s="2222" t="str">
        <f t="shared" si="52"/>
        <v>6-DaHall 1-PDU-03-30-36</v>
      </c>
      <c r="I246" s="2223" t="str">
        <f t="shared" si="53"/>
        <v>6-DaHall 1-PDU-04-30-36</v>
      </c>
      <c r="J246" s="1539">
        <v>220</v>
      </c>
      <c r="K246" s="1540">
        <v>30</v>
      </c>
      <c r="L246" s="2543" t="s">
        <v>6926</v>
      </c>
      <c r="M246" s="1541">
        <v>36</v>
      </c>
      <c r="N246" s="1542">
        <v>220</v>
      </c>
      <c r="O246" s="1543">
        <v>30</v>
      </c>
      <c r="P246" s="2549" t="s">
        <v>6922</v>
      </c>
      <c r="Q246" s="1544">
        <v>36</v>
      </c>
      <c r="R246" s="3240"/>
      <c r="S246" s="3228"/>
      <c r="T246" s="3240"/>
      <c r="U246" s="3228"/>
      <c r="V246" s="3240"/>
      <c r="W246" s="3228"/>
      <c r="X246" s="335" t="n">
        <f>SUM('6층_부하량(월간_AVG)'!L279:N279)</f>
        <v>0.0</v>
      </c>
      <c r="Y246" s="335" t="n">
        <f>SUM('6층_부하량(월간_AVG)'!L309:N309)</f>
        <v>0.0</v>
      </c>
      <c r="Z246" s="2558" t="n">
        <f t="shared" ref="Z246" si="55">SUM(X246:Y246)</f>
        <v>0.0</v>
      </c>
      <c r="AA246" s="2838" t="n" cm="1">
        <f t="array" ref="AA246">INDEX('각층분기별_유효전력량(전월)'!$I$2:$I$2017,MATCH(1,("6-DaHall 1-PDU-03"='각층분기별_유효전력량(전월)'!$G$2:$G$2017)*("[branch#036] [A] kWh last month"='각층분기별_유효전력량(전월)'!$H$2:$H$2017),0))</f>
        <v>47.8</v>
      </c>
      <c r="AB246" s="2989" t="n" cm="1">
        <f t="array" ref="AB246">INDEX('각층분기별_유효전력량(전월)'!$I$2:$I$2017,MATCH(1,("6-DaHall 1-PDU-04"='각층분기별_유효전력량(전월)'!$G$2:$G$2017)*("[branch#036] [A] kWh last month"='각층분기별_유효전력량(전월)'!$H$2:$H$2017),0))</f>
        <v>216.5</v>
      </c>
      <c r="AC246" s="2977" t="n">
        <f t="shared" si="54"/>
        <v>264.3</v>
      </c>
      <c r="AD246" s="2958"/>
    </row>
    <row r="247" spans="1:30" ht="14.25" thickTop="1" x14ac:dyDescent="0.15">
      <c r="A247" s="1106"/>
      <c r="B247" s="834" t="s">
        <v>2362</v>
      </c>
      <c r="C247" s="834"/>
      <c r="D247" s="834"/>
      <c r="E247" s="834"/>
      <c r="F247" s="902"/>
      <c r="G247" s="903"/>
      <c r="H247" s="2218"/>
      <c r="I247" s="2219"/>
      <c r="J247" s="1523"/>
      <c r="K247" s="1524"/>
      <c r="L247" s="902"/>
      <c r="M247" s="1525"/>
      <c r="N247" s="1526"/>
      <c r="O247" s="1527"/>
      <c r="P247" s="903"/>
      <c r="Q247" s="1528"/>
      <c r="R247" s="835"/>
      <c r="S247" s="836"/>
      <c r="T247" s="835"/>
      <c r="U247" s="836"/>
      <c r="V247" s="835"/>
      <c r="W247" s="836"/>
      <c r="X247" s="837"/>
      <c r="Y247" s="837"/>
      <c r="Z247" s="2562" t="n">
        <f t="shared" ref="Z247:Z252" si="56">SUM(X247:Y247)</f>
        <v>0.0</v>
      </c>
      <c r="AA247" s="2969"/>
      <c r="AB247" s="2970"/>
      <c r="AC247" s="2978" t="n">
        <f t="shared" si="54"/>
        <v>0.0</v>
      </c>
      <c r="AD247" s="2971" t="s">
        <v>1579</v>
      </c>
    </row>
    <row r="248" spans="1:30" x14ac:dyDescent="0.15">
      <c r="A248" s="2769" t="s">
        <v>2363</v>
      </c>
      <c r="B248" s="2834" t="s">
        <v>2364</v>
      </c>
      <c r="C248" s="2834"/>
      <c r="D248" s="2834"/>
      <c r="E248" s="2834"/>
      <c r="F248" s="2829"/>
      <c r="G248" s="2812"/>
      <c r="H248" s="2229"/>
      <c r="I248" s="2230"/>
      <c r="J248" s="1560"/>
      <c r="K248" s="1561"/>
      <c r="L248" s="2829"/>
      <c r="M248" s="1562"/>
      <c r="N248" s="1563"/>
      <c r="O248" s="1564"/>
      <c r="P248" s="2812"/>
      <c r="Q248" s="1565"/>
      <c r="R248" s="838"/>
      <c r="S248" s="839"/>
      <c r="T248" s="838"/>
      <c r="U248" s="839"/>
      <c r="V248" s="838"/>
      <c r="W248" s="839"/>
      <c r="X248" s="840"/>
      <c r="Y248" s="840"/>
      <c r="Z248" s="2564" t="n">
        <f t="shared" si="56"/>
        <v>0.0</v>
      </c>
      <c r="AA248" s="2840"/>
      <c r="AB248" s="2992"/>
      <c r="AC248" s="2990" t="n">
        <f t="shared" si="54"/>
        <v>0.0</v>
      </c>
      <c r="AD248" s="2991" t="s">
        <v>1579</v>
      </c>
    </row>
    <row r="249" spans="1:30" ht="27" x14ac:dyDescent="0.15">
      <c r="A249" s="2769" t="s">
        <v>2365</v>
      </c>
      <c r="B249" s="2771" t="s">
        <v>2366</v>
      </c>
      <c r="C249" s="2765" t="s">
        <v>2367</v>
      </c>
      <c r="D249" s="2765" t="s">
        <v>2368</v>
      </c>
      <c r="E249" s="2765" t="s">
        <v>2369</v>
      </c>
      <c r="F249" s="2757" t="s">
        <v>2370</v>
      </c>
      <c r="G249" s="2752" t="s">
        <v>2371</v>
      </c>
      <c r="H249" s="2220" t="str">
        <f t="shared" ref="H249:H258" si="57">"6-DaHall 1-PDU-"&amp;L249&amp;"-"&amp;K249&amp;"-"&amp;M249</f>
        <v>6-DaHall 1-PDU-03-30-40</v>
      </c>
      <c r="I249" s="2221" t="str">
        <f t="shared" ref="I249:I258" si="58">"6-DaHall 1-PDU-"&amp;P249&amp;"-"&amp;O249&amp;"-"&amp;Q249</f>
        <v>6-DaHall 1-PDU-04-30-40</v>
      </c>
      <c r="J249" s="1531">
        <v>220</v>
      </c>
      <c r="K249" s="1532">
        <v>30</v>
      </c>
      <c r="L249" s="2540" t="s">
        <v>6926</v>
      </c>
      <c r="M249" s="1533">
        <v>40</v>
      </c>
      <c r="N249" s="1534">
        <v>220</v>
      </c>
      <c r="O249" s="1535">
        <v>30</v>
      </c>
      <c r="P249" s="2546" t="s">
        <v>6922</v>
      </c>
      <c r="Q249" s="1536">
        <v>40</v>
      </c>
      <c r="R249" s="3239" t="s">
        <v>2248</v>
      </c>
      <c r="S249" s="3227" t="s">
        <v>2372</v>
      </c>
      <c r="T249" s="3239" t="s">
        <v>2373</v>
      </c>
      <c r="U249" s="3227" t="s">
        <v>2374</v>
      </c>
      <c r="V249" s="3239" t="s">
        <v>1590</v>
      </c>
      <c r="W249" s="3227" t="s">
        <v>1591</v>
      </c>
      <c r="X249" s="255" t="n">
        <f>SUM('6층_부하량(월간_AVG)'!L281:N281)</f>
        <v>0.0</v>
      </c>
      <c r="Y249" s="255" t="n">
        <f>SUM('6층_부하량(월간_AVG)'!L311:N311)</f>
        <v>0.0</v>
      </c>
      <c r="Z249" s="2557" t="n">
        <f t="shared" si="56"/>
        <v>0.0</v>
      </c>
      <c r="AA249" s="2838" t="n" cm="1">
        <f t="array" ref="AA249">INDEX('각층분기별_유효전력량(전월)'!$I$2:$I$2017,MATCH(1,("6-DaHall 1-PDU-03"='각층분기별_유효전력량(전월)'!$G$2:$G$2017)*("[branch#040] [A] kWh last month"='각층분기별_유효전력량(전월)'!$H$2:$H$2017),0))</f>
        <v>280.4</v>
      </c>
      <c r="AB249" s="2989" t="n" cm="1">
        <f t="array" ref="AB249">INDEX('각층분기별_유효전력량(전월)'!$I$2:$I$2017,MATCH(1,("6-DaHall 1-PDU-04"='각층분기별_유효전력량(전월)'!$G$2:$G$2017)*("[branch#040] [A] kWh last month"='각층분기별_유효전력량(전월)'!$H$2:$H$2017),0))</f>
        <v>526.0</v>
      </c>
      <c r="AC249" s="2972" t="n">
        <f t="shared" si="54"/>
        <v>806.4</v>
      </c>
      <c r="AD249" s="2954"/>
    </row>
    <row r="250" spans="1:30" ht="27" x14ac:dyDescent="0.15">
      <c r="A250" s="2769" t="s">
        <v>2375</v>
      </c>
      <c r="B250" s="2771" t="s">
        <v>2376</v>
      </c>
      <c r="C250" s="2765" t="s">
        <v>2367</v>
      </c>
      <c r="D250" s="2765" t="s">
        <v>2377</v>
      </c>
      <c r="E250" s="2765" t="s">
        <v>2378</v>
      </c>
      <c r="F250" s="2757" t="s">
        <v>2379</v>
      </c>
      <c r="G250" s="2752" t="s">
        <v>2380</v>
      </c>
      <c r="H250" s="2220" t="str">
        <f t="shared" si="57"/>
        <v>6-DaHall 1-PDU-03-30-42</v>
      </c>
      <c r="I250" s="2221" t="str">
        <f t="shared" si="58"/>
        <v>6-DaHall 1-PDU-04-30-42</v>
      </c>
      <c r="J250" s="1531">
        <v>220</v>
      </c>
      <c r="K250" s="1532">
        <v>30</v>
      </c>
      <c r="L250" s="2540" t="s">
        <v>6926</v>
      </c>
      <c r="M250" s="1533">
        <v>42</v>
      </c>
      <c r="N250" s="1534">
        <v>220</v>
      </c>
      <c r="O250" s="1535">
        <v>30</v>
      </c>
      <c r="P250" s="2546" t="s">
        <v>6922</v>
      </c>
      <c r="Q250" s="1536">
        <v>42</v>
      </c>
      <c r="R250" s="3244"/>
      <c r="S250" s="3229"/>
      <c r="T250" s="3244"/>
      <c r="U250" s="3229"/>
      <c r="V250" s="3244"/>
      <c r="W250" s="3229"/>
      <c r="X250" s="255" t="n">
        <f>SUM('6층_부하량(월간_AVG)'!L282:N282)</f>
        <v>0.0</v>
      </c>
      <c r="Y250" s="255" t="n">
        <f>SUM('6층_부하량(월간_AVG)'!L312:N312)</f>
        <v>0.0</v>
      </c>
      <c r="Z250" s="2557" t="n">
        <f t="shared" si="56"/>
        <v>0.0</v>
      </c>
      <c r="AA250" s="2838" t="n" cm="1">
        <f t="array" ref="AA250">INDEX('각층분기별_유효전력량(전월)'!$I$2:$I$2017,MATCH(1,("6-DaHall 1-PDU-03"='각층분기별_유효전력량(전월)'!$G$2:$G$2017)*("[branch#042] [A] kWh last month"='각층분기별_유효전력량(전월)'!$H$2:$H$2017),0))</f>
        <v>40.4</v>
      </c>
      <c r="AB250" s="2989" t="n" cm="1">
        <f t="array" ref="AB250">INDEX('각층분기별_유효전력량(전월)'!$I$2:$I$2017,MATCH(1,("6-DaHall 1-PDU-04"='각층분기별_유효전력량(전월)'!$G$2:$G$2017)*("[branch#042] [A] kWh last month"='각층분기별_유효전력량(전월)'!$H$2:$H$2017),0))</f>
        <v>61.7</v>
      </c>
      <c r="AC250" s="2972" t="n">
        <f t="shared" si="54"/>
        <v>102.1</v>
      </c>
      <c r="AD250" s="2954"/>
    </row>
    <row r="251" spans="1:30" ht="27" x14ac:dyDescent="0.15">
      <c r="A251" s="2769" t="s">
        <v>2381</v>
      </c>
      <c r="B251" s="2771" t="s">
        <v>2382</v>
      </c>
      <c r="C251" s="2765" t="s">
        <v>2367</v>
      </c>
      <c r="D251" s="2765" t="s">
        <v>2383</v>
      </c>
      <c r="E251" s="2765" t="s">
        <v>2384</v>
      </c>
      <c r="F251" s="2757" t="s">
        <v>2385</v>
      </c>
      <c r="G251" s="2752" t="s">
        <v>2386</v>
      </c>
      <c r="H251" s="2220" t="str">
        <f t="shared" si="57"/>
        <v>6-DaHall 1-PDU-03-30-44</v>
      </c>
      <c r="I251" s="2221" t="str">
        <f t="shared" si="58"/>
        <v>6-DaHall 1-PDU-04-30-44</v>
      </c>
      <c r="J251" s="1531">
        <v>220</v>
      </c>
      <c r="K251" s="1532">
        <v>30</v>
      </c>
      <c r="L251" s="2540" t="s">
        <v>6926</v>
      </c>
      <c r="M251" s="1533">
        <v>44</v>
      </c>
      <c r="N251" s="1534">
        <v>220</v>
      </c>
      <c r="O251" s="1535">
        <v>30</v>
      </c>
      <c r="P251" s="2546" t="s">
        <v>6922</v>
      </c>
      <c r="Q251" s="1536">
        <v>44</v>
      </c>
      <c r="R251" s="3244"/>
      <c r="S251" s="3229"/>
      <c r="T251" s="3244"/>
      <c r="U251" s="3229"/>
      <c r="V251" s="3244"/>
      <c r="W251" s="3229"/>
      <c r="X251" s="255" t="n">
        <f>SUM('6층_부하량(월간_AVG)'!L283:N283)</f>
        <v>0.0</v>
      </c>
      <c r="Y251" s="255" t="n">
        <f>SUM('6층_부하량(월간_AVG)'!L313:N313)</f>
        <v>0.0</v>
      </c>
      <c r="Z251" s="2557" t="n">
        <f t="shared" si="56"/>
        <v>0.0</v>
      </c>
      <c r="AA251" s="2838" t="n" cm="1">
        <f t="array" ref="AA251">INDEX('각층분기별_유효전력량(전월)'!$I$2:$I$2017,MATCH(1,("6-DaHall 1-PDU-03"='각층분기별_유효전력량(전월)'!$G$2:$G$2017)*("[branch#044] [A] kWh last month"='각층분기별_유효전력량(전월)'!$H$2:$H$2017),0))</f>
        <v>64.7</v>
      </c>
      <c r="AB251" s="2989" t="n" cm="1">
        <f t="array" ref="AB251">INDEX('각층분기별_유효전력량(전월)'!$I$2:$I$2017,MATCH(1,("6-DaHall 1-PDU-04"='각층분기별_유효전력량(전월)'!$G$2:$G$2017)*("[branch#044] [A] kWh last month"='각층분기별_유효전력량(전월)'!$H$2:$H$2017),0))</f>
        <v>189.1</v>
      </c>
      <c r="AC251" s="2972" t="n">
        <f t="shared" si="54"/>
        <v>253.8</v>
      </c>
      <c r="AD251" s="2954"/>
    </row>
    <row r="252" spans="1:30" ht="27" x14ac:dyDescent="0.15">
      <c r="A252" s="2769" t="s">
        <v>2387</v>
      </c>
      <c r="B252" s="2771" t="s">
        <v>2388</v>
      </c>
      <c r="C252" s="2765" t="s">
        <v>2367</v>
      </c>
      <c r="D252" s="2765" t="s">
        <v>2389</v>
      </c>
      <c r="E252" s="2765" t="s">
        <v>2390</v>
      </c>
      <c r="F252" s="2757" t="s">
        <v>2391</v>
      </c>
      <c r="G252" s="2752" t="s">
        <v>2392</v>
      </c>
      <c r="H252" s="2220" t="str">
        <f t="shared" si="57"/>
        <v>6-DaHall 1-PDU-03-30-46</v>
      </c>
      <c r="I252" s="2221" t="str">
        <f t="shared" si="58"/>
        <v>6-DaHall 1-PDU-04-30-46</v>
      </c>
      <c r="J252" s="1531">
        <v>220</v>
      </c>
      <c r="K252" s="1532">
        <v>30</v>
      </c>
      <c r="L252" s="2540" t="s">
        <v>6926</v>
      </c>
      <c r="M252" s="1533">
        <v>46</v>
      </c>
      <c r="N252" s="1534">
        <v>220</v>
      </c>
      <c r="O252" s="1535">
        <v>30</v>
      </c>
      <c r="P252" s="2546" t="s">
        <v>6922</v>
      </c>
      <c r="Q252" s="1536">
        <v>46</v>
      </c>
      <c r="R252" s="3244"/>
      <c r="S252" s="3229"/>
      <c r="T252" s="3244"/>
      <c r="U252" s="3229"/>
      <c r="V252" s="3244"/>
      <c r="W252" s="3229"/>
      <c r="X252" s="255" t="n">
        <f>SUM('6층_부하량(월간_AVG)'!L284:N284)</f>
        <v>0.0</v>
      </c>
      <c r="Y252" s="255" t="n">
        <f>SUM('6층_부하량(월간_AVG)'!L314:N314)</f>
        <v>0.0</v>
      </c>
      <c r="Z252" s="2557" t="n">
        <f t="shared" si="56"/>
        <v>0.0</v>
      </c>
      <c r="AA252" s="2838" t="n" cm="1">
        <f t="array" ref="AA252">INDEX('각층분기별_유효전력량(전월)'!$I$2:$I$2017,MATCH(1,("6-DaHall 1-PDU-03"='각층분기별_유효전력량(전월)'!$G$2:$G$2017)*("[branch#046] [A] kWh last month"='각층분기별_유효전력량(전월)'!$H$2:$H$2017),0))</f>
        <v>40.4</v>
      </c>
      <c r="AB252" s="2989" t="n" cm="1">
        <f t="array" ref="AB252">INDEX('각층분기별_유효전력량(전월)'!$I$2:$I$2017,MATCH(1,("6-DaHall 1-PDU-04"='각층분기별_유효전력량(전월)'!$G$2:$G$2017)*("[branch#046] [A] kWh last month"='각층분기별_유효전력량(전월)'!$H$2:$H$2017),0))</f>
        <v>81.0</v>
      </c>
      <c r="AC252" s="2972" t="n">
        <f t="shared" si="54"/>
        <v>121.4</v>
      </c>
      <c r="AD252" s="2954"/>
    </row>
    <row r="253" spans="1:30" ht="27" customHeight="1" x14ac:dyDescent="0.15">
      <c r="A253" s="3279" t="s">
        <v>2393</v>
      </c>
      <c r="B253" s="3246" t="s">
        <v>2394</v>
      </c>
      <c r="C253" s="3246"/>
      <c r="D253" s="2765" t="s">
        <v>2395</v>
      </c>
      <c r="E253" s="2765" t="s">
        <v>2396</v>
      </c>
      <c r="F253" s="2757" t="s">
        <v>2397</v>
      </c>
      <c r="G253" s="2752" t="s">
        <v>2398</v>
      </c>
      <c r="H253" s="2220" t="str">
        <f t="shared" si="57"/>
        <v>6-DaHall 1-PDU-03-30-48</v>
      </c>
      <c r="I253" s="2221" t="str">
        <f t="shared" si="58"/>
        <v>6-DaHall 1-PDU-04-30-48</v>
      </c>
      <c r="J253" s="1531">
        <v>220</v>
      </c>
      <c r="K253" s="1532">
        <v>30</v>
      </c>
      <c r="L253" s="2540" t="s">
        <v>6926</v>
      </c>
      <c r="M253" s="1533">
        <v>48</v>
      </c>
      <c r="N253" s="1534">
        <v>220</v>
      </c>
      <c r="O253" s="1535">
        <v>30</v>
      </c>
      <c r="P253" s="2546" t="s">
        <v>6922</v>
      </c>
      <c r="Q253" s="1536">
        <v>48</v>
      </c>
      <c r="R253" s="3234"/>
      <c r="S253" s="3243"/>
      <c r="T253" s="3234"/>
      <c r="U253" s="3243"/>
      <c r="V253" s="3244"/>
      <c r="W253" s="3229"/>
      <c r="X253" s="255" t="n">
        <f>SUM('6층_부하량(월간_AVG)'!L285:N285)</f>
        <v>0.0</v>
      </c>
      <c r="Y253" s="255" t="n">
        <f>SUM('6층_부하량(월간_AVG)'!L315:N315)</f>
        <v>0.0</v>
      </c>
      <c r="Z253" s="3249" t="n">
        <f>SUM(X253:Y254)</f>
        <v>0.0</v>
      </c>
      <c r="AA253" s="2838" t="n" cm="1">
        <f t="array" ref="AA253">INDEX('각층분기별_유효전력량(전월)'!$I$2:$I$2017,MATCH(1,("6-DaHall 1-PDU-03"='각층분기별_유효전력량(전월)'!$G$2:$G$2017)*("[branch#048] [A] kWh last month"='각층분기별_유효전력량(전월)'!$H$2:$H$2017),0))</f>
        <v>0.0</v>
      </c>
      <c r="AB253" s="2989" t="n" cm="1">
        <f t="array" ref="AB253">INDEX('각층분기별_유효전력량(전월)'!$I$2:$I$2017,MATCH(1,("6-DaHall 1-PDU-04"='각층분기별_유효전력량(전월)'!$G$2:$G$2017)*("[branch#048] [A] kWh last month"='각층분기별_유효전력량(전월)'!$H$2:$H$2017),0))</f>
        <v>81.0</v>
      </c>
      <c r="AC253" s="3208" t="n">
        <f>SUM(AA253:AB254)</f>
        <v>81.0</v>
      </c>
      <c r="AD253" s="2954"/>
    </row>
    <row r="254" spans="1:30" ht="40.5" customHeight="1" x14ac:dyDescent="0.15">
      <c r="A254" s="3279"/>
      <c r="B254" s="3246"/>
      <c r="C254" s="3246"/>
      <c r="D254" s="2765" t="s">
        <v>2399</v>
      </c>
      <c r="E254" s="2765" t="s">
        <v>2400</v>
      </c>
      <c r="F254" s="2757" t="s">
        <v>2401</v>
      </c>
      <c r="G254" s="2752" t="s">
        <v>2402</v>
      </c>
      <c r="H254" s="2220" t="str">
        <f t="shared" si="57"/>
        <v>6-DaHall 1-PDU-07-30-45</v>
      </c>
      <c r="I254" s="2221" t="str">
        <f t="shared" si="58"/>
        <v>6-DaHall 1-PDU-08-30-47</v>
      </c>
      <c r="J254" s="1531">
        <v>220</v>
      </c>
      <c r="K254" s="1532">
        <v>30</v>
      </c>
      <c r="L254" s="2540" t="s">
        <v>6919</v>
      </c>
      <c r="M254" s="1533">
        <v>45</v>
      </c>
      <c r="N254" s="1534">
        <v>220</v>
      </c>
      <c r="O254" s="1535">
        <v>30</v>
      </c>
      <c r="P254" s="2546" t="s">
        <v>6931</v>
      </c>
      <c r="Q254" s="1536">
        <v>47</v>
      </c>
      <c r="R254" s="2757" t="s">
        <v>2403</v>
      </c>
      <c r="S254" s="2752" t="s">
        <v>2404</v>
      </c>
      <c r="T254" s="2757" t="s">
        <v>2405</v>
      </c>
      <c r="U254" s="2752" t="s">
        <v>2406</v>
      </c>
      <c r="V254" s="3244"/>
      <c r="W254" s="3229"/>
      <c r="X254" s="255" t="n">
        <f>SUM('6층_부하량(월간_AVG)'!D408:F408)</f>
        <v>0.0</v>
      </c>
      <c r="Y254" s="255" t="n">
        <f>SUM('6층_부하량(월간_AVG)'!D441:F441)</f>
        <v>0.0</v>
      </c>
      <c r="Z254" s="3249"/>
      <c r="AA254" s="2838" t="n" cm="1">
        <f t="array" ref="AA254">INDEX('각층분기별_유효전력량(전월)'!$I$2:$I$2017,MATCH(1,("6-DaHall 1-PDU-07"='각층분기별_유효전력량(전월)'!$G$2:$G$2017)*("[branch#045] [A] kWh last month"='각층분기별_유효전력량(전월)'!$H$2:$H$2017),0))</f>
        <v>0.0</v>
      </c>
      <c r="AB254" s="2989" t="n" cm="1">
        <f t="array" ref="AB254">INDEX('각층분기별_유효전력량(전월)'!$I$2:$I$2017,MATCH(1,("6-DaHall 1-PDU-08"='각층분기별_유효전력량(전월)'!$G$2:$G$2017)*("[branch#047] [A] kWh last month"='각층분기별_유효전력량(전월)'!$H$2:$H$2017),0))</f>
        <v>0.0</v>
      </c>
      <c r="AC254" s="3209"/>
      <c r="AD254" s="2954"/>
    </row>
    <row r="255" spans="1:30" ht="40.5" x14ac:dyDescent="0.15">
      <c r="A255" s="3279" t="s">
        <v>2407</v>
      </c>
      <c r="B255" s="3246" t="s">
        <v>2408</v>
      </c>
      <c r="C255" s="3246"/>
      <c r="D255" s="2763" t="s">
        <v>2409</v>
      </c>
      <c r="E255" s="2763" t="s">
        <v>2410</v>
      </c>
      <c r="F255" s="2757" t="s">
        <v>2411</v>
      </c>
      <c r="G255" s="2752" t="s">
        <v>2412</v>
      </c>
      <c r="H255" s="2220" t="str">
        <f t="shared" si="57"/>
        <v>6-DaHall 1-PDU-05-30-1</v>
      </c>
      <c r="I255" s="2221" t="str">
        <f t="shared" si="58"/>
        <v>6-DaHall 1-PDU-06-30-1</v>
      </c>
      <c r="J255" s="1531">
        <v>220</v>
      </c>
      <c r="K255" s="1532">
        <v>30</v>
      </c>
      <c r="L255" s="2540" t="s">
        <v>6918</v>
      </c>
      <c r="M255" s="1533">
        <v>1</v>
      </c>
      <c r="N255" s="1534">
        <v>220</v>
      </c>
      <c r="O255" s="1535">
        <v>30</v>
      </c>
      <c r="P255" s="2546" t="s">
        <v>6928</v>
      </c>
      <c r="Q255" s="1536">
        <v>1</v>
      </c>
      <c r="R255" s="2757" t="s">
        <v>2197</v>
      </c>
      <c r="S255" s="2752" t="s">
        <v>2198</v>
      </c>
      <c r="T255" s="2757" t="s">
        <v>2199</v>
      </c>
      <c r="U255" s="2752" t="s">
        <v>2200</v>
      </c>
      <c r="V255" s="3244"/>
      <c r="W255" s="3229"/>
      <c r="X255" s="255" t="n">
        <f>SUM('6층_부하량(월간_AVG)'!D322:F322)</f>
        <v>0.0</v>
      </c>
      <c r="Y255" s="255" t="n">
        <f>SUM('6층_부하량(월간_AVG)'!D354:F354)</f>
        <v>0.0</v>
      </c>
      <c r="Z255" s="3249" t="n">
        <f>SUM(X255:Y256)</f>
        <v>0.0</v>
      </c>
      <c r="AA255" s="2838" t="n" cm="1">
        <f t="array" ref="AA255">INDEX('각층분기별_유효전력량(전월)'!$I$2:$I$2017,MATCH(1,("6-DaHall 1-PDU-05"='각층분기별_유효전력량(전월)'!$G$2:$G$2017)*("[branch#001] [A] kWh last month"='각층분기별_유효전력량(전월)'!$H$2:$H$2017),0))</f>
        <v>0.0</v>
      </c>
      <c r="AB255" s="2989" t="n" cm="1">
        <f t="array" ref="AB255">INDEX('각층분기별_유효전력량(전월)'!$I$2:$I$2017,MATCH(1,("6-DaHall 1-PDU-06"='각층분기별_유효전력량(전월)'!$G$2:$G$2017)*("[branch#001] [A] kWh last month"='각층분기별_유효전력량(전월)'!$H$2:$H$2017),0))</f>
        <v>0.0</v>
      </c>
      <c r="AC255" s="3208" t="n">
        <f t="shared" ref="AC255" si="59">SUM(AA255:AB256)</f>
        <v>0.0</v>
      </c>
      <c r="AD255" s="2955"/>
    </row>
    <row r="256" spans="1:30" ht="40.5" x14ac:dyDescent="0.15">
      <c r="A256" s="3279"/>
      <c r="B256" s="3246"/>
      <c r="C256" s="3246"/>
      <c r="D256" s="2765" t="s">
        <v>2413</v>
      </c>
      <c r="E256" s="2765" t="s">
        <v>2414</v>
      </c>
      <c r="F256" s="2757" t="s">
        <v>2415</v>
      </c>
      <c r="G256" s="2752" t="s">
        <v>2416</v>
      </c>
      <c r="H256" s="2220" t="str">
        <f t="shared" si="57"/>
        <v>6-DaHall 1-PDU-07-30-43</v>
      </c>
      <c r="I256" s="2221" t="str">
        <f t="shared" si="58"/>
        <v>6-DaHall 1-PDU-08-30-45</v>
      </c>
      <c r="J256" s="1531">
        <v>220</v>
      </c>
      <c r="K256" s="1532">
        <v>30</v>
      </c>
      <c r="L256" s="2540" t="s">
        <v>6919</v>
      </c>
      <c r="M256" s="1533">
        <v>43</v>
      </c>
      <c r="N256" s="1534">
        <v>220</v>
      </c>
      <c r="O256" s="1535">
        <v>30</v>
      </c>
      <c r="P256" s="2546" t="s">
        <v>6931</v>
      </c>
      <c r="Q256" s="1536">
        <v>45</v>
      </c>
      <c r="R256" s="2757" t="s">
        <v>2403</v>
      </c>
      <c r="S256" s="2752" t="s">
        <v>2404</v>
      </c>
      <c r="T256" s="2757" t="s">
        <v>2405</v>
      </c>
      <c r="U256" s="2752" t="s">
        <v>2406</v>
      </c>
      <c r="V256" s="3244"/>
      <c r="W256" s="3229"/>
      <c r="X256" s="255" t="n">
        <f>SUM('6층_부하량(월간_AVG)'!D407:F407)</f>
        <v>0.0</v>
      </c>
      <c r="Y256" s="255" t="n">
        <f>SUM('6층_부하량(월간_AVG)'!D440:F440)</f>
        <v>0.0</v>
      </c>
      <c r="Z256" s="3249"/>
      <c r="AA256" s="2838" t="n" cm="1">
        <f t="array" ref="AA256">INDEX('각층분기별_유효전력량(전월)'!$I$2:$I$2017,MATCH(1,("6-DaHall 1-PDU-07"='각층분기별_유효전력량(전월)'!$G$2:$G$2017)*("[branch#043] [A] kWh last month"='각층분기별_유효전력량(전월)'!$H$2:$H$2017),0))</f>
        <v>0.0</v>
      </c>
      <c r="AB256" s="2989" t="n" cm="1">
        <f t="array" ref="AB256">INDEX('각층분기별_유효전력량(전월)'!$I$2:$I$2017,MATCH(1,("6-DaHall 1-PDU-08"='각층분기별_유효전력량(전월)'!$G$2:$G$2017)*("[branch#045] [A] kWh last month"='각층분기별_유효전력량(전월)'!$H$2:$H$2017),0))</f>
        <v>0.0</v>
      </c>
      <c r="AC256" s="3209"/>
      <c r="AD256" s="2955"/>
    </row>
    <row r="257" spans="1:30" ht="40.5" x14ac:dyDescent="0.15">
      <c r="A257" s="3279" t="s">
        <v>2417</v>
      </c>
      <c r="B257" s="3246" t="s">
        <v>2418</v>
      </c>
      <c r="C257" s="3246"/>
      <c r="D257" s="2763" t="s">
        <v>2419</v>
      </c>
      <c r="E257" s="2763" t="s">
        <v>2420</v>
      </c>
      <c r="F257" s="2757" t="s">
        <v>2421</v>
      </c>
      <c r="G257" s="2752" t="s">
        <v>2422</v>
      </c>
      <c r="H257" s="2220" t="str">
        <f t="shared" si="57"/>
        <v>6-DaHall 1-PDU-05-30-3</v>
      </c>
      <c r="I257" s="2221" t="str">
        <f t="shared" si="58"/>
        <v>6-DaHall 1-PDU-06-30-3</v>
      </c>
      <c r="J257" s="1531">
        <v>220</v>
      </c>
      <c r="K257" s="1532">
        <v>30</v>
      </c>
      <c r="L257" s="2540" t="s">
        <v>6918</v>
      </c>
      <c r="M257" s="1533">
        <v>3</v>
      </c>
      <c r="N257" s="1534">
        <v>220</v>
      </c>
      <c r="O257" s="1535">
        <v>30</v>
      </c>
      <c r="P257" s="2546" t="s">
        <v>6928</v>
      </c>
      <c r="Q257" s="1536">
        <v>3</v>
      </c>
      <c r="R257" s="2757" t="s">
        <v>2197</v>
      </c>
      <c r="S257" s="2752" t="s">
        <v>2198</v>
      </c>
      <c r="T257" s="2757" t="s">
        <v>2199</v>
      </c>
      <c r="U257" s="2752" t="s">
        <v>2200</v>
      </c>
      <c r="V257" s="3244"/>
      <c r="W257" s="3229"/>
      <c r="X257" s="255" t="n">
        <f>SUM('6층_부하량(월간_AVG)'!D323:F323)</f>
        <v>0.0</v>
      </c>
      <c r="Y257" s="255" t="n">
        <f>SUM('6층_부하량(월간_AVG)'!D355:F355)</f>
        <v>0.0</v>
      </c>
      <c r="Z257" s="3249" t="n">
        <f>SUM(X257:Y258)</f>
        <v>0.0</v>
      </c>
      <c r="AA257" s="2838" t="n" cm="1">
        <f t="array" ref="AA257">INDEX('각층분기별_유효전력량(전월)'!$I$2:$I$2017,MATCH(1,("6-DaHall 1-PDU-05"='각층분기별_유효전력량(전월)'!$G$2:$G$2017)*("[branch#003] [A] kWh last month"='각층분기별_유효전력량(전월)'!$H$2:$H$2017),0))</f>
        <v>0.0</v>
      </c>
      <c r="AB257" s="2989" t="n" cm="1">
        <f t="array" ref="AB257">INDEX('각층분기별_유효전력량(전월)'!$I$2:$I$2017,MATCH(1,("6-DaHall 1-PDU-06"='각층분기별_유효전력량(전월)'!$G$2:$G$2017)*("[branch#003] [A] kWh last month"='각층분기별_유효전력량(전월)'!$H$2:$H$2017),0))</f>
        <v>0.0</v>
      </c>
      <c r="AC257" s="3208" t="n">
        <f t="shared" ref="AC257" si="60">SUM(AA257:AB258)</f>
        <v>0.0</v>
      </c>
      <c r="AD257" s="2955"/>
    </row>
    <row r="258" spans="1:30" ht="41.25" thickBot="1" x14ac:dyDescent="0.2">
      <c r="A258" s="3307"/>
      <c r="B258" s="3308"/>
      <c r="C258" s="3308"/>
      <c r="D258" s="2780" t="s">
        <v>2423</v>
      </c>
      <c r="E258" s="2780" t="s">
        <v>2424</v>
      </c>
      <c r="F258" s="2759" t="s">
        <v>2425</v>
      </c>
      <c r="G258" s="2753" t="s">
        <v>2426</v>
      </c>
      <c r="H258" s="2222" t="str">
        <f t="shared" si="57"/>
        <v>6-DaHall 1-PDU-07-30-41</v>
      </c>
      <c r="I258" s="2223" t="str">
        <f t="shared" si="58"/>
        <v>6-DaHall 1-PDU-08-30-43</v>
      </c>
      <c r="J258" s="1539">
        <v>220</v>
      </c>
      <c r="K258" s="1540">
        <v>30</v>
      </c>
      <c r="L258" s="2543" t="s">
        <v>6919</v>
      </c>
      <c r="M258" s="1541">
        <v>41</v>
      </c>
      <c r="N258" s="1542">
        <v>220</v>
      </c>
      <c r="O258" s="1543">
        <v>30</v>
      </c>
      <c r="P258" s="2549" t="s">
        <v>6931</v>
      </c>
      <c r="Q258" s="1544">
        <v>43</v>
      </c>
      <c r="R258" s="2759" t="s">
        <v>2403</v>
      </c>
      <c r="S258" s="2753" t="s">
        <v>2404</v>
      </c>
      <c r="T258" s="2759" t="s">
        <v>2405</v>
      </c>
      <c r="U258" s="2753" t="s">
        <v>2406</v>
      </c>
      <c r="V258" s="3240"/>
      <c r="W258" s="3228"/>
      <c r="X258" s="333" t="n">
        <f>SUM('6층_부하량(월간_AVG)'!D406:F406)</f>
        <v>0.0</v>
      </c>
      <c r="Y258" s="333" t="n">
        <f>SUM('6층_부하량(월간_AVG)'!D439:F439)</f>
        <v>0.0</v>
      </c>
      <c r="Z258" s="3301"/>
      <c r="AA258" s="2838" t="n" cm="1">
        <f t="array" ref="AA258">INDEX('각층분기별_유효전력량(전월)'!$I$2:$I$2017,MATCH(1,("6-DaHall 1-PDU-07"='각층분기별_유효전력량(전월)'!$G$2:$G$2017)*("[branch#041] [A] kWh last month"='각층분기별_유효전력량(전월)'!$H$2:$H$2017),0))</f>
        <v>0.0</v>
      </c>
      <c r="AB258" s="2989" t="n" cm="1">
        <f t="array" ref="AB258">INDEX('각층분기별_유효전력량(전월)'!$I$2:$I$2017,MATCH(1,("6-DaHall 1-PDU-08"='각층분기별_유효전력량(전월)'!$G$2:$G$2017)*("[branch#043] [A] kWh last month"='각층분기별_유효전력량(전월)'!$H$2:$H$2017),0))</f>
        <v>0.0</v>
      </c>
      <c r="AC258" s="3209"/>
      <c r="AD258" s="2959"/>
    </row>
    <row r="259" spans="1:30" ht="14.25" thickTop="1" x14ac:dyDescent="0.15">
      <c r="A259" s="1106"/>
      <c r="B259" s="834" t="s">
        <v>2427</v>
      </c>
      <c r="C259" s="834"/>
      <c r="D259" s="834"/>
      <c r="E259" s="834"/>
      <c r="F259" s="902"/>
      <c r="G259" s="903"/>
      <c r="H259" s="2218"/>
      <c r="I259" s="2219"/>
      <c r="J259" s="1523"/>
      <c r="K259" s="1524"/>
      <c r="L259" s="902"/>
      <c r="M259" s="1525"/>
      <c r="N259" s="1526"/>
      <c r="O259" s="1527"/>
      <c r="P259" s="903"/>
      <c r="Q259" s="1528"/>
      <c r="R259" s="835"/>
      <c r="S259" s="836"/>
      <c r="T259" s="835"/>
      <c r="U259" s="836"/>
      <c r="V259" s="835"/>
      <c r="W259" s="836"/>
      <c r="X259" s="837"/>
      <c r="Y259" s="837"/>
      <c r="Z259" s="2562" t="n">
        <f t="shared" ref="Z259:Z272" si="61">SUM(X259:Y259)</f>
        <v>0.0</v>
      </c>
      <c r="AA259" s="2969"/>
      <c r="AB259" s="2970"/>
      <c r="AC259" s="2978" t="n">
        <f t="shared" ref="AC259:AC270" si="62">SUM(AA259:AB259)</f>
        <v>0.0</v>
      </c>
      <c r="AD259" s="2971" t="s">
        <v>1579</v>
      </c>
    </row>
    <row r="260" spans="1:30" x14ac:dyDescent="0.15">
      <c r="A260" s="1107"/>
      <c r="B260" s="2834" t="s">
        <v>2428</v>
      </c>
      <c r="C260" s="2834"/>
      <c r="D260" s="2834"/>
      <c r="E260" s="2834"/>
      <c r="F260" s="2829"/>
      <c r="G260" s="2812"/>
      <c r="H260" s="2229"/>
      <c r="I260" s="2230"/>
      <c r="J260" s="1560"/>
      <c r="K260" s="1561"/>
      <c r="L260" s="2829"/>
      <c r="M260" s="1562"/>
      <c r="N260" s="1563"/>
      <c r="O260" s="1564"/>
      <c r="P260" s="2812"/>
      <c r="Q260" s="1565"/>
      <c r="R260" s="838"/>
      <c r="S260" s="839"/>
      <c r="T260" s="838"/>
      <c r="U260" s="839"/>
      <c r="V260" s="838"/>
      <c r="W260" s="839"/>
      <c r="X260" s="840"/>
      <c r="Y260" s="840"/>
      <c r="Z260" s="2564" t="n">
        <f t="shared" si="61"/>
        <v>0.0</v>
      </c>
      <c r="AA260" s="2840"/>
      <c r="AB260" s="2992"/>
      <c r="AC260" s="2990" t="n">
        <f t="shared" si="62"/>
        <v>0.0</v>
      </c>
      <c r="AD260" s="2991" t="s">
        <v>1579</v>
      </c>
    </row>
    <row r="261" spans="1:30" ht="40.5" customHeight="1" x14ac:dyDescent="0.15">
      <c r="A261" s="1107"/>
      <c r="B261" s="2834" t="s">
        <v>2429</v>
      </c>
      <c r="C261" s="2834"/>
      <c r="D261" s="2834" t="s">
        <v>2430</v>
      </c>
      <c r="E261" s="2834" t="s">
        <v>2431</v>
      </c>
      <c r="F261" s="2829" t="s">
        <v>2432</v>
      </c>
      <c r="G261" s="2812" t="s">
        <v>2433</v>
      </c>
      <c r="H261" s="2220" t="str">
        <f t="shared" ref="H261:H267" si="63">"6-DaHall 1-PDU-"&amp;L261&amp;"-"&amp;K261&amp;"-"&amp;M261</f>
        <v>6-DaHall 1-PDU-05-30-7</v>
      </c>
      <c r="I261" s="2221" t="str">
        <f t="shared" ref="I261:I267" si="64">"6-DaHall 1-PDU-"&amp;P261&amp;"-"&amp;O261&amp;"-"&amp;Q261</f>
        <v>6-DaHall 1-PDU-06-30-7</v>
      </c>
      <c r="J261" s="1531">
        <v>220</v>
      </c>
      <c r="K261" s="1532">
        <v>30</v>
      </c>
      <c r="L261" s="2540" t="s">
        <v>6918</v>
      </c>
      <c r="M261" s="1533">
        <v>7</v>
      </c>
      <c r="N261" s="1534">
        <v>220</v>
      </c>
      <c r="O261" s="1535">
        <v>30</v>
      </c>
      <c r="P261" s="2546" t="s">
        <v>6928</v>
      </c>
      <c r="Q261" s="1536">
        <v>7</v>
      </c>
      <c r="R261" s="3239" t="s">
        <v>2197</v>
      </c>
      <c r="S261" s="3227" t="s">
        <v>2198</v>
      </c>
      <c r="T261" s="3239" t="s">
        <v>2199</v>
      </c>
      <c r="U261" s="3227" t="s">
        <v>2200</v>
      </c>
      <c r="V261" s="3239" t="s">
        <v>1590</v>
      </c>
      <c r="W261" s="3227" t="s">
        <v>1591</v>
      </c>
      <c r="X261" s="840" t="n">
        <f>SUM('6층_부하량(월간_AVG)'!D325:F325)</f>
        <v>1.9102991508416194</v>
      </c>
      <c r="Y261" s="840" t="n">
        <f>SUM('6층_부하량(월간_AVG)'!D357:F357)</f>
        <v>3.3355694378171914</v>
      </c>
      <c r="Z261" s="2564" t="n">
        <f t="shared" si="61"/>
        <v>5.24586858865881</v>
      </c>
      <c r="AA261" s="2838" t="n" cm="1">
        <f t="array" ref="AA261">INDEX('각층분기별_유효전력량(전월)'!$I$2:$I$2017,MATCH(1,("6-DaHall 1-PDU-05"='각층분기별_유효전력량(전월)'!$G$2:$G$2017)*("[branch#007] [A] kWh last month"='각층분기별_유효전력량(전월)'!$H$2:$H$2017),0))</f>
        <v>212.8</v>
      </c>
      <c r="AB261" s="2989" t="n" cm="1">
        <f t="array" ref="AB261">INDEX('각층분기별_유효전력량(전월)'!$I$2:$I$2017,MATCH(1,("6-DaHall 1-PDU-06"='각층분기별_유효전력량(전월)'!$G$2:$G$2017)*("[branch#007] [A] kWh last month"='각층분기별_유효전력량(전월)'!$H$2:$H$2017),0))</f>
        <v>436.1</v>
      </c>
      <c r="AC261" s="2990" t="n">
        <f t="shared" si="62"/>
        <v>648.9000000000001</v>
      </c>
      <c r="AD261" s="2991" t="s">
        <v>1579</v>
      </c>
    </row>
    <row r="262" spans="1:30" ht="27" x14ac:dyDescent="0.15">
      <c r="A262" s="1107"/>
      <c r="B262" s="2834" t="s">
        <v>2434</v>
      </c>
      <c r="C262" s="2834"/>
      <c r="D262" s="2834" t="s">
        <v>2435</v>
      </c>
      <c r="E262" s="2834" t="s">
        <v>2436</v>
      </c>
      <c r="F262" s="2829" t="s">
        <v>2437</v>
      </c>
      <c r="G262" s="2812" t="s">
        <v>2438</v>
      </c>
      <c r="H262" s="2220" t="str">
        <f t="shared" si="63"/>
        <v>6-DaHall 1-PDU-05-30-9</v>
      </c>
      <c r="I262" s="2221" t="str">
        <f t="shared" si="64"/>
        <v>6-DaHall 1-PDU-06-30-9</v>
      </c>
      <c r="J262" s="1531">
        <v>220</v>
      </c>
      <c r="K262" s="1532">
        <v>30</v>
      </c>
      <c r="L262" s="2540" t="s">
        <v>6918</v>
      </c>
      <c r="M262" s="1533">
        <v>9</v>
      </c>
      <c r="N262" s="1534">
        <v>220</v>
      </c>
      <c r="O262" s="1535">
        <v>30</v>
      </c>
      <c r="P262" s="2546" t="s">
        <v>6928</v>
      </c>
      <c r="Q262" s="1536">
        <v>9</v>
      </c>
      <c r="R262" s="3244"/>
      <c r="S262" s="3229"/>
      <c r="T262" s="3244"/>
      <c r="U262" s="3229"/>
      <c r="V262" s="3244"/>
      <c r="W262" s="3229"/>
      <c r="X262" s="840" t="n">
        <f>SUM('6층_부하량(월간_AVG)'!D326:F326)</f>
        <v>0.8920721343496524</v>
      </c>
      <c r="Y262" s="840" t="n">
        <f>SUM('6층_부하량(월간_AVG)'!D358:F358)</f>
        <v>0.855618565758128</v>
      </c>
      <c r="Z262" s="2564" t="n">
        <f t="shared" si="61"/>
        <v>1.7476907001077804</v>
      </c>
      <c r="AA262" s="2838" t="n" cm="1">
        <f t="array" ref="AA262">INDEX('각층분기별_유효전력량(전월)'!$I$2:$I$2017,MATCH(1,("6-DaHall 1-PDU-05"='각층분기별_유효전력량(전월)'!$G$2:$G$2017)*("[branch#009] [A] kWh last month"='각층분기별_유효전력량(전월)'!$H$2:$H$2017),0))</f>
        <v>126.2</v>
      </c>
      <c r="AB262" s="2989" t="n" cm="1">
        <f t="array" ref="AB262">INDEX('각층분기별_유효전력량(전월)'!$I$2:$I$2017,MATCH(1,("6-DaHall 1-PDU-06"='각층분기별_유효전력량(전월)'!$G$2:$G$2017)*("[branch#009] [A] kWh last month"='각층분기별_유효전력량(전월)'!$H$2:$H$2017),0))</f>
        <v>120.5</v>
      </c>
      <c r="AC262" s="2990" t="n">
        <f t="shared" si="62"/>
        <v>246.7</v>
      </c>
      <c r="AD262" s="2991" t="s">
        <v>1579</v>
      </c>
    </row>
    <row r="263" spans="1:30" ht="27" x14ac:dyDescent="0.15">
      <c r="A263" s="2769" t="s">
        <v>2439</v>
      </c>
      <c r="B263" s="2771" t="s">
        <v>2440</v>
      </c>
      <c r="C263" s="2784" t="s">
        <v>2441</v>
      </c>
      <c r="D263" s="2765" t="s">
        <v>2442</v>
      </c>
      <c r="E263" s="2765" t="s">
        <v>2443</v>
      </c>
      <c r="F263" s="2757" t="s">
        <v>2444</v>
      </c>
      <c r="G263" s="2752" t="s">
        <v>2445</v>
      </c>
      <c r="H263" s="2220" t="str">
        <f t="shared" si="63"/>
        <v>6-DaHall 1-PDU-05-30-11</v>
      </c>
      <c r="I263" s="2221" t="str">
        <f t="shared" si="64"/>
        <v>6-DaHall 1-PDU-06-30-11</v>
      </c>
      <c r="J263" s="1531">
        <v>220</v>
      </c>
      <c r="K263" s="1532">
        <v>30</v>
      </c>
      <c r="L263" s="2540" t="s">
        <v>6918</v>
      </c>
      <c r="M263" s="1533">
        <v>11</v>
      </c>
      <c r="N263" s="1534">
        <v>220</v>
      </c>
      <c r="O263" s="1535">
        <v>30</v>
      </c>
      <c r="P263" s="2546" t="s">
        <v>6928</v>
      </c>
      <c r="Q263" s="1536">
        <v>11</v>
      </c>
      <c r="R263" s="3244"/>
      <c r="S263" s="3229"/>
      <c r="T263" s="3244"/>
      <c r="U263" s="3229"/>
      <c r="V263" s="3244"/>
      <c r="W263" s="3229"/>
      <c r="X263" s="255" t="n">
        <f>SUM('6층_부하량(월간_AVG)'!D327:F327)</f>
        <v>1.678963652185743</v>
      </c>
      <c r="Y263" s="255" t="n">
        <f>SUM('6층_부하량(월간_AVG)'!D359:F359)</f>
        <v>1.844045002231885</v>
      </c>
      <c r="Z263" s="2557" t="n">
        <f t="shared" si="61"/>
        <v>3.523008654417628</v>
      </c>
      <c r="AA263" s="2838" t="n" cm="1">
        <f t="array" ref="AA263">INDEX('각층분기별_유효전력량(전월)'!$I$2:$I$2017,MATCH(1,("6-DaHall 1-PDU-05"='각층분기별_유효전력량(전월)'!$G$2:$G$2017)*("[branch#011] [A] kWh last month"='각층분기별_유효전력량(전월)'!$H$2:$H$2017),0))</f>
        <v>163.8</v>
      </c>
      <c r="AB263" s="2989" t="n" cm="1">
        <f t="array" ref="AB263">INDEX('각층분기별_유효전력량(전월)'!$I$2:$I$2017,MATCH(1,("6-DaHall 1-PDU-06"='각층분기별_유효전력량(전월)'!$G$2:$G$2017)*("[branch#011] [A] kWh last month"='각층분기별_유효전력량(전월)'!$H$2:$H$2017),0))</f>
        <v>194.2</v>
      </c>
      <c r="AC263" s="2972" t="n">
        <f t="shared" si="62"/>
        <v>358.0</v>
      </c>
      <c r="AD263" s="2954"/>
    </row>
    <row r="264" spans="1:30" ht="27" x14ac:dyDescent="0.15">
      <c r="A264" s="2769" t="s">
        <v>2446</v>
      </c>
      <c r="B264" s="2771" t="s">
        <v>2447</v>
      </c>
      <c r="C264" s="2784" t="s">
        <v>2441</v>
      </c>
      <c r="D264" s="2765" t="s">
        <v>2448</v>
      </c>
      <c r="E264" s="2765" t="s">
        <v>2449</v>
      </c>
      <c r="F264" s="2757" t="s">
        <v>2450</v>
      </c>
      <c r="G264" s="2752" t="s">
        <v>2451</v>
      </c>
      <c r="H264" s="2220" t="str">
        <f t="shared" si="63"/>
        <v>6-DaHall 1-PDU-05-30-13</v>
      </c>
      <c r="I264" s="2221" t="str">
        <f t="shared" si="64"/>
        <v>6-DaHall 1-PDU-06-30-13</v>
      </c>
      <c r="J264" s="1531">
        <v>220</v>
      </c>
      <c r="K264" s="1532">
        <v>30</v>
      </c>
      <c r="L264" s="2540" t="s">
        <v>6918</v>
      </c>
      <c r="M264" s="1533">
        <v>13</v>
      </c>
      <c r="N264" s="1534">
        <v>220</v>
      </c>
      <c r="O264" s="1535">
        <v>30</v>
      </c>
      <c r="P264" s="2546" t="s">
        <v>6928</v>
      </c>
      <c r="Q264" s="1536">
        <v>13</v>
      </c>
      <c r="R264" s="3244"/>
      <c r="S264" s="3229"/>
      <c r="T264" s="3244"/>
      <c r="U264" s="3229"/>
      <c r="V264" s="3244"/>
      <c r="W264" s="3229"/>
      <c r="X264" s="255" t="n">
        <f>SUM('6층_부하량(월간_AVG)'!D328:F328)</f>
        <v>2.157735109808472</v>
      </c>
      <c r="Y264" s="255" t="n">
        <f>SUM('6층_부하량(월간_AVG)'!D360:F360)</f>
        <v>3.296479507291262</v>
      </c>
      <c r="Z264" s="2557" t="n">
        <f t="shared" si="61"/>
        <v>5.454214617099733</v>
      </c>
      <c r="AA264" s="2838" t="n" cm="1">
        <f t="array" ref="AA264">INDEX('각층분기별_유효전력량(전월)'!$I$2:$I$2017,MATCH(1,("6-DaHall 1-PDU-05"='각층분기별_유효전력량(전월)'!$G$2:$G$2017)*("[branch#013] [A] kWh last month"='각층분기별_유효전력량(전월)'!$H$2:$H$2017),0))</f>
        <v>488.6</v>
      </c>
      <c r="AB264" s="2989" t="n" cm="1">
        <f t="array" ref="AB264">INDEX('각층분기별_유효전력량(전월)'!$I$2:$I$2017,MATCH(1,("6-DaHall 1-PDU-06"='각층분기별_유효전력량(전월)'!$G$2:$G$2017)*("[branch#013] [A] kWh last month"='각층분기별_유효전력량(전월)'!$H$2:$H$2017),0))</f>
        <v>436.1</v>
      </c>
      <c r="AC264" s="2972" t="n">
        <f t="shared" si="62"/>
        <v>924.7</v>
      </c>
      <c r="AD264" s="2954"/>
    </row>
    <row r="265" spans="1:30" ht="27" x14ac:dyDescent="0.15">
      <c r="A265" s="2769" t="s">
        <v>2452</v>
      </c>
      <c r="B265" s="2771" t="s">
        <v>2453</v>
      </c>
      <c r="C265" s="2784" t="s">
        <v>2441</v>
      </c>
      <c r="D265" s="2765" t="s">
        <v>2454</v>
      </c>
      <c r="E265" s="2765" t="s">
        <v>2455</v>
      </c>
      <c r="F265" s="2757" t="s">
        <v>2456</v>
      </c>
      <c r="G265" s="2752" t="s">
        <v>2457</v>
      </c>
      <c r="H265" s="2220" t="str">
        <f t="shared" si="63"/>
        <v>6-DaHall 1-PDU-05-30-15</v>
      </c>
      <c r="I265" s="2221" t="str">
        <f t="shared" si="64"/>
        <v>6-DaHall 1-PDU-06-30-15</v>
      </c>
      <c r="J265" s="1531">
        <v>220</v>
      </c>
      <c r="K265" s="1532">
        <v>30</v>
      </c>
      <c r="L265" s="2540" t="s">
        <v>6918</v>
      </c>
      <c r="M265" s="1533">
        <v>15</v>
      </c>
      <c r="N265" s="1534">
        <v>220</v>
      </c>
      <c r="O265" s="1535">
        <v>30</v>
      </c>
      <c r="P265" s="2546" t="s">
        <v>6928</v>
      </c>
      <c r="Q265" s="1536">
        <v>15</v>
      </c>
      <c r="R265" s="3244"/>
      <c r="S265" s="3229"/>
      <c r="T265" s="3244"/>
      <c r="U265" s="3229"/>
      <c r="V265" s="3244"/>
      <c r="W265" s="3229"/>
      <c r="X265" s="255" t="n">
        <f>SUM('6층_부하량(월간_AVG)'!D329:F329)</f>
        <v>3.4769115196668476</v>
      </c>
      <c r="Y265" s="255" t="n">
        <f>SUM('6층_부하량(월간_AVG)'!D361:F361)</f>
        <v>2.8371860546714234</v>
      </c>
      <c r="Z265" s="2557" t="n">
        <f t="shared" si="61"/>
        <v>6.3140975743382715</v>
      </c>
      <c r="AA265" s="2838" t="n" cm="1">
        <f t="array" ref="AA265">INDEX('각층분기별_유효전력량(전월)'!$I$2:$I$2017,MATCH(1,("6-DaHall 1-PDU-05"='각층분기별_유효전력량(전월)'!$G$2:$G$2017)*("[branch#015] [A] kWh last month"='각층분기별_유효전력량(전월)'!$H$2:$H$2017),0))</f>
        <v>503.6</v>
      </c>
      <c r="AB265" s="2989" t="n" cm="1">
        <f t="array" ref="AB265">INDEX('각층분기별_유효전력량(전월)'!$I$2:$I$2017,MATCH(1,("6-DaHall 1-PDU-06"='각층분기별_유효전력량(전월)'!$G$2:$G$2017)*("[branch#015] [A] kWh last month"='각층분기별_유효전력량(전월)'!$H$2:$H$2017),0))</f>
        <v>448.1</v>
      </c>
      <c r="AC265" s="2972" t="n">
        <f t="shared" si="62"/>
        <v>951.7</v>
      </c>
      <c r="AD265" s="2954"/>
    </row>
    <row r="266" spans="1:30" ht="27" x14ac:dyDescent="0.15">
      <c r="A266" s="2769" t="s">
        <v>2458</v>
      </c>
      <c r="B266" s="2771" t="s">
        <v>2459</v>
      </c>
      <c r="C266" s="2784" t="s">
        <v>2441</v>
      </c>
      <c r="D266" s="2765" t="s">
        <v>2460</v>
      </c>
      <c r="E266" s="2765" t="s">
        <v>2461</v>
      </c>
      <c r="F266" s="2757" t="s">
        <v>2462</v>
      </c>
      <c r="G266" s="2752" t="s">
        <v>2463</v>
      </c>
      <c r="H266" s="2220" t="str">
        <f t="shared" si="63"/>
        <v>6-DaHall 1-PDU-05-30-17</v>
      </c>
      <c r="I266" s="2221" t="str">
        <f t="shared" si="64"/>
        <v>6-DaHall 1-PDU-06-30-17</v>
      </c>
      <c r="J266" s="1531">
        <v>220</v>
      </c>
      <c r="K266" s="1532">
        <v>30</v>
      </c>
      <c r="L266" s="2540" t="s">
        <v>6918</v>
      </c>
      <c r="M266" s="1533">
        <v>17</v>
      </c>
      <c r="N266" s="1534">
        <v>220</v>
      </c>
      <c r="O266" s="1535">
        <v>30</v>
      </c>
      <c r="P266" s="2546" t="s">
        <v>6928</v>
      </c>
      <c r="Q266" s="1536">
        <v>17</v>
      </c>
      <c r="R266" s="3244"/>
      <c r="S266" s="3229"/>
      <c r="T266" s="3244"/>
      <c r="U266" s="3229"/>
      <c r="V266" s="3244"/>
      <c r="W266" s="3229"/>
      <c r="X266" s="255" t="n">
        <f>SUM('6층_부하량(월간_AVG)'!D330:F330)</f>
        <v>0.9846491174410603</v>
      </c>
      <c r="Y266" s="255" t="n">
        <f>SUM('6층_부하량(월간_AVG)'!D362:F362)</f>
        <v>0.9603581504804399</v>
      </c>
      <c r="Z266" s="2557" t="n">
        <f t="shared" si="61"/>
        <v>1.9450072679215002</v>
      </c>
      <c r="AA266" s="2838" t="n" cm="1">
        <f t="array" ref="AA266">INDEX('각층분기별_유효전력량(전월)'!$I$2:$I$2017,MATCH(1,("6-DaHall 1-PDU-05"='각층분기별_유효전력량(전월)'!$G$2:$G$2017)*("[branch#017] [A] kWh last month"='각층분기별_유효전력량(전월)'!$H$2:$H$2017),0))</f>
        <v>146.5</v>
      </c>
      <c r="AB266" s="2989" t="n" cm="1">
        <f t="array" ref="AB266">INDEX('각층분기별_유효전력량(전월)'!$I$2:$I$2017,MATCH(1,("6-DaHall 1-PDU-06"='각층분기별_유효전력량(전월)'!$G$2:$G$2017)*("[branch#017] [A] kWh last month"='각층분기별_유효전력량(전월)'!$H$2:$H$2017),0))</f>
        <v>145.3</v>
      </c>
      <c r="AC266" s="2972" t="n">
        <f t="shared" si="62"/>
        <v>291.8</v>
      </c>
      <c r="AD266" s="2954"/>
    </row>
    <row r="267" spans="1:30" ht="27.75" thickBot="1" x14ac:dyDescent="0.2">
      <c r="A267" s="2779" t="s">
        <v>2464</v>
      </c>
      <c r="B267" s="2780"/>
      <c r="C267" s="2809"/>
      <c r="D267" s="2780" t="s">
        <v>2465</v>
      </c>
      <c r="E267" s="2780" t="s">
        <v>2466</v>
      </c>
      <c r="F267" s="2759" t="s">
        <v>2467</v>
      </c>
      <c r="G267" s="2753" t="s">
        <v>2468</v>
      </c>
      <c r="H267" s="2222" t="str">
        <f t="shared" si="63"/>
        <v>6-DaHall 1-PDU-05-30-19</v>
      </c>
      <c r="I267" s="2223" t="str">
        <f t="shared" si="64"/>
        <v>6-DaHall 1-PDU-06-30-19</v>
      </c>
      <c r="J267" s="1539">
        <v>220</v>
      </c>
      <c r="K267" s="1540">
        <v>30</v>
      </c>
      <c r="L267" s="2543" t="s">
        <v>6918</v>
      </c>
      <c r="M267" s="1541">
        <v>19</v>
      </c>
      <c r="N267" s="1542">
        <v>220</v>
      </c>
      <c r="O267" s="1543">
        <v>30</v>
      </c>
      <c r="P267" s="2549" t="s">
        <v>6928</v>
      </c>
      <c r="Q267" s="1544">
        <v>19</v>
      </c>
      <c r="R267" s="3240"/>
      <c r="S267" s="3228"/>
      <c r="T267" s="3240"/>
      <c r="U267" s="3228"/>
      <c r="V267" s="3240"/>
      <c r="W267" s="3228"/>
      <c r="X267" s="333" t="n">
        <f>SUM('6층_부하량(월간_AVG)'!D331:F331)</f>
        <v>6.016757214596122</v>
      </c>
      <c r="Y267" s="333" t="n">
        <f>SUM('6층_부하량(월간_AVG)'!D363:F363)</f>
        <v>6.257557258402925</v>
      </c>
      <c r="Z267" s="2558" t="n">
        <f t="shared" si="61"/>
        <v>12.274314472999048</v>
      </c>
      <c r="AA267" s="2838" t="n" cm="1">
        <f t="array" ref="AA267">INDEX('각층분기별_유효전력량(전월)'!$I$2:$I$2017,MATCH(1,("6-DaHall 1-PDU-05"='각층분기별_유효전력량(전월)'!$G$2:$G$2017)*("[branch#019] [A] kWh last month"='각층분기별_유효전력량(전월)'!$H$2:$H$2017),0))</f>
        <v>843.5</v>
      </c>
      <c r="AB267" s="2989" t="n" cm="1">
        <f t="array" ref="AB267">INDEX('각층분기별_유효전력량(전월)'!$I$2:$I$2017,MATCH(1,("6-DaHall 1-PDU-06"='각층분기별_유효전력량(전월)'!$G$2:$G$2017)*("[branch#019] [A] kWh last month"='각층분기별_유효전력량(전월)'!$H$2:$H$2017),0))</f>
        <v>1171.1</v>
      </c>
      <c r="AC267" s="2977" t="n">
        <f t="shared" si="62"/>
        <v>2014.6</v>
      </c>
      <c r="AD267" s="2958"/>
    </row>
    <row r="268" spans="1:30" ht="14.25" thickTop="1" x14ac:dyDescent="0.15">
      <c r="A268" s="1106"/>
      <c r="B268" s="834" t="s">
        <v>2469</v>
      </c>
      <c r="C268" s="992"/>
      <c r="D268" s="834"/>
      <c r="E268" s="834"/>
      <c r="F268" s="902"/>
      <c r="G268" s="903"/>
      <c r="H268" s="2218"/>
      <c r="I268" s="2219"/>
      <c r="J268" s="1523"/>
      <c r="K268" s="1524"/>
      <c r="L268" s="902"/>
      <c r="M268" s="1525"/>
      <c r="N268" s="1526"/>
      <c r="O268" s="1527"/>
      <c r="P268" s="903"/>
      <c r="Q268" s="1528"/>
      <c r="R268" s="835"/>
      <c r="S268" s="836"/>
      <c r="T268" s="835"/>
      <c r="U268" s="836"/>
      <c r="V268" s="835"/>
      <c r="W268" s="836"/>
      <c r="X268" s="837"/>
      <c r="Y268" s="837"/>
      <c r="Z268" s="2562" t="n">
        <f t="shared" si="61"/>
        <v>0.0</v>
      </c>
      <c r="AA268" s="2969"/>
      <c r="AB268" s="2970"/>
      <c r="AC268" s="2978" t="n">
        <f t="shared" si="62"/>
        <v>0.0</v>
      </c>
      <c r="AD268" s="2971" t="s">
        <v>1579</v>
      </c>
    </row>
    <row r="269" spans="1:30" x14ac:dyDescent="0.15">
      <c r="A269" s="1107"/>
      <c r="B269" s="2834" t="s">
        <v>2470</v>
      </c>
      <c r="C269" s="904"/>
      <c r="D269" s="2834"/>
      <c r="E269" s="2834"/>
      <c r="F269" s="2829"/>
      <c r="G269" s="2812"/>
      <c r="H269" s="2229"/>
      <c r="I269" s="2230"/>
      <c r="J269" s="1560"/>
      <c r="K269" s="1561"/>
      <c r="L269" s="2829"/>
      <c r="M269" s="1562"/>
      <c r="N269" s="1563"/>
      <c r="O269" s="1564"/>
      <c r="P269" s="2812"/>
      <c r="Q269" s="1565"/>
      <c r="R269" s="838"/>
      <c r="S269" s="839"/>
      <c r="T269" s="838"/>
      <c r="U269" s="839"/>
      <c r="V269" s="838"/>
      <c r="W269" s="839"/>
      <c r="X269" s="840"/>
      <c r="Y269" s="840"/>
      <c r="Z269" s="2564" t="n">
        <f t="shared" si="61"/>
        <v>0.0</v>
      </c>
      <c r="AA269" s="2840"/>
      <c r="AB269" s="2992"/>
      <c r="AC269" s="2990" t="n">
        <f t="shared" si="62"/>
        <v>0.0</v>
      </c>
      <c r="AD269" s="2991" t="s">
        <v>1579</v>
      </c>
    </row>
    <row r="270" spans="1:30" ht="27" x14ac:dyDescent="0.15">
      <c r="A270" s="1107"/>
      <c r="B270" s="2834" t="s">
        <v>2471</v>
      </c>
      <c r="C270" s="904"/>
      <c r="D270" s="2834" t="s">
        <v>2472</v>
      </c>
      <c r="E270" s="2834" t="s">
        <v>2473</v>
      </c>
      <c r="F270" s="2829" t="s">
        <v>2474</v>
      </c>
      <c r="G270" s="2812" t="s">
        <v>2475</v>
      </c>
      <c r="H270" s="2220"/>
      <c r="I270" s="2221"/>
      <c r="J270" s="1531"/>
      <c r="K270" s="1532"/>
      <c r="L270" s="2540"/>
      <c r="M270" s="1533"/>
      <c r="N270" s="1534"/>
      <c r="O270" s="1535"/>
      <c r="P270" s="2546"/>
      <c r="Q270" s="1536"/>
      <c r="R270" s="3239" t="s">
        <v>2197</v>
      </c>
      <c r="S270" s="3227" t="s">
        <v>2198</v>
      </c>
      <c r="T270" s="3239" t="s">
        <v>2199</v>
      </c>
      <c r="U270" s="3227" t="s">
        <v>2200</v>
      </c>
      <c r="V270" s="3239" t="s">
        <v>1590</v>
      </c>
      <c r="W270" s="3227" t="s">
        <v>1591</v>
      </c>
      <c r="X270" s="840"/>
      <c r="Y270" s="840"/>
      <c r="Z270" s="2564" t="n">
        <f t="shared" si="61"/>
        <v>0.0</v>
      </c>
      <c r="AA270" s="2838"/>
      <c r="AB270" s="2989"/>
      <c r="AC270" s="2990" t="n">
        <f t="shared" si="62"/>
        <v>0.0</v>
      </c>
      <c r="AD270" s="2991" t="s">
        <v>1579</v>
      </c>
    </row>
    <row r="271" spans="1:30" ht="27" customHeight="1" x14ac:dyDescent="0.15">
      <c r="A271" s="3280" t="s">
        <v>2476</v>
      </c>
      <c r="B271" s="2771" t="s">
        <v>2477</v>
      </c>
      <c r="C271" s="3305" t="s">
        <v>2478</v>
      </c>
      <c r="D271" s="2765" t="s">
        <v>2479</v>
      </c>
      <c r="E271" s="2765" t="s">
        <v>2480</v>
      </c>
      <c r="F271" s="2757" t="s">
        <v>2481</v>
      </c>
      <c r="G271" s="2113" t="s">
        <v>2482</v>
      </c>
      <c r="H271" s="2220" t="str">
        <f t="shared" ref="H271:H277" si="65">"6-DaHall 1-PDU-"&amp;L271&amp;"-"&amp;K271&amp;"-"&amp;M271</f>
        <v>6-DaHall 1-PDU-05-30-25</v>
      </c>
      <c r="I271" s="2221" t="str">
        <f t="shared" ref="I271:I277" si="66">"6-DaHall 1-PDU-"&amp;P271&amp;"-"&amp;O271&amp;"-"&amp;Q271</f>
        <v>6-DaHall 1-PDU-06-30-25</v>
      </c>
      <c r="J271" s="1531">
        <v>220</v>
      </c>
      <c r="K271" s="1532">
        <v>30</v>
      </c>
      <c r="L271" s="2540" t="s">
        <v>6918</v>
      </c>
      <c r="M271" s="1533">
        <v>25</v>
      </c>
      <c r="N271" s="1534">
        <v>220</v>
      </c>
      <c r="O271" s="1535">
        <v>30</v>
      </c>
      <c r="P271" s="2546" t="s">
        <v>6928</v>
      </c>
      <c r="Q271" s="1536">
        <v>25</v>
      </c>
      <c r="R271" s="3244"/>
      <c r="S271" s="3229"/>
      <c r="T271" s="3244"/>
      <c r="U271" s="3229"/>
      <c r="V271" s="3244"/>
      <c r="W271" s="3229"/>
      <c r="X271" s="255" t="n">
        <f>SUM('6층_부하량(월간_AVG)'!D334:F334)</f>
        <v>4.056361230175299</v>
      </c>
      <c r="Y271" s="255" t="n">
        <f>SUM('6층_부하량(월간_AVG)'!D366:F366)</f>
        <v>2.3915937472663003</v>
      </c>
      <c r="Z271" s="2557" t="n">
        <f t="shared" si="61"/>
        <v>6.447954977441599</v>
      </c>
      <c r="AA271" s="2838" t="n" cm="1">
        <f t="array" ref="AA271">INDEX('각층분기별_유효전력량(전월)'!$I$2:$I$2017,MATCH(1,("6-DaHall 1-PDU-05"='각층분기별_유효전력량(전월)'!$G$2:$G$2017)*("[branch#025] [A] kWh last month"='각층분기별_유효전력량(전월)'!$H$2:$H$2017),0))</f>
        <v>1246.0</v>
      </c>
      <c r="AB271" s="2989" t="n" cm="1">
        <f t="array" ref="AB271">INDEX('각층분기별_유효전력량(전월)'!$I$2:$I$2017,MATCH(1,("6-DaHall 1-PDU-06"='각층분기별_유효전력량(전월)'!$G$2:$G$2017)*("[branch#025] [A] kWh last month"='각층분기별_유효전력량(전월)'!$H$2:$H$2017),0))</f>
        <v>386.4</v>
      </c>
      <c r="AC271" s="3208" t="n">
        <f>SUM(AA271:AB272)</f>
        <v>2741.1</v>
      </c>
      <c r="AD271" s="2582"/>
    </row>
    <row r="272" spans="1:30" ht="27" customHeight="1" x14ac:dyDescent="0.15">
      <c r="A272" s="3282"/>
      <c r="B272" s="2771" t="s">
        <v>2483</v>
      </c>
      <c r="C272" s="3306"/>
      <c r="D272" s="2765" t="s">
        <v>2484</v>
      </c>
      <c r="E272" s="2765" t="s">
        <v>2485</v>
      </c>
      <c r="F272" s="2757" t="s">
        <v>2486</v>
      </c>
      <c r="G272" s="2113" t="s">
        <v>2487</v>
      </c>
      <c r="H272" s="2220" t="str">
        <f t="shared" si="65"/>
        <v>6-DaHall 1-PDU-05-30-27</v>
      </c>
      <c r="I272" s="2221" t="str">
        <f t="shared" si="66"/>
        <v>6-DaHall 1-PDU-06-30-27</v>
      </c>
      <c r="J272" s="1531">
        <v>220</v>
      </c>
      <c r="K272" s="1532">
        <v>30</v>
      </c>
      <c r="L272" s="2540" t="s">
        <v>6918</v>
      </c>
      <c r="M272" s="1533">
        <v>27</v>
      </c>
      <c r="N272" s="1534">
        <v>220</v>
      </c>
      <c r="O272" s="1535">
        <v>30</v>
      </c>
      <c r="P272" s="2546" t="s">
        <v>6928</v>
      </c>
      <c r="Q272" s="1536">
        <v>27</v>
      </c>
      <c r="R272" s="3244"/>
      <c r="S272" s="3229"/>
      <c r="T272" s="3244"/>
      <c r="U272" s="3229"/>
      <c r="V272" s="3244"/>
      <c r="W272" s="3229"/>
      <c r="X272" s="255" t="n">
        <f>SUM('6층_부하량(월간_AVG)'!D335:F335)</f>
        <v>3.8297947642080503</v>
      </c>
      <c r="Y272" s="255" t="n">
        <f>SUM('6층_부하량(월간_AVG)'!D367:F367)</f>
        <v>1.7875910226850256</v>
      </c>
      <c r="Z272" s="2557" t="n">
        <f t="shared" si="61"/>
        <v>5.617385786893076</v>
      </c>
      <c r="AA272" s="2838" t="n" cm="1">
        <f t="array" ref="AA272">INDEX('각층분기별_유효전력량(전월)'!$I$2:$I$2017,MATCH(1,("6-DaHall 1-PDU-05"='각층분기별_유효전력량(전월)'!$G$2:$G$2017)*("[branch#027] [A] kWh last month"='각층분기별_유효전력량(전월)'!$H$2:$H$2017),0))</f>
        <v>817.6</v>
      </c>
      <c r="AB272" s="2989" t="n" cm="1">
        <f t="array" ref="AB272">INDEX('각층분기별_유효전력량(전월)'!$I$2:$I$2017,MATCH(1,("6-DaHall 1-PDU-06"='각층분기별_유효전력량(전월)'!$G$2:$G$2017)*("[branch#027] [A] kWh last month"='각층분기별_유효전력량(전월)'!$H$2:$H$2017),0))</f>
        <v>291.1</v>
      </c>
      <c r="AC272" s="3209"/>
      <c r="AD272" s="2954"/>
    </row>
    <row r="273" spans="1:30" ht="27" x14ac:dyDescent="0.15">
      <c r="A273" s="3280" t="s">
        <v>2488</v>
      </c>
      <c r="B273" s="3298" t="s">
        <v>2489</v>
      </c>
      <c r="C273" s="3305"/>
      <c r="D273" s="2765" t="s">
        <v>2490</v>
      </c>
      <c r="E273" s="2765" t="s">
        <v>2491</v>
      </c>
      <c r="F273" s="2757" t="s">
        <v>2492</v>
      </c>
      <c r="G273" s="2752" t="s">
        <v>2493</v>
      </c>
      <c r="H273" s="2220" t="str">
        <f t="shared" si="65"/>
        <v>6-DaHall 1-PDU-05-30-29</v>
      </c>
      <c r="I273" s="2221" t="str">
        <f t="shared" si="66"/>
        <v>6-DaHall 1-PDU-06-30-29</v>
      </c>
      <c r="J273" s="1531">
        <v>220</v>
      </c>
      <c r="K273" s="1532">
        <v>30</v>
      </c>
      <c r="L273" s="2540" t="s">
        <v>6918</v>
      </c>
      <c r="M273" s="1533">
        <v>29</v>
      </c>
      <c r="N273" s="1534">
        <v>220</v>
      </c>
      <c r="O273" s="1535">
        <v>30</v>
      </c>
      <c r="P273" s="2546" t="s">
        <v>6928</v>
      </c>
      <c r="Q273" s="1536">
        <v>29</v>
      </c>
      <c r="R273" s="3244"/>
      <c r="S273" s="3229"/>
      <c r="T273" s="3244"/>
      <c r="U273" s="3229"/>
      <c r="V273" s="3244"/>
      <c r="W273" s="3229"/>
      <c r="X273" s="255" t="n">
        <f>SUM('6층_부하량(월간_AVG)'!D336:F336)</f>
        <v>3.0855642270049155</v>
      </c>
      <c r="Y273" s="255" t="n">
        <f>SUM('6층_부하량(월간_AVG)'!D368:F368)</f>
        <v>1.938283441148581</v>
      </c>
      <c r="Z273" s="3250" t="n">
        <f>SUM(X273:Y274)</f>
        <v>14.304046420025852</v>
      </c>
      <c r="AA273" s="2838" t="n" cm="1">
        <f t="array" ref="AA273">INDEX('각층분기별_유효전력량(전월)'!$I$2:$I$2017,MATCH(1,("6-DaHall 1-PDU-05"='각층분기별_유효전력량(전월)'!$G$2:$G$2017)*("[branch#029] [A] kWh last month"='각층분기별_유효전력량(전월)'!$H$2:$H$2017),0))</f>
        <v>762.7</v>
      </c>
      <c r="AB273" s="2989" t="n" cm="1">
        <f t="array" ref="AB273">INDEX('각층분기별_유효전력량(전월)'!$I$2:$I$2017,MATCH(1,("6-DaHall 1-PDU-06"='각층분기별_유효전력량(전월)'!$G$2:$G$2017)*("[branch#029] [A] kWh last month"='각층분기별_유효전력량(전월)'!$H$2:$H$2017),0))</f>
        <v>597.0</v>
      </c>
      <c r="AC273" s="3208" t="n">
        <f>SUM(AA273:AB274)</f>
        <v>2792.4</v>
      </c>
      <c r="AD273" s="2954"/>
    </row>
    <row r="274" spans="1:30" ht="27" x14ac:dyDescent="0.15">
      <c r="A274" s="3282"/>
      <c r="B274" s="3299"/>
      <c r="C274" s="3306"/>
      <c r="D274" s="2765" t="s">
        <v>2472</v>
      </c>
      <c r="E274" s="2765" t="s">
        <v>2473</v>
      </c>
      <c r="F274" s="2757" t="s">
        <v>2474</v>
      </c>
      <c r="G274" s="2113" t="s">
        <v>2475</v>
      </c>
      <c r="H274" s="2220" t="str">
        <f t="shared" si="65"/>
        <v>6-DaHall 1-PDU-05-30-23</v>
      </c>
      <c r="I274" s="2221" t="str">
        <f t="shared" si="66"/>
        <v>6-DaHall 1-PDU-06-30-23</v>
      </c>
      <c r="J274" s="1531">
        <v>220</v>
      </c>
      <c r="K274" s="1532">
        <v>30</v>
      </c>
      <c r="L274" s="2540" t="s">
        <v>6918</v>
      </c>
      <c r="M274" s="1533">
        <v>23</v>
      </c>
      <c r="N274" s="1534">
        <v>220</v>
      </c>
      <c r="O274" s="1535">
        <v>30</v>
      </c>
      <c r="P274" s="2546" t="s">
        <v>6928</v>
      </c>
      <c r="Q274" s="1536">
        <v>23</v>
      </c>
      <c r="R274" s="3244"/>
      <c r="S274" s="3229"/>
      <c r="T274" s="3244"/>
      <c r="U274" s="3229"/>
      <c r="V274" s="3244"/>
      <c r="W274" s="3229"/>
      <c r="X274" s="255" t="n">
        <f>SUM('6층_부하량(월간_AVG)'!D333:F333)</f>
        <v>4.600304043410945</v>
      </c>
      <c r="Y274" s="255" t="n">
        <f>SUM('6층_부하량(월간_AVG)'!D365:F365)</f>
        <v>4.679894708461411</v>
      </c>
      <c r="Z274" s="3252"/>
      <c r="AA274" s="2838" t="n" cm="1">
        <f t="array" ref="AA274">INDEX('각층분기별_유효전력량(전월)'!$I$2:$I$2017,MATCH(1,("6-DaHall 1-PDU-05"='각층분기별_유효전력량(전월)'!$G$2:$G$2017)*("[branch#023] [A] kWh last month"='각층분기별_유효전력량(전월)'!$H$2:$H$2017),0))</f>
        <v>701.1</v>
      </c>
      <c r="AB274" s="2989" t="n" cm="1">
        <f t="array" ref="AB274">INDEX('각층분기별_유효전력량(전월)'!$I$2:$I$2017,MATCH(1,("6-DaHall 1-PDU-06"='각층분기별_유효전력량(전월)'!$G$2:$G$2017)*("[branch#023] [A] kWh last month"='각층분기별_유효전력량(전월)'!$H$2:$H$2017),0))</f>
        <v>731.6</v>
      </c>
      <c r="AC274" s="3209"/>
      <c r="AD274" s="2954"/>
    </row>
    <row r="275" spans="1:30" ht="40.5" x14ac:dyDescent="0.15">
      <c r="A275" s="2769" t="s">
        <v>2494</v>
      </c>
      <c r="B275" s="2771" t="s">
        <v>2495</v>
      </c>
      <c r="C275" s="2784" t="s">
        <v>2496</v>
      </c>
      <c r="D275" s="2765" t="s">
        <v>2497</v>
      </c>
      <c r="E275" s="2765" t="s">
        <v>2498</v>
      </c>
      <c r="F275" s="2757" t="s">
        <v>2499</v>
      </c>
      <c r="G275" s="2752" t="s">
        <v>2500</v>
      </c>
      <c r="H275" s="2220" t="str">
        <f t="shared" si="65"/>
        <v>6-DaHall 1-PDU-05-30-31</v>
      </c>
      <c r="I275" s="2221" t="str">
        <f t="shared" si="66"/>
        <v>6-DaHall 1-PDU-06-30-31</v>
      </c>
      <c r="J275" s="1531">
        <v>220</v>
      </c>
      <c r="K275" s="1532">
        <v>30</v>
      </c>
      <c r="L275" s="2540" t="s">
        <v>6918</v>
      </c>
      <c r="M275" s="1533">
        <v>31</v>
      </c>
      <c r="N275" s="1534">
        <v>220</v>
      </c>
      <c r="O275" s="1535">
        <v>30</v>
      </c>
      <c r="P275" s="2546" t="s">
        <v>6928</v>
      </c>
      <c r="Q275" s="1536">
        <v>31</v>
      </c>
      <c r="R275" s="3244"/>
      <c r="S275" s="3229"/>
      <c r="T275" s="3244"/>
      <c r="U275" s="3229"/>
      <c r="V275" s="3244"/>
      <c r="W275" s="3229"/>
      <c r="X275" s="255" t="n">
        <f>SUM('6층_부하량(월간_AVG)'!D337:F337)</f>
        <v>1.747170333581677</v>
      </c>
      <c r="Y275" s="255" t="n">
        <f>SUM('6층_부하량(월간_AVG)'!D369:F369)</f>
        <v>0.9421666006967918</v>
      </c>
      <c r="Z275" s="2557" t="n">
        <f t="shared" ref="Z275:Z277" si="67">SUM(X275:Y275)</f>
        <v>2.6893369342784688</v>
      </c>
      <c r="AA275" s="2838" t="n" cm="1">
        <f t="array" ref="AA275">INDEX('각층분기별_유효전력량(전월)'!$I$2:$I$2017,MATCH(1,("6-DaHall 1-PDU-05"='각층분기별_유효전력량(전월)'!$G$2:$G$2017)*("[branch#031] [A] kWh last month"='각층분기별_유효전력량(전월)'!$H$2:$H$2017),0))</f>
        <v>371.8</v>
      </c>
      <c r="AB275" s="2989" t="n" cm="1">
        <f t="array" ref="AB275">INDEX('각층분기별_유효전력량(전월)'!$I$2:$I$2017,MATCH(1,("6-DaHall 1-PDU-06"='각층분기별_유효전력량(전월)'!$G$2:$G$2017)*("[branch#031] [A] kWh last month"='각층분기별_유효전력량(전월)'!$H$2:$H$2017),0))</f>
        <v>508.8</v>
      </c>
      <c r="AC275" s="2972" t="n">
        <f t="shared" ref="AC275:AC323" si="68">SUM(AA275:AB275)</f>
        <v>880.6</v>
      </c>
      <c r="AD275" s="2954"/>
    </row>
    <row r="276" spans="1:30" ht="40.5" x14ac:dyDescent="0.15">
      <c r="A276" s="2769" t="s">
        <v>2501</v>
      </c>
      <c r="B276" s="2771" t="s">
        <v>2502</v>
      </c>
      <c r="C276" s="2784" t="s">
        <v>2503</v>
      </c>
      <c r="D276" s="2765" t="s">
        <v>2504</v>
      </c>
      <c r="E276" s="2765" t="s">
        <v>2505</v>
      </c>
      <c r="F276" s="2757" t="s">
        <v>2506</v>
      </c>
      <c r="G276" s="2752" t="s">
        <v>2507</v>
      </c>
      <c r="H276" s="2220" t="str">
        <f t="shared" si="65"/>
        <v>6-DaHall 1-PDU-05-30-33</v>
      </c>
      <c r="I276" s="2221" t="str">
        <f t="shared" si="66"/>
        <v>6-DaHall 1-PDU-06-30-33</v>
      </c>
      <c r="J276" s="1531">
        <v>220</v>
      </c>
      <c r="K276" s="1532">
        <v>30</v>
      </c>
      <c r="L276" s="2540" t="s">
        <v>6918</v>
      </c>
      <c r="M276" s="1533">
        <v>33</v>
      </c>
      <c r="N276" s="1534">
        <v>220</v>
      </c>
      <c r="O276" s="1535">
        <v>30</v>
      </c>
      <c r="P276" s="2546" t="s">
        <v>6928</v>
      </c>
      <c r="Q276" s="1536">
        <v>33</v>
      </c>
      <c r="R276" s="3244"/>
      <c r="S276" s="3229"/>
      <c r="T276" s="3244"/>
      <c r="U276" s="3229"/>
      <c r="V276" s="3244"/>
      <c r="W276" s="3229"/>
      <c r="X276" s="255" t="n">
        <f>SUM('6층_부하량(월간_AVG)'!D338:F338)</f>
        <v>1.1757908615639248</v>
      </c>
      <c r="Y276" s="255" t="n">
        <f>SUM('6층_부하량(월간_AVG)'!D370:F370)</f>
        <v>1.1484818323195223</v>
      </c>
      <c r="Z276" s="2557" t="n">
        <f t="shared" si="67"/>
        <v>2.3242726938834473</v>
      </c>
      <c r="AA276" s="2838" t="n" cm="1">
        <f t="array" ref="AA276">INDEX('각층분기별_유효전력량(전월)'!$I$2:$I$2017,MATCH(1,("6-DaHall 1-PDU-05"='각층분기별_유효전력량(전월)'!$G$2:$G$2017)*("[branch#033] [A] kWh last month"='각층분기별_유효전력량(전월)'!$H$2:$H$2017),0))</f>
        <v>211.6</v>
      </c>
      <c r="AB276" s="2989" t="n" cm="1">
        <f t="array" ref="AB276">INDEX('각층분기별_유효전력량(전월)'!$I$2:$I$2017,MATCH(1,("6-DaHall 1-PDU-06"='각층분기별_유효전력량(전월)'!$G$2:$G$2017)*("[branch#033] [A] kWh last month"='각층분기별_유효전력량(전월)'!$H$2:$H$2017),0))</f>
        <v>145.3</v>
      </c>
      <c r="AC276" s="2972" t="n">
        <f t="shared" si="68"/>
        <v>356.9</v>
      </c>
      <c r="AD276" s="2954"/>
    </row>
    <row r="277" spans="1:30" ht="27.75" customHeight="1" thickBot="1" x14ac:dyDescent="0.2">
      <c r="A277" s="2779" t="s">
        <v>2508</v>
      </c>
      <c r="B277" s="2792" t="s">
        <v>2509</v>
      </c>
      <c r="C277" s="2809" t="s">
        <v>2510</v>
      </c>
      <c r="D277" s="2780" t="s">
        <v>2511</v>
      </c>
      <c r="E277" s="2780" t="s">
        <v>2512</v>
      </c>
      <c r="F277" s="2759" t="s">
        <v>2513</v>
      </c>
      <c r="G277" s="2753" t="s">
        <v>2514</v>
      </c>
      <c r="H277" s="2222" t="str">
        <f t="shared" si="65"/>
        <v>6-DaHall 1-PDU-05-30-35</v>
      </c>
      <c r="I277" s="2223" t="str">
        <f t="shared" si="66"/>
        <v>6-DaHall 1-PDU-06-30-35</v>
      </c>
      <c r="J277" s="1539">
        <v>220</v>
      </c>
      <c r="K277" s="1540">
        <v>30</v>
      </c>
      <c r="L277" s="2543" t="s">
        <v>6918</v>
      </c>
      <c r="M277" s="1541">
        <v>35</v>
      </c>
      <c r="N277" s="1542">
        <v>220</v>
      </c>
      <c r="O277" s="1543">
        <v>30</v>
      </c>
      <c r="P277" s="2549" t="s">
        <v>6928</v>
      </c>
      <c r="Q277" s="1544">
        <v>35</v>
      </c>
      <c r="R277" s="3240"/>
      <c r="S277" s="3228"/>
      <c r="T277" s="3240"/>
      <c r="U277" s="3228"/>
      <c r="V277" s="3240"/>
      <c r="W277" s="3228"/>
      <c r="X277" s="333" t="n">
        <f>SUM('6층_부하량(월간_AVG)'!D339:F339)</f>
        <v>1.2188816967823872</v>
      </c>
      <c r="Y277" s="333" t="n">
        <f>SUM('6층_부하량(월간_AVG)'!D371:F371)</f>
        <v>1.08423251029554</v>
      </c>
      <c r="Z277" s="2558" t="n">
        <f t="shared" si="67"/>
        <v>2.303114207077927</v>
      </c>
      <c r="AA277" s="2838" t="n" cm="1">
        <f t="array" ref="AA277">INDEX('각층분기별_유효전력량(전월)'!$I$2:$I$2017,MATCH(1,("6-DaHall 1-PDU-05"='각층분기별_유효전력량(전월)'!$G$2:$G$2017)*("[branch#035] [A] kWh last month"='각층분기별_유효전력량(전월)'!$H$2:$H$2017),0))</f>
        <v>487.7</v>
      </c>
      <c r="AB277" s="2989" t="n" cm="1">
        <f t="array" ref="AB277">INDEX('각층분기별_유효전력량(전월)'!$I$2:$I$2017,MATCH(1,("6-DaHall 1-PDU-06"='각층분기별_유효전력량(전월)'!$G$2:$G$2017)*("[branch#035] [A] kWh last month"='각층분기별_유효전력량(전월)'!$H$2:$H$2017),0))</f>
        <v>628.1</v>
      </c>
      <c r="AC277" s="2977" t="n">
        <f t="shared" si="68"/>
        <v>1115.8</v>
      </c>
      <c r="AD277" s="2958"/>
    </row>
    <row r="278" spans="1:30" ht="14.25" thickTop="1" x14ac:dyDescent="0.15">
      <c r="A278" s="1105" t="s">
        <v>483</v>
      </c>
      <c r="B278" s="834" t="s">
        <v>2515</v>
      </c>
      <c r="C278" s="992"/>
      <c r="D278" s="834"/>
      <c r="E278" s="834"/>
      <c r="F278" s="902"/>
      <c r="G278" s="903"/>
      <c r="H278" s="2218"/>
      <c r="I278" s="2219"/>
      <c r="J278" s="1523"/>
      <c r="K278" s="1524"/>
      <c r="L278" s="902"/>
      <c r="M278" s="1525"/>
      <c r="N278" s="1526"/>
      <c r="O278" s="1527"/>
      <c r="P278" s="903"/>
      <c r="Q278" s="1528"/>
      <c r="R278" s="835"/>
      <c r="S278" s="836"/>
      <c r="T278" s="835"/>
      <c r="U278" s="836"/>
      <c r="V278" s="835"/>
      <c r="W278" s="836"/>
      <c r="X278" s="857"/>
      <c r="Y278" s="857"/>
      <c r="Z278" s="2555"/>
      <c r="AA278" s="2999"/>
      <c r="AB278" s="3000"/>
      <c r="AC278" s="2995" t="n">
        <f t="shared" si="68"/>
        <v>0.0</v>
      </c>
      <c r="AD278" s="2971" t="s">
        <v>1579</v>
      </c>
    </row>
    <row r="279" spans="1:30" x14ac:dyDescent="0.15">
      <c r="A279" s="2769" t="s">
        <v>472</v>
      </c>
      <c r="B279" s="2834" t="s">
        <v>2516</v>
      </c>
      <c r="C279" s="904"/>
      <c r="D279" s="2834"/>
      <c r="E279" s="2834"/>
      <c r="F279" s="2829"/>
      <c r="G279" s="2812"/>
      <c r="H279" s="2229"/>
      <c r="I279" s="2230"/>
      <c r="J279" s="1560"/>
      <c r="K279" s="1561"/>
      <c r="L279" s="2829"/>
      <c r="M279" s="1562"/>
      <c r="N279" s="1563"/>
      <c r="O279" s="1564"/>
      <c r="P279" s="2812"/>
      <c r="Q279" s="1565"/>
      <c r="R279" s="838"/>
      <c r="S279" s="839"/>
      <c r="T279" s="838"/>
      <c r="U279" s="839"/>
      <c r="V279" s="838"/>
      <c r="W279" s="839"/>
      <c r="X279" s="254"/>
      <c r="Y279" s="254"/>
      <c r="Z279" s="2556"/>
      <c r="AA279" s="2983"/>
      <c r="AB279" s="2859"/>
      <c r="AC279" s="2972" t="n">
        <f t="shared" si="68"/>
        <v>0.0</v>
      </c>
      <c r="AD279" s="2991" t="s">
        <v>1579</v>
      </c>
    </row>
    <row r="280" spans="1:30" ht="27" x14ac:dyDescent="0.15">
      <c r="A280" s="2769" t="s">
        <v>461</v>
      </c>
      <c r="B280" s="2765" t="s">
        <v>2517</v>
      </c>
      <c r="C280" s="2784"/>
      <c r="D280" s="2765" t="s">
        <v>2518</v>
      </c>
      <c r="E280" s="2765" t="s">
        <v>2519</v>
      </c>
      <c r="F280" s="2757" t="s">
        <v>2520</v>
      </c>
      <c r="G280" s="2752" t="s">
        <v>2521</v>
      </c>
      <c r="H280" s="2220" t="str">
        <f t="shared" ref="H280:H285" si="69">"6-DaHall 1-PDU-"&amp;L280&amp;"-"&amp;K280&amp;"-"&amp;M280</f>
        <v>6-DaHall 1-PDU-07-30-22</v>
      </c>
      <c r="I280" s="2221" t="str">
        <f t="shared" ref="I280:I285" si="70">"6-DaHall 1-PDU-"&amp;P280&amp;"-"&amp;O280&amp;"-"&amp;Q280</f>
        <v>6-DaHall 1-PDU-08-30-22</v>
      </c>
      <c r="J280" s="1545">
        <v>220</v>
      </c>
      <c r="K280" s="1546">
        <v>30</v>
      </c>
      <c r="L280" s="2540" t="s">
        <v>6919</v>
      </c>
      <c r="M280" s="1533">
        <v>22</v>
      </c>
      <c r="N280" s="1537">
        <v>220</v>
      </c>
      <c r="O280" s="1538">
        <v>30</v>
      </c>
      <c r="P280" s="2546" t="s">
        <v>6931</v>
      </c>
      <c r="Q280" s="1536">
        <v>22</v>
      </c>
      <c r="R280" s="3239" t="s">
        <v>2522</v>
      </c>
      <c r="S280" s="3227" t="s">
        <v>2523</v>
      </c>
      <c r="T280" s="3239" t="s">
        <v>2524</v>
      </c>
      <c r="U280" s="3227" t="s">
        <v>2525</v>
      </c>
      <c r="V280" s="3239" t="s">
        <v>2201</v>
      </c>
      <c r="W280" s="3227" t="s">
        <v>2202</v>
      </c>
      <c r="X280" s="270" t="n">
        <f>SUM('6층_부하량(월간_AVG)'!L396:N396)</f>
        <v>0.0</v>
      </c>
      <c r="Y280" s="270" t="n">
        <f>SUM('6층_부하량(월간_AVG)'!L428:N428)</f>
        <v>0.0</v>
      </c>
      <c r="Z280" s="2566" t="n">
        <f>SUM(X280:Y280)</f>
        <v>0.0</v>
      </c>
      <c r="AA280" s="2838" t="n" cm="1">
        <f t="array" ref="AA280">INDEX('각층분기별_유효전력량(전월)'!$I$2:$I$2017,MATCH(1,("6-DaHall 1-PDU-07"='각층분기별_유효전력량(전월)'!$G$2:$G$2017)*("[branch#022] [A] kWh last month"='각층분기별_유효전력량(전월)'!$H$2:$H$2017),0))</f>
        <v>0.0</v>
      </c>
      <c r="AB280" s="2989" t="n" cm="1">
        <f t="array" ref="AB280">INDEX('각층분기별_유효전력량(전월)'!$I$2:$I$2017,MATCH(1,("6-DaHall 1-PDU-08"='각층분기별_유효전력량(전월)'!$G$2:$G$2017)*("[branch#022] [A] kWh last month"='각층분기별_유효전력량(전월)'!$H$2:$H$2017),0))</f>
        <v>0.0</v>
      </c>
      <c r="AC280" s="2972" t="n">
        <f t="shared" si="68"/>
        <v>0.0</v>
      </c>
      <c r="AD280" s="2954"/>
    </row>
    <row r="281" spans="1:30" ht="27" x14ac:dyDescent="0.15">
      <c r="A281" s="2769" t="s">
        <v>456</v>
      </c>
      <c r="B281" s="2765" t="s">
        <v>2526</v>
      </c>
      <c r="C281" s="2784"/>
      <c r="D281" s="2765" t="s">
        <v>2527</v>
      </c>
      <c r="E281" s="2765" t="s">
        <v>2528</v>
      </c>
      <c r="F281" s="2757" t="s">
        <v>2529</v>
      </c>
      <c r="G281" s="2752" t="s">
        <v>2530</v>
      </c>
      <c r="H281" s="2220" t="str">
        <f t="shared" si="69"/>
        <v>6-DaHall 1-PDU-07-30-24</v>
      </c>
      <c r="I281" s="2221" t="str">
        <f t="shared" si="70"/>
        <v>6-DaHall 1-PDU-08-30-24</v>
      </c>
      <c r="J281" s="1545">
        <v>220</v>
      </c>
      <c r="K281" s="1546">
        <v>30</v>
      </c>
      <c r="L281" s="2540" t="s">
        <v>6919</v>
      </c>
      <c r="M281" s="1533">
        <v>24</v>
      </c>
      <c r="N281" s="1537">
        <v>220</v>
      </c>
      <c r="O281" s="1538">
        <v>30</v>
      </c>
      <c r="P281" s="2546" t="s">
        <v>6931</v>
      </c>
      <c r="Q281" s="1536">
        <v>24</v>
      </c>
      <c r="R281" s="3244"/>
      <c r="S281" s="3229"/>
      <c r="T281" s="3244"/>
      <c r="U281" s="3229"/>
      <c r="V281" s="3244"/>
      <c r="W281" s="3229"/>
      <c r="X281" s="270" t="n">
        <f>SUM('6층_부하량(월간_AVG)'!L397:N397)</f>
        <v>0.0</v>
      </c>
      <c r="Y281" s="270" t="n">
        <f>SUM('6층_부하량(월간_AVG)'!L429:N429)</f>
        <v>0.0</v>
      </c>
      <c r="Z281" s="2566" t="n">
        <f>SUM(X281:Y281)</f>
        <v>0.0</v>
      </c>
      <c r="AA281" s="2838" t="n" cm="1">
        <f t="array" ref="AA281">INDEX('각층분기별_유효전력량(전월)'!$I$2:$I$2017,MATCH(1,("6-DaHall 1-PDU-07"='각층분기별_유효전력량(전월)'!$G$2:$G$2017)*("[branch#024] [A] kWh last month"='각층분기별_유효전력량(전월)'!$H$2:$H$2017),0))</f>
        <v>0.0</v>
      </c>
      <c r="AB281" s="2989" t="n" cm="1">
        <f t="array" ref="AB281">INDEX('각층분기별_유효전력량(전월)'!$I$2:$I$2017,MATCH(1,("6-DaHall 1-PDU-08"='각층분기별_유효전력량(전월)'!$G$2:$G$2017)*("[branch#024] [A] kWh last month"='각층분기별_유효전력량(전월)'!$H$2:$H$2017),0))</f>
        <v>0.0</v>
      </c>
      <c r="AC281" s="2972" t="n">
        <f t="shared" si="68"/>
        <v>0.0</v>
      </c>
      <c r="AD281" s="2954"/>
    </row>
    <row r="282" spans="1:30" ht="27" x14ac:dyDescent="0.15">
      <c r="A282" s="2769" t="s">
        <v>445</v>
      </c>
      <c r="B282" s="2765" t="s">
        <v>2531</v>
      </c>
      <c r="C282" s="2784"/>
      <c r="D282" s="2765" t="s">
        <v>2532</v>
      </c>
      <c r="E282" s="2765" t="s">
        <v>2533</v>
      </c>
      <c r="F282" s="2757" t="s">
        <v>2534</v>
      </c>
      <c r="G282" s="2752" t="s">
        <v>2535</v>
      </c>
      <c r="H282" s="2220" t="str">
        <f t="shared" si="69"/>
        <v>6-DaHall 1-PDU-07-30-26</v>
      </c>
      <c r="I282" s="2221" t="str">
        <f t="shared" si="70"/>
        <v>6-DaHall 1-PDU-08-30-26</v>
      </c>
      <c r="J282" s="1545">
        <v>220</v>
      </c>
      <c r="K282" s="1546">
        <v>30</v>
      </c>
      <c r="L282" s="2540" t="s">
        <v>6919</v>
      </c>
      <c r="M282" s="1533">
        <v>26</v>
      </c>
      <c r="N282" s="1537">
        <v>220</v>
      </c>
      <c r="O282" s="1538">
        <v>30</v>
      </c>
      <c r="P282" s="2546" t="s">
        <v>6931</v>
      </c>
      <c r="Q282" s="1536">
        <v>26</v>
      </c>
      <c r="R282" s="3244"/>
      <c r="S282" s="3229"/>
      <c r="T282" s="3244"/>
      <c r="U282" s="3229"/>
      <c r="V282" s="3244"/>
      <c r="W282" s="3229"/>
      <c r="X282" s="270" t="n">
        <f>SUM('6층_부하량(월간_AVG)'!L398:N398)</f>
        <v>0.0</v>
      </c>
      <c r="Y282" s="270" t="n">
        <f>SUM('6층_부하량(월간_AVG)'!L430:N430)</f>
        <v>0.0</v>
      </c>
      <c r="Z282" s="2566" t="n">
        <f>SUM(X282:Y282)</f>
        <v>0.0</v>
      </c>
      <c r="AA282" s="2838" t="n" cm="1">
        <f t="array" ref="AA282">INDEX('각층분기별_유효전력량(전월)'!$I$2:$I$2017,MATCH(1,("6-DaHall 1-PDU-07"='각층분기별_유효전력량(전월)'!$G$2:$G$2017)*("[branch#026] [A] kWh last month"='각층분기별_유효전력량(전월)'!$H$2:$H$2017),0))</f>
        <v>0.0</v>
      </c>
      <c r="AB282" s="2989" t="n" cm="1">
        <f t="array" ref="AB282">INDEX('각층분기별_유효전력량(전월)'!$I$2:$I$2017,MATCH(1,("6-DaHall 1-PDU-08"='각층분기별_유효전력량(전월)'!$G$2:$G$2017)*("[branch#026] [A] kWh last month"='각층분기별_유효전력량(전월)'!$H$2:$H$2017),0))</f>
        <v>0.0</v>
      </c>
      <c r="AC282" s="2972" t="n">
        <f t="shared" si="68"/>
        <v>0.0</v>
      </c>
      <c r="AD282" s="2954"/>
    </row>
    <row r="283" spans="1:30" ht="27" x14ac:dyDescent="0.15">
      <c r="A283" s="2769" t="s">
        <v>439</v>
      </c>
      <c r="B283" s="2765" t="s">
        <v>2536</v>
      </c>
      <c r="C283" s="2784"/>
      <c r="D283" s="2765" t="s">
        <v>2537</v>
      </c>
      <c r="E283" s="2765" t="s">
        <v>2538</v>
      </c>
      <c r="F283" s="2757" t="s">
        <v>2539</v>
      </c>
      <c r="G283" s="2752" t="s">
        <v>2540</v>
      </c>
      <c r="H283" s="2220" t="str">
        <f t="shared" si="69"/>
        <v>6-DaHall 1-PDU-07-30-28</v>
      </c>
      <c r="I283" s="2221" t="str">
        <f t="shared" si="70"/>
        <v>6-DaHall 1-PDU-08-30-28</v>
      </c>
      <c r="J283" s="1545">
        <v>220</v>
      </c>
      <c r="K283" s="1546">
        <v>30</v>
      </c>
      <c r="L283" s="2540" t="s">
        <v>6919</v>
      </c>
      <c r="M283" s="1533">
        <v>28</v>
      </c>
      <c r="N283" s="1537">
        <v>220</v>
      </c>
      <c r="O283" s="1538">
        <v>30</v>
      </c>
      <c r="P283" s="2546" t="s">
        <v>6931</v>
      </c>
      <c r="Q283" s="1536">
        <v>28</v>
      </c>
      <c r="R283" s="3234"/>
      <c r="S283" s="3243"/>
      <c r="T283" s="3234"/>
      <c r="U283" s="3243"/>
      <c r="V283" s="3244"/>
      <c r="W283" s="3229"/>
      <c r="X283" s="270" t="n">
        <f>SUM('6층_부하량(월간_AVG)'!L399:N399)</f>
        <v>0.0</v>
      </c>
      <c r="Y283" s="270" t="n">
        <f>SUM('6층_부하량(월간_AVG)'!L431:N431)</f>
        <v>0.0</v>
      </c>
      <c r="Z283" s="2566" t="n">
        <f>SUM(X283:Y283)</f>
        <v>0.0</v>
      </c>
      <c r="AA283" s="2838" t="n" cm="1">
        <f t="array" ref="AA283">INDEX('각층분기별_유효전력량(전월)'!$I$2:$I$2017,MATCH(1,("6-DaHall 1-PDU-07"='각층분기별_유효전력량(전월)'!$G$2:$G$2017)*("[branch#028] [A] kWh last month"='각층분기별_유효전력량(전월)'!$H$2:$H$2017),0))</f>
        <v>0.0</v>
      </c>
      <c r="AB283" s="2989" t="n" cm="1">
        <f t="array" ref="AB283">INDEX('각층분기별_유효전력량(전월)'!$I$2:$I$2017,MATCH(1,("6-DaHall 1-PDU-08"='각층분기별_유효전력량(전월)'!$G$2:$G$2017)*("[branch#028] [A] kWh last month"='각층분기별_유효전력량(전월)'!$H$2:$H$2017),0))</f>
        <v>0.0</v>
      </c>
      <c r="AC283" s="2972" t="n">
        <f t="shared" si="68"/>
        <v>0.0</v>
      </c>
      <c r="AD283" s="2954"/>
    </row>
    <row r="284" spans="1:30" ht="27" x14ac:dyDescent="0.15">
      <c r="A284" s="2769" t="s">
        <v>434</v>
      </c>
      <c r="B284" s="2765" t="s">
        <v>2541</v>
      </c>
      <c r="C284" s="2784"/>
      <c r="D284" s="2765" t="s">
        <v>2542</v>
      </c>
      <c r="E284" s="2765" t="s">
        <v>2543</v>
      </c>
      <c r="F284" s="2757" t="s">
        <v>2544</v>
      </c>
      <c r="G284" s="2752" t="s">
        <v>2545</v>
      </c>
      <c r="H284" s="2220" t="str">
        <f t="shared" si="69"/>
        <v>6-DaHall 1-PDU-03-30-33</v>
      </c>
      <c r="I284" s="2221" t="str">
        <f t="shared" si="70"/>
        <v>6-DaHall 1-PDU-04-30-33</v>
      </c>
      <c r="J284" s="1545">
        <v>220</v>
      </c>
      <c r="K284" s="1546">
        <v>30</v>
      </c>
      <c r="L284" s="2540" t="s">
        <v>6926</v>
      </c>
      <c r="M284" s="1533">
        <v>33</v>
      </c>
      <c r="N284" s="1537">
        <v>220</v>
      </c>
      <c r="O284" s="1538">
        <v>30</v>
      </c>
      <c r="P284" s="2546" t="s">
        <v>6922</v>
      </c>
      <c r="Q284" s="1536">
        <v>33</v>
      </c>
      <c r="R284" s="3239" t="s">
        <v>2546</v>
      </c>
      <c r="S284" s="3227" t="s">
        <v>2372</v>
      </c>
      <c r="T284" s="3239" t="s">
        <v>2373</v>
      </c>
      <c r="U284" s="3227" t="s">
        <v>2374</v>
      </c>
      <c r="V284" s="3244"/>
      <c r="W284" s="3229"/>
      <c r="X284" s="270" t="n">
        <f>SUM('6층_부하량(월간_AVG)'!D278:F278)</f>
        <v>0.0</v>
      </c>
      <c r="Y284" s="270" t="n">
        <f>SUM('6층_부하량(월간_AVG)'!D308:F308)</f>
        <v>0.0</v>
      </c>
      <c r="Z284" s="2566" t="n">
        <f>SUM(X284:Y284)</f>
        <v>0.0</v>
      </c>
      <c r="AA284" s="2838" t="n" cm="1">
        <f t="array" ref="AA284">INDEX('각층분기별_유효전력량(전월)'!$I$2:$I$2017,MATCH(1,("6-DaHall 1-PDU-03"='각층분기별_유효전력량(전월)'!$G$2:$G$2017)*("[branch#033] [A] kWh last month"='각층분기별_유효전력량(전월)'!$H$2:$H$2017),0))</f>
        <v>0.0</v>
      </c>
      <c r="AB284" s="2989" t="n" cm="1">
        <f t="array" ref="AB284">INDEX('각층분기별_유효전력량(전월)'!$I$2:$I$2017,MATCH(1,("6-DaHall 1-PDU-04"='각층분기별_유효전력량(전월)'!$G$2:$G$2017)*("[branch#033] [A] kWh last month"='각층분기별_유효전력량(전월)'!$H$2:$H$2017),0))</f>
        <v>0.0</v>
      </c>
      <c r="AC284" s="2972" t="n">
        <f t="shared" si="68"/>
        <v>0.0</v>
      </c>
      <c r="AD284" s="2954"/>
    </row>
    <row r="285" spans="1:30" ht="27.75" thickBot="1" x14ac:dyDescent="0.2">
      <c r="A285" s="2779" t="s">
        <v>429</v>
      </c>
      <c r="B285" s="2780" t="s">
        <v>2547</v>
      </c>
      <c r="C285" s="2809"/>
      <c r="D285" s="2780" t="s">
        <v>2548</v>
      </c>
      <c r="E285" s="2780" t="s">
        <v>2549</v>
      </c>
      <c r="F285" s="2759" t="s">
        <v>2550</v>
      </c>
      <c r="G285" s="2753" t="s">
        <v>2551</v>
      </c>
      <c r="H285" s="2222" t="str">
        <f t="shared" si="69"/>
        <v>6-DaHall 1-PDU-03-30-35</v>
      </c>
      <c r="I285" s="2223" t="str">
        <f t="shared" si="70"/>
        <v>6-DaHall 1-PDU-04-30-35</v>
      </c>
      <c r="J285" s="1566">
        <v>220</v>
      </c>
      <c r="K285" s="1567">
        <v>30</v>
      </c>
      <c r="L285" s="2543" t="s">
        <v>6926</v>
      </c>
      <c r="M285" s="1541">
        <v>35</v>
      </c>
      <c r="N285" s="1568">
        <v>220</v>
      </c>
      <c r="O285" s="1569">
        <v>30</v>
      </c>
      <c r="P285" s="2549" t="s">
        <v>6922</v>
      </c>
      <c r="Q285" s="1544">
        <v>35</v>
      </c>
      <c r="R285" s="3240"/>
      <c r="S285" s="3228"/>
      <c r="T285" s="3240"/>
      <c r="U285" s="3228"/>
      <c r="V285" s="3240"/>
      <c r="W285" s="3228"/>
      <c r="X285" s="335" t="n">
        <f>SUM('6층_부하량(월간_AVG)'!D279:F279)</f>
        <v>0.0</v>
      </c>
      <c r="Y285" s="335" t="n">
        <f>SUM('6층_부하량(월간_AVG)'!D309:F309)</f>
        <v>0.0</v>
      </c>
      <c r="Z285" s="2567" t="n">
        <f t="shared" ref="Z285" si="71">SUM(X285:Y285)</f>
        <v>0.0</v>
      </c>
      <c r="AA285" s="2838" t="n" cm="1">
        <f t="array" ref="AA285">INDEX('각층분기별_유효전력량(전월)'!$I$2:$I$2017,MATCH(1,("6-DaHall 1-PDU-03"='각층분기별_유효전력량(전월)'!$G$2:$G$2017)*("[branch#035] [A] kWh last month"='각층분기별_유효전력량(전월)'!$H$2:$H$2017),0))</f>
        <v>0.0</v>
      </c>
      <c r="AB285" s="2989" t="n" cm="1">
        <f t="array" ref="AB285">INDEX('각층분기별_유효전력량(전월)'!$I$2:$I$2017,MATCH(1,("6-DaHall 1-PDU-04"='각층분기별_유효전력량(전월)'!$G$2:$G$2017)*("[branch#035] [A] kWh last month"='각층분기별_유효전력량(전월)'!$H$2:$H$2017),0))</f>
        <v>0.0</v>
      </c>
      <c r="AC285" s="2977" t="n">
        <f t="shared" si="68"/>
        <v>0.0</v>
      </c>
      <c r="AD285" s="2958"/>
    </row>
    <row r="286" spans="1:30" ht="14.25" thickTop="1" x14ac:dyDescent="0.15">
      <c r="A286" s="1105" t="s">
        <v>2552</v>
      </c>
      <c r="B286" s="834"/>
      <c r="C286" s="834"/>
      <c r="D286" s="834"/>
      <c r="E286" s="834"/>
      <c r="F286" s="902"/>
      <c r="G286" s="903"/>
      <c r="H286" s="2218"/>
      <c r="I286" s="2219"/>
      <c r="J286" s="1570"/>
      <c r="K286" s="1571"/>
      <c r="L286" s="902"/>
      <c r="M286" s="1525"/>
      <c r="N286" s="1572"/>
      <c r="O286" s="1573"/>
      <c r="P286" s="903"/>
      <c r="Q286" s="1528"/>
      <c r="R286" s="902"/>
      <c r="S286" s="903"/>
      <c r="T286" s="902"/>
      <c r="U286" s="903"/>
      <c r="V286" s="902"/>
      <c r="W286" s="903"/>
      <c r="X286" s="841"/>
      <c r="Y286" s="841"/>
      <c r="Z286" s="2562"/>
      <c r="AA286" s="2969"/>
      <c r="AB286" s="2970"/>
      <c r="AC286" s="2978" t="n">
        <f t="shared" si="68"/>
        <v>0.0</v>
      </c>
      <c r="AD286" s="2971" t="s">
        <v>1579</v>
      </c>
    </row>
    <row r="287" spans="1:30" x14ac:dyDescent="0.15">
      <c r="A287" s="2769" t="s">
        <v>2553</v>
      </c>
      <c r="B287" s="2834" t="s">
        <v>2554</v>
      </c>
      <c r="C287" s="2834"/>
      <c r="D287" s="2834"/>
      <c r="E287" s="2834"/>
      <c r="F287" s="2829"/>
      <c r="G287" s="2812"/>
      <c r="H287" s="2229"/>
      <c r="I287" s="2230"/>
      <c r="J287" s="1560"/>
      <c r="K287" s="1561"/>
      <c r="L287" s="2829"/>
      <c r="M287" s="1562"/>
      <c r="N287" s="1563"/>
      <c r="O287" s="1564"/>
      <c r="P287" s="2812"/>
      <c r="Q287" s="1565"/>
      <c r="R287" s="838"/>
      <c r="S287" s="839"/>
      <c r="T287" s="838"/>
      <c r="U287" s="839"/>
      <c r="V287" s="838"/>
      <c r="W287" s="839"/>
      <c r="X287" s="840"/>
      <c r="Y287" s="840"/>
      <c r="Z287" s="2564" t="n">
        <f t="shared" ref="Z287:Z295" si="72">SUM(X287:Y287)</f>
        <v>0.0</v>
      </c>
      <c r="AA287" s="2840"/>
      <c r="AB287" s="2859"/>
      <c r="AC287" s="2972" t="n">
        <f t="shared" si="68"/>
        <v>0.0</v>
      </c>
      <c r="AD287" s="3001" t="s">
        <v>1579</v>
      </c>
    </row>
    <row r="288" spans="1:30" x14ac:dyDescent="0.15">
      <c r="A288" s="2769" t="s">
        <v>2555</v>
      </c>
      <c r="B288" s="2834" t="s">
        <v>2556</v>
      </c>
      <c r="C288" s="2834"/>
      <c r="D288" s="2834"/>
      <c r="E288" s="2834"/>
      <c r="F288" s="2829"/>
      <c r="G288" s="2812"/>
      <c r="H288" s="2229"/>
      <c r="I288" s="2230"/>
      <c r="J288" s="1560"/>
      <c r="K288" s="1561"/>
      <c r="L288" s="2829"/>
      <c r="M288" s="1562"/>
      <c r="N288" s="1563"/>
      <c r="O288" s="1564"/>
      <c r="P288" s="2812"/>
      <c r="Q288" s="1565"/>
      <c r="R288" s="838"/>
      <c r="S288" s="839"/>
      <c r="T288" s="838"/>
      <c r="U288" s="839"/>
      <c r="V288" s="838"/>
      <c r="W288" s="839"/>
      <c r="X288" s="840"/>
      <c r="Y288" s="840"/>
      <c r="Z288" s="2564" t="n">
        <f t="shared" si="72"/>
        <v>0.0</v>
      </c>
      <c r="AA288" s="2840"/>
      <c r="AB288" s="2992"/>
      <c r="AC288" s="2990" t="n">
        <f t="shared" si="68"/>
        <v>0.0</v>
      </c>
      <c r="AD288" s="2991" t="s">
        <v>1579</v>
      </c>
    </row>
    <row r="289" spans="1:30" x14ac:dyDescent="0.15">
      <c r="A289" s="2769" t="s">
        <v>2557</v>
      </c>
      <c r="B289" s="2834" t="s">
        <v>2558</v>
      </c>
      <c r="C289" s="2834"/>
      <c r="D289" s="2834"/>
      <c r="E289" s="2834"/>
      <c r="F289" s="2829"/>
      <c r="G289" s="2812"/>
      <c r="H289" s="2229"/>
      <c r="I289" s="2230"/>
      <c r="J289" s="1560"/>
      <c r="K289" s="1561"/>
      <c r="L289" s="2829"/>
      <c r="M289" s="1562"/>
      <c r="N289" s="1563"/>
      <c r="O289" s="1564"/>
      <c r="P289" s="2812"/>
      <c r="Q289" s="1565"/>
      <c r="R289" s="838"/>
      <c r="S289" s="839"/>
      <c r="T289" s="838"/>
      <c r="U289" s="839"/>
      <c r="V289" s="838"/>
      <c r="W289" s="839"/>
      <c r="X289" s="840"/>
      <c r="Y289" s="840"/>
      <c r="Z289" s="2564" t="n">
        <f t="shared" si="72"/>
        <v>0.0</v>
      </c>
      <c r="AA289" s="2840"/>
      <c r="AB289" s="2992"/>
      <c r="AC289" s="2990" t="n">
        <f t="shared" si="68"/>
        <v>0.0</v>
      </c>
      <c r="AD289" s="2991" t="s">
        <v>1579</v>
      </c>
    </row>
    <row r="290" spans="1:30" ht="27" x14ac:dyDescent="0.15">
      <c r="A290" s="2769" t="s">
        <v>2559</v>
      </c>
      <c r="B290" s="2765" t="s">
        <v>2560</v>
      </c>
      <c r="C290" s="2765"/>
      <c r="D290" s="2765" t="s">
        <v>2561</v>
      </c>
      <c r="E290" s="2765" t="s">
        <v>2562</v>
      </c>
      <c r="F290" s="2757" t="s">
        <v>2563</v>
      </c>
      <c r="G290" s="2752" t="s">
        <v>2564</v>
      </c>
      <c r="H290" s="2220" t="str">
        <f t="shared" ref="H290:H295" si="73">"6-DaHall 1-PDU-"&amp;L290&amp;"-"&amp;K290&amp;"-"&amp;M290</f>
        <v>6-DaHall 1-PDU-07-30-36</v>
      </c>
      <c r="I290" s="2221" t="str">
        <f t="shared" ref="I290:I295" si="74">"6-DaHall 1-PDU-"&amp;P290&amp;"-"&amp;O290&amp;"-"&amp;Q290</f>
        <v>6-DaHall 1-PDU-08-30-36</v>
      </c>
      <c r="J290" s="1545">
        <v>220</v>
      </c>
      <c r="K290" s="1546">
        <v>30</v>
      </c>
      <c r="L290" s="2540" t="s">
        <v>6919</v>
      </c>
      <c r="M290" s="1533">
        <v>36</v>
      </c>
      <c r="N290" s="1537">
        <v>220</v>
      </c>
      <c r="O290" s="1538">
        <v>30</v>
      </c>
      <c r="P290" s="2546" t="s">
        <v>6931</v>
      </c>
      <c r="Q290" s="1536">
        <v>36</v>
      </c>
      <c r="R290" s="3239" t="s">
        <v>2522</v>
      </c>
      <c r="S290" s="3227" t="s">
        <v>2523</v>
      </c>
      <c r="T290" s="3239" t="s">
        <v>2524</v>
      </c>
      <c r="U290" s="3227" t="s">
        <v>2525</v>
      </c>
      <c r="V290" s="3239" t="s">
        <v>2201</v>
      </c>
      <c r="W290" s="3227" t="s">
        <v>2202</v>
      </c>
      <c r="X290" s="255" t="n">
        <f>SUM('6층_부하량(월간_AVG)'!L403:N403)</f>
        <v>0.0</v>
      </c>
      <c r="Y290" s="255" t="n">
        <f>SUM('6층_부하량(월간_AVG)'!L435:N435)</f>
        <v>0.0</v>
      </c>
      <c r="Z290" s="2557" t="n">
        <f t="shared" si="72"/>
        <v>0.0</v>
      </c>
      <c r="AA290" s="2838" t="n" cm="1">
        <f t="array" ref="AA290">INDEX('각층분기별_유효전력량(전월)'!$I$2:$I$2017,MATCH(1,("6-DaHall 1-PDU-07"='각층분기별_유효전력량(전월)'!$G$2:$G$2017)*("[branch#036] [A] kWh last month"='각층분기별_유효전력량(전월)'!$H$2:$H$2017),0))</f>
        <v>0.0</v>
      </c>
      <c r="AB290" s="2989" t="n" cm="1">
        <f t="array" ref="AB290">INDEX('각층분기별_유효전력량(전월)'!$I$2:$I$2017,MATCH(1,("6-DaHall 1-PDU-08"='각층분기별_유효전력량(전월)'!$G$2:$G$2017)*("[branch#036] [A] kWh last month"='각층분기별_유효전력량(전월)'!$H$2:$H$2017),0))</f>
        <v>0.0</v>
      </c>
      <c r="AC290" s="2972" t="n">
        <f t="shared" si="68"/>
        <v>0.0</v>
      </c>
      <c r="AD290" s="2954"/>
    </row>
    <row r="291" spans="1:30" ht="27" x14ac:dyDescent="0.15">
      <c r="A291" s="2769" t="s">
        <v>2565</v>
      </c>
      <c r="B291" s="2765" t="s">
        <v>2566</v>
      </c>
      <c r="C291" s="2765"/>
      <c r="D291" s="2765" t="s">
        <v>2567</v>
      </c>
      <c r="E291" s="2765" t="s">
        <v>2568</v>
      </c>
      <c r="F291" s="2757" t="s">
        <v>2569</v>
      </c>
      <c r="G291" s="2752" t="s">
        <v>2570</v>
      </c>
      <c r="H291" s="2220" t="str">
        <f t="shared" si="73"/>
        <v>6-DaHall 1-PDU-07-30-38</v>
      </c>
      <c r="I291" s="2221" t="str">
        <f t="shared" si="74"/>
        <v>6-DaHall 1-PDU-08-30-38</v>
      </c>
      <c r="J291" s="1545">
        <v>220</v>
      </c>
      <c r="K291" s="1546">
        <v>30</v>
      </c>
      <c r="L291" s="2540" t="s">
        <v>6919</v>
      </c>
      <c r="M291" s="1533">
        <v>38</v>
      </c>
      <c r="N291" s="1537">
        <v>220</v>
      </c>
      <c r="O291" s="1538">
        <v>30</v>
      </c>
      <c r="P291" s="2546" t="s">
        <v>6931</v>
      </c>
      <c r="Q291" s="1536">
        <v>38</v>
      </c>
      <c r="R291" s="3244"/>
      <c r="S291" s="3229"/>
      <c r="T291" s="3244"/>
      <c r="U291" s="3229"/>
      <c r="V291" s="3244"/>
      <c r="W291" s="3229"/>
      <c r="X291" s="255" t="n">
        <f>SUM('6층_부하량(월간_AVG)'!L404:N404)</f>
        <v>0.0</v>
      </c>
      <c r="Y291" s="255" t="n">
        <f>SUM('6층_부하량(월간_AVG)'!L436:N436)</f>
        <v>0.0</v>
      </c>
      <c r="Z291" s="2557" t="n">
        <f t="shared" si="72"/>
        <v>0.0</v>
      </c>
      <c r="AA291" s="2838" t="n" cm="1">
        <f t="array" ref="AA291">INDEX('각층분기별_유효전력량(전월)'!$I$2:$I$2017,MATCH(1,("6-DaHall 1-PDU-07"='각층분기별_유효전력량(전월)'!$G$2:$G$2017)*("[branch#038] [A] kWh last month"='각층분기별_유효전력량(전월)'!$H$2:$H$2017),0))</f>
        <v>0.0</v>
      </c>
      <c r="AB291" s="2989" t="n" cm="1">
        <f t="array" ref="AB291">INDEX('각층분기별_유효전력량(전월)'!$I$2:$I$2017,MATCH(1,("6-DaHall 1-PDU-08"='각층분기별_유효전력량(전월)'!$G$2:$G$2017)*("[branch#038] [A] kWh last month"='각층분기별_유효전력량(전월)'!$H$2:$H$2017),0))</f>
        <v>0.0</v>
      </c>
      <c r="AC291" s="2972" t="n">
        <f t="shared" si="68"/>
        <v>0.0</v>
      </c>
      <c r="AD291" s="2954"/>
    </row>
    <row r="292" spans="1:30" ht="27" x14ac:dyDescent="0.15">
      <c r="A292" s="2769" t="s">
        <v>2571</v>
      </c>
      <c r="B292" s="2765" t="s">
        <v>2572</v>
      </c>
      <c r="C292" s="2765"/>
      <c r="D292" s="2765" t="s">
        <v>2573</v>
      </c>
      <c r="E292" s="2765" t="s">
        <v>2574</v>
      </c>
      <c r="F292" s="2757" t="s">
        <v>2575</v>
      </c>
      <c r="G292" s="2752" t="s">
        <v>2576</v>
      </c>
      <c r="H292" s="2220" t="str">
        <f t="shared" si="73"/>
        <v>6-DaHall 1-PDU-07-30-40</v>
      </c>
      <c r="I292" s="2221" t="str">
        <f t="shared" si="74"/>
        <v>6-DaHall 1-PDU-08-30-40</v>
      </c>
      <c r="J292" s="1545">
        <v>220</v>
      </c>
      <c r="K292" s="1546">
        <v>30</v>
      </c>
      <c r="L292" s="2540" t="s">
        <v>6919</v>
      </c>
      <c r="M292" s="1533">
        <v>40</v>
      </c>
      <c r="N292" s="1537">
        <v>220</v>
      </c>
      <c r="O292" s="1538">
        <v>30</v>
      </c>
      <c r="P292" s="2546" t="s">
        <v>6931</v>
      </c>
      <c r="Q292" s="1536">
        <v>40</v>
      </c>
      <c r="R292" s="3244"/>
      <c r="S292" s="3229"/>
      <c r="T292" s="3244"/>
      <c r="U292" s="3229"/>
      <c r="V292" s="3244"/>
      <c r="W292" s="3229"/>
      <c r="X292" s="255" t="n">
        <f>SUM('6층_부하량(월간_AVG)'!L405:N405)</f>
        <v>0.0</v>
      </c>
      <c r="Y292" s="255" t="n">
        <f>SUM('6층_부하량(월간_AVG)'!L437:N437)</f>
        <v>0.0</v>
      </c>
      <c r="Z292" s="2557" t="n">
        <f t="shared" si="72"/>
        <v>0.0</v>
      </c>
      <c r="AA292" s="2838" t="n" cm="1">
        <f t="array" ref="AA292">INDEX('각층분기별_유효전력량(전월)'!$I$2:$I$2017,MATCH(1,("6-DaHall 1-PDU-07"='각층분기별_유효전력량(전월)'!$G$2:$G$2017)*("[branch#040] [A] kWh last month"='각층분기별_유효전력량(전월)'!$H$2:$H$2017),0))</f>
        <v>0.0</v>
      </c>
      <c r="AB292" s="2989" t="n" cm="1">
        <f t="array" ref="AB292">INDEX('각층분기별_유효전력량(전월)'!$I$2:$I$2017,MATCH(1,("6-DaHall 1-PDU-08"='각층분기별_유효전력량(전월)'!$G$2:$G$2017)*("[branch#040] [A] kWh last month"='각층분기별_유효전력량(전월)'!$H$2:$H$2017),0))</f>
        <v>0.0</v>
      </c>
      <c r="AC292" s="2972" t="n">
        <f t="shared" si="68"/>
        <v>0.0</v>
      </c>
      <c r="AD292" s="2954"/>
    </row>
    <row r="293" spans="1:30" ht="27" x14ac:dyDescent="0.15">
      <c r="A293" s="2769" t="s">
        <v>2577</v>
      </c>
      <c r="B293" s="2765" t="s">
        <v>2578</v>
      </c>
      <c r="C293" s="2765"/>
      <c r="D293" s="2765" t="s">
        <v>2579</v>
      </c>
      <c r="E293" s="2765" t="s">
        <v>2580</v>
      </c>
      <c r="F293" s="2757" t="s">
        <v>2581</v>
      </c>
      <c r="G293" s="2752" t="s">
        <v>2582</v>
      </c>
      <c r="H293" s="2220" t="str">
        <f t="shared" si="73"/>
        <v>6-DaHall 1-PDU-07-30-42</v>
      </c>
      <c r="I293" s="2221" t="str">
        <f t="shared" si="74"/>
        <v>6-DaHall 1-PDU-08-30-42</v>
      </c>
      <c r="J293" s="1545">
        <v>220</v>
      </c>
      <c r="K293" s="1546">
        <v>30</v>
      </c>
      <c r="L293" s="2540" t="s">
        <v>6919</v>
      </c>
      <c r="M293" s="1533">
        <v>42</v>
      </c>
      <c r="N293" s="1537">
        <v>220</v>
      </c>
      <c r="O293" s="1538">
        <v>30</v>
      </c>
      <c r="P293" s="2546" t="s">
        <v>6931</v>
      </c>
      <c r="Q293" s="1536">
        <v>42</v>
      </c>
      <c r="R293" s="3244"/>
      <c r="S293" s="3229"/>
      <c r="T293" s="3244"/>
      <c r="U293" s="3229"/>
      <c r="V293" s="3244"/>
      <c r="W293" s="3229"/>
      <c r="X293" s="255" t="n">
        <f>SUM('6층_부하량(월간_AVG)'!L406:N406)</f>
        <v>0.0</v>
      </c>
      <c r="Y293" s="255" t="n">
        <f>SUM('6층_부하량(월간_AVG)'!L438:N438)</f>
        <v>0.0</v>
      </c>
      <c r="Z293" s="2557" t="n">
        <f t="shared" si="72"/>
        <v>0.0</v>
      </c>
      <c r="AA293" s="2838" t="n" cm="1">
        <f t="array" ref="AA293">INDEX('각층분기별_유효전력량(전월)'!$I$2:$I$2017,MATCH(1,("6-DaHall 1-PDU-07"='각층분기별_유효전력량(전월)'!$G$2:$G$2017)*("[branch#042] [A] kWh last month"='각층분기별_유효전력량(전월)'!$H$2:$H$2017),0))</f>
        <v>0.0</v>
      </c>
      <c r="AB293" s="2989" t="n" cm="1">
        <f t="array" ref="AB293">INDEX('각층분기별_유효전력량(전월)'!$I$2:$I$2017,MATCH(1,("6-DaHall 1-PDU-08"='각층분기별_유효전력량(전월)'!$G$2:$G$2017)*("[branch#042] [A] kWh last month"='각층분기별_유효전력량(전월)'!$H$2:$H$2017),0))</f>
        <v>0.0</v>
      </c>
      <c r="AC293" s="2972" t="n">
        <f t="shared" si="68"/>
        <v>0.0</v>
      </c>
      <c r="AD293" s="2954"/>
    </row>
    <row r="294" spans="1:30" ht="27" x14ac:dyDescent="0.15">
      <c r="A294" s="2769" t="s">
        <v>2583</v>
      </c>
      <c r="B294" s="2765" t="s">
        <v>2584</v>
      </c>
      <c r="C294" s="2765"/>
      <c r="D294" s="2765" t="s">
        <v>2585</v>
      </c>
      <c r="E294" s="2765" t="s">
        <v>2586</v>
      </c>
      <c r="F294" s="2757" t="s">
        <v>2587</v>
      </c>
      <c r="G294" s="2752" t="s">
        <v>2588</v>
      </c>
      <c r="H294" s="2220" t="str">
        <f t="shared" si="73"/>
        <v>6-DaHall 1-PDU-07-30-44</v>
      </c>
      <c r="I294" s="2221" t="str">
        <f t="shared" si="74"/>
        <v>6-DaHall 1-PDU-08-30-44</v>
      </c>
      <c r="J294" s="1545">
        <v>220</v>
      </c>
      <c r="K294" s="1546">
        <v>30</v>
      </c>
      <c r="L294" s="2540" t="s">
        <v>6919</v>
      </c>
      <c r="M294" s="1533">
        <v>44</v>
      </c>
      <c r="N294" s="1537">
        <v>220</v>
      </c>
      <c r="O294" s="1538">
        <v>30</v>
      </c>
      <c r="P294" s="2546" t="s">
        <v>6931</v>
      </c>
      <c r="Q294" s="1536">
        <v>44</v>
      </c>
      <c r="R294" s="3244"/>
      <c r="S294" s="3229"/>
      <c r="T294" s="3244"/>
      <c r="U294" s="3229"/>
      <c r="V294" s="3244"/>
      <c r="W294" s="3229"/>
      <c r="X294" s="255" t="n">
        <f>SUM('6층_부하량(월간_AVG)'!L407:N407)</f>
        <v>0.0</v>
      </c>
      <c r="Y294" s="255" t="n">
        <f>SUM('6층_부하량(월간_AVG)'!L439:N439)</f>
        <v>0.0</v>
      </c>
      <c r="Z294" s="2557" t="n">
        <f t="shared" si="72"/>
        <v>0.0</v>
      </c>
      <c r="AA294" s="2838" t="n" cm="1">
        <f t="array" ref="AA294">INDEX('각층분기별_유효전력량(전월)'!$I$2:$I$2017,MATCH(1,("6-DaHall 1-PDU-07"='각층분기별_유효전력량(전월)'!$G$2:$G$2017)*("[branch#044] [A] kWh last month"='각층분기별_유효전력량(전월)'!$H$2:$H$2017),0))</f>
        <v>0.0</v>
      </c>
      <c r="AB294" s="2989" t="n" cm="1">
        <f t="array" ref="AB294">INDEX('각층분기별_유효전력량(전월)'!$I$2:$I$2017,MATCH(1,("6-DaHall 1-PDU-08"='각층분기별_유효전력량(전월)'!$G$2:$G$2017)*("[branch#044] [A] kWh last month"='각층분기별_유효전력량(전월)'!$H$2:$H$2017),0))</f>
        <v>0.0</v>
      </c>
      <c r="AC294" s="2972" t="n">
        <f t="shared" si="68"/>
        <v>0.0</v>
      </c>
      <c r="AD294" s="2954"/>
    </row>
    <row r="295" spans="1:30" ht="27" customHeight="1" thickBot="1" x14ac:dyDescent="0.2">
      <c r="A295" s="2779" t="s">
        <v>2589</v>
      </c>
      <c r="B295" s="2780" t="s">
        <v>2590</v>
      </c>
      <c r="C295" s="2780"/>
      <c r="D295" s="2780" t="s">
        <v>2591</v>
      </c>
      <c r="E295" s="2780" t="s">
        <v>2592</v>
      </c>
      <c r="F295" s="2759" t="s">
        <v>2593</v>
      </c>
      <c r="G295" s="2753" t="s">
        <v>2594</v>
      </c>
      <c r="H295" s="2222" t="str">
        <f t="shared" si="73"/>
        <v>6-DaHall 1-PDU-07-30-46</v>
      </c>
      <c r="I295" s="2223" t="str">
        <f t="shared" si="74"/>
        <v>6-DaHall 1-PDU-08-30-46</v>
      </c>
      <c r="J295" s="1566">
        <v>220</v>
      </c>
      <c r="K295" s="1567">
        <v>30</v>
      </c>
      <c r="L295" s="2543" t="s">
        <v>6919</v>
      </c>
      <c r="M295" s="1541">
        <v>46</v>
      </c>
      <c r="N295" s="1568">
        <v>220</v>
      </c>
      <c r="O295" s="1569">
        <v>30</v>
      </c>
      <c r="P295" s="2549" t="s">
        <v>6931</v>
      </c>
      <c r="Q295" s="1544">
        <v>46</v>
      </c>
      <c r="R295" s="3240"/>
      <c r="S295" s="3228"/>
      <c r="T295" s="3240"/>
      <c r="U295" s="3228"/>
      <c r="V295" s="3240"/>
      <c r="W295" s="3228"/>
      <c r="X295" s="333" t="n">
        <f>SUM('6층_부하량(월간_AVG)'!L408:N408)</f>
        <v>0.0</v>
      </c>
      <c r="Y295" s="333" t="n">
        <f>SUM('6층_부하량(월간_AVG)'!L440:N440)</f>
        <v>0.0</v>
      </c>
      <c r="Z295" s="2558" t="n">
        <f t="shared" si="72"/>
        <v>0.0</v>
      </c>
      <c r="AA295" s="2838" t="n" cm="1">
        <f t="array" ref="AA295">INDEX('각층분기별_유효전력량(전월)'!$I$2:$I$2017,MATCH(1,("6-DaHall 1-PDU-07"='각층분기별_유효전력량(전월)'!$G$2:$G$2017)*("[branch#046] [A] kWh last month"='각층분기별_유효전력량(전월)'!$H$2:$H$2017),0))</f>
        <v>0.0</v>
      </c>
      <c r="AB295" s="2989" t="n" cm="1">
        <f t="array" ref="AB295">INDEX('각층분기별_유효전력량(전월)'!$I$2:$I$2017,MATCH(1,("6-DaHall 1-PDU-08"='각층분기별_유효전력량(전월)'!$G$2:$G$2017)*("[branch#046] [A] kWh last month"='각층분기별_유효전력량(전월)'!$H$2:$H$2017),0))</f>
        <v>0.0</v>
      </c>
      <c r="AC295" s="2977" t="n">
        <f t="shared" si="68"/>
        <v>0.0</v>
      </c>
      <c r="AD295" s="2958"/>
    </row>
    <row r="296" spans="1:30" ht="14.25" thickTop="1" x14ac:dyDescent="0.15">
      <c r="A296" s="1105" t="s">
        <v>2595</v>
      </c>
      <c r="B296" s="834"/>
      <c r="C296" s="834"/>
      <c r="D296" s="834"/>
      <c r="E296" s="834"/>
      <c r="F296" s="902"/>
      <c r="G296" s="903"/>
      <c r="H296" s="2218"/>
      <c r="I296" s="2219"/>
      <c r="J296" s="1523"/>
      <c r="K296" s="1524"/>
      <c r="L296" s="902"/>
      <c r="M296" s="1525"/>
      <c r="N296" s="1526"/>
      <c r="O296" s="1527"/>
      <c r="P296" s="903"/>
      <c r="Q296" s="1528"/>
      <c r="R296" s="835"/>
      <c r="S296" s="836"/>
      <c r="T296" s="835"/>
      <c r="U296" s="836"/>
      <c r="V296" s="835"/>
      <c r="W296" s="836"/>
      <c r="X296" s="837"/>
      <c r="Y296" s="837"/>
      <c r="Z296" s="2562"/>
      <c r="AA296" s="2969"/>
      <c r="AB296" s="2970"/>
      <c r="AC296" s="2978" t="n">
        <f t="shared" si="68"/>
        <v>0.0</v>
      </c>
      <c r="AD296" s="2971" t="s">
        <v>1579</v>
      </c>
    </row>
    <row r="297" spans="1:30" x14ac:dyDescent="0.15">
      <c r="A297" s="2769" t="s">
        <v>2596</v>
      </c>
      <c r="B297" s="2834" t="s">
        <v>2597</v>
      </c>
      <c r="C297" s="2834"/>
      <c r="D297" s="2834"/>
      <c r="E297" s="2834"/>
      <c r="F297" s="2829"/>
      <c r="G297" s="2812"/>
      <c r="H297" s="2229"/>
      <c r="I297" s="2230"/>
      <c r="J297" s="1560"/>
      <c r="K297" s="1561"/>
      <c r="L297" s="2829"/>
      <c r="M297" s="1562"/>
      <c r="N297" s="1563"/>
      <c r="O297" s="1564"/>
      <c r="P297" s="2812"/>
      <c r="Q297" s="1565"/>
      <c r="R297" s="838"/>
      <c r="S297" s="839"/>
      <c r="T297" s="838"/>
      <c r="U297" s="839"/>
      <c r="V297" s="838"/>
      <c r="W297" s="839"/>
      <c r="X297" s="254"/>
      <c r="Y297" s="254"/>
      <c r="Z297" s="2556"/>
      <c r="AA297" s="2983"/>
      <c r="AB297" s="3002"/>
      <c r="AC297" s="3003" t="n">
        <f t="shared" si="68"/>
        <v>0.0</v>
      </c>
      <c r="AD297" s="3001" t="s">
        <v>1579</v>
      </c>
    </row>
    <row r="298" spans="1:30" x14ac:dyDescent="0.15">
      <c r="A298" s="2769" t="s">
        <v>2598</v>
      </c>
      <c r="B298" s="2834" t="s">
        <v>2599</v>
      </c>
      <c r="C298" s="2834"/>
      <c r="D298" s="2834"/>
      <c r="E298" s="2834"/>
      <c r="F298" s="2829"/>
      <c r="G298" s="2812"/>
      <c r="H298" s="2229"/>
      <c r="I298" s="2230"/>
      <c r="J298" s="1560"/>
      <c r="K298" s="1561"/>
      <c r="L298" s="2829"/>
      <c r="M298" s="1562"/>
      <c r="N298" s="1563"/>
      <c r="O298" s="1564"/>
      <c r="P298" s="2812"/>
      <c r="Q298" s="1565"/>
      <c r="R298" s="838"/>
      <c r="S298" s="839"/>
      <c r="T298" s="838"/>
      <c r="U298" s="839"/>
      <c r="V298" s="838"/>
      <c r="W298" s="839"/>
      <c r="X298" s="254"/>
      <c r="Y298" s="254"/>
      <c r="Z298" s="2556"/>
      <c r="AA298" s="2983"/>
      <c r="AB298" s="2859"/>
      <c r="AC298" s="2972" t="n">
        <f t="shared" si="68"/>
        <v>0.0</v>
      </c>
      <c r="AD298" s="2991" t="s">
        <v>1579</v>
      </c>
    </row>
    <row r="299" spans="1:30" x14ac:dyDescent="0.15">
      <c r="A299" s="2769" t="s">
        <v>2600</v>
      </c>
      <c r="B299" s="2834" t="s">
        <v>2601</v>
      </c>
      <c r="C299" s="2834"/>
      <c r="D299" s="2834"/>
      <c r="E299" s="2834"/>
      <c r="F299" s="2829"/>
      <c r="G299" s="2812"/>
      <c r="H299" s="2229"/>
      <c r="I299" s="2230"/>
      <c r="J299" s="1560"/>
      <c r="K299" s="1561"/>
      <c r="L299" s="2829"/>
      <c r="M299" s="1562"/>
      <c r="N299" s="1563"/>
      <c r="O299" s="1564"/>
      <c r="P299" s="2812"/>
      <c r="Q299" s="1565"/>
      <c r="R299" s="838"/>
      <c r="S299" s="839"/>
      <c r="T299" s="838"/>
      <c r="U299" s="839"/>
      <c r="V299" s="838"/>
      <c r="W299" s="839"/>
      <c r="X299" s="254"/>
      <c r="Y299" s="254"/>
      <c r="Z299" s="2556"/>
      <c r="AA299" s="2983"/>
      <c r="AB299" s="2859"/>
      <c r="AC299" s="2972" t="n">
        <f t="shared" si="68"/>
        <v>0.0</v>
      </c>
      <c r="AD299" s="2991" t="s">
        <v>1579</v>
      </c>
    </row>
    <row r="300" spans="1:30" ht="27" x14ac:dyDescent="0.15">
      <c r="A300" s="2769" t="s">
        <v>2602</v>
      </c>
      <c r="B300" s="2765" t="s">
        <v>2603</v>
      </c>
      <c r="C300" s="2765"/>
      <c r="D300" s="2765" t="s">
        <v>2604</v>
      </c>
      <c r="E300" s="2765" t="s">
        <v>2605</v>
      </c>
      <c r="F300" s="2757" t="s">
        <v>2606</v>
      </c>
      <c r="G300" s="2752" t="s">
        <v>2607</v>
      </c>
      <c r="H300" s="2220" t="str">
        <f t="shared" ref="H300:H305" si="75">"6-DaHall 1-PDU-"&amp;L300&amp;"-"&amp;K300&amp;"-"&amp;M300</f>
        <v>6-DaHall 1-PDU-07-30-54</v>
      </c>
      <c r="I300" s="2221" t="str">
        <f t="shared" ref="I300:I305" si="76">"6-DaHall 1-PDU-"&amp;P300&amp;"-"&amp;O300&amp;"-"&amp;Q300</f>
        <v>6-DaHall 1-PDU-08-30-54</v>
      </c>
      <c r="J300" s="1545">
        <v>220</v>
      </c>
      <c r="K300" s="1546">
        <v>30</v>
      </c>
      <c r="L300" s="2540" t="s">
        <v>6919</v>
      </c>
      <c r="M300" s="1533">
        <v>54</v>
      </c>
      <c r="N300" s="1537">
        <v>220</v>
      </c>
      <c r="O300" s="1538">
        <v>30</v>
      </c>
      <c r="P300" s="2546" t="s">
        <v>6931</v>
      </c>
      <c r="Q300" s="1536">
        <v>54</v>
      </c>
      <c r="R300" s="3239" t="s">
        <v>2522</v>
      </c>
      <c r="S300" s="3227" t="s">
        <v>2523</v>
      </c>
      <c r="T300" s="3239" t="s">
        <v>2524</v>
      </c>
      <c r="U300" s="3227" t="s">
        <v>2525</v>
      </c>
      <c r="V300" s="3239" t="s">
        <v>2201</v>
      </c>
      <c r="W300" s="3227" t="s">
        <v>2202</v>
      </c>
      <c r="X300" s="270" t="n">
        <f>SUM('6층_부하량(월간_AVG)'!L412:N412)</f>
        <v>0.0</v>
      </c>
      <c r="Y300" s="270" t="n">
        <f>SUM('6층_부하량(월간_AVG)'!L444:N444)</f>
        <v>0.0</v>
      </c>
      <c r="Z300" s="2557" t="n">
        <f t="shared" ref="Z300:Z305" si="77">SUM(X300:Y300)</f>
        <v>0.0</v>
      </c>
      <c r="AA300" s="2838" t="n" cm="1">
        <f t="array" ref="AA300">INDEX('각층분기별_유효전력량(전월)'!$I$2:$I$2017,MATCH(1,("6-DaHall 1-PDU-07"='각층분기별_유효전력량(전월)'!$G$2:$G$2017)*("[branch#054] [A] kWh last month"='각층분기별_유효전력량(전월)'!$H$2:$H$2017),0))</f>
        <v>0.0</v>
      </c>
      <c r="AB300" s="2989" t="n" cm="1">
        <f t="array" ref="AB300">INDEX('각층분기별_유효전력량(전월)'!$I$2:$I$2017,MATCH(1,("6-DaHall 1-PDU-08"='각층분기별_유효전력량(전월)'!$G$2:$G$2017)*("[branch#054] [A] kWh last month"='각층분기별_유효전력량(전월)'!$H$2:$H$2017),0))</f>
        <v>0.0</v>
      </c>
      <c r="AC300" s="2972" t="n">
        <f t="shared" si="68"/>
        <v>0.0</v>
      </c>
      <c r="AD300" s="2954"/>
    </row>
    <row r="301" spans="1:30" ht="27" x14ac:dyDescent="0.15">
      <c r="A301" s="2769" t="s">
        <v>2608</v>
      </c>
      <c r="B301" s="2765" t="s">
        <v>2609</v>
      </c>
      <c r="C301" s="2765"/>
      <c r="D301" s="2765" t="s">
        <v>2610</v>
      </c>
      <c r="E301" s="2765" t="s">
        <v>2611</v>
      </c>
      <c r="F301" s="2757" t="s">
        <v>2612</v>
      </c>
      <c r="G301" s="2752" t="s">
        <v>2613</v>
      </c>
      <c r="H301" s="2220" t="str">
        <f t="shared" si="75"/>
        <v>6-DaHall 1-PDU-07-30-53</v>
      </c>
      <c r="I301" s="2221" t="str">
        <f t="shared" si="76"/>
        <v>6-DaHall 1-PDU-08-30-53</v>
      </c>
      <c r="J301" s="1545">
        <v>220</v>
      </c>
      <c r="K301" s="1546">
        <v>30</v>
      </c>
      <c r="L301" s="2540" t="s">
        <v>6919</v>
      </c>
      <c r="M301" s="1533">
        <v>53</v>
      </c>
      <c r="N301" s="1537">
        <v>220</v>
      </c>
      <c r="O301" s="1538">
        <v>30</v>
      </c>
      <c r="P301" s="2546" t="s">
        <v>6931</v>
      </c>
      <c r="Q301" s="1536">
        <v>53</v>
      </c>
      <c r="R301" s="3244"/>
      <c r="S301" s="3229"/>
      <c r="T301" s="3244"/>
      <c r="U301" s="3229"/>
      <c r="V301" s="3244"/>
      <c r="W301" s="3229"/>
      <c r="X301" s="270" t="n">
        <f>SUM('6층_부하량(월간_AVG)'!D412:F412)</f>
        <v>0.0</v>
      </c>
      <c r="Y301" s="270" t="n">
        <f>SUM('6층_부하량(월간_AVG)'!D444:F444)</f>
        <v>0.0</v>
      </c>
      <c r="Z301" s="2557" t="n">
        <f t="shared" si="77"/>
        <v>0.0</v>
      </c>
      <c r="AA301" s="2838" t="n" cm="1">
        <f t="array" ref="AA301">INDEX('각층분기별_유효전력량(전월)'!$I$2:$I$2017,MATCH(1,("6-DaHall 1-PDU-07"='각층분기별_유효전력량(전월)'!$G$2:$G$2017)*("[branch#053] [A] kWh last month"='각층분기별_유효전력량(전월)'!$H$2:$H$2017),0))</f>
        <v>0.0</v>
      </c>
      <c r="AB301" s="2989" t="n" cm="1">
        <f t="array" ref="AB301">INDEX('각층분기별_유효전력량(전월)'!$I$2:$I$2017,MATCH(1,("6-DaHall 1-PDU-08"='각층분기별_유효전력량(전월)'!$G$2:$G$2017)*("[branch#053] [A] kWh last month"='각층분기별_유효전력량(전월)'!$H$2:$H$2017),0))</f>
        <v>0.0</v>
      </c>
      <c r="AC301" s="2972" t="n">
        <f t="shared" si="68"/>
        <v>0.0</v>
      </c>
      <c r="AD301" s="2954"/>
    </row>
    <row r="302" spans="1:30" ht="27" x14ac:dyDescent="0.15">
      <c r="A302" s="2769" t="s">
        <v>789</v>
      </c>
      <c r="B302" s="2765" t="s">
        <v>2614</v>
      </c>
      <c r="C302" s="2765"/>
      <c r="D302" s="2765" t="s">
        <v>2615</v>
      </c>
      <c r="E302" s="2765" t="s">
        <v>2616</v>
      </c>
      <c r="F302" s="2757" t="s">
        <v>2617</v>
      </c>
      <c r="G302" s="2752" t="s">
        <v>2618</v>
      </c>
      <c r="H302" s="2220" t="str">
        <f t="shared" si="75"/>
        <v>6-DaHall 1-PDU-07-30-51</v>
      </c>
      <c r="I302" s="2221" t="str">
        <f t="shared" si="76"/>
        <v>6-DaHall 1-PDU-08-30-51</v>
      </c>
      <c r="J302" s="1545">
        <v>220</v>
      </c>
      <c r="K302" s="1546">
        <v>30</v>
      </c>
      <c r="L302" s="2540" t="s">
        <v>6919</v>
      </c>
      <c r="M302" s="1533">
        <v>51</v>
      </c>
      <c r="N302" s="1537">
        <v>220</v>
      </c>
      <c r="O302" s="1538">
        <v>30</v>
      </c>
      <c r="P302" s="2546" t="s">
        <v>6931</v>
      </c>
      <c r="Q302" s="1536">
        <v>51</v>
      </c>
      <c r="R302" s="3244"/>
      <c r="S302" s="3229"/>
      <c r="T302" s="3244"/>
      <c r="U302" s="3229"/>
      <c r="V302" s="3244"/>
      <c r="W302" s="3229"/>
      <c r="X302" s="270" t="n">
        <f>SUM('6층_부하량(월간_AVG)'!D411:F411)</f>
        <v>0.0</v>
      </c>
      <c r="Y302" s="270" t="n">
        <f>SUM('6층_부하량(월간_AVG)'!D443:F443)</f>
        <v>0.0</v>
      </c>
      <c r="Z302" s="2557" t="n">
        <f t="shared" si="77"/>
        <v>0.0</v>
      </c>
      <c r="AA302" s="2838" t="n" cm="1">
        <f t="array" ref="AA302">INDEX('각층분기별_유효전력량(전월)'!$I$2:$I$2017,MATCH(1,("6-DaHall 1-PDU-07"='각층분기별_유효전력량(전월)'!$G$2:$G$2017)*("[branch#051] [A] kWh last month"='각층분기별_유효전력량(전월)'!$H$2:$H$2017),0))</f>
        <v>0.0</v>
      </c>
      <c r="AB302" s="2989" t="n" cm="1">
        <f t="array" ref="AB302">INDEX('각층분기별_유효전력량(전월)'!$I$2:$I$2017,MATCH(1,("6-DaHall 1-PDU-08"='각층분기별_유효전력량(전월)'!$G$2:$G$2017)*("[branch#051] [A] kWh last month"='각층분기별_유효전력량(전월)'!$H$2:$H$2017),0))</f>
        <v>0.0</v>
      </c>
      <c r="AC302" s="2972" t="n">
        <f t="shared" si="68"/>
        <v>0.0</v>
      </c>
      <c r="AD302" s="2954"/>
    </row>
    <row r="303" spans="1:30" ht="27" customHeight="1" x14ac:dyDescent="0.15">
      <c r="A303" s="2769" t="s">
        <v>784</v>
      </c>
      <c r="B303" s="2765" t="s">
        <v>2619</v>
      </c>
      <c r="C303" s="2765"/>
      <c r="D303" s="2765" t="s">
        <v>2620</v>
      </c>
      <c r="E303" s="2765" t="s">
        <v>2621</v>
      </c>
      <c r="F303" s="2757" t="s">
        <v>2622</v>
      </c>
      <c r="G303" s="2752" t="s">
        <v>2623</v>
      </c>
      <c r="H303" s="2220" t="str">
        <f t="shared" si="75"/>
        <v>6-DaHall 1-PDU-07-30-49</v>
      </c>
      <c r="I303" s="2221" t="str">
        <f t="shared" si="76"/>
        <v>6-DaHall 1-PDU-08-30-49</v>
      </c>
      <c r="J303" s="1545">
        <v>220</v>
      </c>
      <c r="K303" s="1546">
        <v>30</v>
      </c>
      <c r="L303" s="2540" t="s">
        <v>6919</v>
      </c>
      <c r="M303" s="1533">
        <v>49</v>
      </c>
      <c r="N303" s="1537">
        <v>220</v>
      </c>
      <c r="O303" s="1538">
        <v>30</v>
      </c>
      <c r="P303" s="2546" t="s">
        <v>6931</v>
      </c>
      <c r="Q303" s="1536">
        <v>49</v>
      </c>
      <c r="R303" s="3234"/>
      <c r="S303" s="3243"/>
      <c r="T303" s="3234"/>
      <c r="U303" s="3243"/>
      <c r="V303" s="3244"/>
      <c r="W303" s="3229"/>
      <c r="X303" s="270" t="n">
        <f>SUM('6층_부하량(월간_AVG)'!D410:F410)</f>
        <v>0.0</v>
      </c>
      <c r="Y303" s="270" t="n">
        <f>SUM('6층_부하량(월간_AVG)'!D442:F442)</f>
        <v>0.0</v>
      </c>
      <c r="Z303" s="2557" t="n">
        <f t="shared" si="77"/>
        <v>0.0</v>
      </c>
      <c r="AA303" s="2838" t="n" cm="1">
        <f t="array" ref="AA303">INDEX('각층분기별_유효전력량(전월)'!$I$2:$I$2017,MATCH(1,("6-DaHall 1-PDU-07"='각층분기별_유효전력량(전월)'!$G$2:$G$2017)*("[branch#049] [A] kWh last month"='각층분기별_유효전력량(전월)'!$H$2:$H$2017),0))</f>
        <v>0.0</v>
      </c>
      <c r="AB303" s="2989" t="n" cm="1">
        <f t="array" ref="AB303">INDEX('각층분기별_유효전력량(전월)'!$I$2:$I$2017,MATCH(1,("6-DaHall 1-PDU-08"='각층분기별_유효전력량(전월)'!$G$2:$G$2017)*("[branch#049] [A] kWh last month"='각층분기별_유효전력량(전월)'!$H$2:$H$2017),0))</f>
        <v>0.0</v>
      </c>
      <c r="AC303" s="2972" t="n">
        <f t="shared" si="68"/>
        <v>0.0</v>
      </c>
      <c r="AD303" s="2954"/>
    </row>
    <row r="304" spans="1:30" ht="27" x14ac:dyDescent="0.15">
      <c r="A304" s="2769" t="s">
        <v>779</v>
      </c>
      <c r="B304" s="2765" t="s">
        <v>2624</v>
      </c>
      <c r="C304" s="2765"/>
      <c r="D304" s="2765" t="s">
        <v>2625</v>
      </c>
      <c r="E304" s="2765" t="s">
        <v>2626</v>
      </c>
      <c r="F304" s="2757" t="s">
        <v>2627</v>
      </c>
      <c r="G304" s="2752" t="s">
        <v>2628</v>
      </c>
      <c r="H304" s="2220" t="str">
        <f t="shared" si="75"/>
        <v>6-DaHall 1-PDU-03-30-16</v>
      </c>
      <c r="I304" s="2221" t="str">
        <f t="shared" si="76"/>
        <v>6-DaHall 1-PDU-04-30-16</v>
      </c>
      <c r="J304" s="1545">
        <v>220</v>
      </c>
      <c r="K304" s="1546">
        <v>30</v>
      </c>
      <c r="L304" s="2540" t="s">
        <v>6926</v>
      </c>
      <c r="M304" s="1533">
        <v>16</v>
      </c>
      <c r="N304" s="1537">
        <v>220</v>
      </c>
      <c r="O304" s="1538">
        <v>30</v>
      </c>
      <c r="P304" s="2546" t="s">
        <v>6922</v>
      </c>
      <c r="Q304" s="1536">
        <v>16</v>
      </c>
      <c r="R304" s="3239" t="s">
        <v>2546</v>
      </c>
      <c r="S304" s="3227" t="s">
        <v>2372</v>
      </c>
      <c r="T304" s="3239" t="s">
        <v>2373</v>
      </c>
      <c r="U304" s="3227" t="s">
        <v>2374</v>
      </c>
      <c r="V304" s="3244"/>
      <c r="W304" s="3229"/>
      <c r="X304" s="270" t="n">
        <f>SUM('6층_부하량(월간_AVG)'!L269:N269)</f>
        <v>0.0</v>
      </c>
      <c r="Y304" s="270" t="n">
        <f>SUM('6층_부하량(월간_AVG)'!L299:N299)</f>
        <v>0.0</v>
      </c>
      <c r="Z304" s="2557" t="n">
        <f t="shared" si="77"/>
        <v>0.0</v>
      </c>
      <c r="AA304" s="2838" t="n" cm="1">
        <f t="array" ref="AA304">INDEX('각층분기별_유효전력량(전월)'!$I$2:$I$2017,MATCH(1,("6-DaHall 1-PDU-07"='각층분기별_유효전력량(전월)'!$G$2:$G$2017)*("[branch#016] [A] kWh last month"='각층분기별_유효전력량(전월)'!$H$2:$H$2017),0))</f>
        <v>0.0</v>
      </c>
      <c r="AB304" s="2989" t="n" cm="1">
        <f t="array" ref="AB304">INDEX('각층분기별_유효전력량(전월)'!$I$2:$I$2017,MATCH(1,("6-DaHall 1-PDU-08"='각층분기별_유효전력량(전월)'!$G$2:$G$2017)*("[branch#016] [A] kWh last month"='각층분기별_유효전력량(전월)'!$H$2:$H$2017),0))</f>
        <v>0.0</v>
      </c>
      <c r="AC304" s="2972" t="n">
        <f t="shared" si="68"/>
        <v>0.0</v>
      </c>
      <c r="AD304" s="2954"/>
    </row>
    <row r="305" spans="1:31" ht="27" customHeight="1" thickBot="1" x14ac:dyDescent="0.2">
      <c r="A305" s="2779" t="s">
        <v>773</v>
      </c>
      <c r="B305" s="2780" t="s">
        <v>2629</v>
      </c>
      <c r="C305" s="2780"/>
      <c r="D305" s="2780" t="s">
        <v>2630</v>
      </c>
      <c r="E305" s="2780" t="s">
        <v>2631</v>
      </c>
      <c r="F305" s="2759" t="s">
        <v>2632</v>
      </c>
      <c r="G305" s="2753" t="s">
        <v>2633</v>
      </c>
      <c r="H305" s="2222" t="str">
        <f t="shared" si="75"/>
        <v>6-DaHall 1-PDU-03-30-18</v>
      </c>
      <c r="I305" s="2223" t="str">
        <f t="shared" si="76"/>
        <v>6-DaHall 1-PDU-04-30-18</v>
      </c>
      <c r="J305" s="1566">
        <v>220</v>
      </c>
      <c r="K305" s="1567">
        <v>30</v>
      </c>
      <c r="L305" s="2543" t="s">
        <v>6926</v>
      </c>
      <c r="M305" s="1541">
        <v>18</v>
      </c>
      <c r="N305" s="1568">
        <v>220</v>
      </c>
      <c r="O305" s="1569">
        <v>30</v>
      </c>
      <c r="P305" s="2549" t="s">
        <v>6922</v>
      </c>
      <c r="Q305" s="1544">
        <v>18</v>
      </c>
      <c r="R305" s="3240"/>
      <c r="S305" s="3228"/>
      <c r="T305" s="3240"/>
      <c r="U305" s="3228"/>
      <c r="V305" s="3240"/>
      <c r="W305" s="3228"/>
      <c r="X305" s="335" t="n">
        <f>SUM('6층_부하량(월간_AVG)'!L270:N270)</f>
        <v>0.0</v>
      </c>
      <c r="Y305" s="335" t="n">
        <f>SUM('6층_부하량(월간_AVG)'!L300:N300)</f>
        <v>0.0</v>
      </c>
      <c r="Z305" s="2558" t="n">
        <f t="shared" si="77"/>
        <v>0.0</v>
      </c>
      <c r="AA305" s="2838" t="n" cm="1">
        <f t="array" ref="AA305">INDEX('각층분기별_유효전력량(전월)'!$I$2:$I$2017,MATCH(1,("6-DaHall 1-PDU-07"='각층분기별_유효전력량(전월)'!$G$2:$G$2017)*("[branch#018] [A] kWh last month"='각층분기별_유효전력량(전월)'!$H$2:$H$2017),0))</f>
        <v>0.0</v>
      </c>
      <c r="AB305" s="2989" t="n" cm="1">
        <f t="array" ref="AB305">INDEX('각층분기별_유효전력량(전월)'!$I$2:$I$2017,MATCH(1,("6-DaHall 1-PDU-08"='각층분기별_유효전력량(전월)'!$G$2:$G$2017)*("[branch#018] [A] kWh last month"='각층분기별_유효전력량(전월)'!$H$2:$H$2017),0))</f>
        <v>0.0</v>
      </c>
      <c r="AC305" s="2977" t="n">
        <f t="shared" si="68"/>
        <v>0.0</v>
      </c>
      <c r="AD305" s="2958"/>
    </row>
    <row r="306" spans="1:31" ht="14.25" thickTop="1" x14ac:dyDescent="0.15">
      <c r="A306" s="1105" t="s">
        <v>2634</v>
      </c>
      <c r="B306" s="834" t="s">
        <v>2635</v>
      </c>
      <c r="C306" s="834"/>
      <c r="D306" s="834"/>
      <c r="E306" s="834"/>
      <c r="F306" s="902"/>
      <c r="G306" s="903"/>
      <c r="H306" s="2218"/>
      <c r="I306" s="2219"/>
      <c r="J306" s="1523"/>
      <c r="K306" s="1524"/>
      <c r="L306" s="902"/>
      <c r="M306" s="1525"/>
      <c r="N306" s="1526"/>
      <c r="O306" s="1527"/>
      <c r="P306" s="903"/>
      <c r="Q306" s="1528"/>
      <c r="R306" s="835"/>
      <c r="S306" s="836"/>
      <c r="T306" s="835"/>
      <c r="U306" s="836"/>
      <c r="V306" s="835"/>
      <c r="W306" s="836"/>
      <c r="X306" s="837"/>
      <c r="Y306" s="837"/>
      <c r="Z306" s="2562"/>
      <c r="AA306" s="2969"/>
      <c r="AB306" s="2970"/>
      <c r="AC306" s="2978" t="n">
        <f t="shared" si="68"/>
        <v>0.0</v>
      </c>
      <c r="AD306" s="2971" t="s">
        <v>1579</v>
      </c>
    </row>
    <row r="307" spans="1:31" x14ac:dyDescent="0.15">
      <c r="A307" s="2769" t="s">
        <v>2636</v>
      </c>
      <c r="B307" s="2834" t="s">
        <v>2637</v>
      </c>
      <c r="C307" s="2834"/>
      <c r="D307" s="2834"/>
      <c r="E307" s="2834"/>
      <c r="F307" s="2829"/>
      <c r="G307" s="2812"/>
      <c r="H307" s="2229"/>
      <c r="I307" s="2230"/>
      <c r="J307" s="1560"/>
      <c r="K307" s="1561"/>
      <c r="L307" s="2829"/>
      <c r="M307" s="1562"/>
      <c r="N307" s="1563"/>
      <c r="O307" s="1564"/>
      <c r="P307" s="2812"/>
      <c r="Q307" s="1565"/>
      <c r="R307" s="838"/>
      <c r="S307" s="839"/>
      <c r="T307" s="838"/>
      <c r="U307" s="839"/>
      <c r="V307" s="838"/>
      <c r="W307" s="839"/>
      <c r="X307" s="1013"/>
      <c r="Y307" s="1013"/>
      <c r="Z307" s="2568"/>
      <c r="AA307" s="3004"/>
      <c r="AB307" s="2842"/>
      <c r="AC307" s="2990" t="n">
        <f t="shared" si="68"/>
        <v>0.0</v>
      </c>
      <c r="AD307" s="2991" t="s">
        <v>1579</v>
      </c>
    </row>
    <row r="308" spans="1:31" ht="27" x14ac:dyDescent="0.15">
      <c r="A308" s="2769" t="s">
        <v>2638</v>
      </c>
      <c r="B308" s="2765" t="s">
        <v>2639</v>
      </c>
      <c r="C308" s="2784"/>
      <c r="D308" s="2765" t="s">
        <v>2640</v>
      </c>
      <c r="E308" s="2765" t="s">
        <v>2641</v>
      </c>
      <c r="F308" s="2757" t="s">
        <v>2642</v>
      </c>
      <c r="G308" s="2752" t="s">
        <v>2643</v>
      </c>
      <c r="H308" s="2220" t="str">
        <f t="shared" ref="H308:H336" si="78">"6-DaHall 1-PDU-"&amp;L308&amp;"-"&amp;K308&amp;"-"&amp;M308</f>
        <v>6-DaHall 1-PDU-07-30-8</v>
      </c>
      <c r="I308" s="2221" t="str">
        <f t="shared" ref="I308:I334" si="79">"6-DaHall 1-PDU-"&amp;P308&amp;"-"&amp;O308&amp;"-"&amp;Q308</f>
        <v>6-DaHall 1-PDU-08-30-8</v>
      </c>
      <c r="J308" s="1545">
        <v>220</v>
      </c>
      <c r="K308" s="1546">
        <v>30</v>
      </c>
      <c r="L308" s="2540" t="s">
        <v>6919</v>
      </c>
      <c r="M308" s="1533">
        <v>8</v>
      </c>
      <c r="N308" s="1537">
        <v>220</v>
      </c>
      <c r="O308" s="1538">
        <v>30</v>
      </c>
      <c r="P308" s="2546" t="s">
        <v>6931</v>
      </c>
      <c r="Q308" s="1536">
        <v>8</v>
      </c>
      <c r="R308" s="3231" t="s">
        <v>2522</v>
      </c>
      <c r="S308" s="3223" t="s">
        <v>2523</v>
      </c>
      <c r="T308" s="3231" t="s">
        <v>2524</v>
      </c>
      <c r="U308" s="3223" t="s">
        <v>2525</v>
      </c>
      <c r="V308" s="3231" t="s">
        <v>2201</v>
      </c>
      <c r="W308" s="3223" t="s">
        <v>2202</v>
      </c>
      <c r="X308" s="270" t="n">
        <f>SUM('6층_부하량(월간_AVG)'!L389:N389)</f>
        <v>0.0</v>
      </c>
      <c r="Y308" s="270" t="n">
        <f>SUM('6층_부하량(월간_AVG)'!L421:N421)</f>
        <v>0.0</v>
      </c>
      <c r="Z308" s="2566" t="n">
        <f>SUM(X308:Y308)</f>
        <v>0.0</v>
      </c>
      <c r="AA308" s="2838" t="n" cm="1">
        <f t="array" ref="AA308">INDEX('각층분기별_유효전력량(전월)'!$I$2:$I$2017,MATCH(1,("6-DaHall 1-PDU-07"='각층분기별_유효전력량(전월)'!$G$2:$G$2017)*("[branch#008] [A] kWh last month"='각층분기별_유효전력량(전월)'!$H$2:$H$2017),0))</f>
        <v>0.0</v>
      </c>
      <c r="AB308" s="2989" t="n" cm="1">
        <f t="array" ref="AB308">INDEX('각층분기별_유효전력량(전월)'!$I$2:$I$2017,MATCH(1,("6-DaHall 1-PDU-08"='각층분기별_유효전력량(전월)'!$G$2:$G$2017)*("[branch#008] [A] kWh last month"='각층분기별_유효전력량(전월)'!$H$2:$H$2017),0))</f>
        <v>0.0</v>
      </c>
      <c r="AC308" s="2972" t="n">
        <f t="shared" si="68"/>
        <v>0.0</v>
      </c>
      <c r="AD308" s="2955"/>
    </row>
    <row r="309" spans="1:31" ht="27" x14ac:dyDescent="0.15">
      <c r="A309" s="2769" t="s">
        <v>2644</v>
      </c>
      <c r="B309" s="2765" t="s">
        <v>2645</v>
      </c>
      <c r="C309" s="2784"/>
      <c r="D309" s="2765" t="s">
        <v>2646</v>
      </c>
      <c r="E309" s="2765" t="s">
        <v>2647</v>
      </c>
      <c r="F309" s="2757" t="s">
        <v>2648</v>
      </c>
      <c r="G309" s="2752" t="s">
        <v>2649</v>
      </c>
      <c r="H309" s="2220" t="str">
        <f t="shared" si="78"/>
        <v>6-DaHall 1-PDU-07-30-10</v>
      </c>
      <c r="I309" s="2221" t="str">
        <f t="shared" si="79"/>
        <v>6-DaHall 1-PDU-08-30-10</v>
      </c>
      <c r="J309" s="1545">
        <v>220</v>
      </c>
      <c r="K309" s="1546">
        <v>30</v>
      </c>
      <c r="L309" s="2540" t="s">
        <v>6919</v>
      </c>
      <c r="M309" s="1533">
        <v>10</v>
      </c>
      <c r="N309" s="1537">
        <v>220</v>
      </c>
      <c r="O309" s="1538">
        <v>30</v>
      </c>
      <c r="P309" s="2546" t="s">
        <v>6931</v>
      </c>
      <c r="Q309" s="1536">
        <v>10</v>
      </c>
      <c r="R309" s="3231"/>
      <c r="S309" s="3223"/>
      <c r="T309" s="3231"/>
      <c r="U309" s="3223"/>
      <c r="V309" s="3231"/>
      <c r="W309" s="3223"/>
      <c r="X309" s="270" t="n">
        <f>SUM('6층_부하량(월간_AVG)'!L390:N390)</f>
        <v>0.0</v>
      </c>
      <c r="Y309" s="270" t="n">
        <f>SUM('6층_부하량(월간_AVG)'!L422:N422)</f>
        <v>0.0</v>
      </c>
      <c r="Z309" s="2566" t="n">
        <f>SUM(X309:Y309)</f>
        <v>0.0</v>
      </c>
      <c r="AA309" s="2838" t="n" cm="1">
        <f t="array" ref="AA309">INDEX('각층분기별_유효전력량(전월)'!$I$2:$I$2017,MATCH(1,("6-DaHall 1-PDU-07"='각층분기별_유효전력량(전월)'!$G$2:$G$2017)*("[branch#010] [A] kWh last month"='각층분기별_유효전력량(전월)'!$H$2:$H$2017),0))</f>
        <v>0.0</v>
      </c>
      <c r="AB309" s="2989" t="n" cm="1">
        <f t="array" ref="AB309">INDEX('각층분기별_유효전력량(전월)'!$I$2:$I$2017,MATCH(1,("6-DaHall 1-PDU-08"='각층분기별_유효전력량(전월)'!$G$2:$G$2017)*("[branch#010] [A] kWh last month"='각층분기별_유효전력량(전월)'!$H$2:$H$2017),0))</f>
        <v>0.0</v>
      </c>
      <c r="AC309" s="2972" t="n">
        <f t="shared" si="68"/>
        <v>0.0</v>
      </c>
      <c r="AD309" s="2954"/>
    </row>
    <row r="310" spans="1:31" ht="27" x14ac:dyDescent="0.15">
      <c r="A310" s="2769" t="s">
        <v>642</v>
      </c>
      <c r="B310" s="2765" t="s">
        <v>2650</v>
      </c>
      <c r="C310" s="2784"/>
      <c r="D310" s="2765" t="s">
        <v>2651</v>
      </c>
      <c r="E310" s="2765" t="s">
        <v>2652</v>
      </c>
      <c r="F310" s="2757" t="s">
        <v>2653</v>
      </c>
      <c r="G310" s="2752" t="s">
        <v>2654</v>
      </c>
      <c r="H310" s="2220" t="str">
        <f t="shared" si="78"/>
        <v>6-DaHall 1-PDU-07-30-12</v>
      </c>
      <c r="I310" s="2221" t="str">
        <f t="shared" si="79"/>
        <v>6-DaHall 1-PDU-08-30-12</v>
      </c>
      <c r="J310" s="1545">
        <v>220</v>
      </c>
      <c r="K310" s="1546">
        <v>30</v>
      </c>
      <c r="L310" s="2540" t="s">
        <v>6919</v>
      </c>
      <c r="M310" s="1533">
        <v>12</v>
      </c>
      <c r="N310" s="1537">
        <v>220</v>
      </c>
      <c r="O310" s="1538">
        <v>30</v>
      </c>
      <c r="P310" s="2546" t="s">
        <v>6931</v>
      </c>
      <c r="Q310" s="1536">
        <v>12</v>
      </c>
      <c r="R310" s="3231"/>
      <c r="S310" s="3223"/>
      <c r="T310" s="3231"/>
      <c r="U310" s="3223"/>
      <c r="V310" s="3231"/>
      <c r="W310" s="3223"/>
      <c r="X310" s="270" t="n">
        <f>SUM('6층_부하량(월간_AVG)'!L391:N391)</f>
        <v>0.0</v>
      </c>
      <c r="Y310" s="270" t="n">
        <f>SUM('6층_부하량(월간_AVG)'!L423:N423)</f>
        <v>0.0</v>
      </c>
      <c r="Z310" s="2566" t="n">
        <f>SUM(X310:Y310)</f>
        <v>0.0</v>
      </c>
      <c r="AA310" s="2838" t="n" cm="1">
        <f t="array" ref="AA310">INDEX('각층분기별_유효전력량(전월)'!$I$2:$I$2017,MATCH(1,("6-DaHall 1-PDU-07"='각층분기별_유효전력량(전월)'!$G$2:$G$2017)*("[branch#012] [A] kWh last month"='각층분기별_유효전력량(전월)'!$H$2:$H$2017),0))</f>
        <v>0.0</v>
      </c>
      <c r="AB310" s="2989" t="n" cm="1">
        <f t="array" ref="AB310">INDEX('각층분기별_유효전력량(전월)'!$I$2:$I$2017,MATCH(1,("6-DaHall 1-PDU-08"='각층분기별_유효전력량(전월)'!$G$2:$G$2017)*("[branch#012] [A] kWh last month"='각층분기별_유효전력량(전월)'!$H$2:$H$2017),0))</f>
        <v>0.0</v>
      </c>
      <c r="AC310" s="2972" t="n">
        <f t="shared" si="68"/>
        <v>0.0</v>
      </c>
      <c r="AD310" s="2954"/>
    </row>
    <row r="311" spans="1:31" ht="27" customHeight="1" x14ac:dyDescent="0.15">
      <c r="A311" s="2769" t="s">
        <v>637</v>
      </c>
      <c r="B311" s="2765" t="s">
        <v>2655</v>
      </c>
      <c r="C311" s="2784"/>
      <c r="D311" s="2765" t="s">
        <v>2656</v>
      </c>
      <c r="E311" s="2765" t="s">
        <v>2657</v>
      </c>
      <c r="F311" s="2757" t="s">
        <v>2658</v>
      </c>
      <c r="G311" s="2752" t="s">
        <v>2659</v>
      </c>
      <c r="H311" s="2220" t="str">
        <f t="shared" si="78"/>
        <v>6-DaHall 1-PDU-07-30-14</v>
      </c>
      <c r="I311" s="2221" t="str">
        <f t="shared" si="79"/>
        <v>6-DaHall 1-PDU-08-30-14</v>
      </c>
      <c r="J311" s="1545">
        <v>220</v>
      </c>
      <c r="K311" s="1546">
        <v>30</v>
      </c>
      <c r="L311" s="2540" t="s">
        <v>6919</v>
      </c>
      <c r="M311" s="1533">
        <v>14</v>
      </c>
      <c r="N311" s="1537">
        <v>220</v>
      </c>
      <c r="O311" s="1538">
        <v>30</v>
      </c>
      <c r="P311" s="2546" t="s">
        <v>6931</v>
      </c>
      <c r="Q311" s="1536">
        <v>14</v>
      </c>
      <c r="R311" s="3231"/>
      <c r="S311" s="3223"/>
      <c r="T311" s="3231"/>
      <c r="U311" s="3223"/>
      <c r="V311" s="3231"/>
      <c r="W311" s="3223"/>
      <c r="X311" s="270" t="n">
        <f>SUM('6층_부하량(월간_AVG)'!L392:N392)</f>
        <v>0.0</v>
      </c>
      <c r="Y311" s="270" t="n">
        <f>SUM('6층_부하량(월간_AVG)'!L424:N424)</f>
        <v>0.0</v>
      </c>
      <c r="Z311" s="2566" t="n">
        <f>SUM(X311:Y311)</f>
        <v>0.0</v>
      </c>
      <c r="AA311" s="2838" t="n" cm="1">
        <f t="array" ref="AA311">INDEX('각층분기별_유효전력량(전월)'!$I$2:$I$2017,MATCH(1,("6-DaHall 1-PDU-07"='각층분기별_유효전력량(전월)'!$G$2:$G$2017)*("[branch#014] [A] kWh last month"='각층분기별_유효전력량(전월)'!$H$2:$H$2017),0))</f>
        <v>0.0</v>
      </c>
      <c r="AB311" s="2989" t="n" cm="1">
        <f t="array" ref="AB311">INDEX('각층분기별_유효전력량(전월)'!$I$2:$I$2017,MATCH(1,("6-DaHall 1-PDU-08"='각층분기별_유효전력량(전월)'!$G$2:$G$2017)*("[branch#014] [A] kWh last month"='각층분기별_유효전력량(전월)'!$H$2:$H$2017),0))</f>
        <v>0.0</v>
      </c>
      <c r="AC311" s="2972" t="n">
        <f t="shared" si="68"/>
        <v>0.0</v>
      </c>
      <c r="AD311" s="2954"/>
    </row>
    <row r="312" spans="1:31" ht="54" x14ac:dyDescent="0.15">
      <c r="A312" s="2769" t="s">
        <v>626</v>
      </c>
      <c r="B312" s="2765" t="s">
        <v>2660</v>
      </c>
      <c r="C312" s="2784"/>
      <c r="D312" s="2765" t="s">
        <v>2661</v>
      </c>
      <c r="E312" s="2765" t="s">
        <v>2662</v>
      </c>
      <c r="F312" s="2757" t="s">
        <v>2663</v>
      </c>
      <c r="G312" s="2752" t="s">
        <v>2664</v>
      </c>
      <c r="H312" s="2220" t="str">
        <f t="shared" si="78"/>
        <v>6-DaHall 1-PDU-01-30-48</v>
      </c>
      <c r="I312" s="2221" t="str">
        <f t="shared" si="79"/>
        <v>6-DaHall 1-PDU-02-30-48</v>
      </c>
      <c r="J312" s="1545">
        <v>220</v>
      </c>
      <c r="K312" s="1546">
        <v>30</v>
      </c>
      <c r="L312" s="2540" t="s">
        <v>6924</v>
      </c>
      <c r="M312" s="1533">
        <v>48</v>
      </c>
      <c r="N312" s="1537">
        <v>220</v>
      </c>
      <c r="O312" s="1538">
        <v>30</v>
      </c>
      <c r="P312" s="2546" t="s">
        <v>6920</v>
      </c>
      <c r="Q312" s="1536">
        <v>48</v>
      </c>
      <c r="R312" s="2757" t="s">
        <v>2009</v>
      </c>
      <c r="S312" s="2752" t="s">
        <v>2010</v>
      </c>
      <c r="T312" s="2757" t="s">
        <v>2011</v>
      </c>
      <c r="U312" s="2752" t="s">
        <v>2012</v>
      </c>
      <c r="V312" s="3231"/>
      <c r="W312" s="3223"/>
      <c r="X312" s="270" t="n">
        <f>SUM('6층_부하량(월간_AVG)'!L225:N225)</f>
        <v>0.5376055371431975</v>
      </c>
      <c r="Y312" s="270" t="n">
        <f>SUM('6층_부하량(월간_AVG)'!L255:N255)</f>
        <v>0.0</v>
      </c>
      <c r="Z312" s="2566" t="n">
        <f>SUM(X312:Y312)</f>
        <v>0.5376055371431975</v>
      </c>
      <c r="AA312" s="2838" t="n" cm="1">
        <f t="array" ref="AA312">INDEX('각층분기별_유효전력량(전월)'!$I$2:$I$2017,MATCH(1,("6-DaHall 1-PDU-01"='각층분기별_유효전력량(전월)'!$G$2:$G$2017)*("[branch#048] [A] kWh last month"='각층분기별_유효전력량(전월)'!$H$2:$H$2017),0))</f>
        <v>77.4</v>
      </c>
      <c r="AB312" s="2989" t="n" cm="1">
        <f t="array" ref="AB312">INDEX('각층분기별_유효전력량(전월)'!$I$2:$I$2017,MATCH(1,("6-DaHall 1-PDU-02"='각층분기별_유효전력량(전월)'!$G$2:$G$2017)*("[branch#048] [A] kWh last month"='각층분기별_유효전력량(전월)'!$H$2:$H$2017),0))</f>
        <v>0.0</v>
      </c>
      <c r="AC312" s="2972" t="n">
        <f t="shared" si="68"/>
        <v>77.4</v>
      </c>
      <c r="AD312" s="2954"/>
    </row>
    <row r="313" spans="1:31" ht="41.25" thickBot="1" x14ac:dyDescent="0.2">
      <c r="A313" s="2779" t="s">
        <v>621</v>
      </c>
      <c r="B313" s="2780" t="s">
        <v>2665</v>
      </c>
      <c r="C313" s="2809"/>
      <c r="D313" s="2780" t="s">
        <v>2666</v>
      </c>
      <c r="E313" s="2780" t="s">
        <v>2667</v>
      </c>
      <c r="F313" s="2759" t="s">
        <v>2668</v>
      </c>
      <c r="G313" s="2753" t="s">
        <v>2669</v>
      </c>
      <c r="H313" s="2222" t="str">
        <f t="shared" si="78"/>
        <v>6-DaHall 1-PDU-05-30-50</v>
      </c>
      <c r="I313" s="2223" t="str">
        <f t="shared" si="79"/>
        <v>6-DaHall 1-PDU-06-30-50</v>
      </c>
      <c r="J313" s="1566">
        <v>220</v>
      </c>
      <c r="K313" s="1567">
        <v>30</v>
      </c>
      <c r="L313" s="2543" t="s">
        <v>6918</v>
      </c>
      <c r="M313" s="1541">
        <v>50</v>
      </c>
      <c r="N313" s="1568">
        <v>220</v>
      </c>
      <c r="O313" s="1569">
        <v>30</v>
      </c>
      <c r="P313" s="2549" t="s">
        <v>6928</v>
      </c>
      <c r="Q313" s="1544">
        <v>50</v>
      </c>
      <c r="R313" s="2759" t="s">
        <v>2197</v>
      </c>
      <c r="S313" s="2753" t="s">
        <v>2198</v>
      </c>
      <c r="T313" s="2759" t="s">
        <v>2199</v>
      </c>
      <c r="U313" s="2753" t="s">
        <v>2200</v>
      </c>
      <c r="V313" s="3235"/>
      <c r="W313" s="3224"/>
      <c r="X313" s="335" t="n">
        <f>SUM('6층_부하량(월간_AVG)'!L346:N346)</f>
        <v>0.0</v>
      </c>
      <c r="Y313" s="335" t="n">
        <f>SUM('6층_부하량(월간_AVG)'!L378:N378)</f>
        <v>0.0</v>
      </c>
      <c r="Z313" s="2567" t="n">
        <f t="shared" ref="Z313" si="80">SUM(X313:Y313)</f>
        <v>0.0</v>
      </c>
      <c r="AA313" s="3005" t="n" cm="1">
        <f t="array" ref="AA313">INDEX('각층분기별_유효전력량(전월)'!$I$2:$I$2017,MATCH(1,("6-DaHall 1-PDU-05"='각층분기별_유효전력량(전월)'!$G$2:$G$2017)*("[branch#050] [A] kWh last month"='각층분기별_유효전력량(전월)'!$H$2:$H$2017),0))</f>
        <v>0.0</v>
      </c>
      <c r="AB313" s="3006" t="n" cm="1">
        <f t="array" ref="AB313">INDEX('각층분기별_유효전력량(전월)'!$I$2:$I$2017,MATCH(1,("6-DaHall 1-PDU-06"='각층분기별_유효전력량(전월)'!$G$2:$G$2017)*("[branch#050] [A] kWh last month"='각층분기별_유효전력량(전월)'!$H$2:$H$2017),0))</f>
        <v>0.0</v>
      </c>
      <c r="AC313" s="2977" t="n">
        <f t="shared" si="68"/>
        <v>0.0</v>
      </c>
      <c r="AD313" s="2958"/>
    </row>
    <row r="314" spans="1:31" ht="28.5" hidden="1" customHeight="1" x14ac:dyDescent="0.15">
      <c r="A314" s="1106"/>
      <c r="B314" s="331" t="s">
        <v>2670</v>
      </c>
      <c r="C314" s="331"/>
      <c r="D314" s="331" t="s">
        <v>2671</v>
      </c>
      <c r="E314" s="331" t="s">
        <v>2672</v>
      </c>
      <c r="F314" s="2756" t="s">
        <v>2673</v>
      </c>
      <c r="G314" s="2758" t="s">
        <v>2674</v>
      </c>
      <c r="H314" s="2227" t="str">
        <f t="shared" si="78"/>
        <v>6-DaHall 1-PDU-01-30-17</v>
      </c>
      <c r="I314" s="2228" t="str">
        <f t="shared" si="79"/>
        <v>6-DaHall 1-PDU-02-30-17</v>
      </c>
      <c r="J314" s="1574">
        <v>220</v>
      </c>
      <c r="K314" s="1575">
        <v>30</v>
      </c>
      <c r="L314" s="2542" t="s">
        <v>6924</v>
      </c>
      <c r="M314" s="1556">
        <v>17</v>
      </c>
      <c r="N314" s="1576">
        <v>220</v>
      </c>
      <c r="O314" s="1577">
        <v>30</v>
      </c>
      <c r="P314" s="2548" t="s">
        <v>6920</v>
      </c>
      <c r="Q314" s="1559">
        <v>17</v>
      </c>
      <c r="R314" s="3230" t="s">
        <v>2009</v>
      </c>
      <c r="S314" s="3232" t="s">
        <v>2010</v>
      </c>
      <c r="T314" s="3230" t="s">
        <v>2011</v>
      </c>
      <c r="U314" s="3232" t="s">
        <v>2012</v>
      </c>
      <c r="V314" s="3230" t="s">
        <v>1590</v>
      </c>
      <c r="W314" s="3232" t="s">
        <v>2202</v>
      </c>
      <c r="X314" s="1115"/>
      <c r="Y314" s="1115"/>
      <c r="Z314" s="2569"/>
      <c r="AA314" s="3007"/>
      <c r="AB314" s="3008"/>
      <c r="AC314" s="3009" t="n">
        <f t="shared" si="68"/>
        <v>0.0</v>
      </c>
      <c r="AD314" s="3010"/>
      <c r="AE314" s="3210" t="s">
        <v>2675</v>
      </c>
    </row>
    <row r="315" spans="1:31" ht="28.5" hidden="1" customHeight="1" x14ac:dyDescent="0.15">
      <c r="A315" s="1107"/>
      <c r="B315" s="2765" t="s">
        <v>2676</v>
      </c>
      <c r="C315" s="2765"/>
      <c r="D315" s="2765" t="s">
        <v>2677</v>
      </c>
      <c r="E315" s="2765" t="s">
        <v>2678</v>
      </c>
      <c r="F315" s="2757" t="s">
        <v>2679</v>
      </c>
      <c r="G315" s="2752" t="s">
        <v>2680</v>
      </c>
      <c r="H315" s="2220" t="str">
        <f t="shared" si="78"/>
        <v>6-DaHall 1-PDU-01-30-15</v>
      </c>
      <c r="I315" s="2221" t="str">
        <f t="shared" si="79"/>
        <v>6-DaHall 1-PDU-02-30-15</v>
      </c>
      <c r="J315" s="1545">
        <v>220</v>
      </c>
      <c r="K315" s="1546">
        <v>30</v>
      </c>
      <c r="L315" s="2540" t="s">
        <v>6924</v>
      </c>
      <c r="M315" s="1533">
        <v>15</v>
      </c>
      <c r="N315" s="1537">
        <v>220</v>
      </c>
      <c r="O315" s="1538">
        <v>30</v>
      </c>
      <c r="P315" s="2546" t="s">
        <v>6920</v>
      </c>
      <c r="Q315" s="1536">
        <v>15</v>
      </c>
      <c r="R315" s="3231"/>
      <c r="S315" s="3223"/>
      <c r="T315" s="3231"/>
      <c r="U315" s="3223"/>
      <c r="V315" s="3231"/>
      <c r="W315" s="3223"/>
      <c r="X315" s="1116"/>
      <c r="Y315" s="1116"/>
      <c r="Z315" s="2570"/>
      <c r="AA315" s="3007"/>
      <c r="AB315" s="3008"/>
      <c r="AC315" s="3011" t="n">
        <f t="shared" si="68"/>
        <v>0.0</v>
      </c>
      <c r="AD315" s="3012"/>
      <c r="AE315" s="3211"/>
    </row>
    <row r="316" spans="1:31" ht="28.5" hidden="1" customHeight="1" x14ac:dyDescent="0.15">
      <c r="A316" s="1107"/>
      <c r="B316" s="2765" t="s">
        <v>2681</v>
      </c>
      <c r="C316" s="2765"/>
      <c r="D316" s="2765" t="s">
        <v>2682</v>
      </c>
      <c r="E316" s="2765" t="s">
        <v>2683</v>
      </c>
      <c r="F316" s="2757" t="s">
        <v>2684</v>
      </c>
      <c r="G316" s="2752" t="s">
        <v>2685</v>
      </c>
      <c r="H316" s="2220" t="str">
        <f t="shared" si="78"/>
        <v>6-DaHall 1-PDU-01-30-13</v>
      </c>
      <c r="I316" s="2221" t="str">
        <f t="shared" si="79"/>
        <v>6-DaHall 1-PDU-02-30-13</v>
      </c>
      <c r="J316" s="1545">
        <v>220</v>
      </c>
      <c r="K316" s="1546">
        <v>30</v>
      </c>
      <c r="L316" s="2540" t="s">
        <v>6924</v>
      </c>
      <c r="M316" s="1533">
        <v>13</v>
      </c>
      <c r="N316" s="1537">
        <v>220</v>
      </c>
      <c r="O316" s="1538">
        <v>30</v>
      </c>
      <c r="P316" s="2546" t="s">
        <v>6920</v>
      </c>
      <c r="Q316" s="1536">
        <v>13</v>
      </c>
      <c r="R316" s="3231"/>
      <c r="S316" s="3223"/>
      <c r="T316" s="3231"/>
      <c r="U316" s="3223"/>
      <c r="V316" s="3231"/>
      <c r="W316" s="3223"/>
      <c r="X316" s="1116"/>
      <c r="Y316" s="1116"/>
      <c r="Z316" s="2570"/>
      <c r="AA316" s="3007"/>
      <c r="AB316" s="3008"/>
      <c r="AC316" s="3011" t="n">
        <f t="shared" si="68"/>
        <v>0.0</v>
      </c>
      <c r="AD316" s="3012"/>
      <c r="AE316" s="3211"/>
    </row>
    <row r="317" spans="1:31" ht="28.5" hidden="1" customHeight="1" x14ac:dyDescent="0.15">
      <c r="A317" s="1107"/>
      <c r="B317" s="2765" t="s">
        <v>2686</v>
      </c>
      <c r="C317" s="2765"/>
      <c r="D317" s="2765" t="s">
        <v>2687</v>
      </c>
      <c r="E317" s="2765" t="s">
        <v>2688</v>
      </c>
      <c r="F317" s="2757" t="s">
        <v>2689</v>
      </c>
      <c r="G317" s="2752" t="s">
        <v>2690</v>
      </c>
      <c r="H317" s="2220" t="str">
        <f t="shared" si="78"/>
        <v>6-DaHall 1-PDU-01-30-11</v>
      </c>
      <c r="I317" s="2221" t="str">
        <f t="shared" si="79"/>
        <v>6-DaHall 1-PDU-02-30-11</v>
      </c>
      <c r="J317" s="1545">
        <v>220</v>
      </c>
      <c r="K317" s="1546">
        <v>30</v>
      </c>
      <c r="L317" s="2540" t="s">
        <v>6924</v>
      </c>
      <c r="M317" s="1533">
        <v>11</v>
      </c>
      <c r="N317" s="1537">
        <v>220</v>
      </c>
      <c r="O317" s="1538">
        <v>30</v>
      </c>
      <c r="P317" s="2546" t="s">
        <v>6920</v>
      </c>
      <c r="Q317" s="1536">
        <v>11</v>
      </c>
      <c r="R317" s="3231"/>
      <c r="S317" s="3223"/>
      <c r="T317" s="3231"/>
      <c r="U317" s="3223"/>
      <c r="V317" s="3231"/>
      <c r="W317" s="3223"/>
      <c r="X317" s="1116"/>
      <c r="Y317" s="1116"/>
      <c r="Z317" s="2570"/>
      <c r="AA317" s="3007"/>
      <c r="AB317" s="3008"/>
      <c r="AC317" s="3011" t="n">
        <f t="shared" si="68"/>
        <v>0.0</v>
      </c>
      <c r="AD317" s="3012"/>
      <c r="AE317" s="3211"/>
    </row>
    <row r="318" spans="1:31" ht="28.5" hidden="1" customHeight="1" x14ac:dyDescent="0.15">
      <c r="A318" s="1107"/>
      <c r="B318" s="2765" t="s">
        <v>2691</v>
      </c>
      <c r="C318" s="2765"/>
      <c r="D318" s="2765" t="s">
        <v>2692</v>
      </c>
      <c r="E318" s="2765" t="s">
        <v>2693</v>
      </c>
      <c r="F318" s="2757" t="s">
        <v>2694</v>
      </c>
      <c r="G318" s="2752" t="s">
        <v>2695</v>
      </c>
      <c r="H318" s="2220" t="str">
        <f t="shared" si="78"/>
        <v>6-DaHall 1-PDU-01-30-9</v>
      </c>
      <c r="I318" s="2221" t="str">
        <f t="shared" si="79"/>
        <v>6-DaHall 1-PDU-02-30-9</v>
      </c>
      <c r="J318" s="1545">
        <v>220</v>
      </c>
      <c r="K318" s="1546">
        <v>30</v>
      </c>
      <c r="L318" s="2540" t="s">
        <v>6924</v>
      </c>
      <c r="M318" s="1533">
        <v>9</v>
      </c>
      <c r="N318" s="1537">
        <v>220</v>
      </c>
      <c r="O318" s="1538">
        <v>30</v>
      </c>
      <c r="P318" s="2546" t="s">
        <v>6920</v>
      </c>
      <c r="Q318" s="1536">
        <v>9</v>
      </c>
      <c r="R318" s="3231"/>
      <c r="S318" s="3223"/>
      <c r="T318" s="3231"/>
      <c r="U318" s="3223"/>
      <c r="V318" s="3231"/>
      <c r="W318" s="3223"/>
      <c r="X318" s="1116"/>
      <c r="Y318" s="1116"/>
      <c r="Z318" s="2570"/>
      <c r="AA318" s="3007"/>
      <c r="AB318" s="3008"/>
      <c r="AC318" s="3011" t="n">
        <f t="shared" si="68"/>
        <v>0.0</v>
      </c>
      <c r="AD318" s="3012"/>
      <c r="AE318" s="3211"/>
    </row>
    <row r="319" spans="1:31" ht="28.5" hidden="1" customHeight="1" x14ac:dyDescent="0.15">
      <c r="A319" s="1107"/>
      <c r="B319" s="2765" t="s">
        <v>2696</v>
      </c>
      <c r="C319" s="2765"/>
      <c r="D319" s="2765" t="s">
        <v>2697</v>
      </c>
      <c r="E319" s="2765" t="s">
        <v>2698</v>
      </c>
      <c r="F319" s="2757" t="s">
        <v>2699</v>
      </c>
      <c r="G319" s="2752" t="s">
        <v>2700</v>
      </c>
      <c r="H319" s="2220" t="str">
        <f t="shared" si="78"/>
        <v>6-DaHall 1-PDU-01-30-7</v>
      </c>
      <c r="I319" s="2221" t="str">
        <f t="shared" si="79"/>
        <v>6-DaHall 1-PDU-02-30-7</v>
      </c>
      <c r="J319" s="1545">
        <v>220</v>
      </c>
      <c r="K319" s="1546">
        <v>30</v>
      </c>
      <c r="L319" s="2540" t="s">
        <v>6924</v>
      </c>
      <c r="M319" s="1533">
        <v>7</v>
      </c>
      <c r="N319" s="1537">
        <v>220</v>
      </c>
      <c r="O319" s="1538">
        <v>30</v>
      </c>
      <c r="P319" s="2546" t="s">
        <v>6920</v>
      </c>
      <c r="Q319" s="1536">
        <v>7</v>
      </c>
      <c r="R319" s="3231"/>
      <c r="S319" s="3223"/>
      <c r="T319" s="3231"/>
      <c r="U319" s="3223"/>
      <c r="V319" s="3231"/>
      <c r="W319" s="3223"/>
      <c r="X319" s="1116"/>
      <c r="Y319" s="1116"/>
      <c r="Z319" s="2570"/>
      <c r="AA319" s="3007"/>
      <c r="AB319" s="3008"/>
      <c r="AC319" s="3011" t="n">
        <f t="shared" si="68"/>
        <v>0.0</v>
      </c>
      <c r="AD319" s="3012"/>
      <c r="AE319" s="3211"/>
    </row>
    <row r="320" spans="1:31" ht="15" hidden="1" customHeight="1" x14ac:dyDescent="0.15">
      <c r="A320" s="1107"/>
      <c r="B320" s="2834" t="s">
        <v>2701</v>
      </c>
      <c r="C320" s="2834"/>
      <c r="D320" s="2834"/>
      <c r="E320" s="2834"/>
      <c r="F320" s="2829"/>
      <c r="G320" s="2812"/>
      <c r="H320" s="2229" t="str">
        <f t="shared" si="78"/>
        <v>6-DaHall 1-PDU--30-</v>
      </c>
      <c r="I320" s="2230" t="str">
        <f t="shared" si="79"/>
        <v>6-DaHall 1-PDU--30-</v>
      </c>
      <c r="J320" s="1560">
        <v>220</v>
      </c>
      <c r="K320" s="1561">
        <v>30</v>
      </c>
      <c r="L320" s="2829"/>
      <c r="M320" s="1562"/>
      <c r="N320" s="1563">
        <v>220</v>
      </c>
      <c r="O320" s="1564">
        <v>30</v>
      </c>
      <c r="P320" s="2812"/>
      <c r="Q320" s="1565"/>
      <c r="R320" s="838"/>
      <c r="S320" s="839"/>
      <c r="T320" s="838"/>
      <c r="U320" s="839"/>
      <c r="V320" s="838"/>
      <c r="W320" s="839"/>
      <c r="X320" s="840"/>
      <c r="Y320" s="840"/>
      <c r="Z320" s="2564" t="n">
        <f t="shared" ref="Z320:Z322" si="81">SUM(X320:Y320)</f>
        <v>0.0</v>
      </c>
      <c r="AA320" s="3013"/>
      <c r="AB320" s="3014"/>
      <c r="AC320" s="2990" t="n">
        <f t="shared" si="68"/>
        <v>0.0</v>
      </c>
      <c r="AD320" s="2991" t="s">
        <v>1579</v>
      </c>
      <c r="AE320" s="3211"/>
    </row>
    <row r="321" spans="1:31" ht="15" hidden="1" customHeight="1" x14ac:dyDescent="0.15">
      <c r="A321" s="1107"/>
      <c r="B321" s="2834" t="s">
        <v>2702</v>
      </c>
      <c r="C321" s="2834"/>
      <c r="D321" s="2834"/>
      <c r="E321" s="2834"/>
      <c r="F321" s="2829"/>
      <c r="G321" s="2812"/>
      <c r="H321" s="2229" t="str">
        <f t="shared" si="78"/>
        <v>6-DaHall 1-PDU--30-</v>
      </c>
      <c r="I321" s="2230" t="str">
        <f t="shared" si="79"/>
        <v>6-DaHall 1-PDU--30-</v>
      </c>
      <c r="J321" s="1560">
        <v>220</v>
      </c>
      <c r="K321" s="1561">
        <v>30</v>
      </c>
      <c r="L321" s="2829"/>
      <c r="M321" s="1562"/>
      <c r="N321" s="1563">
        <v>220</v>
      </c>
      <c r="O321" s="1564">
        <v>30</v>
      </c>
      <c r="P321" s="2812"/>
      <c r="Q321" s="1565"/>
      <c r="R321" s="838"/>
      <c r="S321" s="839"/>
      <c r="T321" s="838"/>
      <c r="U321" s="839"/>
      <c r="V321" s="838"/>
      <c r="W321" s="839"/>
      <c r="X321" s="840"/>
      <c r="Y321" s="840"/>
      <c r="Z321" s="2564" t="n">
        <f t="shared" si="81"/>
        <v>0.0</v>
      </c>
      <c r="AA321" s="3013"/>
      <c r="AB321" s="3014"/>
      <c r="AC321" s="2990" t="n">
        <f t="shared" si="68"/>
        <v>0.0</v>
      </c>
      <c r="AD321" s="2991" t="s">
        <v>1579</v>
      </c>
      <c r="AE321" s="3211"/>
    </row>
    <row r="322" spans="1:31" ht="15" hidden="1" customHeight="1" x14ac:dyDescent="0.15">
      <c r="A322" s="1108"/>
      <c r="B322" s="847" t="s">
        <v>2703</v>
      </c>
      <c r="C322" s="847"/>
      <c r="D322" s="847"/>
      <c r="E322" s="847"/>
      <c r="F322" s="2830"/>
      <c r="G322" s="2813"/>
      <c r="H322" s="2225" t="str">
        <f t="shared" si="78"/>
        <v>6-DaHall 1-PDU--30-</v>
      </c>
      <c r="I322" s="2226" t="str">
        <f t="shared" si="79"/>
        <v>6-DaHall 1-PDU--30-</v>
      </c>
      <c r="J322" s="1548">
        <v>220</v>
      </c>
      <c r="K322" s="1549">
        <v>30</v>
      </c>
      <c r="L322" s="2830"/>
      <c r="M322" s="1550"/>
      <c r="N322" s="1551">
        <v>220</v>
      </c>
      <c r="O322" s="1552">
        <v>30</v>
      </c>
      <c r="P322" s="2813"/>
      <c r="Q322" s="1553"/>
      <c r="R322" s="848"/>
      <c r="S322" s="867"/>
      <c r="T322" s="848"/>
      <c r="U322" s="867"/>
      <c r="V322" s="848"/>
      <c r="W322" s="867"/>
      <c r="X322" s="868"/>
      <c r="Y322" s="868"/>
      <c r="Z322" s="2563" t="n">
        <f t="shared" si="81"/>
        <v>0.0</v>
      </c>
      <c r="AA322" s="3013"/>
      <c r="AB322" s="3015"/>
      <c r="AC322" s="2977" t="n">
        <f t="shared" si="68"/>
        <v>0.0</v>
      </c>
      <c r="AD322" s="3016" t="s">
        <v>1579</v>
      </c>
      <c r="AE322" s="3211"/>
    </row>
    <row r="323" spans="1:31" ht="27.75" customHeight="1" thickTop="1" x14ac:dyDescent="0.15">
      <c r="A323" s="1105" t="s">
        <v>2704</v>
      </c>
      <c r="B323" s="1015" t="s">
        <v>2705</v>
      </c>
      <c r="C323" s="331" t="s">
        <v>2706</v>
      </c>
      <c r="D323" s="331" t="s">
        <v>2707</v>
      </c>
      <c r="E323" s="331" t="s">
        <v>2708</v>
      </c>
      <c r="F323" s="2756" t="s">
        <v>2709</v>
      </c>
      <c r="G323" s="2758" t="s">
        <v>2710</v>
      </c>
      <c r="H323" s="2227" t="str">
        <f t="shared" si="78"/>
        <v>6-DaHall 1-PDU-01-30-2</v>
      </c>
      <c r="I323" s="2228" t="str">
        <f t="shared" si="79"/>
        <v>6-DaHall 1-PDU-02-30-2</v>
      </c>
      <c r="J323" s="1554">
        <v>220</v>
      </c>
      <c r="K323" s="1555">
        <v>30</v>
      </c>
      <c r="L323" s="2542" t="s">
        <v>6924</v>
      </c>
      <c r="M323" s="1556">
        <v>2</v>
      </c>
      <c r="N323" s="1557">
        <v>220</v>
      </c>
      <c r="O323" s="1558">
        <v>30</v>
      </c>
      <c r="P323" s="2548" t="s">
        <v>6920</v>
      </c>
      <c r="Q323" s="1559">
        <v>2</v>
      </c>
      <c r="R323" s="3230" t="s">
        <v>2009</v>
      </c>
      <c r="S323" s="3232" t="s">
        <v>2010</v>
      </c>
      <c r="T323" s="3230" t="s">
        <v>2011</v>
      </c>
      <c r="U323" s="3232" t="s">
        <v>2012</v>
      </c>
      <c r="V323" s="3230" t="s">
        <v>2201</v>
      </c>
      <c r="W323" s="3232" t="s">
        <v>1591</v>
      </c>
      <c r="X323" s="332" t="n">
        <f>SUM('6층_부하량(월간_AVG)'!L202:N202)</f>
        <v>1.907298680444345</v>
      </c>
      <c r="Y323" s="332" t="n">
        <f>SUM('6층_부하량(월간_AVG)'!L232:N232)</f>
        <v>1.4396973769962196</v>
      </c>
      <c r="Z323" s="3017" t="n">
        <f>SUM(X323:Y323)</f>
        <v>3.3469960574405646</v>
      </c>
      <c r="AA323" s="3018" t="n" cm="1">
        <f t="array" ref="AA323">INDEX('각층분기별_유효전력량(전월)'!$I$2:$I$2017,MATCH(1,("6-DaHall 1-PDU-01"='각층분기별_유효전력량(전월)'!$G$2:$G$2017)*("[branch#002] [A] kWh last month"='각층분기별_유효전력량(전월)'!$H$2:$H$2017),0))</f>
        <v>245.4</v>
      </c>
      <c r="AB323" s="3019" t="n" cm="1">
        <f t="array" ref="AB323">INDEX('각층분기별_유효전력량(전월)'!$I$2:$I$2017,MATCH(1,("6-DaHall 1-PDU-02"='각층분기별_유효전력량(전월)'!$G$2:$G$2017)*("[branch#002] [A] kWh last month"='각층분기별_유효전력량(전월)'!$H$2:$H$2017),0))</f>
        <v>174.0</v>
      </c>
      <c r="AC323" s="2995" t="n">
        <f t="shared" si="68"/>
        <v>419.4</v>
      </c>
      <c r="AD323" s="3020" t="s">
        <v>2711</v>
      </c>
      <c r="AE323" s="869"/>
    </row>
    <row r="324" spans="1:31" ht="27" customHeight="1" x14ac:dyDescent="0.15">
      <c r="A324" s="3279" t="s">
        <v>2712</v>
      </c>
      <c r="B324" s="3287" t="s">
        <v>2713</v>
      </c>
      <c r="C324" s="2765" t="s">
        <v>2714</v>
      </c>
      <c r="D324" s="871" t="s">
        <v>2715</v>
      </c>
      <c r="E324" s="871" t="s">
        <v>2716</v>
      </c>
      <c r="F324" s="2757" t="s">
        <v>2717</v>
      </c>
      <c r="G324" s="2752" t="s">
        <v>2718</v>
      </c>
      <c r="H324" s="2220" t="str">
        <f t="shared" si="78"/>
        <v>6-DaHall 1-PDU-01-30-36</v>
      </c>
      <c r="I324" s="2221" t="str">
        <f t="shared" si="79"/>
        <v>6-DaHall 1-PDU-02-30-36</v>
      </c>
      <c r="J324" s="1531">
        <v>220</v>
      </c>
      <c r="K324" s="1532">
        <v>30</v>
      </c>
      <c r="L324" s="2540" t="s">
        <v>6924</v>
      </c>
      <c r="M324" s="1533">
        <v>36</v>
      </c>
      <c r="N324" s="1534">
        <v>220</v>
      </c>
      <c r="O324" s="1535">
        <v>30</v>
      </c>
      <c r="P324" s="2546" t="s">
        <v>6920</v>
      </c>
      <c r="Q324" s="1536">
        <v>36</v>
      </c>
      <c r="R324" s="3231"/>
      <c r="S324" s="3223"/>
      <c r="T324" s="3231"/>
      <c r="U324" s="3223"/>
      <c r="V324" s="3231"/>
      <c r="W324" s="3223"/>
      <c r="X324" s="255" t="n">
        <f>SUM('6층_부하량(월간_AVG)'!L219:N219)</f>
        <v>1.005290877986426</v>
      </c>
      <c r="Y324" s="255" t="n">
        <f>SUM('6층_부하량(월간_AVG)'!L249:N249)</f>
        <v>1.5560287422390295</v>
      </c>
      <c r="Z324" s="3249" t="n">
        <f>SUM(X324:Y325)</f>
        <v>2.5613196202254556</v>
      </c>
      <c r="AA324" s="2838" t="n" cm="1">
        <f t="array" ref="AA324">INDEX('각층분기별_유효전력량(전월)'!$I$2:$I$2017,MATCH(1,("6-DaHall 1-PDU-01"='각층분기별_유효전력량(전월)'!$G$2:$G$2017)*("[branch#036] [A] kWh last month"='각층분기별_유효전력량(전월)'!$H$2:$H$2017),0))</f>
        <v>150.3</v>
      </c>
      <c r="AB324" s="2989" t="n" cm="1">
        <f t="array" ref="AB324">INDEX('각층분기별_유효전력량(전월)'!$I$2:$I$2017,MATCH(1,("6-DaHall 1-PDU-02"='각층분기별_유효전력량(전월)'!$G$2:$G$2017)*("[branch#036] [A] kWh last month"='각층분기별_유효전력량(전월)'!$H$2:$H$2017),0))</f>
        <v>197.0</v>
      </c>
      <c r="AC324" s="3208" t="n">
        <f>SUM(AA324:AB325)</f>
        <v>347.3</v>
      </c>
      <c r="AD324" s="3021" t="s">
        <v>2719</v>
      </c>
    </row>
    <row r="325" spans="1:31" ht="27" customHeight="1" x14ac:dyDescent="0.15">
      <c r="A325" s="3279"/>
      <c r="B325" s="3287"/>
      <c r="C325" s="2765" t="s">
        <v>2714</v>
      </c>
      <c r="D325" s="2115" t="s">
        <v>2720</v>
      </c>
      <c r="E325" s="871" t="s">
        <v>2721</v>
      </c>
      <c r="F325" s="2829" t="s">
        <v>2722</v>
      </c>
      <c r="G325" s="2752" t="s">
        <v>2723</v>
      </c>
      <c r="H325" s="2229" t="str">
        <f t="shared" si="78"/>
        <v>6-DaHall 1-PDU-01-30-38</v>
      </c>
      <c r="I325" s="2221" t="str">
        <f t="shared" si="79"/>
        <v>6-DaHall 1-PDU-02-30-38</v>
      </c>
      <c r="J325" s="1531">
        <v>220</v>
      </c>
      <c r="K325" s="1532">
        <v>30</v>
      </c>
      <c r="L325" s="2540" t="s">
        <v>6924</v>
      </c>
      <c r="M325" s="1533">
        <v>38</v>
      </c>
      <c r="N325" s="1534">
        <v>220</v>
      </c>
      <c r="O325" s="1535">
        <v>30</v>
      </c>
      <c r="P325" s="2546" t="s">
        <v>6920</v>
      </c>
      <c r="Q325" s="1536">
        <v>38</v>
      </c>
      <c r="R325" s="3231"/>
      <c r="S325" s="3223"/>
      <c r="T325" s="3231"/>
      <c r="U325" s="3223"/>
      <c r="V325" s="3231"/>
      <c r="W325" s="3223"/>
      <c r="X325" s="840" t="n">
        <f>SUM('6층_부하량(월간_AVG)'!L220:N220)</f>
        <v>0.0</v>
      </c>
      <c r="Y325" s="255" t="n">
        <f>SUM('6층_부하량(월간_AVG)'!L250:N250)</f>
        <v>0.0</v>
      </c>
      <c r="Z325" s="3249"/>
      <c r="AA325" s="2838" t="n" cm="1">
        <f t="array" ref="AA325">INDEX('각층분기별_유효전력량(전월)'!$I$2:$I$2017,MATCH(1,("6-DaHall 1-PDU-01"='각층분기별_유효전력량(전월)'!$G$2:$G$2017)*("[branch#038] [A] kWh last month"='각층분기별_유효전력량(전월)'!$H$2:$H$2017),0))</f>
        <v>0.0</v>
      </c>
      <c r="AB325" s="2989" t="n" cm="1">
        <f t="array" ref="AB325">INDEX('각층분기별_유효전력량(전월)'!$I$2:$I$2017,MATCH(1,("6-DaHall 1-PDU-02"='각층분기별_유효전력량(전월)'!$G$2:$G$2017)*("[branch#038] [A] kWh last month"='각층분기별_유효전력량(전월)'!$H$2:$H$2017),0))</f>
        <v>0.0</v>
      </c>
      <c r="AC325" s="3209"/>
      <c r="AD325" s="2954" t="s">
        <v>2724</v>
      </c>
    </row>
    <row r="326" spans="1:31" ht="27.75" thickBot="1" x14ac:dyDescent="0.2">
      <c r="A326" s="2779" t="s">
        <v>2725</v>
      </c>
      <c r="B326" s="2780" t="s">
        <v>2726</v>
      </c>
      <c r="C326" s="2780" t="s">
        <v>2714</v>
      </c>
      <c r="D326" s="2780" t="s">
        <v>2727</v>
      </c>
      <c r="E326" s="2780" t="s">
        <v>2728</v>
      </c>
      <c r="F326" s="2759" t="s">
        <v>2729</v>
      </c>
      <c r="G326" s="2753" t="s">
        <v>2730</v>
      </c>
      <c r="H326" s="2222" t="str">
        <f t="shared" si="78"/>
        <v>6-DaHall 1-PDU-01-30-4</v>
      </c>
      <c r="I326" s="2223" t="str">
        <f t="shared" si="79"/>
        <v>6-DaHall 1-PDU-02-30-4</v>
      </c>
      <c r="J326" s="1539">
        <v>220</v>
      </c>
      <c r="K326" s="1540">
        <v>30</v>
      </c>
      <c r="L326" s="2543" t="s">
        <v>6924</v>
      </c>
      <c r="M326" s="1541">
        <v>4</v>
      </c>
      <c r="N326" s="1542">
        <v>220</v>
      </c>
      <c r="O326" s="1543">
        <v>30</v>
      </c>
      <c r="P326" s="2549" t="s">
        <v>6920</v>
      </c>
      <c r="Q326" s="1544">
        <v>4</v>
      </c>
      <c r="R326" s="3235"/>
      <c r="S326" s="3224"/>
      <c r="T326" s="3235"/>
      <c r="U326" s="3224"/>
      <c r="V326" s="3235"/>
      <c r="W326" s="3224"/>
      <c r="X326" s="333" t="n">
        <f>SUM('6층_부하량(월간_AVG)'!L203:N203)</f>
        <v>3.3293088239796162</v>
      </c>
      <c r="Y326" s="333" t="n">
        <f>SUM('6층_부하량(월간_AVG)'!L233:N233)</f>
        <v>2.2967714008920455</v>
      </c>
      <c r="Z326" s="3022" t="n">
        <f>SUM(X326:Y326)</f>
        <v>5.626080224871662</v>
      </c>
      <c r="AA326" s="3005" t="n" cm="1">
        <f t="array" ref="AA326">INDEX('각층분기별_유효전력량(전월)'!$I$2:$I$2017,MATCH(1,("6-DaHall 1-PDU-01"='각층분기별_유효전력량(전월)'!$G$2:$G$2017)*("[branch#004] [A] kWh last month"='각층분기별_유효전력량(전월)'!$H$2:$H$2017),0))</f>
        <v>508.0</v>
      </c>
      <c r="AB326" s="3006" t="n" cm="1">
        <f t="array" ref="AB326">INDEX('각층분기별_유효전력량(전월)'!$I$2:$I$2017,MATCH(1,("6-DaHall 1-PDU-02"='각층분기별_유효전력량(전월)'!$G$2:$G$2017)*("[branch#004] [A] kWh last month"='각층분기별_유효전력량(전월)'!$H$2:$H$2017),0))</f>
        <v>369.0</v>
      </c>
      <c r="AC326" s="2977" t="n">
        <f t="shared" ref="AC326:AC342" si="82">SUM(AA326:AB326)</f>
        <v>877.0</v>
      </c>
      <c r="AD326" s="2958" t="s">
        <v>2731</v>
      </c>
    </row>
    <row r="327" spans="1:31" ht="27.75" thickTop="1" x14ac:dyDescent="0.15">
      <c r="A327" s="1105" t="s">
        <v>2732</v>
      </c>
      <c r="B327" s="1015" t="s">
        <v>2733</v>
      </c>
      <c r="C327" s="331" t="s">
        <v>2734</v>
      </c>
      <c r="D327" s="331" t="s">
        <v>2735</v>
      </c>
      <c r="E327" s="331" t="s">
        <v>2736</v>
      </c>
      <c r="F327" s="2756" t="s">
        <v>2737</v>
      </c>
      <c r="G327" s="2758" t="s">
        <v>2738</v>
      </c>
      <c r="H327" s="2227" t="str">
        <f t="shared" si="78"/>
        <v>6-DaHall 1-PDU-01-30-6</v>
      </c>
      <c r="I327" s="2228" t="str">
        <f t="shared" si="79"/>
        <v>6-DaHall 1-PDU-02-30-6</v>
      </c>
      <c r="J327" s="1554">
        <v>220</v>
      </c>
      <c r="K327" s="1555">
        <v>30</v>
      </c>
      <c r="L327" s="2542" t="s">
        <v>6924</v>
      </c>
      <c r="M327" s="1556">
        <v>6</v>
      </c>
      <c r="N327" s="1557">
        <v>220</v>
      </c>
      <c r="O327" s="1558">
        <v>30</v>
      </c>
      <c r="P327" s="2548" t="s">
        <v>6920</v>
      </c>
      <c r="Q327" s="1559">
        <v>6</v>
      </c>
      <c r="R327" s="3230" t="s">
        <v>2009</v>
      </c>
      <c r="S327" s="3232" t="s">
        <v>2010</v>
      </c>
      <c r="T327" s="3230" t="s">
        <v>2011</v>
      </c>
      <c r="U327" s="3232" t="s">
        <v>2012</v>
      </c>
      <c r="V327" s="3230" t="s">
        <v>2201</v>
      </c>
      <c r="W327" s="3232" t="s">
        <v>1591</v>
      </c>
      <c r="X327" s="332" t="n">
        <f>SUM('6층_부하량(월간_AVG)'!L204:N204)</f>
        <v>2.935864814216055</v>
      </c>
      <c r="Y327" s="332" t="n">
        <f>SUM('6층_부하량(월간_AVG)'!L234:N234)</f>
        <v>5.040486006472661</v>
      </c>
      <c r="Z327" s="3023" t="n">
        <f t="shared" ref="Z327:Z341" si="83">SUM(X327:Y327)</f>
        <v>7.976350820688716</v>
      </c>
      <c r="AA327" s="3018" t="n" cm="1">
        <f t="array" ref="AA327">INDEX('각층분기별_유효전력량(전월)'!$I$2:$I$2017,MATCH(1,("6-DaHall 1-PDU-01"='각층분기별_유효전력량(전월)'!$G$2:$G$2017)*("[branch#006] [A] kWh last month"='각층분기별_유효전력량(전월)'!$H$2:$H$2017),0))</f>
        <v>413.2</v>
      </c>
      <c r="AB327" s="3019" t="n" cm="1">
        <f t="array" ref="AB327">INDEX('각층분기별_유효전력량(전월)'!$I$2:$I$2017,MATCH(1,("6-DaHall 1-PDU-02"='각층분기별_유효전력량(전월)'!$G$2:$G$2017)*("[branch#006] [A] kWh last month"='각층분기별_유효전력량(전월)'!$H$2:$H$2017),0))</f>
        <v>769.7</v>
      </c>
      <c r="AC327" s="2995" t="n">
        <f t="shared" si="82"/>
        <v>1182.9</v>
      </c>
      <c r="AD327" s="2965"/>
    </row>
    <row r="328" spans="1:31" ht="27" x14ac:dyDescent="0.15">
      <c r="A328" s="2769" t="s">
        <v>2739</v>
      </c>
      <c r="B328" s="2771" t="s">
        <v>2740</v>
      </c>
      <c r="C328" s="2765" t="s">
        <v>2741</v>
      </c>
      <c r="D328" s="2765" t="s">
        <v>2742</v>
      </c>
      <c r="E328" s="2765" t="s">
        <v>2743</v>
      </c>
      <c r="F328" s="2757" t="s">
        <v>2744</v>
      </c>
      <c r="G328" s="2752" t="s">
        <v>2745</v>
      </c>
      <c r="H328" s="2220" t="str">
        <f t="shared" si="78"/>
        <v>6-DaHall 1-PDU-01-30-8</v>
      </c>
      <c r="I328" s="2221" t="str">
        <f t="shared" si="79"/>
        <v>6-DaHall 1-PDU-02-30-8</v>
      </c>
      <c r="J328" s="1531">
        <v>220</v>
      </c>
      <c r="K328" s="1532">
        <v>30</v>
      </c>
      <c r="L328" s="2540" t="s">
        <v>6924</v>
      </c>
      <c r="M328" s="1533">
        <v>8</v>
      </c>
      <c r="N328" s="1534">
        <v>220</v>
      </c>
      <c r="O328" s="1535">
        <v>30</v>
      </c>
      <c r="P328" s="2546" t="s">
        <v>6920</v>
      </c>
      <c r="Q328" s="1536">
        <v>8</v>
      </c>
      <c r="R328" s="3231"/>
      <c r="S328" s="3223"/>
      <c r="T328" s="3231"/>
      <c r="U328" s="3223"/>
      <c r="V328" s="3231"/>
      <c r="W328" s="3223"/>
      <c r="X328" s="255" t="n">
        <f>SUM('6층_부하량(월간_AVG)'!L205:N205)</f>
        <v>4.609562593297642</v>
      </c>
      <c r="Y328" s="255" t="n">
        <f>SUM('6층_부하량(월간_AVG)'!L235:N235)</f>
        <v>3.1140513282483524</v>
      </c>
      <c r="Z328" s="2573" t="n">
        <f t="shared" si="83"/>
        <v>7.723613921545994</v>
      </c>
      <c r="AA328" s="2838" t="n" cm="1">
        <f t="array" ref="AA328">INDEX('각층분기별_유효전력량(전월)'!$I$2:$I$2017,MATCH(1,("6-DaHall 1-PDU-01"='각층분기별_유효전력량(전월)'!$G$2:$G$2017)*("[branch#008] [A] kWh last month"='각층분기별_유효전력량(전월)'!$H$2:$H$2017),0))</f>
        <v>724.5</v>
      </c>
      <c r="AB328" s="2989" t="n" cm="1">
        <f t="array" ref="AB328">INDEX('각층분기별_유효전력량(전월)'!$I$2:$I$2017,MATCH(1,("6-DaHall 1-PDU-02"='각층분기별_유효전력량(전월)'!$G$2:$G$2017)*("[branch#008] [A] kWh last month"='각층분기별_유효전력량(전월)'!$H$2:$H$2017),0))</f>
        <v>439.1</v>
      </c>
      <c r="AC328" s="2972" t="n">
        <f t="shared" si="82"/>
        <v>1163.6</v>
      </c>
      <c r="AD328" s="2954"/>
    </row>
    <row r="329" spans="1:31" ht="27" x14ac:dyDescent="0.15">
      <c r="A329" s="2769" t="s">
        <v>2746</v>
      </c>
      <c r="B329" s="2771" t="s">
        <v>2747</v>
      </c>
      <c r="C329" s="2765" t="s">
        <v>2741</v>
      </c>
      <c r="D329" s="2765" t="s">
        <v>2748</v>
      </c>
      <c r="E329" s="2765" t="s">
        <v>2749</v>
      </c>
      <c r="F329" s="2757" t="s">
        <v>2750</v>
      </c>
      <c r="G329" s="2752" t="s">
        <v>2751</v>
      </c>
      <c r="H329" s="2220" t="str">
        <f t="shared" si="78"/>
        <v>6-DaHall 1-PDU-01-30-10</v>
      </c>
      <c r="I329" s="2221" t="str">
        <f t="shared" si="79"/>
        <v>6-DaHall 1-PDU-02-30-10</v>
      </c>
      <c r="J329" s="1531">
        <v>220</v>
      </c>
      <c r="K329" s="1532">
        <v>30</v>
      </c>
      <c r="L329" s="2540" t="s">
        <v>6924</v>
      </c>
      <c r="M329" s="1533">
        <v>10</v>
      </c>
      <c r="N329" s="1534">
        <v>220</v>
      </c>
      <c r="O329" s="1535">
        <v>30</v>
      </c>
      <c r="P329" s="2546" t="s">
        <v>6920</v>
      </c>
      <c r="Q329" s="1536">
        <v>10</v>
      </c>
      <c r="R329" s="3231"/>
      <c r="S329" s="3223"/>
      <c r="T329" s="3231"/>
      <c r="U329" s="3223"/>
      <c r="V329" s="3231"/>
      <c r="W329" s="3223"/>
      <c r="X329" s="255" t="n">
        <f>SUM('6층_부하량(월간_AVG)'!L206:N206)</f>
        <v>7.626690726262471</v>
      </c>
      <c r="Y329" s="255" t="n">
        <f>SUM('6층_부하량(월간_AVG)'!L236:N236)</f>
        <v>7.376555179174838</v>
      </c>
      <c r="Z329" s="2573" t="n">
        <f t="shared" si="83"/>
        <v>15.003245905437309</v>
      </c>
      <c r="AA329" s="2838" t="n" cm="1">
        <f t="array" ref="AA329">INDEX('각층분기별_유효전력량(전월)'!$I$2:$I$2017,MATCH(1,("6-DaHall 1-PDU-01"='각층분기별_유효전력량(전월)'!$G$2:$G$2017)*("[branch#010] [A] kWh last month"='각층분기별_유효전력량(전월)'!$H$2:$H$2017),0))</f>
        <v>1299.8</v>
      </c>
      <c r="AB329" s="2989" t="n" cm="1">
        <f t="array" ref="AB329">INDEX('각층분기별_유효전력량(전월)'!$I$2:$I$2017,MATCH(1,("6-DaHall 1-PDU-02"='각층분기별_유효전력량(전월)'!$G$2:$G$2017)*("[branch#010] [A] kWh last month"='각층분기별_유효전력량(전월)'!$H$2:$H$2017),0))</f>
        <v>1262.6</v>
      </c>
      <c r="AC329" s="2972" t="n">
        <f t="shared" si="82"/>
        <v>2562.3999999999996</v>
      </c>
      <c r="AD329" s="2954"/>
    </row>
    <row r="330" spans="1:31" ht="27" x14ac:dyDescent="0.15">
      <c r="A330" s="2769" t="s">
        <v>2752</v>
      </c>
      <c r="B330" s="2771" t="s">
        <v>2753</v>
      </c>
      <c r="C330" s="2765" t="s">
        <v>2741</v>
      </c>
      <c r="D330" s="2765" t="s">
        <v>2754</v>
      </c>
      <c r="E330" s="2765" t="s">
        <v>2755</v>
      </c>
      <c r="F330" s="2757" t="s">
        <v>2756</v>
      </c>
      <c r="G330" s="2752" t="s">
        <v>2757</v>
      </c>
      <c r="H330" s="2220" t="str">
        <f t="shared" si="78"/>
        <v>6-DaHall 1-PDU-01-30-12</v>
      </c>
      <c r="I330" s="2221" t="str">
        <f t="shared" si="79"/>
        <v>6-DaHall 1-PDU-02-30-12</v>
      </c>
      <c r="J330" s="1545">
        <v>220</v>
      </c>
      <c r="K330" s="1546">
        <v>30</v>
      </c>
      <c r="L330" s="2540" t="s">
        <v>6924</v>
      </c>
      <c r="M330" s="1533">
        <v>12</v>
      </c>
      <c r="N330" s="1537">
        <v>220</v>
      </c>
      <c r="O330" s="1538">
        <v>30</v>
      </c>
      <c r="P330" s="2546" t="s">
        <v>6920</v>
      </c>
      <c r="Q330" s="1536">
        <v>12</v>
      </c>
      <c r="R330" s="3231"/>
      <c r="S330" s="3223"/>
      <c r="T330" s="3231"/>
      <c r="U330" s="3223"/>
      <c r="V330" s="3231"/>
      <c r="W330" s="3223"/>
      <c r="X330" s="255" t="n">
        <f>SUM('6층_부하량(월간_AVG)'!L207:N207)</f>
        <v>7.178614960034362</v>
      </c>
      <c r="Y330" s="255" t="n">
        <f>SUM('6층_부하량(월간_AVG)'!L237:N237)</f>
        <v>9.17697798421514</v>
      </c>
      <c r="Z330" s="2573" t="n">
        <f t="shared" si="83"/>
        <v>16.3555929442495</v>
      </c>
      <c r="AA330" s="2838" t="n" cm="1">
        <f t="array" ref="AA330">INDEX('각층분기별_유효전력량(전월)'!$I$2:$I$2017,MATCH(1,("6-DaHall 1-PDU-01"='각층분기별_유효전력량(전월)'!$G$2:$G$2017)*("[branch#012] [A] kWh last month"='각층분기별_유효전력량(전월)'!$H$2:$H$2017),0))</f>
        <v>1196.9</v>
      </c>
      <c r="AB330" s="2989" t="n" cm="1">
        <f t="array" ref="AB330">INDEX('각층분기별_유효전력량(전월)'!$I$2:$I$2017,MATCH(1,("6-DaHall 1-PDU-02"='각층분기별_유효전력량(전월)'!$G$2:$G$2017)*("[branch#012] [A] kWh last month"='각층분기별_유효전력량(전월)'!$H$2:$H$2017),0))</f>
        <v>1540.6</v>
      </c>
      <c r="AC330" s="2972" t="n">
        <f t="shared" si="82"/>
        <v>2737.5</v>
      </c>
      <c r="AD330" s="2954"/>
    </row>
    <row r="331" spans="1:31" ht="27" x14ac:dyDescent="0.15">
      <c r="A331" s="2769" t="s">
        <v>2758</v>
      </c>
      <c r="B331" s="2771" t="s">
        <v>2759</v>
      </c>
      <c r="C331" s="2765" t="s">
        <v>2741</v>
      </c>
      <c r="D331" s="2765" t="s">
        <v>2760</v>
      </c>
      <c r="E331" s="2765" t="s">
        <v>2761</v>
      </c>
      <c r="F331" s="2757" t="s">
        <v>2762</v>
      </c>
      <c r="G331" s="2752" t="s">
        <v>2763</v>
      </c>
      <c r="H331" s="2220" t="str">
        <f t="shared" si="78"/>
        <v>6-DaHall 1-PDU-01-30-14</v>
      </c>
      <c r="I331" s="2221" t="str">
        <f t="shared" si="79"/>
        <v>6-DaHall 1-PDU-02-30-14</v>
      </c>
      <c r="J331" s="1545">
        <v>220</v>
      </c>
      <c r="K331" s="1546">
        <v>30</v>
      </c>
      <c r="L331" s="2540" t="s">
        <v>6924</v>
      </c>
      <c r="M331" s="1533">
        <v>14</v>
      </c>
      <c r="N331" s="1537">
        <v>220</v>
      </c>
      <c r="O331" s="1538">
        <v>30</v>
      </c>
      <c r="P331" s="2546" t="s">
        <v>6920</v>
      </c>
      <c r="Q331" s="1536">
        <v>14</v>
      </c>
      <c r="R331" s="3231"/>
      <c r="S331" s="3223"/>
      <c r="T331" s="3231"/>
      <c r="U331" s="3223"/>
      <c r="V331" s="3231"/>
      <c r="W331" s="3223"/>
      <c r="X331" s="255" t="n">
        <f>SUM('6층_부하량(월간_AVG)'!L208:N208)</f>
        <v>4.7420468905701325</v>
      </c>
      <c r="Y331" s="255" t="n">
        <f>SUM('6층_부하량(월간_AVG)'!L238:N238)</f>
        <v>5.93255744339024</v>
      </c>
      <c r="Z331" s="2573" t="n">
        <f t="shared" si="83"/>
        <v>10.674604333960373</v>
      </c>
      <c r="AA331" s="2838" t="n" cm="1">
        <f t="array" ref="AA331">INDEX('각층분기별_유효전력량(전월)'!$I$2:$I$2017,MATCH(1,("6-DaHall 1-PDU-01"='각층분기별_유효전력량(전월)'!$G$2:$G$2017)*("[branch#014] [A] kWh last month"='각층분기별_유효전력량(전월)'!$H$2:$H$2017),0))</f>
        <v>854.3</v>
      </c>
      <c r="AB331" s="2989" t="n" cm="1">
        <f t="array" ref="AB331">INDEX('각층분기별_유효전력량(전월)'!$I$2:$I$2017,MATCH(1,("6-DaHall 1-PDU-02"='각층분기별_유효전력량(전월)'!$G$2:$G$2017)*("[branch#014] [A] kWh last month"='각층분기별_유효전력량(전월)'!$H$2:$H$2017),0))</f>
        <v>1149.7</v>
      </c>
      <c r="AC331" s="2972" t="n">
        <f t="shared" si="82"/>
        <v>2004.0</v>
      </c>
      <c r="AD331" s="2954"/>
    </row>
    <row r="332" spans="1:31" ht="27" x14ac:dyDescent="0.15">
      <c r="A332" s="2769" t="s">
        <v>2764</v>
      </c>
      <c r="B332" s="2771" t="s">
        <v>2765</v>
      </c>
      <c r="C332" s="2765" t="s">
        <v>2741</v>
      </c>
      <c r="D332" s="2765" t="s">
        <v>2766</v>
      </c>
      <c r="E332" s="2765" t="s">
        <v>2767</v>
      </c>
      <c r="F332" s="2757" t="s">
        <v>2768</v>
      </c>
      <c r="G332" s="2752" t="s">
        <v>2769</v>
      </c>
      <c r="H332" s="2220" t="str">
        <f t="shared" si="78"/>
        <v>6-DaHall 1-PDU-01-30-16</v>
      </c>
      <c r="I332" s="2221" t="str">
        <f t="shared" si="79"/>
        <v>6-DaHall 1-PDU-02-30-16</v>
      </c>
      <c r="J332" s="1531">
        <v>220</v>
      </c>
      <c r="K332" s="1532">
        <v>30</v>
      </c>
      <c r="L332" s="2540" t="s">
        <v>6924</v>
      </c>
      <c r="M332" s="1533">
        <v>16</v>
      </c>
      <c r="N332" s="1534">
        <v>220</v>
      </c>
      <c r="O332" s="1535">
        <v>30</v>
      </c>
      <c r="P332" s="2546" t="s">
        <v>6920</v>
      </c>
      <c r="Q332" s="1536">
        <v>16</v>
      </c>
      <c r="R332" s="3231"/>
      <c r="S332" s="3223"/>
      <c r="T332" s="3231"/>
      <c r="U332" s="3223"/>
      <c r="V332" s="3231"/>
      <c r="W332" s="3223"/>
      <c r="X332" s="255" t="n">
        <f>SUM('6층_부하량(월간_AVG)'!L209:N209)</f>
        <v>4.358194574947933</v>
      </c>
      <c r="Y332" s="255" t="n">
        <f>SUM('6층_부하량(월간_AVG)'!L239:N239)</f>
        <v>4.399867998451929</v>
      </c>
      <c r="Z332" s="2573" t="n">
        <f t="shared" si="83"/>
        <v>8.758062573399862</v>
      </c>
      <c r="AA332" s="2838" t="n" cm="1">
        <f t="array" ref="AA332">INDEX('각층분기별_유효전력량(전월)'!$I$2:$I$2017,MATCH(1,("6-DaHall 1-PDU-01"='각층분기별_유효전력량(전월)'!$G$2:$G$2017)*("[branch#016] [A] kWh last month"='각층분기별_유효전력량(전월)'!$H$2:$H$2017),0))</f>
        <v>766.0</v>
      </c>
      <c r="AB332" s="2989" t="n" cm="1">
        <f t="array" ref="AB332">INDEX('각층분기별_유효전력량(전월)'!$I$2:$I$2017,MATCH(1,("6-DaHall 1-PDU-02"='각층분기별_유효전력량(전월)'!$G$2:$G$2017)*("[branch#016] [A] kWh last month"='각층분기별_유효전력량(전월)'!$H$2:$H$2017),0))</f>
        <v>769.1</v>
      </c>
      <c r="AC332" s="2972" t="n">
        <f t="shared" si="82"/>
        <v>1535.1</v>
      </c>
      <c r="AD332" s="2954"/>
    </row>
    <row r="333" spans="1:31" ht="27" customHeight="1" x14ac:dyDescent="0.15">
      <c r="A333" s="2769" t="s">
        <v>2770</v>
      </c>
      <c r="B333" s="2771" t="s">
        <v>2771</v>
      </c>
      <c r="C333" s="2765" t="s">
        <v>2741</v>
      </c>
      <c r="D333" s="2765" t="s">
        <v>2772</v>
      </c>
      <c r="E333" s="2765" t="s">
        <v>2773</v>
      </c>
      <c r="F333" s="2757" t="s">
        <v>2774</v>
      </c>
      <c r="G333" s="2752" t="s">
        <v>2775</v>
      </c>
      <c r="H333" s="2220" t="str">
        <f t="shared" si="78"/>
        <v>6-DaHall 1-PDU-11-30-19</v>
      </c>
      <c r="I333" s="2221" t="str">
        <f t="shared" si="79"/>
        <v>6-DaHall 1-PDU-12-30-19</v>
      </c>
      <c r="J333" s="1531">
        <v>220</v>
      </c>
      <c r="K333" s="1532">
        <v>30</v>
      </c>
      <c r="L333" s="2540" t="s">
        <v>6968</v>
      </c>
      <c r="M333" s="1533">
        <v>19</v>
      </c>
      <c r="N333" s="1534">
        <v>220</v>
      </c>
      <c r="O333" s="1535">
        <v>30</v>
      </c>
      <c r="P333" s="2546" t="s">
        <v>6975</v>
      </c>
      <c r="Q333" s="1536">
        <v>19</v>
      </c>
      <c r="R333" s="3231" t="s">
        <v>2776</v>
      </c>
      <c r="S333" s="3223" t="s">
        <v>1826</v>
      </c>
      <c r="T333" s="3231" t="s">
        <v>2777</v>
      </c>
      <c r="U333" s="3223" t="s">
        <v>1827</v>
      </c>
      <c r="V333" s="3231"/>
      <c r="W333" s="3223"/>
      <c r="X333" s="255" t="n">
        <f>SUM('6층_부하량(월간_AVG)'!D153:F153)</f>
        <v>5.198757078632254</v>
      </c>
      <c r="Y333" s="255" t="n">
        <f>SUM('6층_부하량(월간_AVG)'!D182:F182)</f>
        <v>5.181948623827229</v>
      </c>
      <c r="Z333" s="2573" t="n">
        <f t="shared" si="83"/>
        <v>10.380705702459483</v>
      </c>
      <c r="AA333" s="2838" t="n" cm="1">
        <f t="array" ref="AA333">INDEX('각층분기별_유효전력량(전월)'!$I$2:$I$2017,MATCH(1,("6-DaHall 1-PDU-11"='각층분기별_유효전력량(전월)'!$G$2:$G$2017)*("[branch#019] [A] kWh last month"='각층분기별_유효전력량(전월)'!$H$2:$H$2017),0))</f>
        <v>825.6</v>
      </c>
      <c r="AB333" s="2989" t="n" cm="1">
        <f t="array" ref="AB333">INDEX('각층분기별_유효전력량(전월)'!$I$2:$I$2017,MATCH(1,("6-DaHall 1-PDU-12"='각층분기별_유효전력량(전월)'!$G$2:$G$2017)*("[branch#019] [A] kWh last month"='각층분기별_유효전력량(전월)'!$H$2:$H$2017),0))</f>
        <v>825.7</v>
      </c>
      <c r="AC333" s="2972" t="n">
        <f t="shared" si="82"/>
        <v>1651.3000000000002</v>
      </c>
      <c r="AD333" s="2954"/>
    </row>
    <row r="334" spans="1:31" ht="25.5" customHeight="1" thickBot="1" x14ac:dyDescent="0.2">
      <c r="A334" s="2779" t="s">
        <v>2778</v>
      </c>
      <c r="B334" s="2780" t="s">
        <v>2779</v>
      </c>
      <c r="C334" s="2780" t="s">
        <v>2741</v>
      </c>
      <c r="D334" s="2780" t="s">
        <v>2780</v>
      </c>
      <c r="E334" s="2780" t="s">
        <v>2781</v>
      </c>
      <c r="F334" s="2759" t="s">
        <v>2782</v>
      </c>
      <c r="G334" s="2753" t="s">
        <v>2783</v>
      </c>
      <c r="H334" s="2222" t="str">
        <f t="shared" si="78"/>
        <v>6-DaHall 1-PDU-11-30-44</v>
      </c>
      <c r="I334" s="2223" t="str">
        <f t="shared" si="79"/>
        <v>6-DaHall 1-PDU-12-30-44</v>
      </c>
      <c r="J334" s="1539">
        <v>220</v>
      </c>
      <c r="K334" s="1540">
        <v>30</v>
      </c>
      <c r="L334" s="2543" t="s">
        <v>6968</v>
      </c>
      <c r="M334" s="1541">
        <v>44</v>
      </c>
      <c r="N334" s="1542">
        <v>220</v>
      </c>
      <c r="O334" s="1543">
        <v>30</v>
      </c>
      <c r="P334" s="2549" t="s">
        <v>6975</v>
      </c>
      <c r="Q334" s="1544">
        <v>44</v>
      </c>
      <c r="R334" s="3235"/>
      <c r="S334" s="3224"/>
      <c r="T334" s="3235"/>
      <c r="U334" s="3224"/>
      <c r="V334" s="3235"/>
      <c r="W334" s="3224"/>
      <c r="X334" s="333" t="n">
        <f>SUM('6층_부하량(월간_AVG)'!L165:N165)</f>
        <v>0.0</v>
      </c>
      <c r="Y334" s="333" t="n">
        <f>SUM('6층_부하량(월간_AVG)'!L194:N194)</f>
        <v>0.0</v>
      </c>
      <c r="Z334" s="3022" t="n">
        <f t="shared" si="83"/>
        <v>0.0</v>
      </c>
      <c r="AA334" s="3024" t="n" cm="1">
        <f t="array" ref="AA334">INDEX('각층분기별_유효전력량(전월)'!$I$2:$I$2017,MATCH(1,("6-DaHall 1-PDU-11"='각층분기별_유효전력량(전월)'!$G$2:$G$2017)*("[branch#044] [A] kWh last month"='각층분기별_유효전력량(전월)'!$H$2:$H$2017),0))</f>
        <v>0.0</v>
      </c>
      <c r="AB334" s="3025" t="n" cm="1">
        <f t="array" ref="AB334">INDEX('각층분기별_유효전력량(전월)'!$I$2:$I$2017,MATCH(1,("6-DaHall 1-PDU-12"='각층분기별_유효전력량(전월)'!$G$2:$G$2017)*("[branch#044] [A] kWh last month"='각층분기별_유효전력량(전월)'!$H$2:$H$2017),0))</f>
        <v>0.0</v>
      </c>
      <c r="AC334" s="2977" t="n">
        <f t="shared" si="82"/>
        <v>0.0</v>
      </c>
      <c r="AD334" s="2580" t="s">
        <v>2784</v>
      </c>
    </row>
    <row r="335" spans="1:31" ht="25.5" customHeight="1" thickTop="1" x14ac:dyDescent="0.15">
      <c r="A335" s="1391"/>
      <c r="B335" s="331" t="s">
        <v>2785</v>
      </c>
      <c r="C335" s="3236" t="s">
        <v>2786</v>
      </c>
      <c r="D335" s="331" t="s">
        <v>2787</v>
      </c>
      <c r="E335" s="1392"/>
      <c r="F335" s="2756" t="s">
        <v>2788</v>
      </c>
      <c r="G335" s="2748"/>
      <c r="H335" s="2227" t="str">
        <f t="shared" si="78"/>
        <v>6-DaHall 1-PDU-13-30-2</v>
      </c>
      <c r="I335" s="2231"/>
      <c r="J335" s="1554">
        <v>220</v>
      </c>
      <c r="K335" s="1555">
        <v>30</v>
      </c>
      <c r="L335" s="2542" t="s">
        <v>6969</v>
      </c>
      <c r="M335" s="1556">
        <v>2</v>
      </c>
      <c r="N335" s="1578"/>
      <c r="O335" s="1579"/>
      <c r="P335" s="2748"/>
      <c r="Q335" s="1580"/>
      <c r="R335" s="3230" t="s">
        <v>1720</v>
      </c>
      <c r="S335" s="3219"/>
      <c r="T335" s="3233" t="s">
        <v>1722</v>
      </c>
      <c r="U335" s="3219"/>
      <c r="V335" s="3233" t="s">
        <v>1590</v>
      </c>
      <c r="W335" s="3219"/>
      <c r="X335" s="332" t="n">
        <f>SUM('6층_부하량(월간_AVG)'!L20:N20)</f>
        <v>0.0</v>
      </c>
      <c r="Y335" s="857"/>
      <c r="Z335" s="2573" t="n">
        <f t="shared" si="83"/>
        <v>0.0</v>
      </c>
      <c r="AA335" s="3026" t="n" cm="1">
        <f t="array" ref="AA335">INDEX('각층분기별_유효전력량(전월)'!$I$2:$I$2017,MATCH(1,("6-DaHall 1-PDU-13"='각층분기별_유효전력량(전월)'!$G$2:$G$2017)*("[branch#002] [A] kWh last month"='각층분기별_유효전력량(전월)'!$H$2:$H$2017),0))</f>
        <v>0.0</v>
      </c>
      <c r="AB335" s="3027"/>
      <c r="AC335" s="3028" t="n">
        <f t="shared" si="82"/>
        <v>0.0</v>
      </c>
      <c r="AD335" s="2581" t="s">
        <v>2789</v>
      </c>
    </row>
    <row r="336" spans="1:31" ht="25.5" customHeight="1" x14ac:dyDescent="0.15">
      <c r="A336" s="1391"/>
      <c r="B336" s="2765" t="s">
        <v>2790</v>
      </c>
      <c r="C336" s="3237"/>
      <c r="D336" s="2765" t="s">
        <v>2791</v>
      </c>
      <c r="E336" s="1393"/>
      <c r="F336" s="2757" t="s">
        <v>2792</v>
      </c>
      <c r="G336" s="2749"/>
      <c r="H336" s="2220" t="str">
        <f t="shared" si="78"/>
        <v>6-DaHall 1-PDU-13-30-4</v>
      </c>
      <c r="I336" s="2232"/>
      <c r="J336" s="1531">
        <v>220</v>
      </c>
      <c r="K336" s="1532">
        <v>30</v>
      </c>
      <c r="L336" s="2540" t="s">
        <v>6969</v>
      </c>
      <c r="M336" s="1533">
        <v>4</v>
      </c>
      <c r="N336" s="1581"/>
      <c r="O336" s="1582"/>
      <c r="P336" s="2749"/>
      <c r="Q336" s="1583"/>
      <c r="R336" s="3231"/>
      <c r="S336" s="3220"/>
      <c r="T336" s="3234"/>
      <c r="U336" s="3220"/>
      <c r="V336" s="3234"/>
      <c r="W336" s="3220"/>
      <c r="X336" s="255" t="n">
        <f>SUM('6층_부하량(월간_AVG)'!L21:N21)</f>
        <v>0.0</v>
      </c>
      <c r="Y336" s="254"/>
      <c r="Z336" s="2573" t="n">
        <f t="shared" si="83"/>
        <v>0.0</v>
      </c>
      <c r="AA336" s="3029" t="n" cm="1">
        <f t="array" ref="AA336">INDEX('각층분기별_유효전력량(전월)'!$I$2:$I$2017,MATCH(1,("6-DaHall 1-PDU-13"='각층분기별_유효전력량(전월)'!$G$2:$G$2017)*("[branch#004] [A] kWh last month"='각층분기별_유효전력량(전월)'!$H$2:$H$2017),0))</f>
        <v>0.0</v>
      </c>
      <c r="AB336" s="3030"/>
      <c r="AC336" s="3031" t="n">
        <f t="shared" si="82"/>
        <v>0.0</v>
      </c>
      <c r="AD336" s="2582" t="s">
        <v>2793</v>
      </c>
    </row>
    <row r="337" spans="1:30" ht="25.5" customHeight="1" x14ac:dyDescent="0.15">
      <c r="A337" s="1391"/>
      <c r="B337" s="2765" t="s">
        <v>2794</v>
      </c>
      <c r="C337" s="3237"/>
      <c r="D337" s="1393"/>
      <c r="E337" s="2765" t="s">
        <v>2795</v>
      </c>
      <c r="F337" s="2750"/>
      <c r="G337" s="2752" t="s">
        <v>2796</v>
      </c>
      <c r="H337" s="2233"/>
      <c r="I337" s="2221" t="str">
        <f>"6-DaHall 1-PDU-"&amp;P337&amp;"-"&amp;O337&amp;"-"&amp;Q337</f>
        <v>6-DaHall 1-PDU-14-30-2</v>
      </c>
      <c r="J337" s="1584"/>
      <c r="K337" s="1585"/>
      <c r="L337" s="2750"/>
      <c r="M337" s="1586"/>
      <c r="N337" s="1534">
        <v>220</v>
      </c>
      <c r="O337" s="1535">
        <v>30</v>
      </c>
      <c r="P337" s="2546" t="s">
        <v>6976</v>
      </c>
      <c r="Q337" s="1536">
        <v>2</v>
      </c>
      <c r="R337" s="3221"/>
      <c r="S337" s="3223" t="s">
        <v>1721</v>
      </c>
      <c r="T337" s="3225"/>
      <c r="U337" s="3227" t="s">
        <v>1723</v>
      </c>
      <c r="V337" s="3225"/>
      <c r="W337" s="3227" t="s">
        <v>1591</v>
      </c>
      <c r="X337" s="254"/>
      <c r="Y337" s="255" t="n">
        <f>SUM('6층_부하량(월간_AVG)'!L52:N52)</f>
        <v>0.0</v>
      </c>
      <c r="Z337" s="2573" t="n">
        <f t="shared" si="83"/>
        <v>0.0</v>
      </c>
      <c r="AA337" s="3029"/>
      <c r="AB337" s="3030" t="n" cm="1">
        <f t="array" ref="AB337">INDEX('각층분기별_유효전력량(전월)'!$I$2:$I$2017,MATCH(1,("6-DaHall 1-PDU-14"='각층분기별_유효전력량(전월)'!$G$2:$G$2017)*("[branch#002] [A] kWh last month"='각층분기별_유효전력량(전월)'!$H$2:$H$2017),0))</f>
        <v>0.0</v>
      </c>
      <c r="AC337" s="3031" t="n">
        <f t="shared" si="82"/>
        <v>0.0</v>
      </c>
      <c r="AD337" s="2582" t="s">
        <v>2793</v>
      </c>
    </row>
    <row r="338" spans="1:30" ht="25.5" customHeight="1" thickBot="1" x14ac:dyDescent="0.2">
      <c r="A338" s="1391"/>
      <c r="B338" s="2780" t="s">
        <v>2797</v>
      </c>
      <c r="C338" s="3238"/>
      <c r="D338" s="1387"/>
      <c r="E338" s="2780" t="s">
        <v>2798</v>
      </c>
      <c r="F338" s="2751"/>
      <c r="G338" s="2753" t="s">
        <v>2799</v>
      </c>
      <c r="H338" s="2234"/>
      <c r="I338" s="2223" t="str">
        <f>"6-DaHall 1-PDU-"&amp;P338&amp;"-"&amp;O338&amp;"-"&amp;Q338</f>
        <v>6-DaHall 1-PDU-14-30-4</v>
      </c>
      <c r="J338" s="1587"/>
      <c r="K338" s="1588"/>
      <c r="L338" s="2751"/>
      <c r="M338" s="1589"/>
      <c r="N338" s="1542">
        <v>220</v>
      </c>
      <c r="O338" s="1543">
        <v>30</v>
      </c>
      <c r="P338" s="2549" t="s">
        <v>6976</v>
      </c>
      <c r="Q338" s="1544">
        <v>4</v>
      </c>
      <c r="R338" s="3222"/>
      <c r="S338" s="3224"/>
      <c r="T338" s="3226"/>
      <c r="U338" s="3228"/>
      <c r="V338" s="3226"/>
      <c r="W338" s="3228"/>
      <c r="X338" s="1390"/>
      <c r="Y338" s="333" t="n">
        <f>SUM('6층_부하량(월간_AVG)'!L53:N53)</f>
        <v>0.0</v>
      </c>
      <c r="Z338" s="2573" t="n">
        <f t="shared" si="83"/>
        <v>0.0</v>
      </c>
      <c r="AA338" s="3032"/>
      <c r="AB338" s="3033" t="n" cm="1">
        <f t="array" ref="AB338">INDEX('각층분기별_유효전력량(전월)'!$I$2:$I$2017,MATCH(1,("6-DaHall 1-PDU-14"='각층분기별_유효전력량(전월)'!$G$2:$G$2017)*("[branch#004] [A] kWh last month"='각층분기별_유효전력량(전월)'!$H$2:$H$2017),0))</f>
        <v>0.0</v>
      </c>
      <c r="AC338" s="3034" t="n">
        <f t="shared" si="82"/>
        <v>0.0</v>
      </c>
      <c r="AD338" s="2580" t="s">
        <v>2793</v>
      </c>
    </row>
    <row r="339" spans="1:30" ht="41.25" thickTop="1" x14ac:dyDescent="0.15">
      <c r="A339" s="1105"/>
      <c r="B339" s="1015" t="s">
        <v>2800</v>
      </c>
      <c r="C339" s="331"/>
      <c r="D339" s="992"/>
      <c r="E339" s="331" t="s">
        <v>1319</v>
      </c>
      <c r="F339" s="992"/>
      <c r="G339" s="2758" t="s">
        <v>2801</v>
      </c>
      <c r="H339" s="2235"/>
      <c r="I339" s="2228" t="str">
        <f>"6-DaHall 1-PDU-"&amp;P339&amp;"-"&amp;O339&amp;"-"&amp;Q339</f>
        <v>6-DaHall 1-PDU-14-30-20</v>
      </c>
      <c r="J339" s="1570"/>
      <c r="K339" s="1571"/>
      <c r="L339" s="992"/>
      <c r="M339" s="1590"/>
      <c r="N339" s="1557">
        <v>220</v>
      </c>
      <c r="O339" s="1558">
        <v>30</v>
      </c>
      <c r="P339" s="2548" t="s">
        <v>6976</v>
      </c>
      <c r="Q339" s="1559">
        <v>20</v>
      </c>
      <c r="R339" s="992"/>
      <c r="S339" s="2758" t="s">
        <v>1721</v>
      </c>
      <c r="T339" s="992"/>
      <c r="U339" s="2758" t="s">
        <v>1723</v>
      </c>
      <c r="V339" s="992"/>
      <c r="W339" s="2758" t="s">
        <v>1591</v>
      </c>
      <c r="X339" s="332"/>
      <c r="Y339" s="332" t="n">
        <f>SUM('6층_부하량(월간_AVG)'!L61:N61)</f>
        <v>0.0</v>
      </c>
      <c r="Z339" s="3023" t="n">
        <f t="shared" si="83"/>
        <v>0.0</v>
      </c>
      <c r="AA339" s="2982"/>
      <c r="AB339" s="3035" t="n" cm="1">
        <f t="array" ref="AB339">INDEX('각층분기별_유효전력량(전월)'!$I$2:$I$2017,MATCH(1,("6-DaHall 1-PDU-14"='각층분기별_유효전력량(전월)'!$G$2:$G$2017)*("[branch#020] [A] kWh last month"='각층분기별_유효전력량(전월)'!$H$2:$H$2017),0))</f>
        <v>0.0</v>
      </c>
      <c r="AC339" s="2995" t="n">
        <f t="shared" si="82"/>
        <v>0.0</v>
      </c>
      <c r="AD339" s="2581"/>
    </row>
    <row r="340" spans="1:30" s="57" customFormat="1" ht="40.5" x14ac:dyDescent="0.15">
      <c r="A340" s="1117"/>
      <c r="B340" s="2807" t="s">
        <v>2802</v>
      </c>
      <c r="C340" s="2784"/>
      <c r="D340" s="2784" t="s">
        <v>2803</v>
      </c>
      <c r="E340" s="904"/>
      <c r="F340" s="2757" t="s">
        <v>2804</v>
      </c>
      <c r="G340" s="904"/>
      <c r="H340" s="2220" t="str">
        <f>"6-DaHall 1-PDU-"&amp;L340&amp;"-"&amp;K340&amp;"-"&amp;M340</f>
        <v>6-DaHall 1-PDU-13-30-40</v>
      </c>
      <c r="I340" s="2236"/>
      <c r="J340" s="1531">
        <v>220</v>
      </c>
      <c r="K340" s="1532">
        <v>30</v>
      </c>
      <c r="L340" s="2540" t="s">
        <v>6969</v>
      </c>
      <c r="M340" s="1533">
        <v>40</v>
      </c>
      <c r="N340" s="1591"/>
      <c r="O340" s="1592"/>
      <c r="P340" s="904"/>
      <c r="Q340" s="1593"/>
      <c r="R340" s="2757" t="s">
        <v>1720</v>
      </c>
      <c r="S340" s="904"/>
      <c r="T340" s="2757" t="s">
        <v>1722</v>
      </c>
      <c r="U340" s="904"/>
      <c r="V340" s="3231" t="s">
        <v>1590</v>
      </c>
      <c r="W340" s="904"/>
      <c r="X340" s="870" t="n">
        <f>SUM('6층_부하량(월간_AVG)'!L39:N39)</f>
        <v>0.0</v>
      </c>
      <c r="Y340" s="904"/>
      <c r="Z340" s="2571" t="n">
        <f t="shared" si="83"/>
        <v>0.0</v>
      </c>
      <c r="AA340" s="2838" t="n" cm="1">
        <f t="array" ref="AA340">INDEX('각층분기별_유효전력량(전월)'!$I$2:$I$2017,MATCH(1,("6-DaHall 1-PDU-13"='각층분기별_유효전력량(전월)'!$G$2:$G$2017)*("[branch#040] [A] kWh last month"='각층분기별_유효전력량(전월)'!$H$2:$H$2017),0))</f>
        <v>0.0</v>
      </c>
      <c r="AB340" s="3036"/>
      <c r="AC340" s="3037" t="n">
        <f t="shared" si="82"/>
        <v>0.0</v>
      </c>
      <c r="AD340" s="2617"/>
    </row>
    <row r="341" spans="1:30" ht="54.75" thickBot="1" x14ac:dyDescent="0.2">
      <c r="A341" s="2779"/>
      <c r="B341" s="2808" t="s">
        <v>2805</v>
      </c>
      <c r="C341" s="2809"/>
      <c r="D341" s="2780"/>
      <c r="E341" s="993"/>
      <c r="F341" s="2759" t="s">
        <v>2806</v>
      </c>
      <c r="G341" s="993"/>
      <c r="H341" s="2237" t="str">
        <f>"6-DaHall 1-PDU-"&amp;L341&amp;"-"&amp;K341&amp;"-"&amp;M341</f>
        <v>6-DaHall 1-PDU-01-30-50</v>
      </c>
      <c r="I341" s="2238"/>
      <c r="J341" s="1594">
        <v>220</v>
      </c>
      <c r="K341" s="1595">
        <v>30</v>
      </c>
      <c r="L341" s="2544" t="s">
        <v>6924</v>
      </c>
      <c r="M341" s="1596">
        <v>50</v>
      </c>
      <c r="N341" s="1597"/>
      <c r="O341" s="1598"/>
      <c r="P341" s="1599"/>
      <c r="Q341" s="1600"/>
      <c r="R341" s="2759" t="s">
        <v>2009</v>
      </c>
      <c r="S341" s="993"/>
      <c r="T341" s="2759" t="s">
        <v>2011</v>
      </c>
      <c r="U341" s="993"/>
      <c r="V341" s="3235"/>
      <c r="W341" s="993"/>
      <c r="X341" s="333" t="n">
        <f>SUM('6층_부하량(월간_AVG)'!L226:N226)</f>
        <v>0.0</v>
      </c>
      <c r="Y341" s="993"/>
      <c r="Z341" s="3022" t="n">
        <f t="shared" si="83"/>
        <v>0.0</v>
      </c>
      <c r="AA341" s="3005" t="n" cm="1">
        <f t="array" ref="AA341">INDEX('각층분기별_유효전력량(전월)'!$I$2:$I$2017,MATCH(1,("6-DaHall 1-PDU-01"='각층분기별_유효전력량(전월)'!$G$2:$G$2017)*("[branch#050] [A] kWh last month"='각층분기별_유효전력량(전월)'!$H$2:$H$2017),0))</f>
        <v>15.5</v>
      </c>
      <c r="AB341" s="2976"/>
      <c r="AC341" s="2977" t="n">
        <f t="shared" si="82"/>
        <v>15.5</v>
      </c>
      <c r="AD341" s="2580"/>
    </row>
    <row r="342" spans="1:30" ht="55.5" thickTop="1" thickBot="1" x14ac:dyDescent="0.2">
      <c r="A342" s="2386"/>
      <c r="B342" s="2387" t="s">
        <v>2807</v>
      </c>
      <c r="C342" s="1144"/>
      <c r="D342" s="1121"/>
      <c r="E342" s="1144"/>
      <c r="F342" s="2388"/>
      <c r="G342" s="1144"/>
      <c r="H342" s="2389" t="str">
        <f>"6-DaHall 1-PDU-"&amp;L342&amp;"-"&amp;K342&amp;"-"&amp;M342</f>
        <v>6-DaHall 1-PDU-01-30-46</v>
      </c>
      <c r="I342" s="2390"/>
      <c r="J342" s="2391">
        <v>220</v>
      </c>
      <c r="K342" s="2392">
        <v>30</v>
      </c>
      <c r="L342" s="2545" t="s">
        <v>6924</v>
      </c>
      <c r="M342" s="2393">
        <v>46</v>
      </c>
      <c r="N342" s="2394"/>
      <c r="O342" s="2395"/>
      <c r="P342" s="2396"/>
      <c r="Q342" s="2397"/>
      <c r="R342" s="2388" t="s">
        <v>2009</v>
      </c>
      <c r="S342" s="2396"/>
      <c r="T342" s="2388" t="s">
        <v>2011</v>
      </c>
      <c r="U342" s="2396"/>
      <c r="V342" s="2388"/>
      <c r="W342" s="1144"/>
      <c r="X342" s="1147" t="n">
        <f>SUM('6층_부하량(월간_AVG)'!L224:N224)</f>
        <v>1.1849497888297433</v>
      </c>
      <c r="Y342" s="2396"/>
      <c r="Z342" s="3038" t="n">
        <f t="shared" ref="Z342" si="84">SUM(X342:Y342)</f>
        <v>1.1849497888297433</v>
      </c>
      <c r="AA342" s="3039" t="n" cm="1">
        <f t="array" ref="AA342">INDEX('각층분기별_유효전력량(전월)'!$I$2:$I$2017,MATCH(1,("6-DaHall 1-PDU-01"='각층분기별_유효전력량(전월)'!$G$2:$G$2017)*("[branch#046] [A] kWh last month"='각층분기별_유효전력량(전월)'!$H$2:$H$2017),0))</f>
        <v>602.8</v>
      </c>
      <c r="AB342" s="3015"/>
      <c r="AC342" s="3040" t="n">
        <f t="shared" si="82"/>
        <v>602.8</v>
      </c>
      <c r="AD342" s="3041"/>
    </row>
    <row r="343" spans="1:30" ht="14.25" thickTop="1" x14ac:dyDescent="0.15"/>
    <row r="344" spans="1:30" x14ac:dyDescent="0.15">
      <c r="Z344" s="250" t="n">
        <f>SUM(Z5:Z342)</f>
        <v>496.4937002928948</v>
      </c>
      <c r="AA344" s="1394" t="n">
        <f>SUM(AA5:AA341)/1000</f>
        <v>47.21679999999999</v>
      </c>
      <c r="AB344" s="1394"/>
      <c r="AC344" s="1394"/>
    </row>
    <row r="345" spans="1:30" x14ac:dyDescent="0.15">
      <c r="Y345" s="250" t="s">
        <v>2808</v>
      </c>
      <c r="Z345" s="250" t="e">
        <f>Z344-#REF!</f>
        <v>#REF!</v>
      </c>
    </row>
  </sheetData>
  <mergeCells count="309">
    <mergeCell ref="R261:R267"/>
    <mergeCell ref="S261:S267"/>
    <mergeCell ref="A255:A256"/>
    <mergeCell ref="B255:B256"/>
    <mergeCell ref="C255:C256"/>
    <mergeCell ref="U249:U253"/>
    <mergeCell ref="T261:T267"/>
    <mergeCell ref="C253:C254"/>
    <mergeCell ref="A273:A274"/>
    <mergeCell ref="C273:C274"/>
    <mergeCell ref="A253:A254"/>
    <mergeCell ref="B253:B254"/>
    <mergeCell ref="A271:A272"/>
    <mergeCell ref="C271:C272"/>
    <mergeCell ref="A257:A258"/>
    <mergeCell ref="B257:B258"/>
    <mergeCell ref="C257:C258"/>
    <mergeCell ref="A238:A239"/>
    <mergeCell ref="B238:B239"/>
    <mergeCell ref="U217:U225"/>
    <mergeCell ref="C238:C239"/>
    <mergeCell ref="R238:R246"/>
    <mergeCell ref="V226:V236"/>
    <mergeCell ref="T217:T225"/>
    <mergeCell ref="A240:A241"/>
    <mergeCell ref="B240:B241"/>
    <mergeCell ref="V238:V246"/>
    <mergeCell ref="A213:A215"/>
    <mergeCell ref="A217:A219"/>
    <mergeCell ref="A220:A221"/>
    <mergeCell ref="A222:A223"/>
    <mergeCell ref="A224:A225"/>
    <mergeCell ref="B224:B225"/>
    <mergeCell ref="C224:C225"/>
    <mergeCell ref="B220:B221"/>
    <mergeCell ref="C220:C221"/>
    <mergeCell ref="B222:B223"/>
    <mergeCell ref="C222:C223"/>
    <mergeCell ref="B213:B215"/>
    <mergeCell ref="C213:C215"/>
    <mergeCell ref="B187:B188"/>
    <mergeCell ref="B190:B191"/>
    <mergeCell ref="S280:S283"/>
    <mergeCell ref="R280:R283"/>
    <mergeCell ref="R185:R192"/>
    <mergeCell ref="S185:S192"/>
    <mergeCell ref="R198:R205"/>
    <mergeCell ref="S198:S205"/>
    <mergeCell ref="T198:T205"/>
    <mergeCell ref="R208:R216"/>
    <mergeCell ref="S208:S216"/>
    <mergeCell ref="T208:T216"/>
    <mergeCell ref="R249:R253"/>
    <mergeCell ref="S249:S253"/>
    <mergeCell ref="T249:T253"/>
    <mergeCell ref="B217:B219"/>
    <mergeCell ref="C217:C219"/>
    <mergeCell ref="B273:B274"/>
    <mergeCell ref="R217:R225"/>
    <mergeCell ref="R206:R207"/>
    <mergeCell ref="S206:S207"/>
    <mergeCell ref="T206:T207"/>
    <mergeCell ref="T270:T277"/>
    <mergeCell ref="C240:C241"/>
    <mergeCell ref="A324:A325"/>
    <mergeCell ref="R323:R326"/>
    <mergeCell ref="V308:V313"/>
    <mergeCell ref="W308:W313"/>
    <mergeCell ref="V300:V305"/>
    <mergeCell ref="W300:W305"/>
    <mergeCell ref="T300:T303"/>
    <mergeCell ref="U300:U303"/>
    <mergeCell ref="T304:T305"/>
    <mergeCell ref="U304:U305"/>
    <mergeCell ref="R304:R305"/>
    <mergeCell ref="S304:S305"/>
    <mergeCell ref="R300:R303"/>
    <mergeCell ref="S300:S303"/>
    <mergeCell ref="B324:B325"/>
    <mergeCell ref="W323:W326"/>
    <mergeCell ref="A3:A4"/>
    <mergeCell ref="C120:C122"/>
    <mergeCell ref="C123:C125"/>
    <mergeCell ref="T185:T192"/>
    <mergeCell ref="A187:A188"/>
    <mergeCell ref="A190:A191"/>
    <mergeCell ref="A123:A125"/>
    <mergeCell ref="A120:A122"/>
    <mergeCell ref="B3:B4"/>
    <mergeCell ref="B75:B76"/>
    <mergeCell ref="B77:B78"/>
    <mergeCell ref="S108:S116"/>
    <mergeCell ref="T108:T116"/>
    <mergeCell ref="S126:S130"/>
    <mergeCell ref="R121:R122"/>
    <mergeCell ref="S121:S122"/>
    <mergeCell ref="T121:T122"/>
    <mergeCell ref="R174:R175"/>
    <mergeCell ref="S174:S175"/>
    <mergeCell ref="T174:T175"/>
    <mergeCell ref="S139:S140"/>
    <mergeCell ref="R152:R156"/>
    <mergeCell ref="R157:R160"/>
    <mergeCell ref="S157:S160"/>
    <mergeCell ref="B120:B122"/>
    <mergeCell ref="R118:R120"/>
    <mergeCell ref="S118:S120"/>
    <mergeCell ref="T118:T120"/>
    <mergeCell ref="U118:U120"/>
    <mergeCell ref="V340:V341"/>
    <mergeCell ref="V290:V295"/>
    <mergeCell ref="R333:R334"/>
    <mergeCell ref="S333:S334"/>
    <mergeCell ref="T333:T334"/>
    <mergeCell ref="U333:U334"/>
    <mergeCell ref="V314:V319"/>
    <mergeCell ref="R290:R295"/>
    <mergeCell ref="S290:S295"/>
    <mergeCell ref="T290:T295"/>
    <mergeCell ref="U290:U295"/>
    <mergeCell ref="S327:S332"/>
    <mergeCell ref="S323:S326"/>
    <mergeCell ref="T323:T326"/>
    <mergeCell ref="U323:U326"/>
    <mergeCell ref="T327:T332"/>
    <mergeCell ref="U327:U332"/>
    <mergeCell ref="R308:R311"/>
    <mergeCell ref="S308:S311"/>
    <mergeCell ref="B1:AD1"/>
    <mergeCell ref="AA3:AB3"/>
    <mergeCell ref="AD3:AD4"/>
    <mergeCell ref="U98:U106"/>
    <mergeCell ref="V98:V106"/>
    <mergeCell ref="R108:R116"/>
    <mergeCell ref="U108:U116"/>
    <mergeCell ref="R98:R106"/>
    <mergeCell ref="T98:T106"/>
    <mergeCell ref="S98:S106"/>
    <mergeCell ref="V270:V277"/>
    <mergeCell ref="Z75:Z76"/>
    <mergeCell ref="Z77:Z78"/>
    <mergeCell ref="C3:C4"/>
    <mergeCell ref="D3:E3"/>
    <mergeCell ref="F3:G3"/>
    <mergeCell ref="X3:Z3"/>
    <mergeCell ref="AC3:AC4"/>
    <mergeCell ref="R3:S3"/>
    <mergeCell ref="T3:U3"/>
    <mergeCell ref="V3:W3"/>
    <mergeCell ref="H3:I3"/>
    <mergeCell ref="J3:Q3"/>
    <mergeCell ref="J4:M4"/>
    <mergeCell ref="N4:Q4"/>
    <mergeCell ref="U121:U122"/>
    <mergeCell ref="R226:R236"/>
    <mergeCell ref="U261:U267"/>
    <mergeCell ref="V261:V267"/>
    <mergeCell ref="W261:W267"/>
    <mergeCell ref="U270:U277"/>
    <mergeCell ref="U238:U246"/>
    <mergeCell ref="Z253:Z254"/>
    <mergeCell ref="Z257:Z258"/>
    <mergeCell ref="V174:V182"/>
    <mergeCell ref="W174:W182"/>
    <mergeCell ref="W198:W207"/>
    <mergeCell ref="V163:V171"/>
    <mergeCell ref="Z240:Z241"/>
    <mergeCell ref="AC217:AC219"/>
    <mergeCell ref="Z220:Z221"/>
    <mergeCell ref="AC220:AC221"/>
    <mergeCell ref="Z222:Z223"/>
    <mergeCell ref="AC222:AC223"/>
    <mergeCell ref="AC123:AC125"/>
    <mergeCell ref="Z324:Z325"/>
    <mergeCell ref="Z217:Z219"/>
    <mergeCell ref="V280:V285"/>
    <mergeCell ref="W280:W285"/>
    <mergeCell ref="Z224:Z225"/>
    <mergeCell ref="Z273:Z274"/>
    <mergeCell ref="V208:V225"/>
    <mergeCell ref="W208:W225"/>
    <mergeCell ref="Z238:Z239"/>
    <mergeCell ref="Z213:Z215"/>
    <mergeCell ref="Z255:Z256"/>
    <mergeCell ref="V249:V258"/>
    <mergeCell ref="W270:W277"/>
    <mergeCell ref="W238:W246"/>
    <mergeCell ref="W226:W236"/>
    <mergeCell ref="W249:W258"/>
    <mergeCell ref="AC224:AC225"/>
    <mergeCell ref="V198:V207"/>
    <mergeCell ref="W185:W192"/>
    <mergeCell ref="V152:V160"/>
    <mergeCell ref="W152:W160"/>
    <mergeCell ref="V185:V192"/>
    <mergeCell ref="W163:W171"/>
    <mergeCell ref="Z120:Z122"/>
    <mergeCell ref="Z123:Z125"/>
    <mergeCell ref="V132:V140"/>
    <mergeCell ref="W132:W140"/>
    <mergeCell ref="V142:V150"/>
    <mergeCell ref="W142:W147"/>
    <mergeCell ref="W149:W150"/>
    <mergeCell ref="W98:W106"/>
    <mergeCell ref="V108:V116"/>
    <mergeCell ref="W108:W116"/>
    <mergeCell ref="V118:V130"/>
    <mergeCell ref="W118:W130"/>
    <mergeCell ref="B123:B125"/>
    <mergeCell ref="R132:R140"/>
    <mergeCell ref="T132:T140"/>
    <mergeCell ref="R143:R150"/>
    <mergeCell ref="S143:S147"/>
    <mergeCell ref="S149:S150"/>
    <mergeCell ref="U143:U147"/>
    <mergeCell ref="S132:S137"/>
    <mergeCell ref="U139:U140"/>
    <mergeCell ref="U132:U137"/>
    <mergeCell ref="U149:U150"/>
    <mergeCell ref="T143:T150"/>
    <mergeCell ref="R124:R125"/>
    <mergeCell ref="S124:S125"/>
    <mergeCell ref="T124:T125"/>
    <mergeCell ref="U124:U125"/>
    <mergeCell ref="U126:U130"/>
    <mergeCell ref="T126:T130"/>
    <mergeCell ref="R126:R130"/>
    <mergeCell ref="U177:U182"/>
    <mergeCell ref="T152:T156"/>
    <mergeCell ref="U226:U236"/>
    <mergeCell ref="U152:U156"/>
    <mergeCell ref="T157:T160"/>
    <mergeCell ref="U174:U175"/>
    <mergeCell ref="U157:U160"/>
    <mergeCell ref="S152:S156"/>
    <mergeCell ref="S177:S182"/>
    <mergeCell ref="S226:S236"/>
    <mergeCell ref="T226:T236"/>
    <mergeCell ref="U208:U216"/>
    <mergeCell ref="S217:S225"/>
    <mergeCell ref="C335:C338"/>
    <mergeCell ref="R335:R336"/>
    <mergeCell ref="S335:S336"/>
    <mergeCell ref="T335:T336"/>
    <mergeCell ref="U335:U336"/>
    <mergeCell ref="T284:T285"/>
    <mergeCell ref="U284:U285"/>
    <mergeCell ref="R163:R171"/>
    <mergeCell ref="S163:S171"/>
    <mergeCell ref="T163:T171"/>
    <mergeCell ref="U163:U171"/>
    <mergeCell ref="U198:U205"/>
    <mergeCell ref="U185:U192"/>
    <mergeCell ref="U206:U207"/>
    <mergeCell ref="T177:T182"/>
    <mergeCell ref="R177:R182"/>
    <mergeCell ref="U280:U283"/>
    <mergeCell ref="T280:T283"/>
    <mergeCell ref="R284:R285"/>
    <mergeCell ref="S284:S285"/>
    <mergeCell ref="S238:S246"/>
    <mergeCell ref="T238:T246"/>
    <mergeCell ref="R270:R277"/>
    <mergeCell ref="S270:S277"/>
    <mergeCell ref="W335:W336"/>
    <mergeCell ref="R337:R338"/>
    <mergeCell ref="S337:S338"/>
    <mergeCell ref="T337:T338"/>
    <mergeCell ref="U337:U338"/>
    <mergeCell ref="V337:V338"/>
    <mergeCell ref="W337:W338"/>
    <mergeCell ref="W290:W295"/>
    <mergeCell ref="R327:R332"/>
    <mergeCell ref="W314:W319"/>
    <mergeCell ref="R314:R319"/>
    <mergeCell ref="S314:S319"/>
    <mergeCell ref="T314:T319"/>
    <mergeCell ref="U314:U319"/>
    <mergeCell ref="W327:W334"/>
    <mergeCell ref="V335:V336"/>
    <mergeCell ref="V323:V326"/>
    <mergeCell ref="T308:T311"/>
    <mergeCell ref="U308:U311"/>
    <mergeCell ref="V327:V334"/>
    <mergeCell ref="AE5:AE13"/>
    <mergeCell ref="AE14:AE22"/>
    <mergeCell ref="AE23:AE31"/>
    <mergeCell ref="AE32:AE40"/>
    <mergeCell ref="AE41:AE49"/>
    <mergeCell ref="AE50:AE58"/>
    <mergeCell ref="AE59:AE67"/>
    <mergeCell ref="AE68:AE78"/>
    <mergeCell ref="AE79:AE87"/>
    <mergeCell ref="AC253:AC254"/>
    <mergeCell ref="AC255:AC256"/>
    <mergeCell ref="AC257:AC258"/>
    <mergeCell ref="AC271:AC272"/>
    <mergeCell ref="AC273:AC274"/>
    <mergeCell ref="AE314:AE322"/>
    <mergeCell ref="AC324:AC325"/>
    <mergeCell ref="AC187:AC188"/>
    <mergeCell ref="AC190:AC191"/>
    <mergeCell ref="AC213:AC215"/>
    <mergeCell ref="AD217:AD219"/>
    <mergeCell ref="AD220:AD221"/>
    <mergeCell ref="AD222:AD223"/>
    <mergeCell ref="AD224:AD225"/>
    <mergeCell ref="AC238:AC239"/>
    <mergeCell ref="AC240:AC241"/>
  </mergeCells>
  <phoneticPr fontId="11" type="noConversion"/>
  <conditionalFormatting sqref="Z5:Z120">
    <cfRule type="cellIs" dxfId="12" priority="3" operator="greaterThan">
      <formula>12</formula>
    </cfRule>
  </conditionalFormatting>
  <conditionalFormatting sqref="Z123 Z216:Z217 Z220 Z222 Z224 Z240 Z242:Z253 Z255 Z257">
    <cfRule type="cellIs" dxfId="11" priority="6" operator="greaterThan">
      <formula>12</formula>
    </cfRule>
  </conditionalFormatting>
  <conditionalFormatting sqref="Z126:Z213">
    <cfRule type="cellIs" dxfId="10" priority="4" operator="greaterThan">
      <formula>12</formula>
    </cfRule>
  </conditionalFormatting>
  <conditionalFormatting sqref="Z226:Z238">
    <cfRule type="cellIs" dxfId="9" priority="2" operator="greaterThan">
      <formula>12</formula>
    </cfRule>
  </conditionalFormatting>
  <conditionalFormatting sqref="Z259:Z273 Z275:Z324">
    <cfRule type="cellIs" dxfId="8" priority="5" operator="greaterThan">
      <formula>12</formula>
    </cfRule>
  </conditionalFormatting>
  <conditionalFormatting sqref="Z326:Z342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317"/>
  <sheetViews>
    <sheetView workbookViewId="0">
      <pane xSplit="3" ySplit="1" topLeftCell="G2" activePane="bottomRight" state="frozen"/>
      <selection activeCell="AA28" sqref="AA28:AA63"/>
      <selection pane="topRight" activeCell="AA28" sqref="AA28:AA63"/>
      <selection pane="bottomLeft" activeCell="AA28" sqref="AA28:AA63"/>
      <selection pane="bottomRight" activeCell="X14" sqref="X14"/>
    </sheetView>
  </sheetViews>
  <sheetFormatPr defaultRowHeight="13.5" x14ac:dyDescent="0.15"/>
  <cols>
    <col min="1" max="1" style="1104" width="8.88671875" collapsed="false"/>
    <col min="2" max="2" style="2833" width="8.88671875" collapsed="false"/>
    <col min="3" max="3" customWidth="true" style="55" width="12.6640625" collapsed="false"/>
    <col min="4" max="5" customWidth="true" width="9.44140625" collapsed="false"/>
    <col min="6" max="7" customWidth="true" width="11.21875" collapsed="false"/>
    <col min="8" max="9" customWidth="true" width="24.77734375" collapsed="false"/>
    <col min="10" max="10" customWidth="true" hidden="true" width="6.44140625" collapsed="false"/>
    <col min="11" max="11" customWidth="true" hidden="true" width="6.21875" collapsed="false"/>
    <col min="12" max="12" customWidth="true" hidden="true" width="4.0" collapsed="false"/>
    <col min="13" max="13" customWidth="true" hidden="true" style="1484" width="3.44140625" collapsed="false"/>
    <col min="14" max="14" customWidth="true" hidden="true" width="6.109375" collapsed="false"/>
    <col min="15" max="15" customWidth="true" hidden="true" width="5.77734375" collapsed="false"/>
    <col min="16" max="16" customWidth="true" hidden="true" width="4.0" collapsed="false"/>
    <col min="17" max="17" customWidth="true" hidden="true" style="1484" width="3.44140625" collapsed="false"/>
    <col min="18" max="23" customWidth="true" hidden="true" width="11.21875" collapsed="false"/>
    <col min="24" max="25" style="250" width="8.88671875" collapsed="false"/>
    <col min="26" max="26" bestFit="true" customWidth="true" style="250" width="10.5546875" collapsed="false"/>
    <col min="27" max="28" style="250" width="8.88671875" collapsed="false"/>
    <col min="29" max="29" customWidth="true" style="250" width="16.77734375" collapsed="false"/>
  </cols>
  <sheetData>
    <row r="1" spans="1:34" ht="25.5" x14ac:dyDescent="0.15">
      <c r="B1" s="3272" t="s">
        <v>9151</v>
      </c>
      <c r="C1" s="3272"/>
      <c r="D1" s="3272"/>
      <c r="E1" s="3272"/>
      <c r="F1" s="3272"/>
      <c r="G1" s="3272"/>
      <c r="H1" s="3272"/>
      <c r="I1" s="3272"/>
      <c r="J1" s="3272"/>
      <c r="K1" s="3272"/>
      <c r="L1" s="3272"/>
      <c r="M1" s="3272"/>
      <c r="N1" s="3272"/>
      <c r="O1" s="3272"/>
      <c r="P1" s="3272"/>
      <c r="Q1" s="3272"/>
      <c r="R1" s="3272"/>
      <c r="S1" s="3272"/>
      <c r="T1" s="3272"/>
      <c r="U1" s="3272"/>
      <c r="V1" s="3272"/>
      <c r="W1" s="3272"/>
      <c r="X1" s="3272"/>
      <c r="Y1" s="3272"/>
      <c r="Z1" s="3272"/>
      <c r="AA1" s="3272"/>
      <c r="AB1" s="3272"/>
      <c r="AC1" s="3272"/>
      <c r="AD1" s="3272"/>
    </row>
    <row r="2" spans="1:34" ht="14.25" thickBot="1" x14ac:dyDescent="0.2">
      <c r="AD2" s="252"/>
    </row>
    <row r="3" spans="1:34" ht="13.5" customHeight="1" thickTop="1" x14ac:dyDescent="0.15">
      <c r="A3" s="3277" t="s">
        <v>1283</v>
      </c>
      <c r="B3" s="3479" t="s">
        <v>1284</v>
      </c>
      <c r="C3" s="3476" t="s">
        <v>1285</v>
      </c>
      <c r="D3" s="3256" t="s">
        <v>2809</v>
      </c>
      <c r="E3" s="3257"/>
      <c r="F3" s="3258" t="s">
        <v>1287</v>
      </c>
      <c r="G3" s="3259"/>
      <c r="H3" s="3264" t="s">
        <v>7058</v>
      </c>
      <c r="I3" s="3265"/>
      <c r="J3" s="3264" t="s">
        <v>7</v>
      </c>
      <c r="K3" s="3266"/>
      <c r="L3" s="3266"/>
      <c r="M3" s="3266"/>
      <c r="N3" s="3266"/>
      <c r="O3" s="3266"/>
      <c r="P3" s="3266"/>
      <c r="Q3" s="3265"/>
      <c r="R3" s="3258" t="s">
        <v>1288</v>
      </c>
      <c r="S3" s="3259"/>
      <c r="T3" s="3478" t="s">
        <v>13</v>
      </c>
      <c r="U3" s="3478"/>
      <c r="V3" s="3478" t="s">
        <v>14</v>
      </c>
      <c r="W3" s="3478"/>
      <c r="X3" s="3260" t="s">
        <v>9149</v>
      </c>
      <c r="Y3" s="3261"/>
      <c r="Z3" s="3261"/>
      <c r="AA3" s="3273" t="s">
        <v>9150</v>
      </c>
      <c r="AB3" s="3274"/>
      <c r="AC3" s="3262" t="s">
        <v>7059</v>
      </c>
      <c r="AD3" s="3275" t="s">
        <v>1289</v>
      </c>
    </row>
    <row r="4" spans="1:34" ht="14.25" thickBot="1" x14ac:dyDescent="0.2">
      <c r="A4" s="3481"/>
      <c r="B4" s="3480"/>
      <c r="C4" s="3477"/>
      <c r="D4" s="2806" t="s">
        <v>19</v>
      </c>
      <c r="E4" s="2806" t="s">
        <v>20</v>
      </c>
      <c r="F4" s="826" t="s">
        <v>19</v>
      </c>
      <c r="G4" s="827" t="s">
        <v>20</v>
      </c>
      <c r="H4" s="1601" t="s">
        <v>19</v>
      </c>
      <c r="I4" s="1602" t="s">
        <v>20</v>
      </c>
      <c r="J4" s="3267" t="s">
        <v>19</v>
      </c>
      <c r="K4" s="3268"/>
      <c r="L4" s="3268"/>
      <c r="M4" s="3269"/>
      <c r="N4" s="3270" t="s">
        <v>20</v>
      </c>
      <c r="O4" s="3270"/>
      <c r="P4" s="3270"/>
      <c r="Q4" s="3271"/>
      <c r="R4" s="826" t="s">
        <v>19</v>
      </c>
      <c r="S4" s="827" t="s">
        <v>20</v>
      </c>
      <c r="T4" s="826" t="s">
        <v>19</v>
      </c>
      <c r="U4" s="827" t="s">
        <v>20</v>
      </c>
      <c r="V4" s="826" t="s">
        <v>19</v>
      </c>
      <c r="W4" s="827" t="s">
        <v>20</v>
      </c>
      <c r="X4" s="854" t="s">
        <v>19</v>
      </c>
      <c r="Y4" s="854" t="s">
        <v>20</v>
      </c>
      <c r="Z4" s="2768" t="s">
        <v>23</v>
      </c>
      <c r="AA4" s="2846" t="s">
        <v>19</v>
      </c>
      <c r="AB4" s="2847" t="s">
        <v>20</v>
      </c>
      <c r="AC4" s="3263"/>
      <c r="AD4" s="3276"/>
    </row>
    <row r="5" spans="1:34" ht="27.75" thickTop="1" x14ac:dyDescent="0.15">
      <c r="A5" s="1105" t="s">
        <v>2810</v>
      </c>
      <c r="B5" s="1015" t="s">
        <v>2811</v>
      </c>
      <c r="C5" s="991"/>
      <c r="D5" s="828" t="s">
        <v>2812</v>
      </c>
      <c r="E5" s="828" t="s">
        <v>2813</v>
      </c>
      <c r="F5" s="2803" t="s">
        <v>2814</v>
      </c>
      <c r="G5" s="2804" t="s">
        <v>2815</v>
      </c>
      <c r="H5" s="1529" t="str">
        <f t="shared" ref="H5:H32" si="0">"5-DaHall1-PDU-"&amp;L5&amp;"-"&amp;K5&amp;"-"&amp;M5</f>
        <v>5-DaHall1-PDU-11-30-3</v>
      </c>
      <c r="I5" s="1530" t="str">
        <f t="shared" ref="I5:I32" si="1">"5-DaHall1-PDU-"&amp;P5&amp;"-"&amp;O5&amp;"-"&amp;Q5</f>
        <v>5-DaHall1-PDU-12-30-3</v>
      </c>
      <c r="J5" s="1603">
        <v>220</v>
      </c>
      <c r="K5" s="1604">
        <v>30</v>
      </c>
      <c r="L5" s="2502" t="s">
        <v>6968</v>
      </c>
      <c r="M5" s="1605">
        <v>3</v>
      </c>
      <c r="N5" s="1606">
        <v>220</v>
      </c>
      <c r="O5" s="1607">
        <v>30</v>
      </c>
      <c r="P5" s="2528" t="s">
        <v>6975</v>
      </c>
      <c r="Q5" s="1608">
        <v>3</v>
      </c>
      <c r="R5" s="3472" t="s">
        <v>2816</v>
      </c>
      <c r="S5" s="3473" t="s">
        <v>2817</v>
      </c>
      <c r="T5" s="3472" t="s">
        <v>2818</v>
      </c>
      <c r="U5" s="3473" t="s">
        <v>2819</v>
      </c>
      <c r="V5" s="3472" t="s">
        <v>2820</v>
      </c>
      <c r="W5" s="3473" t="s">
        <v>2821</v>
      </c>
      <c r="X5" s="332" t="n">
        <f>SUM('5층_부하량(월간_AVG)'!D317:F317)</f>
        <v>0.0</v>
      </c>
      <c r="Y5" s="332" t="n">
        <f>SUM('5층_부하량(월간_AVG)'!D376:F376)</f>
        <v>0.0</v>
      </c>
      <c r="Z5" s="2560" t="n">
        <f>SUM(X5:Y5)</f>
        <v>0.0</v>
      </c>
      <c r="AA5" s="2848" t="n" cm="1">
        <f t="array" ref="AA5">INDEX('각층분기별_유효전력량(전월)'!F2:F2018,MATCH(1,("5-DaHall 1-PDU-11"='각층분기별_유효전력량(전월)'!D2:D2018)*("[branch#003] [A] kWh last month"='각층분기별_유효전력량(전월)'!E2:E2018),0))</f>
        <v>0.0</v>
      </c>
      <c r="AB5" s="2849" t="n" cm="1">
        <f t="array" ref="AB5">INDEX('각층분기별_유효전력량(전월)'!F2:F2018,MATCH(1,("5-DaHall 1-PDU-12"='각층분기별_유효전력량(전월)'!D2:D2018)*("[branch#003] [A] kWh last month"='각층분기별_유효전력량(전월)'!E2:E2018),0))</f>
        <v>0.0</v>
      </c>
      <c r="AC5" s="2589" t="n">
        <f>SUM(AA5:AB5)</f>
        <v>0.0</v>
      </c>
      <c r="AD5" s="2576"/>
      <c r="AH5" s="2470"/>
    </row>
    <row r="6" spans="1:34" ht="27" x14ac:dyDescent="0.15">
      <c r="A6" s="2769" t="s">
        <v>2822</v>
      </c>
      <c r="B6" s="2200" t="s">
        <v>2823</v>
      </c>
      <c r="C6" s="2784" t="s">
        <v>2824</v>
      </c>
      <c r="D6" s="829" t="s">
        <v>2825</v>
      </c>
      <c r="E6" s="829" t="s">
        <v>2826</v>
      </c>
      <c r="F6" s="2800" t="s">
        <v>2827</v>
      </c>
      <c r="G6" s="2801" t="s">
        <v>2828</v>
      </c>
      <c r="H6" s="1529" t="str">
        <f t="shared" si="0"/>
        <v>5-DaHall1-PDU-11-30-5</v>
      </c>
      <c r="I6" s="1530" t="str">
        <f t="shared" si="1"/>
        <v>5-DaHall1-PDU-12-30-5</v>
      </c>
      <c r="J6" s="1609">
        <v>220</v>
      </c>
      <c r="K6" s="1610">
        <v>30</v>
      </c>
      <c r="L6" s="2500" t="s">
        <v>6968</v>
      </c>
      <c r="M6" s="1611">
        <v>5</v>
      </c>
      <c r="N6" s="1612">
        <v>220</v>
      </c>
      <c r="O6" s="1613">
        <v>30</v>
      </c>
      <c r="P6" s="2526" t="s">
        <v>6975</v>
      </c>
      <c r="Q6" s="1614">
        <v>5</v>
      </c>
      <c r="R6" s="3466"/>
      <c r="S6" s="3467"/>
      <c r="T6" s="3466"/>
      <c r="U6" s="3467"/>
      <c r="V6" s="3466"/>
      <c r="W6" s="3468"/>
      <c r="X6" s="255" t="n">
        <f>SUM('5층_부하량(월간_AVG)'!D318:F318)</f>
        <v>4.9924401204648445</v>
      </c>
      <c r="Y6" s="255" t="n">
        <f>SUM('5층_부하량(월간_AVG)'!D377:F377)</f>
        <v>2.799854626215434</v>
      </c>
      <c r="Z6" s="2557" t="n">
        <f t="shared" ref="Z6" si="2">SUM(X6:Y6)</f>
        <v>7.7922947466802785</v>
      </c>
      <c r="AA6" s="2850" t="n" cm="1">
        <f t="array" ref="AA6">INDEX('각층분기별_유효전력량(전월)'!F2:F2018,MATCH(1,("5-DaHall 1-PDU-11"='각층분기별_유효전력량(전월)'!D2:D2018)*("[branch#005] [A] kWh last month"='각층분기별_유효전력량(전월)'!E2:E2018),0))</f>
        <v>794.7</v>
      </c>
      <c r="AB6" s="2851" t="n" cm="1">
        <f t="array" ref="AB6">INDEX('각층분기별_유효전력량(전월)'!F2:F2018,MATCH(1,("5-DaHall 1-PDU-12"='각층분기별_유효전력량(전월)'!D2:D2018)*("[branch#005] [A] kWh last month"='각층분기별_유효전력량(전월)'!E2:E2018),0))</f>
        <v>457.7</v>
      </c>
      <c r="AC6" s="2586" t="n">
        <f>SUM(AA6:AB6)</f>
        <v>1252.4</v>
      </c>
      <c r="AD6" s="2574"/>
      <c r="AH6" s="2470"/>
    </row>
    <row r="7" spans="1:34" ht="27" x14ac:dyDescent="0.15">
      <c r="A7" s="3279" t="s">
        <v>2829</v>
      </c>
      <c r="B7" s="3471" t="s">
        <v>2830</v>
      </c>
      <c r="C7" s="3430" t="s">
        <v>2824</v>
      </c>
      <c r="D7" s="2802" t="s">
        <v>2831</v>
      </c>
      <c r="E7" s="2802" t="s">
        <v>2832</v>
      </c>
      <c r="F7" s="2800" t="s">
        <v>2833</v>
      </c>
      <c r="G7" s="2801" t="s">
        <v>2834</v>
      </c>
      <c r="H7" s="1529" t="str">
        <f t="shared" si="0"/>
        <v>5-DaHall1-PDU-11-30-9</v>
      </c>
      <c r="I7" s="1530" t="str">
        <f t="shared" si="1"/>
        <v>5-DaHall1-PDU-12-20-26</v>
      </c>
      <c r="J7" s="1615">
        <v>220</v>
      </c>
      <c r="K7" s="1616">
        <v>30</v>
      </c>
      <c r="L7" s="2500" t="s">
        <v>6968</v>
      </c>
      <c r="M7" s="1611">
        <v>9</v>
      </c>
      <c r="N7" s="1612">
        <v>220</v>
      </c>
      <c r="O7" s="1613">
        <v>20</v>
      </c>
      <c r="P7" s="2526" t="s">
        <v>6975</v>
      </c>
      <c r="Q7" s="1614">
        <v>26</v>
      </c>
      <c r="R7" s="3466"/>
      <c r="S7" s="3467"/>
      <c r="T7" s="3466"/>
      <c r="U7" s="3467"/>
      <c r="V7" s="3466"/>
      <c r="W7" s="3468"/>
      <c r="X7" s="830" t="n">
        <f>SUM('5층_부하량(월간_AVG)'!D320:F320)</f>
        <v>5.085350206199673</v>
      </c>
      <c r="Y7" s="830" t="n">
        <f>SUM('5층_부하량(월간_AVG)'!N387:P387)</f>
        <v>4.852747648333329</v>
      </c>
      <c r="Z7" s="3474" t="n">
        <f>SUM(X7:Y8)</f>
        <v>21.21711799486968</v>
      </c>
      <c r="AA7" s="2852" t="n" cm="1">
        <f t="array" ref="AA7">INDEX('각층분기별_유효전력량(전월)'!F2:F2018,MATCH(1,("5-DaHall 1-PDU-11"='각층분기별_유효전력량(전월)'!D2:D2018)*("[branch#009] [A] kWh last month"='각층분기별_유효전력량(전월)'!E2:E2018),0))</f>
        <v>800.3</v>
      </c>
      <c r="AB7" s="2853" t="n" cm="1">
        <f t="array" ref="AB7">INDEX('각층분기별_유효전력량(전월)'!F2:F2018,MATCH(1,("5-DaHall 1-PDU-12"='각층분기별_유효전력량(전월)'!D2:D2018)*("[branch#026] [A] kWh last month"='각층분기별_유효전력량(전월)'!E2:E2018),0))</f>
        <v>767.5</v>
      </c>
      <c r="AC7" s="3422" t="n">
        <f>SUM(AA7:AB8)</f>
        <v>3441.7999999999997</v>
      </c>
      <c r="AD7" s="2623"/>
      <c r="AH7" s="2470"/>
    </row>
    <row r="8" spans="1:34" ht="27" x14ac:dyDescent="0.15">
      <c r="A8" s="3279"/>
      <c r="B8" s="3471"/>
      <c r="C8" s="3430"/>
      <c r="D8" s="2802" t="s">
        <v>2835</v>
      </c>
      <c r="E8" s="2802" t="s">
        <v>2836</v>
      </c>
      <c r="F8" s="2800" t="s">
        <v>2837</v>
      </c>
      <c r="G8" s="2801" t="s">
        <v>2838</v>
      </c>
      <c r="H8" s="1529" t="str">
        <f t="shared" si="0"/>
        <v>5-DaHall1-PDU-11-20-26</v>
      </c>
      <c r="I8" s="1530" t="str">
        <f t="shared" si="1"/>
        <v>5-DaHall1-PDU-12-20-30</v>
      </c>
      <c r="J8" s="1615">
        <v>220</v>
      </c>
      <c r="K8" s="1616">
        <v>20</v>
      </c>
      <c r="L8" s="2500" t="s">
        <v>6968</v>
      </c>
      <c r="M8" s="1611">
        <v>26</v>
      </c>
      <c r="N8" s="1612">
        <v>220</v>
      </c>
      <c r="O8" s="1613">
        <v>20</v>
      </c>
      <c r="P8" s="2526" t="s">
        <v>6975</v>
      </c>
      <c r="Q8" s="1614">
        <v>30</v>
      </c>
      <c r="R8" s="3466"/>
      <c r="S8" s="3467"/>
      <c r="T8" s="3466"/>
      <c r="U8" s="3467"/>
      <c r="V8" s="3466"/>
      <c r="W8" s="3468"/>
      <c r="X8" s="830" t="n">
        <f>SUM('5층_부하량(월간_AVG)'!N328:P328)</f>
        <v>4.925920253942905</v>
      </c>
      <c r="Y8" s="830" t="n">
        <f>SUM('5층_부하량(월간_AVG)'!N389:P389)</f>
        <v>6.353099886393774</v>
      </c>
      <c r="Z8" s="3475"/>
      <c r="AA8" s="2852" t="n" cm="1">
        <f t="array" ref="AA8">INDEX('각층분기별_유효전력량(전월)'!F2:F2018,MATCH(1,("5-DaHall 1-PDU-11"='각층분기별_유효전력량(전월)'!D2:D2018)*("[branch#026] [A] kWh last month"='각층분기별_유효전력량(전월)'!E2:E2018),0))</f>
        <v>851.4</v>
      </c>
      <c r="AB8" s="2853" t="n" cm="1">
        <f t="array" ref="AB8">INDEX('각층분기별_유효전력량(전월)'!F2:F2018,MATCH(1,("5-DaHall 1-PDU-12"='각층분기별_유효전력량(전월)'!D2:D2018)*("[branch#030] [A] kWh last month"='각층분기별_유효전력량(전월)'!E2:E2018),0))</f>
        <v>1022.6</v>
      </c>
      <c r="AC8" s="3423"/>
      <c r="AD8" s="2623"/>
      <c r="AH8" s="2470"/>
    </row>
    <row r="9" spans="1:34" ht="27" x14ac:dyDescent="0.15">
      <c r="A9" s="3279" t="s">
        <v>280</v>
      </c>
      <c r="B9" s="3287" t="s">
        <v>2839</v>
      </c>
      <c r="C9" s="3430" t="s">
        <v>2824</v>
      </c>
      <c r="D9" s="829" t="s">
        <v>2840</v>
      </c>
      <c r="E9" s="829" t="s">
        <v>2841</v>
      </c>
      <c r="F9" s="2800" t="s">
        <v>2842</v>
      </c>
      <c r="G9" s="2801" t="s">
        <v>2843</v>
      </c>
      <c r="H9" s="1529" t="str">
        <f t="shared" si="0"/>
        <v>5-DaHall1-PDU-11-30-11</v>
      </c>
      <c r="I9" s="1530" t="str">
        <f t="shared" si="1"/>
        <v>5-DaHall1-PDU-12-30-9</v>
      </c>
      <c r="J9" s="1615">
        <v>220</v>
      </c>
      <c r="K9" s="1616">
        <v>30</v>
      </c>
      <c r="L9" s="2500" t="s">
        <v>6968</v>
      </c>
      <c r="M9" s="1611">
        <v>11</v>
      </c>
      <c r="N9" s="1612">
        <v>220</v>
      </c>
      <c r="O9" s="1613">
        <v>30</v>
      </c>
      <c r="P9" s="2526" t="s">
        <v>6975</v>
      </c>
      <c r="Q9" s="1614">
        <v>9</v>
      </c>
      <c r="R9" s="3466"/>
      <c r="S9" s="3467"/>
      <c r="T9" s="3466"/>
      <c r="U9" s="3467"/>
      <c r="V9" s="3466"/>
      <c r="W9" s="3468"/>
      <c r="X9" s="270" t="n">
        <f>SUM('5층_부하량(월간_AVG)'!D321:F321)</f>
        <v>2.4235004967175358</v>
      </c>
      <c r="Y9" s="255" t="n">
        <f>SUM('5층_부하량(월간_AVG)'!D379:F379)</f>
        <v>2.8494497411514725</v>
      </c>
      <c r="Z9" s="3250" t="n">
        <f>SUM(X9:Y10)</f>
        <v>11.572710126164687</v>
      </c>
      <c r="AA9" s="2854" t="n" cm="1">
        <f t="array" ref="AA9">INDEX('각층분기별_유효전력량(전월)'!F2:F2018,MATCH(1,("5-DaHall 1-PDU-11"='각층분기별_유효전력량(전월)'!D2:D2018)*("[branch#011] [A] kWh last month"='각층분기별_유효전력량(전월)'!E2:E2018),0))</f>
        <v>356.3</v>
      </c>
      <c r="AB9" s="2855" t="n" cm="1">
        <f t="array" ref="AB9">INDEX('각층분기별_유효전력량(전월)'!F2:F2018,MATCH(1,("5-DaHall 1-PDU-12"='각층분기별_유효전력량(전월)'!D2:D2018)*("[branch#009] [A] kWh last month"='각층분기별_유효전력량(전월)'!E2:E2018),0))</f>
        <v>457.7</v>
      </c>
      <c r="AC9" s="3409" t="n">
        <f>SUM(AA9:AB10)</f>
        <v>1817.4</v>
      </c>
      <c r="AD9" s="2574"/>
      <c r="AH9" s="2470"/>
    </row>
    <row r="10" spans="1:34" ht="27" x14ac:dyDescent="0.15">
      <c r="A10" s="3279"/>
      <c r="B10" s="3287"/>
      <c r="C10" s="3430"/>
      <c r="D10" s="829" t="s">
        <v>2844</v>
      </c>
      <c r="E10" s="829" t="s">
        <v>2845</v>
      </c>
      <c r="F10" s="2800" t="s">
        <v>2846</v>
      </c>
      <c r="G10" s="2801" t="s">
        <v>2847</v>
      </c>
      <c r="H10" s="1529" t="str">
        <f t="shared" si="0"/>
        <v>5-DaHall1-PDU-11-30-13</v>
      </c>
      <c r="I10" s="1530" t="str">
        <f t="shared" si="1"/>
        <v>5-DaHall1-PDU-12-30-11</v>
      </c>
      <c r="J10" s="1615">
        <v>220</v>
      </c>
      <c r="K10" s="1616">
        <v>30</v>
      </c>
      <c r="L10" s="2500" t="s">
        <v>6968</v>
      </c>
      <c r="M10" s="1611">
        <v>13</v>
      </c>
      <c r="N10" s="1612">
        <v>220</v>
      </c>
      <c r="O10" s="1613">
        <v>30</v>
      </c>
      <c r="P10" s="2526" t="s">
        <v>6975</v>
      </c>
      <c r="Q10" s="1614">
        <v>11</v>
      </c>
      <c r="R10" s="3466"/>
      <c r="S10" s="3467"/>
      <c r="T10" s="3466"/>
      <c r="U10" s="3467"/>
      <c r="V10" s="3466"/>
      <c r="W10" s="3468"/>
      <c r="X10" s="270" t="n">
        <f>SUM('5층_부하량(월간_AVG)'!D322:F322)</f>
        <v>1.898640867165095</v>
      </c>
      <c r="Y10" s="255" t="n">
        <f>SUM('5층_부하량(월간_AVG)'!D380:F380)</f>
        <v>4.401119021130584</v>
      </c>
      <c r="Z10" s="3252"/>
      <c r="AA10" s="2854" t="n" cm="1">
        <f t="array" ref="AA10">INDEX('각층분기별_유효전력량(전월)'!F2:F2018,MATCH(1,("5-DaHall 1-PDU-11"='각층분기별_유효전력량(전월)'!D2:D2018)*("[branch#013] [A] kWh last month"='각층분기별_유효전력량(전월)'!E2:E2018),0))</f>
        <v>304.9</v>
      </c>
      <c r="AB10" s="2855" t="n" cm="1">
        <f t="array" ref="AB10">INDEX('각층분기별_유효전력량(전월)'!F2:F2018,MATCH(1,("5-DaHall 1-PDU-12"='각층분기별_유효전력량(전월)'!D2:D2018)*("[branch#011] [A] kWh last month"='각층분기별_유효전력량(전월)'!E2:E2018),0))</f>
        <v>698.5</v>
      </c>
      <c r="AC10" s="3410"/>
      <c r="AD10" s="2574"/>
      <c r="AH10" s="2470"/>
    </row>
    <row r="11" spans="1:34" ht="27" x14ac:dyDescent="0.15">
      <c r="A11" s="2769" t="s">
        <v>275</v>
      </c>
      <c r="B11" s="2771" t="s">
        <v>2848</v>
      </c>
      <c r="C11" s="2784" t="s">
        <v>2824</v>
      </c>
      <c r="D11" s="829" t="s">
        <v>2849</v>
      </c>
      <c r="E11" s="829" t="s">
        <v>2850</v>
      </c>
      <c r="F11" s="2800" t="s">
        <v>2851</v>
      </c>
      <c r="G11" s="2801" t="s">
        <v>2852</v>
      </c>
      <c r="H11" s="1529" t="str">
        <f t="shared" si="0"/>
        <v>5-DaHall1-PDU-07-30-1</v>
      </c>
      <c r="I11" s="1530" t="str">
        <f t="shared" si="1"/>
        <v>5-DaHall1-PDU-08-30-7</v>
      </c>
      <c r="J11" s="1609">
        <v>220</v>
      </c>
      <c r="K11" s="1610">
        <v>30</v>
      </c>
      <c r="L11" s="2500" t="s">
        <v>6919</v>
      </c>
      <c r="M11" s="1611">
        <v>1</v>
      </c>
      <c r="N11" s="1612">
        <v>220</v>
      </c>
      <c r="O11" s="1613">
        <v>30</v>
      </c>
      <c r="P11" s="2526" t="s">
        <v>6931</v>
      </c>
      <c r="Q11" s="1614">
        <v>7</v>
      </c>
      <c r="R11" s="3465" t="s">
        <v>2853</v>
      </c>
      <c r="S11" s="3467" t="s">
        <v>2854</v>
      </c>
      <c r="T11" s="3465" t="s">
        <v>2855</v>
      </c>
      <c r="U11" s="3467" t="s">
        <v>2856</v>
      </c>
      <c r="V11" s="3466"/>
      <c r="W11" s="3468"/>
      <c r="X11" s="270" t="n">
        <f>SUM('5층_부하량(월간_AVG)'!D226:F226)</f>
        <v>7.774327311478837</v>
      </c>
      <c r="Y11" s="255" t="n">
        <f>SUM('5층_부하량(월간_AVG)'!D274:F274)</f>
        <v>5.271414523763476</v>
      </c>
      <c r="Z11" s="2557" t="n">
        <f t="shared" ref="Z11:Z13" si="3">SUM(X11:Y11)</f>
        <v>13.045741835242314</v>
      </c>
      <c r="AA11" s="2850" t="n" cm="1">
        <f t="array" ref="AA11">INDEX('각층분기별_유효전력량(전월)'!F2:F2018,MATCH(1,("5-DaHall 1-PDU-07"='각층분기별_유효전력량(전월)'!D2:D2018)*("[branch#001] [A] kWh last month"='각층분기별_유효전력량(전월)'!E2:E2018),0))</f>
        <v>1239.8</v>
      </c>
      <c r="AB11" s="2851" t="n" cm="1">
        <f t="array" ref="AB11">INDEX('각층분기별_유효전력량(전월)'!F2:F2018,MATCH(1,("5-DaHall 1-PDU-08"='각층분기별_유효전력량(전월)'!D2:D2018)*("[branch#007] [A] kWh last month"='각층분기별_유효전력량(전월)'!E2:E2018),0))</f>
        <v>803.0</v>
      </c>
      <c r="AC11" s="2586" t="n">
        <f>SUM(AA11:AB11)</f>
        <v>2042.8</v>
      </c>
      <c r="AD11" s="2574"/>
      <c r="AH11" s="2470"/>
    </row>
    <row r="12" spans="1:34" ht="27" x14ac:dyDescent="0.15">
      <c r="A12" s="2769" t="s">
        <v>2857</v>
      </c>
      <c r="B12" s="2771" t="s">
        <v>2858</v>
      </c>
      <c r="C12" s="2784" t="s">
        <v>2824</v>
      </c>
      <c r="D12" s="829" t="s">
        <v>2859</v>
      </c>
      <c r="E12" s="829" t="s">
        <v>2860</v>
      </c>
      <c r="F12" s="2800" t="s">
        <v>2861</v>
      </c>
      <c r="G12" s="2801" t="s">
        <v>2862</v>
      </c>
      <c r="H12" s="1529" t="str">
        <f t="shared" si="0"/>
        <v>5-DaHall1-PDU-07-30-3</v>
      </c>
      <c r="I12" s="1530" t="str">
        <f t="shared" si="1"/>
        <v>5-DaHall1-PDU-08-30-3</v>
      </c>
      <c r="J12" s="1609">
        <v>220</v>
      </c>
      <c r="K12" s="1610">
        <v>30</v>
      </c>
      <c r="L12" s="2500" t="s">
        <v>6919</v>
      </c>
      <c r="M12" s="1611">
        <v>3</v>
      </c>
      <c r="N12" s="1612">
        <v>220</v>
      </c>
      <c r="O12" s="1613">
        <v>30</v>
      </c>
      <c r="P12" s="2526" t="s">
        <v>6931</v>
      </c>
      <c r="Q12" s="1614">
        <v>3</v>
      </c>
      <c r="R12" s="3466"/>
      <c r="S12" s="3468"/>
      <c r="T12" s="3466"/>
      <c r="U12" s="3467"/>
      <c r="V12" s="3466"/>
      <c r="W12" s="3468"/>
      <c r="X12" s="270" t="n">
        <f>SUM('5층_부하량(월간_AVG)'!D227:F227)</f>
        <v>1.0895728840439027</v>
      </c>
      <c r="Y12" s="255" t="n">
        <f>SUM('5층_부하량(월간_AVG)'!D272:F272)</f>
        <v>1.3680977581037836</v>
      </c>
      <c r="Z12" s="2557" t="n">
        <f t="shared" si="3"/>
        <v>2.4576706421476864</v>
      </c>
      <c r="AA12" s="2850" t="n" cm="1">
        <f t="array" ref="AA12">INDEX('각층분기별_유효전력량(전월)'!F2:F2018,MATCH(1,("5-DaHall 1-PDU-07"='각층분기별_유효전력량(전월)'!D2:D2018)*("[branch#003] [A] kWh last month"='각층분기별_유효전력량(전월)'!E2:E2018),0))</f>
        <v>104.0</v>
      </c>
      <c r="AB12" s="2851" t="n" cm="1">
        <f t="array" ref="AB12">INDEX('각층분기별_유효전력량(전월)'!F2:F2018,MATCH(1,("5-DaHall 1-PDU-08"='각층분기별_유효전력량(전월)'!D2:D2018)*("[branch#003] [A] kWh last month"='각층분기별_유효전력량(전월)'!E2:E2018),0))</f>
        <v>124.9</v>
      </c>
      <c r="AC12" s="2586" t="n">
        <f t="shared" ref="AC12:AC13" si="4">SUM(AA12:AB12)</f>
        <v>228.9</v>
      </c>
      <c r="AD12" s="2574"/>
      <c r="AH12" s="2470"/>
    </row>
    <row r="13" spans="1:34" ht="27" x14ac:dyDescent="0.15">
      <c r="A13" s="2769" t="s">
        <v>2863</v>
      </c>
      <c r="B13" s="2771" t="s">
        <v>2864</v>
      </c>
      <c r="C13" s="2784" t="s">
        <v>2824</v>
      </c>
      <c r="D13" s="829" t="s">
        <v>2865</v>
      </c>
      <c r="E13" s="829" t="s">
        <v>2866</v>
      </c>
      <c r="F13" s="2800" t="s">
        <v>2867</v>
      </c>
      <c r="G13" s="2801" t="s">
        <v>2868</v>
      </c>
      <c r="H13" s="1529" t="str">
        <f t="shared" si="0"/>
        <v>5-DaHall1-PDU-07-30-5</v>
      </c>
      <c r="I13" s="1530" t="str">
        <f t="shared" si="1"/>
        <v>5-DaHall1-PDU-08-30-5</v>
      </c>
      <c r="J13" s="1609">
        <v>220</v>
      </c>
      <c r="K13" s="1610">
        <v>30</v>
      </c>
      <c r="L13" s="2500" t="s">
        <v>6919</v>
      </c>
      <c r="M13" s="1611">
        <v>5</v>
      </c>
      <c r="N13" s="1612">
        <v>220</v>
      </c>
      <c r="O13" s="1613">
        <v>30</v>
      </c>
      <c r="P13" s="2526" t="s">
        <v>6931</v>
      </c>
      <c r="Q13" s="1614">
        <v>5</v>
      </c>
      <c r="R13" s="3466"/>
      <c r="S13" s="3468"/>
      <c r="T13" s="3466"/>
      <c r="U13" s="3467"/>
      <c r="V13" s="3466"/>
      <c r="W13" s="3468"/>
      <c r="X13" s="270" t="n">
        <f>SUM('5층_부하량(월간_AVG)'!D228:F228)</f>
        <v>0.3903809744600288</v>
      </c>
      <c r="Y13" s="255" t="n">
        <f>SUM('5층_부하량(월간_AVG)'!D273:F273)</f>
        <v>0.0</v>
      </c>
      <c r="Z13" s="2557" t="n">
        <f t="shared" si="3"/>
        <v>0.3903809744600288</v>
      </c>
      <c r="AA13" s="2850" t="n" cm="1">
        <f t="array" ref="AA13">INDEX('각층분기별_유효전력량(전월)'!F2:F2018,MATCH(1,("5-DaHall 1-PDU-07"='각층분기별_유효전력량(전월)'!D2:D2018)*("[branch#005] [A] kWh last month"='각층분기별_유효전력량(전월)'!E2:E2018),0))</f>
        <v>56.7</v>
      </c>
      <c r="AB13" s="2851" t="n" cm="1">
        <f t="array" ref="AB13">INDEX('각층분기별_유효전력량(전월)'!F2:F2018,MATCH(1,("5-DaHall 1-PDU-08"='각층분기별_유효전력량(전월)'!D2:D2018)*("[branch#005] [A] kWh last month"='각층분기별_유효전력량(전월)'!E2:E2018),0))</f>
        <v>0.0</v>
      </c>
      <c r="AC13" s="2586" t="n">
        <f t="shared" si="4"/>
        <v>56.7</v>
      </c>
      <c r="AD13" s="2574"/>
      <c r="AH13" s="2470"/>
    </row>
    <row r="14" spans="1:34" ht="27" x14ac:dyDescent="0.15">
      <c r="A14" s="3279" t="s">
        <v>2869</v>
      </c>
      <c r="B14" s="3287" t="s">
        <v>2870</v>
      </c>
      <c r="C14" s="3430" t="s">
        <v>2871</v>
      </c>
      <c r="D14" s="829" t="s">
        <v>2872</v>
      </c>
      <c r="E14" s="829" t="s">
        <v>2873</v>
      </c>
      <c r="F14" s="2800" t="s">
        <v>2874</v>
      </c>
      <c r="G14" s="2801" t="s">
        <v>2875</v>
      </c>
      <c r="H14" s="1529" t="str">
        <f t="shared" si="0"/>
        <v>5-DaHall1-PDU-07-30-2</v>
      </c>
      <c r="I14" s="1530" t="str">
        <f t="shared" si="1"/>
        <v>5-DaHall1-PDU-08-30-2</v>
      </c>
      <c r="J14" s="1609">
        <v>220</v>
      </c>
      <c r="K14" s="1610">
        <v>30</v>
      </c>
      <c r="L14" s="2500" t="s">
        <v>6919</v>
      </c>
      <c r="M14" s="1611">
        <v>2</v>
      </c>
      <c r="N14" s="1612">
        <v>220</v>
      </c>
      <c r="O14" s="1613">
        <v>30</v>
      </c>
      <c r="P14" s="2526" t="s">
        <v>6931</v>
      </c>
      <c r="Q14" s="1614">
        <v>2</v>
      </c>
      <c r="R14" s="3466"/>
      <c r="S14" s="3468"/>
      <c r="T14" s="3466"/>
      <c r="U14" s="3467"/>
      <c r="V14" s="3466"/>
      <c r="W14" s="3468"/>
      <c r="X14" s="255" t="n">
        <f>SUM('5층_부하량(월간_AVG)'!N226:P226)</f>
        <v>1.0427498619452777</v>
      </c>
      <c r="Y14" s="255" t="n">
        <f>SUM('5층_부하량(월간_AVG)'!N271:P271)</f>
        <v>1.244752671364336</v>
      </c>
      <c r="Z14" s="3250" t="n">
        <f>SUM(X14:Y15)</f>
        <v>12.842137733063401</v>
      </c>
      <c r="AA14" s="2854" t="n" cm="1">
        <f t="array" ref="AA14">INDEX('각층분기별_유효전력량(전월)'!F2:F2018,MATCH(1,("5-DaHall 1-PDU-07"='각층분기별_유효전력량(전월)'!D2:D2018)*("[branch#002] [A] kWh last month"='각층분기별_유효전력량(전월)'!E2:E2018),0))</f>
        <v>109.6</v>
      </c>
      <c r="AB14" s="2855" t="n" cm="1">
        <f t="array" ref="AB14">INDEX('각층분기별_유효전력량(전월)'!F2:F2018,MATCH(1,("5-DaHall 1-PDU-08"='각층분기별_유효전력량(전월)'!D2:D2018)*("[branch#002] [A] kWh last month"='각층분기별_유효전력량(전월)'!E2:E2018),0))</f>
        <v>151.5</v>
      </c>
      <c r="AC14" s="3409" t="n">
        <f>SUM(AA14:AB15)</f>
        <v>2061.5</v>
      </c>
      <c r="AD14" s="2574"/>
      <c r="AH14" s="2470"/>
    </row>
    <row r="15" spans="1:34" ht="54" x14ac:dyDescent="0.15">
      <c r="A15" s="3279"/>
      <c r="B15" s="3287"/>
      <c r="C15" s="3430"/>
      <c r="D15" s="829" t="s">
        <v>2876</v>
      </c>
      <c r="E15" s="829" t="s">
        <v>2877</v>
      </c>
      <c r="F15" s="2800" t="s">
        <v>2878</v>
      </c>
      <c r="G15" s="2801" t="s">
        <v>2879</v>
      </c>
      <c r="H15" s="1529" t="str">
        <f t="shared" si="0"/>
        <v>5-DaHall1-PDU-11-20-28</v>
      </c>
      <c r="I15" s="1530" t="str">
        <f t="shared" si="1"/>
        <v>5-DaHall1-PDU-12-20-28</v>
      </c>
      <c r="J15" s="1609">
        <v>220</v>
      </c>
      <c r="K15" s="1610">
        <v>20</v>
      </c>
      <c r="L15" s="2500" t="s">
        <v>6968</v>
      </c>
      <c r="M15" s="1611">
        <v>28</v>
      </c>
      <c r="N15" s="1612">
        <v>220</v>
      </c>
      <c r="O15" s="1613">
        <v>20</v>
      </c>
      <c r="P15" s="2526" t="s">
        <v>6975</v>
      </c>
      <c r="Q15" s="1614">
        <v>28</v>
      </c>
      <c r="R15" s="2800" t="s">
        <v>2816</v>
      </c>
      <c r="S15" s="2801" t="s">
        <v>2817</v>
      </c>
      <c r="T15" s="2800" t="s">
        <v>2818</v>
      </c>
      <c r="U15" s="2801" t="s">
        <v>2819</v>
      </c>
      <c r="V15" s="3466"/>
      <c r="W15" s="3468"/>
      <c r="X15" s="255" t="n">
        <f>SUM('5층_부하량(월간_AVG)'!N329:P329)</f>
        <v>5.278964865185189</v>
      </c>
      <c r="Y15" s="255" t="n">
        <f>SUM('5층_부하량(월간_AVG)'!N388:P388)</f>
        <v>5.2756703345685985</v>
      </c>
      <c r="Z15" s="3252"/>
      <c r="AA15" s="2854" t="n" cm="1">
        <f t="array" ref="AA15">INDEX('각층분기별_유효전력량(전월)'!F2:F2018,MATCH(1,("5-DaHall 1-PDU-11"='각층분기별_유효전력량(전월)'!D2:D2018)*("[branch#028] [A] kWh last month"='각층분기별_유효전력량(전월)'!E2:E2018),0))</f>
        <v>867.7</v>
      </c>
      <c r="AB15" s="2855" t="n" cm="1">
        <f t="array" ref="AB15">INDEX('각층분기별_유효전력량(전월)'!F2:F2018,MATCH(1,("5-DaHall 1-PDU-12"='각층분기별_유효전력량(전월)'!D2:D2018)*("[branch#028] [A] kWh last month"='각층분기별_유효전력량(전월)'!E2:E2018),0))</f>
        <v>932.7</v>
      </c>
      <c r="AC15" s="3410"/>
      <c r="AD15" s="2574"/>
      <c r="AH15" s="2470"/>
    </row>
    <row r="16" spans="1:34" ht="27" x14ac:dyDescent="0.15">
      <c r="A16" s="2769" t="s">
        <v>248</v>
      </c>
      <c r="B16" s="2765" t="s">
        <v>2880</v>
      </c>
      <c r="C16" s="2784"/>
      <c r="D16" s="829" t="s">
        <v>2881</v>
      </c>
      <c r="E16" s="829" t="s">
        <v>2882</v>
      </c>
      <c r="F16" s="2800" t="s">
        <v>2883</v>
      </c>
      <c r="G16" s="2801" t="s">
        <v>2884</v>
      </c>
      <c r="H16" s="1529" t="str">
        <f t="shared" si="0"/>
        <v>5-DaHall1-PDU-07-30-4</v>
      </c>
      <c r="I16" s="1530" t="str">
        <f t="shared" si="1"/>
        <v>5-DaHall1-PDU-08-30-4</v>
      </c>
      <c r="J16" s="1609">
        <v>220</v>
      </c>
      <c r="K16" s="1610">
        <v>30</v>
      </c>
      <c r="L16" s="2500" t="s">
        <v>6919</v>
      </c>
      <c r="M16" s="1611">
        <v>4</v>
      </c>
      <c r="N16" s="1612">
        <v>220</v>
      </c>
      <c r="O16" s="1613">
        <v>30</v>
      </c>
      <c r="P16" s="2526" t="s">
        <v>6931</v>
      </c>
      <c r="Q16" s="1614">
        <v>4</v>
      </c>
      <c r="R16" s="3465" t="s">
        <v>2853</v>
      </c>
      <c r="S16" s="3467" t="s">
        <v>2854</v>
      </c>
      <c r="T16" s="3465" t="s">
        <v>2855</v>
      </c>
      <c r="U16" s="3467" t="s">
        <v>2856</v>
      </c>
      <c r="V16" s="3466"/>
      <c r="W16" s="3468"/>
      <c r="X16" s="255" t="n">
        <f>SUM('5층_부하량(월간_AVG)'!N227:P227)</f>
        <v>0.0</v>
      </c>
      <c r="Y16" s="255" t="n">
        <f>SUM('5층_부하량(월간_AVG)'!N272:P272)</f>
        <v>5.208812838553057</v>
      </c>
      <c r="Z16" s="2557" t="n">
        <f t="shared" ref="Z16:Z19" si="5">SUM(X16:Y16)</f>
        <v>5.208812838553057</v>
      </c>
      <c r="AA16" s="2850" t="n" cm="1">
        <f t="array" ref="AA16">INDEX('각층분기별_유효전력량(전월)'!F2:F2018,MATCH(1,("5-DaHall 1-PDU-07"='각층분기별_유효전력량(전월)'!D2:D2018)*("[branch#004] [A] kWh last month"='각층분기별_유효전력량(전월)'!E2:E2018),0))</f>
        <v>0.0</v>
      </c>
      <c r="AB16" s="2851" t="n" cm="1">
        <f t="array" ref="AB16">INDEX('각층분기별_유효전력량(전월)'!F2:F2018,MATCH(1,("5-DaHall 1-PDU-08"='각층분기별_유효전력량(전월)'!D2:D2018)*("[branch#004] [A] kWh last month"='각층분기별_유효전력량(전월)'!E2:E2018),0))</f>
        <v>803.0</v>
      </c>
      <c r="AC16" s="2586" t="n">
        <f>SUM(AA16:AB16)</f>
        <v>803.0</v>
      </c>
      <c r="AD16" s="2574"/>
      <c r="AH16" s="2470"/>
    </row>
    <row r="17" spans="1:34" ht="27.75" thickBot="1" x14ac:dyDescent="0.2">
      <c r="A17" s="2779" t="s">
        <v>2885</v>
      </c>
      <c r="B17" s="2792" t="s">
        <v>2886</v>
      </c>
      <c r="C17" s="2809" t="s">
        <v>2887</v>
      </c>
      <c r="D17" s="831" t="s">
        <v>2888</v>
      </c>
      <c r="E17" s="831" t="s">
        <v>2889</v>
      </c>
      <c r="F17" s="890" t="s">
        <v>2890</v>
      </c>
      <c r="G17" s="891" t="s">
        <v>2891</v>
      </c>
      <c r="H17" s="1529" t="str">
        <f t="shared" si="0"/>
        <v>5-DaHall1-PDU-07-30-6</v>
      </c>
      <c r="I17" s="1530" t="str">
        <f t="shared" si="1"/>
        <v>5-DaHall1-PDU-08-30-6</v>
      </c>
      <c r="J17" s="1617">
        <v>220</v>
      </c>
      <c r="K17" s="1618">
        <v>30</v>
      </c>
      <c r="L17" s="2501" t="s">
        <v>6919</v>
      </c>
      <c r="M17" s="1619">
        <v>6</v>
      </c>
      <c r="N17" s="1620">
        <v>220</v>
      </c>
      <c r="O17" s="1621">
        <v>30</v>
      </c>
      <c r="P17" s="2527" t="s">
        <v>6931</v>
      </c>
      <c r="Q17" s="1622">
        <v>6</v>
      </c>
      <c r="R17" s="3469"/>
      <c r="S17" s="3470"/>
      <c r="T17" s="3469"/>
      <c r="U17" s="3470"/>
      <c r="V17" s="3469"/>
      <c r="W17" s="3470"/>
      <c r="X17" s="333" t="n">
        <f>SUM('5층_부하량(월간_AVG)'!N228:P228)</f>
        <v>0.3787995505441786</v>
      </c>
      <c r="Y17" s="333" t="n">
        <f>SUM('5층_부하량(월간_AVG)'!N273:P273)</f>
        <v>1.3279569611502828</v>
      </c>
      <c r="Z17" s="2558" t="n">
        <f t="shared" si="5"/>
        <v>1.7067565116944614</v>
      </c>
      <c r="AA17" s="2856" t="n" cm="1">
        <f t="array" ref="AA17">INDEX('각층분기별_유효전력량(전월)'!F2:F2018,MATCH(1,("5-DaHall 1-PDU-07"='각층분기별_유효전력량(전월)'!D2:D2018)*("[branch#006] [A] kWh last month"='각층분기별_유효전력량(전월)'!E2:E2018),0))</f>
        <v>59.2</v>
      </c>
      <c r="AB17" s="2857" t="n" cm="1">
        <f t="array" ref="AB17">INDEX('각층분기별_유효전력량(전월)'!F2:F2018,MATCH(1,("5-DaHall 1-PDU-08"='각층분기별_유효전력량(전월)'!D2:D2018)*("[branch#006] [A] kWh last month"='각층분기별_유효전력량(전월)'!E2:E2018),0))</f>
        <v>185.9</v>
      </c>
      <c r="AC17" s="2587" t="n">
        <f>SUM(AA17:AB17)</f>
        <v>245.10000000000002</v>
      </c>
      <c r="AD17" s="2575"/>
      <c r="AH17" s="2470"/>
    </row>
    <row r="18" spans="1:34" ht="27.75" customHeight="1" thickTop="1" x14ac:dyDescent="0.15">
      <c r="A18" s="1105" t="s">
        <v>2892</v>
      </c>
      <c r="B18" s="1015" t="s">
        <v>2893</v>
      </c>
      <c r="C18" s="1398" t="s">
        <v>2894</v>
      </c>
      <c r="D18" s="331" t="s">
        <v>2895</v>
      </c>
      <c r="E18" s="331" t="s">
        <v>2896</v>
      </c>
      <c r="F18" s="2793" t="s">
        <v>2897</v>
      </c>
      <c r="G18" s="2794" t="s">
        <v>2898</v>
      </c>
      <c r="H18" s="1529" t="str">
        <f t="shared" si="0"/>
        <v>5-DaHall1-PDU-11-20-15</v>
      </c>
      <c r="I18" s="1530" t="str">
        <f t="shared" si="1"/>
        <v>5-DaHall1-PDU-12-20-13</v>
      </c>
      <c r="J18" s="1623">
        <v>220</v>
      </c>
      <c r="K18" s="1624">
        <v>20</v>
      </c>
      <c r="L18" s="2482" t="s">
        <v>6968</v>
      </c>
      <c r="M18" s="1625">
        <v>15</v>
      </c>
      <c r="N18" s="1626">
        <v>220</v>
      </c>
      <c r="O18" s="1627">
        <v>20</v>
      </c>
      <c r="P18" s="2514" t="s">
        <v>6975</v>
      </c>
      <c r="Q18" s="1628">
        <v>13</v>
      </c>
      <c r="R18" s="3455" t="s">
        <v>2816</v>
      </c>
      <c r="S18" s="3447" t="s">
        <v>2817</v>
      </c>
      <c r="T18" s="3233" t="s">
        <v>2818</v>
      </c>
      <c r="U18" s="3245" t="s">
        <v>2819</v>
      </c>
      <c r="V18" s="3230" t="s">
        <v>2820</v>
      </c>
      <c r="W18" s="3232" t="s">
        <v>2821</v>
      </c>
      <c r="X18" s="332" t="n">
        <f>SUM('5층_부하량(월간_AVG)'!D323:F323)</f>
        <v>0.0</v>
      </c>
      <c r="Y18" s="332" t="n">
        <f>SUM('5층_부하량(월간_AVG)'!D381:F381)</f>
        <v>3.1179033257768176</v>
      </c>
      <c r="Z18" s="2560" t="n">
        <f t="shared" si="5"/>
        <v>3.1179033257768176</v>
      </c>
      <c r="AA18" s="2848" t="n" cm="1">
        <f t="array" ref="AA18">INDEX('각층분기별_유효전력량(전월)'!F2:F2018,MATCH(1,("5-DaHall 1-PDU-11"='각층분기별_유효전력량(전월)'!D2:D2018)*("[branch#015] [A] kWh last month"='각층분기별_유효전력량(전월)'!E2:E2018),0))</f>
        <v>0.0</v>
      </c>
      <c r="AB18" s="2849" t="n" cm="1">
        <f t="array" ref="AB18">INDEX('각층분기별_유효전력량(전월)'!F2:F2018,MATCH(1,("5-DaHall 1-PDU-12"='각층분기별_유효전력량(전월)'!D2:D2018)*("[branch#013] [A] kWh last month"='각층분기별_유효전력량(전월)'!E2:E2018),0))</f>
        <v>501.7</v>
      </c>
      <c r="AC18" s="2589" t="n">
        <f>SUM(AA18:AB18)</f>
        <v>501.7</v>
      </c>
      <c r="AD18" s="2624" t="s">
        <v>2899</v>
      </c>
      <c r="AH18" s="2470"/>
    </row>
    <row r="19" spans="1:34" ht="27" x14ac:dyDescent="0.15">
      <c r="A19" s="2769" t="s">
        <v>2900</v>
      </c>
      <c r="B19" s="2771" t="s">
        <v>2901</v>
      </c>
      <c r="C19" s="2784"/>
      <c r="D19" s="2765" t="s">
        <v>2902</v>
      </c>
      <c r="E19" s="2765" t="s">
        <v>2903</v>
      </c>
      <c r="F19" s="2785" t="s">
        <v>2904</v>
      </c>
      <c r="G19" s="2786" t="s">
        <v>2905</v>
      </c>
      <c r="H19" s="1529" t="str">
        <f t="shared" si="0"/>
        <v>5-DaHall1-PDU-11-20-17</v>
      </c>
      <c r="I19" s="1530" t="str">
        <f t="shared" si="1"/>
        <v>5-DaHall1-PDU-12-20-15</v>
      </c>
      <c r="J19" s="1629">
        <v>220</v>
      </c>
      <c r="K19" s="1630">
        <v>20</v>
      </c>
      <c r="L19" s="2483" t="s">
        <v>6968</v>
      </c>
      <c r="M19" s="1631">
        <v>17</v>
      </c>
      <c r="N19" s="1632">
        <v>220</v>
      </c>
      <c r="O19" s="1633">
        <v>20</v>
      </c>
      <c r="P19" s="2515" t="s">
        <v>6975</v>
      </c>
      <c r="Q19" s="1634">
        <v>15</v>
      </c>
      <c r="R19" s="3456"/>
      <c r="S19" s="3457"/>
      <c r="T19" s="3234"/>
      <c r="U19" s="3243"/>
      <c r="V19" s="3241"/>
      <c r="W19" s="3242"/>
      <c r="X19" s="255" t="n">
        <f>SUM('5층_부하량(월간_AVG)'!D324:F324)</f>
        <v>0.0</v>
      </c>
      <c r="Y19" s="255" t="n">
        <f>SUM('5층_부하량(월간_AVG)'!D382:F382)</f>
        <v>0.0</v>
      </c>
      <c r="Z19" s="2557" t="n">
        <f t="shared" si="5"/>
        <v>0.0</v>
      </c>
      <c r="AA19" s="2850" t="n" cm="1">
        <f t="array" ref="AA19">INDEX('각층분기별_유효전력량(전월)'!F2:F2018,MATCH(1,("5-DaHall 1-PDU-11"='각층분기별_유효전력량(전월)'!D2:D2018)*("[branch#017] [A] kWh last month"='각층분기별_유효전력량(전월)'!E2:E2018),0))</f>
        <v>0.0</v>
      </c>
      <c r="AB19" s="2851" t="n" cm="1">
        <f t="array" ref="AB19">INDEX('각층분기별_유효전력량(전월)'!F2:F2018,MATCH(1,("5-DaHall 1-PDU-12"='각층분기별_유효전력량(전월)'!D2:D2018)*("[branch#015] [A] kWh last month"='각층분기별_유효전력량(전월)'!E2:E2018),0))</f>
        <v>0.0</v>
      </c>
      <c r="AC19" s="2586" t="n">
        <f>SUM(AA19:AB19)</f>
        <v>0.0</v>
      </c>
      <c r="AD19" s="2574"/>
      <c r="AH19" s="2470"/>
    </row>
    <row r="20" spans="1:34" x14ac:dyDescent="0.15">
      <c r="A20" s="3280" t="s">
        <v>2906</v>
      </c>
      <c r="B20" s="3298"/>
      <c r="C20" s="2408" t="s">
        <v>2907</v>
      </c>
      <c r="D20" s="2765"/>
      <c r="E20" s="2765"/>
      <c r="F20" s="2785"/>
      <c r="G20" s="2786"/>
      <c r="H20" s="1529" t="str">
        <f t="shared" si="0"/>
        <v>5-DaHall1-PDU-15-30-11</v>
      </c>
      <c r="I20" s="1530" t="str">
        <f t="shared" si="1"/>
        <v>5-DaHall1-PDU-16-30-11</v>
      </c>
      <c r="J20" s="1629">
        <v>220</v>
      </c>
      <c r="K20" s="1630">
        <v>30</v>
      </c>
      <c r="L20" s="2483" t="s">
        <v>6970</v>
      </c>
      <c r="M20" s="1631">
        <v>11</v>
      </c>
      <c r="N20" s="1632">
        <v>220</v>
      </c>
      <c r="O20" s="1633">
        <v>30</v>
      </c>
      <c r="P20" s="2515" t="s">
        <v>6977</v>
      </c>
      <c r="Q20" s="1634">
        <v>11</v>
      </c>
      <c r="R20" s="3463" t="s">
        <v>2908</v>
      </c>
      <c r="S20" s="3428" t="s">
        <v>2909</v>
      </c>
      <c r="T20" s="3239" t="s">
        <v>2910</v>
      </c>
      <c r="U20" s="3227" t="s">
        <v>2911</v>
      </c>
      <c r="V20" s="3241"/>
      <c r="W20" s="3242"/>
      <c r="X20" s="255" t="n">
        <f>SUM('5층_부하량(월간_AVG)'!D361:F361)</f>
        <v>0.003194444444444444</v>
      </c>
      <c r="Y20" s="255" t="n">
        <f>SUM('5층_부하량(월간_AVG)'!D420:F420)</f>
        <v>0.4029629562589287</v>
      </c>
      <c r="Z20" s="3250" t="n">
        <f>SUM(X20:Y21)</f>
        <v>3.6065510222572703</v>
      </c>
      <c r="AA20" s="2854" t="n" cm="1">
        <f t="array" ref="AA20">INDEX('각층분기별_유효전력량(전월)'!F2:F2018,MATCH(1,("5-DaHall 1-PDU-15"='각층분기별_유효전력량(전월)'!D2:D2018)*("[branch#011] [A] kWh last month"='각층분기별_유효전력량(전월)'!E2:E2018),0))</f>
        <v>0.0</v>
      </c>
      <c r="AB20" s="2858" t="n" cm="1">
        <f t="array" ref="AB20">INDEX('각층분기별_유효전력량(전월)'!F2:F2018,MATCH(1,("5-DaHall 1-PDU-16"='각층분기별_유효전력량(전월)'!D2:D2018)*("[branch#011] [A] kWh last month"='각층분기별_유효전력량(전월)'!E2:E2018),0))</f>
        <v>51.6</v>
      </c>
      <c r="AC20" s="3409" t="n">
        <f>SUM(AA20:AB22)</f>
        <v>738.5</v>
      </c>
      <c r="AD20" s="3424" t="s">
        <v>2912</v>
      </c>
      <c r="AH20" s="2470"/>
    </row>
    <row r="21" spans="1:34" ht="14.25" thickBot="1" x14ac:dyDescent="0.2">
      <c r="A21" s="3281"/>
      <c r="B21" s="3299"/>
      <c r="C21" s="2778" t="s">
        <v>2913</v>
      </c>
      <c r="D21" s="2765"/>
      <c r="E21" s="2765"/>
      <c r="F21" s="2785"/>
      <c r="G21" s="2786"/>
      <c r="H21" s="1529" t="str">
        <f t="shared" si="0"/>
        <v>5-DaHall1-PDU-15-30-14</v>
      </c>
      <c r="I21" s="1530" t="str">
        <f t="shared" si="1"/>
        <v>5-DaHall1-PDU-16-30-14</v>
      </c>
      <c r="J21" s="1629">
        <v>220</v>
      </c>
      <c r="K21" s="1630">
        <v>30</v>
      </c>
      <c r="L21" s="2483" t="s">
        <v>6970</v>
      </c>
      <c r="M21" s="1631">
        <v>14</v>
      </c>
      <c r="N21" s="1632">
        <v>220</v>
      </c>
      <c r="O21" s="1633">
        <v>30</v>
      </c>
      <c r="P21" s="2515" t="s">
        <v>6977</v>
      </c>
      <c r="Q21" s="1634">
        <v>14</v>
      </c>
      <c r="R21" s="3464"/>
      <c r="S21" s="3429"/>
      <c r="T21" s="3240"/>
      <c r="U21" s="3228"/>
      <c r="V21" s="3241"/>
      <c r="W21" s="3242"/>
      <c r="X21" s="255" t="n">
        <f>SUM('5층_부하량(월간_AVG)'!N362:P362)</f>
        <v>1.5308937205046724</v>
      </c>
      <c r="Y21" s="255" t="n">
        <f>SUM('5층_부하량(월간_AVG)'!N421:P421)</f>
        <v>1.6694999010492249</v>
      </c>
      <c r="Z21" s="3252"/>
      <c r="AA21" s="2854" t="n" cm="1">
        <f t="array" ref="AA21">INDEX('각층분기별_유효전력량(전월)'!F2:F2018,MATCH(1,("5-DaHall 1-PDU-15"='각층분기별_유효전력량(전월)'!D2:D2018)*("[branch#014] [A] kWh last month"='각층분기별_유효전력량(전월)'!E2:E2018),0))</f>
        <v>176.3</v>
      </c>
      <c r="AB21" s="2858" t="n" cm="1">
        <f t="array" ref="AB21">INDEX('각층분기별_유효전력량(전월)'!F2:F2018,MATCH(1,("5-DaHall 1-PDU-16"='각층분기별_유효전력량(전월)'!D2:D2018)*("[branch#014] [A] kWh last month"='각층분기별_유효전력량(전월)'!E2:E2018),0))</f>
        <v>232.9</v>
      </c>
      <c r="AC21" s="3419"/>
      <c r="AD21" s="3425"/>
      <c r="AH21" s="2470"/>
    </row>
    <row r="22" spans="1:34" ht="27.75" thickTop="1" x14ac:dyDescent="0.15">
      <c r="A22" s="3282"/>
      <c r="B22" s="2765" t="s">
        <v>2914</v>
      </c>
      <c r="C22" s="2784" t="s">
        <v>2915</v>
      </c>
      <c r="D22" s="2765" t="s">
        <v>2916</v>
      </c>
      <c r="E22" s="2765" t="s">
        <v>2917</v>
      </c>
      <c r="F22" s="2785" t="s">
        <v>2918</v>
      </c>
      <c r="G22" s="2786" t="s">
        <v>2919</v>
      </c>
      <c r="H22" s="1529" t="str">
        <f t="shared" si="0"/>
        <v>5-DaHall1-PDU-11-20-19</v>
      </c>
      <c r="I22" s="1530" t="str">
        <f t="shared" si="1"/>
        <v>5-DaHall1-PDU-12-20-17</v>
      </c>
      <c r="J22" s="1629">
        <v>220</v>
      </c>
      <c r="K22" s="1630">
        <v>20</v>
      </c>
      <c r="L22" s="2483" t="s">
        <v>6968</v>
      </c>
      <c r="M22" s="1631">
        <v>19</v>
      </c>
      <c r="N22" s="1632">
        <v>220</v>
      </c>
      <c r="O22" s="1633">
        <v>20</v>
      </c>
      <c r="P22" s="2515" t="s">
        <v>6975</v>
      </c>
      <c r="Q22" s="1634">
        <v>17</v>
      </c>
      <c r="R22" s="3455" t="s">
        <v>2816</v>
      </c>
      <c r="S22" s="3447" t="s">
        <v>2817</v>
      </c>
      <c r="T22" s="3233" t="s">
        <v>2818</v>
      </c>
      <c r="U22" s="3245" t="s">
        <v>2819</v>
      </c>
      <c r="V22" s="3241"/>
      <c r="W22" s="3242"/>
      <c r="X22" s="270" t="n">
        <f>SUM('5층_부하량(월간_AVG)'!D325:F325)</f>
        <v>1.9028308179699334</v>
      </c>
      <c r="Y22" s="255" t="n">
        <f>SUM('5층_부하량(월간_AVG)'!D383:F383)</f>
        <v>0.0</v>
      </c>
      <c r="Z22" s="2557" t="n">
        <f t="shared" ref="Z22:Z24" si="6">SUM(X22:Y22)</f>
        <v>1.9028308179699334</v>
      </c>
      <c r="AA22" s="2850" t="n" cm="1">
        <f t="array" ref="AA22">INDEX('각층분기별_유효전력량(전월)'!F2:F2018,MATCH(1,("5-DaHall 1-PDU-11"='각층분기별_유효전력량(전월)'!D2:D2018)*("[branch#019] [A] kWh last month"='각층분기별_유효전력량(전월)'!E2:E2018),0))</f>
        <v>277.7</v>
      </c>
      <c r="AB22" s="2859" t="n" cm="1">
        <f t="array" ref="AB22">INDEX('각층분기별_유효전력량(전월)'!F2:F2018,MATCH(1,("5-DaHall 1-PDU-12"='각층분기별_유효전력량(전월)'!D2:D2018)*("[branch#017] [A] kWh last month"='각층분기별_유효전력량(전월)'!E2:E2018),0))</f>
        <v>0.0</v>
      </c>
      <c r="AC22" s="3410"/>
      <c r="AD22" s="2574"/>
      <c r="AH22" s="2470"/>
    </row>
    <row r="23" spans="1:34" ht="27" x14ac:dyDescent="0.15">
      <c r="A23" s="2769" t="s">
        <v>2920</v>
      </c>
      <c r="B23" s="2765" t="s">
        <v>2921</v>
      </c>
      <c r="C23" s="2784" t="s">
        <v>2922</v>
      </c>
      <c r="D23" s="2765" t="s">
        <v>2923</v>
      </c>
      <c r="E23" s="2765" t="s">
        <v>2924</v>
      </c>
      <c r="F23" s="2785" t="s">
        <v>2925</v>
      </c>
      <c r="G23" s="2786" t="s">
        <v>2926</v>
      </c>
      <c r="H23" s="1529" t="str">
        <f t="shared" si="0"/>
        <v>5-DaHall1-PDU-11-20-21</v>
      </c>
      <c r="I23" s="1530" t="str">
        <f t="shared" si="1"/>
        <v>5-DaHall1-PDU-12-20-19</v>
      </c>
      <c r="J23" s="1629">
        <v>220</v>
      </c>
      <c r="K23" s="1630">
        <v>20</v>
      </c>
      <c r="L23" s="2483" t="s">
        <v>6968</v>
      </c>
      <c r="M23" s="1631">
        <v>21</v>
      </c>
      <c r="N23" s="1632">
        <v>220</v>
      </c>
      <c r="O23" s="1633">
        <v>20</v>
      </c>
      <c r="P23" s="2515" t="s">
        <v>6975</v>
      </c>
      <c r="Q23" s="1634">
        <v>19</v>
      </c>
      <c r="R23" s="3482"/>
      <c r="S23" s="3462"/>
      <c r="T23" s="3244"/>
      <c r="U23" s="3229"/>
      <c r="V23" s="3241"/>
      <c r="W23" s="3242"/>
      <c r="X23" s="270" t="n">
        <f>SUM('5층_부하량(월간_AVG)'!D326:F326)</f>
        <v>2.4820585913674083</v>
      </c>
      <c r="Y23" s="255" t="n">
        <f>SUM('5층_부하량(월간_AVG)'!D384:F384)</f>
        <v>2.856281678843304</v>
      </c>
      <c r="Z23" s="2557" t="n">
        <f t="shared" si="6"/>
        <v>5.338340270210712</v>
      </c>
      <c r="AA23" s="2850" t="n" cm="1">
        <f t="array" ref="AA23">INDEX('각층분기별_유효전력량(전월)'!F2:F2018,MATCH(1,("5-DaHall 1-PDU-11"='각층분기별_유효전력량(전월)'!D2:D2018)*("[branch#021] [A] kWh last month"='각층분기별_유효전력량(전월)'!E2:E2018),0))</f>
        <v>356.3</v>
      </c>
      <c r="AB23" s="2859" t="n" cm="1">
        <f t="array" ref="AB23">INDEX('각층분기별_유효전력량(전월)'!F2:F2018,MATCH(1,("5-DaHall 1-PDU-12"='각층분기별_유효전력량(전월)'!D2:D2018)*("[branch#019] [A] kWh last month"='각층분기별_유효전력량(전월)'!E2:E2018),0))</f>
        <v>386.9</v>
      </c>
      <c r="AC23" s="2586" t="n">
        <f>SUM(AA23:AB23)</f>
        <v>743.2</v>
      </c>
      <c r="AD23" s="2574"/>
      <c r="AH23" s="2470"/>
    </row>
    <row r="24" spans="1:34" ht="27" x14ac:dyDescent="0.15">
      <c r="A24" s="2769" t="s">
        <v>2927</v>
      </c>
      <c r="B24" s="2771" t="s">
        <v>2928</v>
      </c>
      <c r="C24" s="2784" t="s">
        <v>2929</v>
      </c>
      <c r="D24" s="2765" t="s">
        <v>2930</v>
      </c>
      <c r="E24" s="2765" t="s">
        <v>2931</v>
      </c>
      <c r="F24" s="2785" t="s">
        <v>2932</v>
      </c>
      <c r="G24" s="2786" t="s">
        <v>2933</v>
      </c>
      <c r="H24" s="1529" t="str">
        <f t="shared" si="0"/>
        <v>5-DaHall1-PDU-11-20-23</v>
      </c>
      <c r="I24" s="1530" t="str">
        <f t="shared" si="1"/>
        <v>5-DaHall1-PDU-12-20-21</v>
      </c>
      <c r="J24" s="1629">
        <v>220</v>
      </c>
      <c r="K24" s="1630">
        <v>20</v>
      </c>
      <c r="L24" s="2483" t="s">
        <v>6968</v>
      </c>
      <c r="M24" s="1631">
        <v>23</v>
      </c>
      <c r="N24" s="1632">
        <v>220</v>
      </c>
      <c r="O24" s="1633">
        <v>20</v>
      </c>
      <c r="P24" s="2515" t="s">
        <v>6975</v>
      </c>
      <c r="Q24" s="1634">
        <v>21</v>
      </c>
      <c r="R24" s="3482"/>
      <c r="S24" s="3462"/>
      <c r="T24" s="3244"/>
      <c r="U24" s="3229"/>
      <c r="V24" s="3241"/>
      <c r="W24" s="3242"/>
      <c r="X24" s="270" t="n">
        <f>SUM('5층_부하량(월간_AVG)'!D327:F327)</f>
        <v>4.77450839400429</v>
      </c>
      <c r="Y24" s="255" t="n">
        <f>SUM('5층_부하량(월간_AVG)'!D385:F385)</f>
        <v>4.433770933704365</v>
      </c>
      <c r="Z24" s="2557" t="n">
        <f t="shared" si="6"/>
        <v>9.208279327708656</v>
      </c>
      <c r="AA24" s="2850" t="n" cm="1">
        <f t="array" ref="AA24">INDEX('각층분기별_유효전력량(전월)'!F2:F2018,MATCH(1,("5-DaHall 1-PDU-11"='각층분기별_유효전력량(전월)'!D2:D2018)*("[branch#023] [A] kWh last month"='각층분기별_유효전력량(전월)'!E2:E2018),0))</f>
        <v>771.1</v>
      </c>
      <c r="AB24" s="2859" t="n" cm="1">
        <f t="array" ref="AB24">INDEX('각층분기별_유효전력량(전월)'!F2:F2018,MATCH(1,("5-DaHall 1-PDU-12"='각층분기별_유효전력량(전월)'!D2:D2018)*("[branch#021] [A] kWh last month"='각층분기별_유효전력량(전월)'!E2:E2018),0))</f>
        <v>698.5</v>
      </c>
      <c r="AC24" s="2586" t="n">
        <f>SUM(AA24:AB24)</f>
        <v>1469.6</v>
      </c>
      <c r="AD24" s="2578" t="s">
        <v>2934</v>
      </c>
      <c r="AH24" s="2470"/>
    </row>
    <row r="25" spans="1:34" ht="27" x14ac:dyDescent="0.15">
      <c r="A25" s="3279" t="s">
        <v>2935</v>
      </c>
      <c r="B25" s="3287" t="s">
        <v>2936</v>
      </c>
      <c r="C25" s="3430" t="s">
        <v>2937</v>
      </c>
      <c r="D25" s="2765" t="s">
        <v>2938</v>
      </c>
      <c r="E25" s="2765" t="s">
        <v>2939</v>
      </c>
      <c r="F25" s="2785" t="s">
        <v>2940</v>
      </c>
      <c r="G25" s="2786" t="s">
        <v>2941</v>
      </c>
      <c r="H25" s="1529" t="str">
        <f t="shared" si="0"/>
        <v>5-DaHall1-PDU-11-20-25</v>
      </c>
      <c r="I25" s="1530" t="str">
        <f t="shared" si="1"/>
        <v>5-DaHall1-PDU-12-20-23</v>
      </c>
      <c r="J25" s="1629">
        <v>220</v>
      </c>
      <c r="K25" s="1630">
        <v>20</v>
      </c>
      <c r="L25" s="2483" t="s">
        <v>6968</v>
      </c>
      <c r="M25" s="1631">
        <v>25</v>
      </c>
      <c r="N25" s="1632">
        <v>220</v>
      </c>
      <c r="O25" s="1633">
        <v>20</v>
      </c>
      <c r="P25" s="2515" t="s">
        <v>6975</v>
      </c>
      <c r="Q25" s="1634">
        <v>23</v>
      </c>
      <c r="R25" s="3456"/>
      <c r="S25" s="3457"/>
      <c r="T25" s="3234"/>
      <c r="U25" s="3243"/>
      <c r="V25" s="3241"/>
      <c r="W25" s="3242"/>
      <c r="X25" s="270" t="n">
        <f>'5층_부하량(월간_AVG)'!F328</f>
        <v>2.854603973066875</v>
      </c>
      <c r="Y25" s="255" t="n">
        <f>SUM('5층_부하량(월간_AVG)'!D386:F386)</f>
        <v>0.0</v>
      </c>
      <c r="Z25" s="3250" t="n">
        <f>SUM(X25:Y26)</f>
        <v>3.835031866677626</v>
      </c>
      <c r="AA25" s="2854" t="n" cm="1">
        <f t="array" ref="AA25">INDEX('각층분기별_유효전력량(전월)'!F2:F2018,MATCH(1,("5-DaHall 1-PDU-11"='각층분기별_유효전력량(전월)'!D2:D2018)*("[branch#025] [A] kWh last month"='각층분기별_유효전력량(전월)'!E2:E2018),0))</f>
        <v>440.6</v>
      </c>
      <c r="AB25" s="2858" t="n" cm="1">
        <f t="array" ref="AB25">INDEX('각층분기별_유효전력량(전월)'!F2:F2018,MATCH(1,("5-DaHall 1-PDU-12"='각층분기별_유효전력량(전월)'!D2:D2018)*("[branch#023] [A] kWh last month"='각층분기별_유효전력량(전월)'!E2:E2018),0))</f>
        <v>0.0</v>
      </c>
      <c r="AC25" s="3409" t="n">
        <f>SUM(AA25:AB26)</f>
        <v>540.5</v>
      </c>
      <c r="AD25" s="2574"/>
      <c r="AH25" s="2470"/>
    </row>
    <row r="26" spans="1:34" ht="54" customHeight="1" x14ac:dyDescent="0.15">
      <c r="A26" s="3279"/>
      <c r="B26" s="3287"/>
      <c r="C26" s="3430"/>
      <c r="D26" s="2765" t="s">
        <v>2942</v>
      </c>
      <c r="E26" s="2765" t="s">
        <v>2943</v>
      </c>
      <c r="F26" s="2785" t="s">
        <v>2944</v>
      </c>
      <c r="G26" s="2786" t="s">
        <v>2945</v>
      </c>
      <c r="H26" s="1529" t="str">
        <f t="shared" si="0"/>
        <v>5-DaHall1-PDU-15-20-28</v>
      </c>
      <c r="I26" s="1530" t="str">
        <f t="shared" si="1"/>
        <v>5-DaHall1-PDU-16-20-28</v>
      </c>
      <c r="J26" s="1629">
        <v>220</v>
      </c>
      <c r="K26" s="1630">
        <v>20</v>
      </c>
      <c r="L26" s="2483" t="s">
        <v>6970</v>
      </c>
      <c r="M26" s="1631">
        <v>28</v>
      </c>
      <c r="N26" s="1632">
        <v>220</v>
      </c>
      <c r="O26" s="1633">
        <v>20</v>
      </c>
      <c r="P26" s="2515" t="s">
        <v>6977</v>
      </c>
      <c r="Q26" s="1634">
        <v>28</v>
      </c>
      <c r="R26" s="2785" t="s">
        <v>2908</v>
      </c>
      <c r="S26" s="2786" t="s">
        <v>2909</v>
      </c>
      <c r="T26" s="2757" t="s">
        <v>2910</v>
      </c>
      <c r="U26" s="2752" t="s">
        <v>2911</v>
      </c>
      <c r="V26" s="3241"/>
      <c r="W26" s="3242"/>
      <c r="X26" s="270" t="n">
        <f>SUM('5층_부하량(월간_AVG)'!N369:Q369)</f>
        <v>0.6901901989912301</v>
      </c>
      <c r="Y26" s="255" t="n">
        <f>SUM('5층_부하량(월간_AVG)'!N428:Q428)</f>
        <v>0.2902376946195207</v>
      </c>
      <c r="Z26" s="3252"/>
      <c r="AA26" s="2854" t="n" cm="1">
        <f t="array" ref="AA26">INDEX('각층분기별_유효전력량(전월)'!F2:F2018,MATCH(1,("5-DaHall 1-PDU-15"='각층분기별_유효전력량(전월)'!D2:D2018)*("[branch#028] [A] kWh last month"='각층분기별_유효전력량(전월)'!E2:E2018),0))</f>
        <v>78.4</v>
      </c>
      <c r="AB26" s="2858" t="n" cm="1">
        <f t="array" ref="AB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C26" s="3410"/>
      <c r="AD26" s="2574"/>
      <c r="AH26" s="2470"/>
    </row>
    <row r="27" spans="1:34" ht="27" customHeight="1" x14ac:dyDescent="0.15">
      <c r="A27" s="2769" t="s">
        <v>2387</v>
      </c>
      <c r="B27" s="2771" t="s">
        <v>2946</v>
      </c>
      <c r="C27" s="2784" t="s">
        <v>2947</v>
      </c>
      <c r="D27" s="2765" t="s">
        <v>2948</v>
      </c>
      <c r="E27" s="2765" t="s">
        <v>2949</v>
      </c>
      <c r="F27" s="2785" t="s">
        <v>2950</v>
      </c>
      <c r="G27" s="2786" t="s">
        <v>2951</v>
      </c>
      <c r="H27" s="1529" t="str">
        <f t="shared" si="0"/>
        <v>5-DaHall1-PDU-11-20-27</v>
      </c>
      <c r="I27" s="1530" t="str">
        <f t="shared" si="1"/>
        <v>5-DaHall1-PDU-12-20-25</v>
      </c>
      <c r="J27" s="1629">
        <v>220</v>
      </c>
      <c r="K27" s="1630">
        <v>20</v>
      </c>
      <c r="L27" s="2483" t="s">
        <v>6968</v>
      </c>
      <c r="M27" s="1631">
        <v>27</v>
      </c>
      <c r="N27" s="1632">
        <v>220</v>
      </c>
      <c r="O27" s="1633">
        <v>20</v>
      </c>
      <c r="P27" s="2515" t="s">
        <v>6975</v>
      </c>
      <c r="Q27" s="1634">
        <v>25</v>
      </c>
      <c r="R27" s="3363" t="s">
        <v>2816</v>
      </c>
      <c r="S27" s="3365" t="s">
        <v>2952</v>
      </c>
      <c r="T27" s="3231" t="s">
        <v>2818</v>
      </c>
      <c r="U27" s="3223" t="s">
        <v>2819</v>
      </c>
      <c r="V27" s="3241"/>
      <c r="W27" s="3242"/>
      <c r="X27" s="270" t="n">
        <f>SUM('5층_부하량(월간_AVG)'!D329:F329)</f>
        <v>2.418695295457703</v>
      </c>
      <c r="Y27" s="255" t="n">
        <f>SUM('5층_부하량(월간_AVG)'!D387:F387)</f>
        <v>3.2839097963817783</v>
      </c>
      <c r="Z27" s="2557" t="n">
        <f t="shared" ref="Z27" si="7">SUM(X27:Y27)</f>
        <v>5.702605091839481</v>
      </c>
      <c r="AA27" s="2850" t="n" cm="1">
        <f t="array" ref="AA27">INDEX('각층분기별_유효전력량(전월)'!F2:F2018,MATCH(1,("5-DaHall 1-PDU-11"='각층분기별_유효전력량(전월)'!D2:D2018)*("[branch#027] [A] kWh last month"='각층분기별_유효전력량(전월)'!E2:E2018),0))</f>
        <v>392.2</v>
      </c>
      <c r="AB27" s="2859" t="n" cm="1">
        <f t="array" ref="AB27">INDEX('각층분기별_유효전력량(전월)'!F2:F2018,MATCH(1,("5-DaHall 1-PDU-12"='각층분기별_유효전력량(전월)'!D2:D2018)*("[branch#025] [A] kWh last month"='각층분기별_유효전력량(전월)'!E2:E2018),0))</f>
        <v>501.7</v>
      </c>
      <c r="AC27" s="2586" t="n">
        <f>SUM(AA27:AB27)</f>
        <v>893.9</v>
      </c>
      <c r="AD27" s="2574"/>
      <c r="AH27" s="2470"/>
    </row>
    <row r="28" spans="1:34" ht="27" x14ac:dyDescent="0.15">
      <c r="A28" s="3279" t="s">
        <v>2953</v>
      </c>
      <c r="B28" s="3287" t="s">
        <v>2954</v>
      </c>
      <c r="C28" s="3430" t="s">
        <v>2955</v>
      </c>
      <c r="D28" s="2765" t="s">
        <v>2956</v>
      </c>
      <c r="E28" s="2765" t="s">
        <v>2957</v>
      </c>
      <c r="F28" s="2785" t="s">
        <v>2958</v>
      </c>
      <c r="G28" s="2786" t="s">
        <v>2959</v>
      </c>
      <c r="H28" s="1529" t="str">
        <f t="shared" si="0"/>
        <v>5-DaHall1-PDU-11-20-29</v>
      </c>
      <c r="I28" s="1530" t="str">
        <f t="shared" si="1"/>
        <v>5-DaHall1-PDU-12-20-27</v>
      </c>
      <c r="J28" s="1635">
        <v>220</v>
      </c>
      <c r="K28" s="1636">
        <v>20</v>
      </c>
      <c r="L28" s="2483" t="s">
        <v>6968</v>
      </c>
      <c r="M28" s="1631">
        <v>29</v>
      </c>
      <c r="N28" s="1637">
        <v>220</v>
      </c>
      <c r="O28" s="1638">
        <v>20</v>
      </c>
      <c r="P28" s="2515" t="s">
        <v>6975</v>
      </c>
      <c r="Q28" s="1634">
        <v>27</v>
      </c>
      <c r="R28" s="3363"/>
      <c r="S28" s="3365"/>
      <c r="T28" s="3231"/>
      <c r="U28" s="3223"/>
      <c r="V28" s="3241"/>
      <c r="W28" s="3242"/>
      <c r="X28" s="270" t="n">
        <f>SUM('5층_부하량(월간_AVG)'!D330:F330)</f>
        <v>5.203714940097604</v>
      </c>
      <c r="Y28" s="270" t="n">
        <f>SUM('5층_부하량(월간_AVG)'!D388:F388)</f>
        <v>0.0</v>
      </c>
      <c r="Z28" s="3431" t="n">
        <f>SUM(X28:Y30)</f>
        <v>15.243163208563015</v>
      </c>
      <c r="AA28" s="2860" t="n" cm="1">
        <f t="array" ref="AA28">INDEX('각층분기별_유효전력량(전월)'!F2:F2018,MATCH(1,("5-DaHall 1-PDU-11"='각층분기별_유효전력량(전월)'!D2:D2018)*("[branch#029] [A] kWh last month"='각층분기별_유효전력량(전월)'!E2:E2018),0))</f>
        <v>851.4</v>
      </c>
      <c r="AB28" s="2861" t="n" cm="1">
        <f t="array" ref="AB28">INDEX('각층분기별_유효전력량(전월)'!F2:F2018,MATCH(1,("5-DaHall 1-PDU-12"='각층분기별_유효전력량(전월)'!D2:D2018)*("[branch#027] [A] kWh last month"='각층분기별_유효전력량(전월)'!E2:E2018),0))</f>
        <v>0.0</v>
      </c>
      <c r="AC28" s="3409" t="n">
        <f>SUM(AA28:AB30)</f>
        <v>2513.3</v>
      </c>
      <c r="AD28" s="2574" t="s">
        <v>2960</v>
      </c>
      <c r="AH28" s="2470"/>
    </row>
    <row r="29" spans="1:34" ht="27" x14ac:dyDescent="0.15">
      <c r="A29" s="3279"/>
      <c r="B29" s="3287"/>
      <c r="C29" s="3430"/>
      <c r="D29" s="1014" t="s">
        <v>2961</v>
      </c>
      <c r="E29" s="1014" t="s">
        <v>2962</v>
      </c>
      <c r="F29" s="2785" t="s">
        <v>2963</v>
      </c>
      <c r="G29" s="2786" t="s">
        <v>2964</v>
      </c>
      <c r="H29" s="1529" t="str">
        <f t="shared" si="0"/>
        <v>5-DaHall1-PDU-15-30-7</v>
      </c>
      <c r="I29" s="1530" t="str">
        <f t="shared" si="1"/>
        <v>5-DaHall1-PDU-16-30-7</v>
      </c>
      <c r="J29" s="1635">
        <v>220</v>
      </c>
      <c r="K29" s="1636">
        <v>30</v>
      </c>
      <c r="L29" s="2483" t="s">
        <v>6970</v>
      </c>
      <c r="M29" s="1631">
        <v>7</v>
      </c>
      <c r="N29" s="1637">
        <v>220</v>
      </c>
      <c r="O29" s="1638">
        <v>30</v>
      </c>
      <c r="P29" s="2515" t="s">
        <v>6977</v>
      </c>
      <c r="Q29" s="1634">
        <v>7</v>
      </c>
      <c r="R29" s="3363" t="s">
        <v>2965</v>
      </c>
      <c r="S29" s="3365" t="s">
        <v>2909</v>
      </c>
      <c r="T29" s="3231" t="s">
        <v>2910</v>
      </c>
      <c r="U29" s="3223" t="s">
        <v>2911</v>
      </c>
      <c r="V29" s="3241"/>
      <c r="W29" s="3242"/>
      <c r="X29" s="270" t="n">
        <f>SUM('5층_부하량(월간_AVG)'!D359:F359)</f>
        <v>3.107684405046484</v>
      </c>
      <c r="Y29" s="270" t="n">
        <f>SUM('5층_부하량(월간_AVG)'!D418:F418)</f>
        <v>3.471522773847191</v>
      </c>
      <c r="Z29" s="3432"/>
      <c r="AA29" s="2860" t="n" cm="1">
        <f t="array" ref="AA29">INDEX('각층분기별_유효전력량(전월)'!F2:F2018,MATCH(1,("5-DaHall 1-PDU-15"='각층분기별_유효전력량(전월)'!D2:D2018)*("[branch#007] [A] kWh last month"='각층분기별_유효전력량(전월)'!E2:E2018),0))</f>
        <v>580.7</v>
      </c>
      <c r="AB29" s="2861" t="n" cm="1">
        <f t="array" ref="AB29">INDEX('각층분기별_유효전력량(전월)'!F2:F2018,MATCH(1,("5-DaHall 1-PDU-16"='각층분기별_유효전력량(전월)'!D2:D2018)*("[branch#007] [A] kWh last month"='각층분기별_유효전력량(전월)'!E2:E2018),0))</f>
        <v>621.2</v>
      </c>
      <c r="AC29" s="3419"/>
      <c r="AD29" s="3426" t="s">
        <v>2966</v>
      </c>
      <c r="AH29" s="2470"/>
    </row>
    <row r="30" spans="1:34" ht="27" x14ac:dyDescent="0.15">
      <c r="A30" s="3279"/>
      <c r="B30" s="3287"/>
      <c r="C30" s="3430"/>
      <c r="D30" s="1014" t="s">
        <v>2967</v>
      </c>
      <c r="E30" s="1014" t="s">
        <v>2968</v>
      </c>
      <c r="F30" s="2785" t="s">
        <v>2969</v>
      </c>
      <c r="G30" s="2786" t="s">
        <v>2970</v>
      </c>
      <c r="H30" s="1529" t="str">
        <f t="shared" si="0"/>
        <v>5-DaHall1-PDU-15-30-9</v>
      </c>
      <c r="I30" s="1530" t="str">
        <f t="shared" si="1"/>
        <v>5-DaHall1-PDU-16-30-9</v>
      </c>
      <c r="J30" s="1635">
        <v>220</v>
      </c>
      <c r="K30" s="1636">
        <v>30</v>
      </c>
      <c r="L30" s="2483" t="s">
        <v>6970</v>
      </c>
      <c r="M30" s="1631">
        <v>9</v>
      </c>
      <c r="N30" s="1637">
        <v>220</v>
      </c>
      <c r="O30" s="1638">
        <v>30</v>
      </c>
      <c r="P30" s="2515" t="s">
        <v>6977</v>
      </c>
      <c r="Q30" s="1634">
        <v>9</v>
      </c>
      <c r="R30" s="3363"/>
      <c r="S30" s="3365"/>
      <c r="T30" s="3231"/>
      <c r="U30" s="3242"/>
      <c r="V30" s="3241"/>
      <c r="W30" s="3242"/>
      <c r="X30" s="270" t="n">
        <f>SUM('5층_부하량(월간_AVG)'!D360:F360)</f>
        <v>1.7053245081788502</v>
      </c>
      <c r="Y30" s="270" t="n">
        <f>SUM('5층_부하량(월간_AVG)'!D419:F419)</f>
        <v>1.7549165813928873</v>
      </c>
      <c r="Z30" s="3433"/>
      <c r="AA30" s="2860" t="n" cm="1">
        <f t="array" ref="AA30">INDEX('각층분기별_유효전력량(전월)'!F2:F2018,MATCH(1,("5-DaHall 1-PDU-15"='각층분기별_유효전력량(전월)'!D2:D2018)*("[branch#009] [A] kWh last month"='각층분기별_유효전력량(전월)'!E2:E2018),0))</f>
        <v>210.4</v>
      </c>
      <c r="AB30" s="2861" t="n" cm="1">
        <f t="array" ref="AB30">INDEX('각층분기별_유효전력량(전월)'!F2:F2018,MATCH(1,("5-DaHall 1-PDU-16"='각층분기별_유효전력량(전월)'!D2:D2018)*("[branch#009] [A] kWh last month"='각층분기별_유효전력량(전월)'!E2:E2018),0))</f>
        <v>249.6</v>
      </c>
      <c r="AC30" s="3410"/>
      <c r="AD30" s="3427"/>
      <c r="AH30" s="2470"/>
    </row>
    <row r="31" spans="1:34" ht="54" x14ac:dyDescent="0.15">
      <c r="A31" s="2769" t="s">
        <v>2407</v>
      </c>
      <c r="B31" s="2771" t="s">
        <v>2971</v>
      </c>
      <c r="C31" s="2784"/>
      <c r="D31" s="2765" t="s">
        <v>2972</v>
      </c>
      <c r="E31" s="2765" t="s">
        <v>2973</v>
      </c>
      <c r="F31" s="2785" t="s">
        <v>2974</v>
      </c>
      <c r="G31" s="2786" t="s">
        <v>2975</v>
      </c>
      <c r="H31" s="1529" t="str">
        <f t="shared" si="0"/>
        <v>5-DaHall1-PDU-13-30-3</v>
      </c>
      <c r="I31" s="1530" t="str">
        <f t="shared" si="1"/>
        <v>5-DaHall1-PDU-12-20-32</v>
      </c>
      <c r="J31" s="1629">
        <v>220</v>
      </c>
      <c r="K31" s="1630">
        <v>30</v>
      </c>
      <c r="L31" s="2483" t="s">
        <v>6969</v>
      </c>
      <c r="M31" s="1631">
        <v>3</v>
      </c>
      <c r="N31" s="1632">
        <v>220</v>
      </c>
      <c r="O31" s="1633">
        <v>20</v>
      </c>
      <c r="P31" s="2515" t="s">
        <v>6975</v>
      </c>
      <c r="Q31" s="1634">
        <v>32</v>
      </c>
      <c r="R31" s="3363" t="s">
        <v>2976</v>
      </c>
      <c r="S31" s="2786" t="s">
        <v>2952</v>
      </c>
      <c r="T31" s="3231" t="s">
        <v>2977</v>
      </c>
      <c r="U31" s="2752" t="s">
        <v>2819</v>
      </c>
      <c r="V31" s="3241"/>
      <c r="W31" s="3242"/>
      <c r="X31" s="270" t="n">
        <f>SUM('5층_부하량(월간_AVG)'!D337:F337)</f>
        <v>5.280917635149092</v>
      </c>
      <c r="Y31" s="255" t="n">
        <f>SUM('5층_부하량(월간_AVG)'!N390:P390)</f>
        <v>3.2036046203471673</v>
      </c>
      <c r="Z31" s="2557" t="n">
        <f t="shared" ref="Z31:Z32" si="8">SUM(X31:Y31)</f>
        <v>8.484522255496259</v>
      </c>
      <c r="AA31" s="2850" t="n" cm="1">
        <f t="array" ref="AA31">INDEX('각층분기별_유효전력량(전월)'!F2:F2018,MATCH(1,("5-DaHall 1-PDU-13"='각층분기별_유효전력량(전월)'!D2:D2018)*("[branch#003] [A] kWh last month"='각층분기별_유효전력량(전월)'!E2:E2018),0))</f>
        <v>858.5</v>
      </c>
      <c r="AB31" s="2859" t="n" cm="1">
        <f t="array" ref="AB31">INDEX('각층분기별_유효전력량(전월)'!F2:F2018,MATCH(1,("5-DaHall 1-PDU-12"='각층분기별_유효전력량(전월)'!D2:D2018)*("[branch#032] [A] kWh last month"='각층분기별_유효전력량(전월)'!E2:E2018),0))</f>
        <v>481.0</v>
      </c>
      <c r="AC31" s="2586" t="n">
        <f>SUM(AA31:AB31)</f>
        <v>1339.5</v>
      </c>
      <c r="AD31" s="2574"/>
      <c r="AH31" s="2470"/>
    </row>
    <row r="32" spans="1:34" ht="54.75" thickBot="1" x14ac:dyDescent="0.2">
      <c r="A32" s="2779" t="s">
        <v>2978</v>
      </c>
      <c r="B32" s="2792" t="s">
        <v>2979</v>
      </c>
      <c r="C32" s="2809" t="s">
        <v>2824</v>
      </c>
      <c r="D32" s="2780" t="s">
        <v>2980</v>
      </c>
      <c r="E32" s="2780" t="s">
        <v>2981</v>
      </c>
      <c r="F32" s="2796" t="s">
        <v>2982</v>
      </c>
      <c r="G32" s="2797" t="s">
        <v>2983</v>
      </c>
      <c r="H32" s="1529" t="str">
        <f t="shared" si="0"/>
        <v>5-DaHall1-PDU-13-30-5</v>
      </c>
      <c r="I32" s="1530" t="str">
        <f t="shared" si="1"/>
        <v>5-DaHall1-PDU-14-30-3</v>
      </c>
      <c r="J32" s="1639">
        <v>220</v>
      </c>
      <c r="K32" s="1640">
        <v>30</v>
      </c>
      <c r="L32" s="2484" t="s">
        <v>6969</v>
      </c>
      <c r="M32" s="1641">
        <v>5</v>
      </c>
      <c r="N32" s="1642">
        <v>220</v>
      </c>
      <c r="O32" s="1643">
        <v>30</v>
      </c>
      <c r="P32" s="2516" t="s">
        <v>6976</v>
      </c>
      <c r="Q32" s="1644">
        <v>3</v>
      </c>
      <c r="R32" s="3364"/>
      <c r="S32" s="2797" t="s">
        <v>2984</v>
      </c>
      <c r="T32" s="3235"/>
      <c r="U32" s="2753" t="s">
        <v>2985</v>
      </c>
      <c r="V32" s="3247"/>
      <c r="W32" s="3248"/>
      <c r="X32" s="335" t="n">
        <f>SUM('5층_부하량(월간_AVG)'!D338:F338)</f>
        <v>3.8314901147064435</v>
      </c>
      <c r="Y32" s="333" t="n">
        <f>SUM('5층_부하량(월간_AVG)'!D396:F396)</f>
        <v>3.170225310395804</v>
      </c>
      <c r="Z32" s="2558" t="n">
        <f t="shared" si="8"/>
        <v>7.0017154251022475</v>
      </c>
      <c r="AA32" s="2856" t="n" cm="1">
        <f t="array" ref="AA32">INDEX('각층분기별_유효전력량(전월)'!F2:F2018,MATCH(1,("5-DaHall 1-PDU-13"='각층분기별_유효전력량(전월)'!D2:D2018)*("[branch#005] [A] kWh last month"='각층분기별_유효전력량(전월)'!E2:E2018),0))</f>
        <v>583.1</v>
      </c>
      <c r="AB32" s="2857" t="n" cm="1">
        <f t="array" ref="AB32">INDEX('각층분기별_유효전력량(전월)'!F2:F2018,MATCH(1,("5-DaHall 1-PDU-14"='각층분기별_유효전력량(전월)'!D2:D2018)*("[branch#003] [A] kWh last month"='각층분기별_유효전력량(전월)'!E2:E2018),0))</f>
        <v>473.8</v>
      </c>
      <c r="AC32" s="2587" t="n">
        <f>SUM(AA32:AB32)</f>
        <v>1056.9</v>
      </c>
      <c r="AD32" s="2575"/>
      <c r="AH32" s="2470"/>
    </row>
    <row r="33" spans="1:34" ht="14.25" thickTop="1" x14ac:dyDescent="0.15">
      <c r="A33" s="1105" t="s">
        <v>2986</v>
      </c>
      <c r="B33" s="834"/>
      <c r="C33" s="992"/>
      <c r="D33" s="834"/>
      <c r="E33" s="834"/>
      <c r="F33" s="892"/>
      <c r="G33" s="893"/>
      <c r="H33" s="1645"/>
      <c r="I33" s="1646"/>
      <c r="J33" s="1647"/>
      <c r="K33" s="1648"/>
      <c r="L33" s="892"/>
      <c r="M33" s="1649"/>
      <c r="N33" s="1650"/>
      <c r="O33" s="1651"/>
      <c r="P33" s="893"/>
      <c r="Q33" s="1652"/>
      <c r="R33" s="892"/>
      <c r="S33" s="893"/>
      <c r="T33" s="902"/>
      <c r="U33" s="903"/>
      <c r="V33" s="835"/>
      <c r="W33" s="836"/>
      <c r="X33" s="841"/>
      <c r="Y33" s="841"/>
      <c r="Z33" s="2597"/>
      <c r="AA33" s="2862"/>
      <c r="AB33" s="2863"/>
      <c r="AC33" s="2591"/>
      <c r="AD33" s="2577" t="s">
        <v>1579</v>
      </c>
      <c r="AH33" s="2470"/>
    </row>
    <row r="34" spans="1:34" ht="27" x14ac:dyDescent="0.15">
      <c r="A34" s="2769" t="s">
        <v>2987</v>
      </c>
      <c r="B34" s="2771" t="s">
        <v>2988</v>
      </c>
      <c r="C34" s="2784" t="s">
        <v>2989</v>
      </c>
      <c r="D34" s="2765" t="s">
        <v>2990</v>
      </c>
      <c r="E34" s="2765" t="s">
        <v>2991</v>
      </c>
      <c r="F34" s="2785" t="s">
        <v>2992</v>
      </c>
      <c r="G34" s="2786" t="s">
        <v>2993</v>
      </c>
      <c r="H34" s="1529" t="str">
        <f t="shared" ref="H34:H97" si="9">"5-DaHall1-PDU-"&amp;L34&amp;"-"&amp;K34&amp;"-"&amp;M34</f>
        <v>5-DaHall1-PDU-11-30-6</v>
      </c>
      <c r="I34" s="1530" t="str">
        <f t="shared" ref="I34:I50" si="10">"5-DaHall1-PDU-"&amp;P34&amp;"-"&amp;O34&amp;"-"&amp;Q34</f>
        <v>5-DaHall1-PDU-12-30-4</v>
      </c>
      <c r="J34" s="1629">
        <v>220</v>
      </c>
      <c r="K34" s="1630">
        <v>30</v>
      </c>
      <c r="L34" s="2483" t="s">
        <v>6968</v>
      </c>
      <c r="M34" s="1631">
        <v>6</v>
      </c>
      <c r="N34" s="1632">
        <v>220</v>
      </c>
      <c r="O34" s="1633">
        <v>30</v>
      </c>
      <c r="P34" s="2515" t="s">
        <v>6975</v>
      </c>
      <c r="Q34" s="1634">
        <v>4</v>
      </c>
      <c r="R34" s="3363" t="s">
        <v>2816</v>
      </c>
      <c r="S34" s="3365" t="s">
        <v>2817</v>
      </c>
      <c r="T34" s="3231" t="s">
        <v>2818</v>
      </c>
      <c r="U34" s="3223" t="s">
        <v>2819</v>
      </c>
      <c r="V34" s="3231" t="s">
        <v>2820</v>
      </c>
      <c r="W34" s="3223" t="s">
        <v>2821</v>
      </c>
      <c r="X34" s="255" t="n">
        <f>SUM('5층_부하량(월간_AVG)'!N318:P318)</f>
        <v>1.9353548638277827</v>
      </c>
      <c r="Y34" s="255" t="n">
        <f>SUM('5층_부하량(월간_AVG)'!N376:P376)</f>
        <v>1.8520367029004519</v>
      </c>
      <c r="Z34" s="2557" t="n">
        <f t="shared" ref="Z34:Z41" si="11">SUM(X34:Y34)</f>
        <v>3.7873915667282345</v>
      </c>
      <c r="AA34" s="2850" t="n" cm="1">
        <f t="array" ref="AA34">INDEX('각층분기별_유효전력량(전월)'!F2:F2018,MATCH(1,("5-DaHall 1-PDU-11"='각층분기별_유효전력량(전월)'!D2:D2018)*("[branch#006] [A] kWh last month"='각층분기별_유효전력량(전월)'!E2:E2018),0))</f>
        <v>277.7</v>
      </c>
      <c r="AB34" s="2851" t="n" cm="1">
        <f t="array" ref="AB34">INDEX('각층분기별_유효전력량(전월)'!F2:F2018,MATCH(1,("5-DaHall 1-PDU-12"='각층분기별_유효전력량(전월)'!D2:D2018)*("[branch#004] [A] kWh last month"='각층분기별_유효전력량(전월)'!E2:E2018),0))</f>
        <v>250.6</v>
      </c>
      <c r="AC34" s="2586" t="n">
        <f>SUM(AA34:AB34)</f>
        <v>528.3</v>
      </c>
      <c r="AD34" s="2625" t="s">
        <v>2994</v>
      </c>
      <c r="AH34" s="2470"/>
    </row>
    <row r="35" spans="1:34" ht="27" x14ac:dyDescent="0.15">
      <c r="A35" s="2769" t="s">
        <v>2995</v>
      </c>
      <c r="B35" s="2201" t="s">
        <v>2996</v>
      </c>
      <c r="C35" s="2784" t="s">
        <v>2997</v>
      </c>
      <c r="D35" s="2765" t="s">
        <v>2998</v>
      </c>
      <c r="E35" s="2765" t="s">
        <v>2999</v>
      </c>
      <c r="F35" s="2785" t="s">
        <v>3000</v>
      </c>
      <c r="G35" s="2786" t="s">
        <v>3001</v>
      </c>
      <c r="H35" s="1529" t="str">
        <f t="shared" si="9"/>
        <v>5-DaHall1-PDU-11-20-8</v>
      </c>
      <c r="I35" s="1530" t="str">
        <f t="shared" si="10"/>
        <v>5-DaHall1-PDU-12-30-6</v>
      </c>
      <c r="J35" s="1629">
        <v>220</v>
      </c>
      <c r="K35" s="1630">
        <v>20</v>
      </c>
      <c r="L35" s="2483" t="s">
        <v>6968</v>
      </c>
      <c r="M35" s="1631">
        <v>8</v>
      </c>
      <c r="N35" s="1632">
        <v>220</v>
      </c>
      <c r="O35" s="1633">
        <v>30</v>
      </c>
      <c r="P35" s="2515" t="s">
        <v>6975</v>
      </c>
      <c r="Q35" s="1634">
        <v>6</v>
      </c>
      <c r="R35" s="3363"/>
      <c r="S35" s="3365"/>
      <c r="T35" s="3241"/>
      <c r="U35" s="3242"/>
      <c r="V35" s="3241"/>
      <c r="W35" s="3242"/>
      <c r="X35" s="255" t="n">
        <f>SUM('5층_부하량(월간_AVG)'!N319:P319)</f>
        <v>0.0</v>
      </c>
      <c r="Y35" s="255" t="n">
        <f>SUM('5층_부하량(월간_AVG)'!N377:P377)</f>
        <v>0.0</v>
      </c>
      <c r="Z35" s="2557" t="n">
        <f t="shared" si="11"/>
        <v>0.0</v>
      </c>
      <c r="AA35" s="2850" t="n" cm="1">
        <f t="array" ref="AA35">INDEX('각층분기별_유효전력량(전월)'!F2:F2018,MATCH(1,("5-DaHall 1-PDU-11"='각층분기별_유효전력량(전월)'!D2:D2018)*("[branch#008] [A] kWh last month"='각층분기별_유효전력량(전월)'!E2:E2018),0))</f>
        <v>0.0</v>
      </c>
      <c r="AB35" s="2851" t="n" cm="1">
        <f t="array" ref="AB35">INDEX('각층분기별_유효전력량(전월)'!F2:F2018,MATCH(1,("5-DaHall 1-PDU-12"='각층분기별_유효전력량(전월)'!D2:D2018)*("[branch#006] [A] kWh last month"='각층분기별_유효전력량(전월)'!E2:E2018),0))</f>
        <v>0.0</v>
      </c>
      <c r="AC35" s="2586" t="n">
        <f t="shared" ref="AC35:AC40" si="12">SUM(AA35:AB35)</f>
        <v>0.0</v>
      </c>
      <c r="AD35" s="2626" t="s">
        <v>3002</v>
      </c>
      <c r="AH35" s="2470"/>
    </row>
    <row r="36" spans="1:34" ht="27" x14ac:dyDescent="0.15">
      <c r="A36" s="2769" t="s">
        <v>3003</v>
      </c>
      <c r="B36" s="2765" t="s">
        <v>3004</v>
      </c>
      <c r="C36" s="2784"/>
      <c r="D36" s="2765" t="s">
        <v>3005</v>
      </c>
      <c r="E36" s="2765" t="s">
        <v>3006</v>
      </c>
      <c r="F36" s="2785" t="s">
        <v>3007</v>
      </c>
      <c r="G36" s="2786" t="s">
        <v>3008</v>
      </c>
      <c r="H36" s="1529" t="str">
        <f t="shared" si="9"/>
        <v>5-DaHall1-PDU-11-20-10</v>
      </c>
      <c r="I36" s="1530" t="str">
        <f t="shared" si="10"/>
        <v>5-DaHall1-PDU-12-30-8</v>
      </c>
      <c r="J36" s="1629">
        <v>220</v>
      </c>
      <c r="K36" s="1630">
        <v>20</v>
      </c>
      <c r="L36" s="2483" t="s">
        <v>6968</v>
      </c>
      <c r="M36" s="1631">
        <v>10</v>
      </c>
      <c r="N36" s="1632">
        <v>220</v>
      </c>
      <c r="O36" s="1633">
        <v>30</v>
      </c>
      <c r="P36" s="2515" t="s">
        <v>6975</v>
      </c>
      <c r="Q36" s="1634">
        <v>8</v>
      </c>
      <c r="R36" s="3363"/>
      <c r="S36" s="3365"/>
      <c r="T36" s="3241"/>
      <c r="U36" s="3242"/>
      <c r="V36" s="3241"/>
      <c r="W36" s="3242"/>
      <c r="X36" s="255" t="n">
        <f>SUM('5층_부하량(월간_AVG)'!N320:P320)</f>
        <v>0.0</v>
      </c>
      <c r="Y36" s="255" t="n">
        <f>SUM('5층_부하량(월간_AVG)'!N378:P378)</f>
        <v>0.0</v>
      </c>
      <c r="Z36" s="2557" t="n">
        <f t="shared" si="11"/>
        <v>0.0</v>
      </c>
      <c r="AA36" s="2850" t="n" cm="1">
        <f t="array" ref="AA36">INDEX('각층분기별_유효전력량(전월)'!F2:F2018,MATCH(1,("5-DaHall 1-PDU-11"='각층분기별_유효전력량(전월)'!D2:D2018)*("[branch#010] [A] kWh last month"='각층분기별_유효전력량(전월)'!E2:E2018),0))</f>
        <v>0.0</v>
      </c>
      <c r="AB36" s="2851" t="n" cm="1">
        <f t="array" ref="AB36">INDEX('각층분기별_유효전력량(전월)'!F2:F2018,MATCH(1,("5-DaHall 1-PDU-12"='각층분기별_유효전력량(전월)'!D2:D2018)*("[branch#008] [A] kWh last month"='각층분기별_유효전력량(전월)'!E2:E2018),0))</f>
        <v>0.0</v>
      </c>
      <c r="AC36" s="2586" t="n">
        <f t="shared" si="12"/>
        <v>0.0</v>
      </c>
      <c r="AD36" s="2574"/>
      <c r="AH36" s="2470"/>
    </row>
    <row r="37" spans="1:34" ht="27" x14ac:dyDescent="0.15">
      <c r="A37" s="2769" t="s">
        <v>2439</v>
      </c>
      <c r="B37" s="2765" t="s">
        <v>3009</v>
      </c>
      <c r="C37" s="2784"/>
      <c r="D37" s="2765" t="s">
        <v>3010</v>
      </c>
      <c r="E37" s="2765" t="s">
        <v>3011</v>
      </c>
      <c r="F37" s="2785" t="s">
        <v>3012</v>
      </c>
      <c r="G37" s="2786" t="s">
        <v>3013</v>
      </c>
      <c r="H37" s="1529" t="str">
        <f t="shared" si="9"/>
        <v>5-DaHall1-PDU-11-20-12</v>
      </c>
      <c r="I37" s="1530" t="str">
        <f t="shared" si="10"/>
        <v>5-DaHall1-PDU-12-20-10</v>
      </c>
      <c r="J37" s="1629">
        <v>220</v>
      </c>
      <c r="K37" s="1630">
        <v>20</v>
      </c>
      <c r="L37" s="2483" t="s">
        <v>6968</v>
      </c>
      <c r="M37" s="1631">
        <v>12</v>
      </c>
      <c r="N37" s="1632">
        <v>220</v>
      </c>
      <c r="O37" s="1633">
        <v>20</v>
      </c>
      <c r="P37" s="2515" t="s">
        <v>6975</v>
      </c>
      <c r="Q37" s="1634">
        <v>10</v>
      </c>
      <c r="R37" s="3363"/>
      <c r="S37" s="3365"/>
      <c r="T37" s="3241"/>
      <c r="U37" s="3242"/>
      <c r="V37" s="3241"/>
      <c r="W37" s="3242"/>
      <c r="X37" s="255" t="n">
        <f>SUM('5층_부하량(월간_AVG)'!N321:P321)</f>
        <v>4.74491244847629</v>
      </c>
      <c r="Y37" s="255" t="n">
        <f>SUM('5층_부하량(월간_AVG)'!N379:P379)</f>
        <v>2.8239506118030278</v>
      </c>
      <c r="Z37" s="2557" t="n">
        <f t="shared" si="11"/>
        <v>7.568863060279318</v>
      </c>
      <c r="AA37" s="2850" t="n" cm="1">
        <f t="array" ref="AA37">INDEX('각층분기별_유효전력량(전월)'!F2:F2018,MATCH(1,("5-DaHall 1-PDU-11"='각층분기별_유효전력량(전월)'!D2:D2018)*("[branch#012] [A] kWh last month"='각층분기별_유효전력량(전월)'!E2:E2018),0))</f>
        <v>771.1</v>
      </c>
      <c r="AB37" s="2851" t="n" cm="1">
        <f t="array" ref="AB37">INDEX('각층분기별_유효전력량(전월)'!F2:F2018,MATCH(1,("5-DaHall 1-PDU-12"='각층분기별_유효전력량(전월)'!D2:D2018)*("[branch#010] [A] kWh last month"='각층분기별_유효전력량(전월)'!E2:E2018),0))</f>
        <v>386.9</v>
      </c>
      <c r="AC37" s="2586" t="n">
        <f t="shared" si="12"/>
        <v>1158.0</v>
      </c>
      <c r="AD37" s="2574"/>
      <c r="AH37" s="2470"/>
    </row>
    <row r="38" spans="1:34" ht="27" x14ac:dyDescent="0.15">
      <c r="A38" s="2769" t="s">
        <v>2446</v>
      </c>
      <c r="B38" s="2765" t="s">
        <v>3014</v>
      </c>
      <c r="C38" s="2784"/>
      <c r="D38" s="2765" t="s">
        <v>3015</v>
      </c>
      <c r="E38" s="2765" t="s">
        <v>3016</v>
      </c>
      <c r="F38" s="2785" t="s">
        <v>3017</v>
      </c>
      <c r="G38" s="2786" t="s">
        <v>3018</v>
      </c>
      <c r="H38" s="1529" t="str">
        <f t="shared" si="9"/>
        <v>5-DaHall1-PDU-11-20-14</v>
      </c>
      <c r="I38" s="1530" t="str">
        <f t="shared" si="10"/>
        <v>5-DaHall1-PDU-12-20-12</v>
      </c>
      <c r="J38" s="1629">
        <v>220</v>
      </c>
      <c r="K38" s="1630">
        <v>20</v>
      </c>
      <c r="L38" s="2483" t="s">
        <v>6968</v>
      </c>
      <c r="M38" s="1631">
        <v>14</v>
      </c>
      <c r="N38" s="1632">
        <v>220</v>
      </c>
      <c r="O38" s="1633">
        <v>20</v>
      </c>
      <c r="P38" s="2515" t="s">
        <v>6975</v>
      </c>
      <c r="Q38" s="1634">
        <v>12</v>
      </c>
      <c r="R38" s="3363"/>
      <c r="S38" s="3365"/>
      <c r="T38" s="3241"/>
      <c r="U38" s="3242"/>
      <c r="V38" s="3241"/>
      <c r="W38" s="3242"/>
      <c r="X38" s="255" t="n">
        <f>SUM('5층_부하량(월간_AVG)'!N322:P322)</f>
        <v>2.4231462492961904</v>
      </c>
      <c r="Y38" s="255" t="n">
        <f>SUM('5층_부하량(월간_AVG)'!N380:P380)</f>
        <v>0.0</v>
      </c>
      <c r="Z38" s="2557" t="n">
        <f t="shared" si="11"/>
        <v>2.4231462492961904</v>
      </c>
      <c r="AA38" s="2850" t="n" cm="1">
        <f t="array" ref="AA38">INDEX('각층분기별_유효전력량(전월)'!F2:F2018,MATCH(1,("5-DaHall 1-PDU-11"='각층분기별_유효전력량(전월)'!D2:D2018)*("[branch#014] [A] kWh last month"='각층분기별_유효전력량(전월)'!E2:E2018),0))</f>
        <v>392.2</v>
      </c>
      <c r="AB38" s="2851" t="n" cm="1">
        <f t="array" ref="AB38">INDEX('각층분기별_유효전력량(전월)'!F2:F2018,MATCH(1,("5-DaHall 1-PDU-12"='각층분기별_유효전력량(전월)'!D2:D2018)*("[branch#012] [A] kWh last month"='각층분기별_유효전력량(전월)'!E2:E2018),0))</f>
        <v>0.0</v>
      </c>
      <c r="AC38" s="2586" t="n">
        <f t="shared" si="12"/>
        <v>392.2</v>
      </c>
      <c r="AD38" s="2574"/>
      <c r="AH38" s="2470"/>
    </row>
    <row r="39" spans="1:34" ht="27" x14ac:dyDescent="0.15">
      <c r="A39" s="2769" t="s">
        <v>2452</v>
      </c>
      <c r="B39" s="2765" t="s">
        <v>3019</v>
      </c>
      <c r="C39" s="2784"/>
      <c r="D39" s="2765" t="s">
        <v>3020</v>
      </c>
      <c r="E39" s="2765" t="s">
        <v>3021</v>
      </c>
      <c r="F39" s="2785" t="s">
        <v>3022</v>
      </c>
      <c r="G39" s="2786" t="s">
        <v>3023</v>
      </c>
      <c r="H39" s="1529" t="str">
        <f t="shared" si="9"/>
        <v>5-DaHall1-PDU-11-20-16</v>
      </c>
      <c r="I39" s="1530" t="str">
        <f t="shared" si="10"/>
        <v>5-DaHall1-PDU-12-20-14</v>
      </c>
      <c r="J39" s="1629">
        <v>220</v>
      </c>
      <c r="K39" s="1630">
        <v>20</v>
      </c>
      <c r="L39" s="2483" t="s">
        <v>6968</v>
      </c>
      <c r="M39" s="1631">
        <v>16</v>
      </c>
      <c r="N39" s="1632">
        <v>220</v>
      </c>
      <c r="O39" s="1633">
        <v>20</v>
      </c>
      <c r="P39" s="2515" t="s">
        <v>6975</v>
      </c>
      <c r="Q39" s="1634">
        <v>14</v>
      </c>
      <c r="R39" s="3363"/>
      <c r="S39" s="3365"/>
      <c r="T39" s="3241"/>
      <c r="U39" s="3242"/>
      <c r="V39" s="3241"/>
      <c r="W39" s="3242"/>
      <c r="X39" s="255" t="n">
        <f>SUM('5층_부하량(월간_AVG)'!N323:P323)</f>
        <v>0.0</v>
      </c>
      <c r="Y39" s="255" t="n">
        <f>SUM('5층_부하량(월간_AVG)'!N381:P381)</f>
        <v>0.0</v>
      </c>
      <c r="Z39" s="2557" t="n">
        <f t="shared" si="11"/>
        <v>0.0</v>
      </c>
      <c r="AA39" s="2850" t="n" cm="1">
        <f t="array" ref="AA39">INDEX('각층분기별_유효전력량(전월)'!F2:F2018,MATCH(1,("5-DaHall 1-PDU-11"='각층분기별_유효전력량(전월)'!D2:D2018)*("[branch#016] [A] kWh last month"='각층분기별_유효전력량(전월)'!E2:E2018),0))</f>
        <v>0.0</v>
      </c>
      <c r="AB39" s="2851" t="n" cm="1">
        <f t="array" ref="AB39">INDEX('각층분기별_유효전력량(전월)'!F2:F2018,MATCH(1,("5-DaHall 1-PDU-12"='각층분기별_유효전력량(전월)'!D2:D2018)*("[branch#014] [A] kWh last month"='각층분기별_유효전력량(전월)'!E2:E2018),0))</f>
        <v>0.0</v>
      </c>
      <c r="AC39" s="2586" t="n">
        <f t="shared" si="12"/>
        <v>0.0</v>
      </c>
      <c r="AD39" s="2574"/>
      <c r="AH39" s="2470"/>
    </row>
    <row r="40" spans="1:34" ht="27" x14ac:dyDescent="0.15">
      <c r="A40" s="2769" t="s">
        <v>2458</v>
      </c>
      <c r="B40" s="2771" t="s">
        <v>3024</v>
      </c>
      <c r="C40" s="1118" t="s">
        <v>3025</v>
      </c>
      <c r="D40" s="2765" t="s">
        <v>3026</v>
      </c>
      <c r="E40" s="2765" t="s">
        <v>3027</v>
      </c>
      <c r="F40" s="2785" t="s">
        <v>3028</v>
      </c>
      <c r="G40" s="2786" t="s">
        <v>3029</v>
      </c>
      <c r="H40" s="1529" t="str">
        <f t="shared" si="9"/>
        <v>5-DaHall1-PDU-11-20-18</v>
      </c>
      <c r="I40" s="1530" t="str">
        <f t="shared" si="10"/>
        <v>5-DaHall1-PDU-12-20-16</v>
      </c>
      <c r="J40" s="1629">
        <v>220</v>
      </c>
      <c r="K40" s="1630">
        <v>20</v>
      </c>
      <c r="L40" s="2483" t="s">
        <v>6968</v>
      </c>
      <c r="M40" s="1631">
        <v>18</v>
      </c>
      <c r="N40" s="1632">
        <v>220</v>
      </c>
      <c r="O40" s="1633">
        <v>20</v>
      </c>
      <c r="P40" s="2515" t="s">
        <v>6975</v>
      </c>
      <c r="Q40" s="1634">
        <v>16</v>
      </c>
      <c r="R40" s="3363"/>
      <c r="S40" s="3365"/>
      <c r="T40" s="3241"/>
      <c r="U40" s="3242"/>
      <c r="V40" s="3241"/>
      <c r="W40" s="3242"/>
      <c r="X40" s="255" t="n">
        <f>SUM('5층_부하량(월간_AVG)'!N324:P324)</f>
        <v>3.0066113881293215</v>
      </c>
      <c r="Y40" s="255" t="n">
        <f>SUM('5층_부하량(월간_AVG)'!N382:P382)</f>
        <v>5.940894286015254</v>
      </c>
      <c r="Z40" s="2557" t="n">
        <f t="shared" si="11"/>
        <v>8.947505674144576</v>
      </c>
      <c r="AA40" s="2850" t="n" cm="1">
        <f t="array" ref="AA40">INDEX('각층분기별_유효전력량(전월)'!F2:F2018,MATCH(1,("5-DaHall 1-PDU-11"='각층분기별_유효전력량(전월)'!D2:D2018)*("[branch#018] [A] kWh last month"='각층분기별_유효전력량(전월)'!E2:E2018),0))</f>
        <v>440.6</v>
      </c>
      <c r="AB40" s="2851" t="n" cm="1">
        <f t="array" ref="AB40">INDEX('각층분기별_유효전력량(전월)'!F2:F2018,MATCH(1,("5-DaHall 1-PDU-12"='각층분기별_유효전력량(전월)'!D2:D2018)*("[branch#016] [A] kWh last month"='각층분기별_유효전력량(전월)'!E2:E2018),0))</f>
        <v>957.0</v>
      </c>
      <c r="AC40" s="2586" t="n">
        <f t="shared" si="12"/>
        <v>1397.6</v>
      </c>
      <c r="AD40" s="2574"/>
      <c r="AH40" s="2470"/>
    </row>
    <row r="41" spans="1:34" ht="27.75" thickBot="1" x14ac:dyDescent="0.2">
      <c r="A41" s="2779" t="s">
        <v>2464</v>
      </c>
      <c r="B41" s="2792" t="s">
        <v>3030</v>
      </c>
      <c r="C41" s="1119" t="s">
        <v>3025</v>
      </c>
      <c r="D41" s="2780" t="s">
        <v>3031</v>
      </c>
      <c r="E41" s="2780" t="s">
        <v>3032</v>
      </c>
      <c r="F41" s="2796" t="s">
        <v>3033</v>
      </c>
      <c r="G41" s="2797" t="s">
        <v>3034</v>
      </c>
      <c r="H41" s="1529" t="str">
        <f t="shared" si="9"/>
        <v>5-DaHall1-PDU-11-20-20</v>
      </c>
      <c r="I41" s="1530" t="str">
        <f t="shared" si="10"/>
        <v>5-DaHall1-PDU-12-20-18</v>
      </c>
      <c r="J41" s="1639">
        <v>220</v>
      </c>
      <c r="K41" s="1640">
        <v>20</v>
      </c>
      <c r="L41" s="2484" t="s">
        <v>6968</v>
      </c>
      <c r="M41" s="1641">
        <v>20</v>
      </c>
      <c r="N41" s="1642">
        <v>220</v>
      </c>
      <c r="O41" s="1643">
        <v>20</v>
      </c>
      <c r="P41" s="2516" t="s">
        <v>6975</v>
      </c>
      <c r="Q41" s="1644">
        <v>18</v>
      </c>
      <c r="R41" s="3364"/>
      <c r="S41" s="3366"/>
      <c r="T41" s="3247"/>
      <c r="U41" s="3248"/>
      <c r="V41" s="3247"/>
      <c r="W41" s="3248"/>
      <c r="X41" s="333" t="n">
        <f>SUM('5층_부하량(월간_AVG)'!N325:P325)</f>
        <v>2.9667135678817016</v>
      </c>
      <c r="Y41" s="333" t="n">
        <f>SUM('5층_부하량(월간_AVG)'!N383:P383)</f>
        <v>3.1234368501224776</v>
      </c>
      <c r="Z41" s="2558" t="n">
        <f t="shared" si="11"/>
        <v>6.090150418004179</v>
      </c>
      <c r="AA41" s="2856" t="n" cm="1">
        <f t="array" ref="AA41">INDEX('각층분기별_유효전력량(전월)'!F2:F2018,MATCH(1,("5-DaHall 1-PDU-11"='각층분기별_유효전력량(전월)'!D2:D2018)*("[branch#020] [A] kWh last month"='각층분기별_유효전력량(전월)'!E2:E2018),0))</f>
        <v>336.5</v>
      </c>
      <c r="AB41" s="2857" t="n" cm="1">
        <f t="array" ref="AB41">INDEX('각층분기별_유효전력량(전월)'!F2:F2018,MATCH(1,("5-DaHall 1-PDU-12"='각층분기별_유효전력량(전월)'!D2:D2018)*("[branch#018] [A] kWh last month"='각층분기별_유효전력량(전월)'!E2:E2018),0))</f>
        <v>479.5</v>
      </c>
      <c r="AC41" s="2587" t="n">
        <f>SUM(AA41:AB41)</f>
        <v>816.0</v>
      </c>
      <c r="AD41" s="2575"/>
      <c r="AH41" s="2470"/>
    </row>
    <row r="42" spans="1:34" ht="27.75" customHeight="1" thickTop="1" x14ac:dyDescent="0.15">
      <c r="A42" s="1106"/>
      <c r="B42" s="834" t="s">
        <v>3035</v>
      </c>
      <c r="C42" s="992"/>
      <c r="D42" s="834" t="s">
        <v>3036</v>
      </c>
      <c r="E42" s="834" t="s">
        <v>3037</v>
      </c>
      <c r="F42" s="892" t="s">
        <v>3038</v>
      </c>
      <c r="G42" s="893" t="s">
        <v>3039</v>
      </c>
      <c r="H42" s="1529" t="str">
        <f t="shared" si="9"/>
        <v>5-DaHall1-PDU-13-20-11</v>
      </c>
      <c r="I42" s="1530" t="str">
        <f t="shared" si="10"/>
        <v>5-DaHall1-PDU-14-30-9</v>
      </c>
      <c r="J42" s="1623">
        <v>220</v>
      </c>
      <c r="K42" s="1624">
        <v>20</v>
      </c>
      <c r="L42" s="2482" t="s">
        <v>6969</v>
      </c>
      <c r="M42" s="1625">
        <v>11</v>
      </c>
      <c r="N42" s="1626">
        <v>220</v>
      </c>
      <c r="O42" s="1627">
        <v>30</v>
      </c>
      <c r="P42" s="2514" t="s">
        <v>6976</v>
      </c>
      <c r="Q42" s="1628">
        <v>9</v>
      </c>
      <c r="R42" s="3367" t="s">
        <v>2976</v>
      </c>
      <c r="S42" s="3368" t="s">
        <v>2984</v>
      </c>
      <c r="T42" s="3230" t="s">
        <v>2977</v>
      </c>
      <c r="U42" s="3232" t="s">
        <v>2985</v>
      </c>
      <c r="V42" s="3230" t="s">
        <v>2820</v>
      </c>
      <c r="W42" s="3232" t="s">
        <v>2821</v>
      </c>
      <c r="X42" s="837" t="n">
        <f>SUM('5층_부하량(월간_AVG)'!D341:F341)</f>
        <v>3.040638177383933</v>
      </c>
      <c r="Y42" s="837" t="n">
        <f>SUM('5층_부하량(월간_AVG)'!D399:F399)</f>
        <v>0.918963436807435</v>
      </c>
      <c r="Z42" s="2562" t="n">
        <f>SUM(X42:Y42)</f>
        <v>3.9596016141913677</v>
      </c>
      <c r="AA42" s="2864" t="n" cm="1">
        <f t="array" ref="AA42">INDEX('각층분기별_유효전력량(전월)'!F2:F2018,MATCH(1,("5-DaHall 1-PDU-13"='각층분기별_유효전력량(전월)'!D2:D2018)*("[branch#011] [A] kWh last month"='각층분기별_유효전력량(전월)'!E2:E2018),0))</f>
        <v>408.8</v>
      </c>
      <c r="AB42" s="2865" t="n" cm="1">
        <f t="array" ref="AB42">INDEX('각층분기별_유효전력량(전월)'!F2:F2018,MATCH(1,("5-DaHall 1-PDU-14"='각층분기별_유효전력량(전월)'!D2:D2018)*("[branch#009] [A] kWh last month"='각층분기별_유효전력량(전월)'!E2:E2018),0))</f>
        <v>121.0</v>
      </c>
      <c r="AC42" s="2591" t="n">
        <f>SUM(AA42:AB42)</f>
        <v>529.8</v>
      </c>
      <c r="AD42" s="2577" t="s">
        <v>1579</v>
      </c>
      <c r="AH42" s="2470"/>
    </row>
    <row r="43" spans="1:34" ht="27" x14ac:dyDescent="0.15">
      <c r="A43" s="2769" t="s">
        <v>3040</v>
      </c>
      <c r="B43" s="2771" t="s">
        <v>3041</v>
      </c>
      <c r="C43" s="2784" t="s">
        <v>3042</v>
      </c>
      <c r="D43" s="2765" t="s">
        <v>3043</v>
      </c>
      <c r="E43" s="2765" t="s">
        <v>3044</v>
      </c>
      <c r="F43" s="2785" t="s">
        <v>3045</v>
      </c>
      <c r="G43" s="2786" t="s">
        <v>3046</v>
      </c>
      <c r="H43" s="1529" t="str">
        <f t="shared" si="9"/>
        <v>5-DaHall1-PDU-13-20-13</v>
      </c>
      <c r="I43" s="1530" t="str">
        <f t="shared" si="10"/>
        <v>5-DaHall1-PDU-14-20-11</v>
      </c>
      <c r="J43" s="1629">
        <v>220</v>
      </c>
      <c r="K43" s="1630">
        <v>20</v>
      </c>
      <c r="L43" s="2483" t="s">
        <v>6969</v>
      </c>
      <c r="M43" s="1631">
        <v>13</v>
      </c>
      <c r="N43" s="1632">
        <v>220</v>
      </c>
      <c r="O43" s="1633">
        <v>20</v>
      </c>
      <c r="P43" s="2515" t="s">
        <v>6976</v>
      </c>
      <c r="Q43" s="1634">
        <v>11</v>
      </c>
      <c r="R43" s="3363"/>
      <c r="S43" s="3365"/>
      <c r="T43" s="3231"/>
      <c r="U43" s="3223"/>
      <c r="V43" s="3231"/>
      <c r="W43" s="3242"/>
      <c r="X43" s="255" t="n">
        <f>SUM('5층_부하량(월간_AVG)'!D342:F342)</f>
        <v>1.1149490974259733</v>
      </c>
      <c r="Y43" s="255" t="n">
        <f>SUM('5층_부하량(월간_AVG)'!D400:F400)</f>
        <v>3.229203595463764</v>
      </c>
      <c r="Z43" s="2557" t="n">
        <f t="shared" ref="Z43:Z46" si="13">SUM(X43:Y43)</f>
        <v>4.344152692889738</v>
      </c>
      <c r="AA43" s="2850" t="n" cm="1">
        <f t="array" ref="AA43">INDEX('각층분기별_유효전력량(전월)'!F2:F2018,MATCH(1,("5-DaHall 1-PDU-13"='각층분기별_유효전력량(전월)'!D2:D2018)*("[branch#013] [A] kWh last month"='각층분기별_유효전력량(전월)'!E2:E2018),0))</f>
        <v>385.3</v>
      </c>
      <c r="AB43" s="2851" t="n" cm="1">
        <f t="array" ref="AB43">INDEX('각층분기별_유효전력량(전월)'!F2:F2018,MATCH(1,("5-DaHall 1-PDU-14"='각층분기별_유효전력량(전월)'!D2:D2018)*("[branch#011] [A] kWh last month"='각층분기별_유효전력량(전월)'!E2:E2018),0))</f>
        <v>554.7</v>
      </c>
      <c r="AC43" s="2586" t="n">
        <f t="shared" ref="AC43:AC44" si="14">SUM(AA43:AB43)</f>
        <v>940.0</v>
      </c>
      <c r="AD43" s="2574"/>
      <c r="AH43" s="2470"/>
    </row>
    <row r="44" spans="1:34" ht="27" x14ac:dyDescent="0.15">
      <c r="A44" s="2769" t="s">
        <v>3047</v>
      </c>
      <c r="B44" s="2771" t="s">
        <v>3048</v>
      </c>
      <c r="C44" s="2784" t="s">
        <v>2824</v>
      </c>
      <c r="D44" s="2765" t="s">
        <v>3049</v>
      </c>
      <c r="E44" s="2765" t="s">
        <v>3050</v>
      </c>
      <c r="F44" s="2785" t="s">
        <v>3051</v>
      </c>
      <c r="G44" s="2786" t="s">
        <v>3052</v>
      </c>
      <c r="H44" s="1529" t="str">
        <f t="shared" si="9"/>
        <v>5-DaHall1-PDU-13-20-15</v>
      </c>
      <c r="I44" s="1530" t="str">
        <f t="shared" si="10"/>
        <v>5-DaHall1-PDU-14-20-13</v>
      </c>
      <c r="J44" s="1629">
        <v>220</v>
      </c>
      <c r="K44" s="1630">
        <v>20</v>
      </c>
      <c r="L44" s="2483" t="s">
        <v>6969</v>
      </c>
      <c r="M44" s="1631">
        <v>15</v>
      </c>
      <c r="N44" s="1632">
        <v>220</v>
      </c>
      <c r="O44" s="1633">
        <v>20</v>
      </c>
      <c r="P44" s="2515" t="s">
        <v>6976</v>
      </c>
      <c r="Q44" s="1634">
        <v>13</v>
      </c>
      <c r="R44" s="3363"/>
      <c r="S44" s="3365"/>
      <c r="T44" s="3231"/>
      <c r="U44" s="3223"/>
      <c r="V44" s="3231"/>
      <c r="W44" s="3242"/>
      <c r="X44" s="255" t="n">
        <f>SUM('5층_부하량(월간_AVG)'!D343:F343)</f>
        <v>0.0</v>
      </c>
      <c r="Y44" s="255" t="n">
        <f>SUM('5층_부하량(월간_AVG)'!D401:F401)</f>
        <v>1.6830662080244077</v>
      </c>
      <c r="Z44" s="2557" t="n">
        <f t="shared" si="13"/>
        <v>1.6830662080244077</v>
      </c>
      <c r="AA44" s="2850" t="n" cm="1">
        <f t="array" ref="AA44">INDEX('각층분기별_유효전력량(전월)'!F2:F2018,MATCH(1,("5-DaHall 1-PDU-13"='각층분기별_유효전력량(전월)'!D2:D2018)*("[branch#015] [A] kWh last month"='각층분기별_유효전력량(전월)'!E2:E2018),0))</f>
        <v>0.0</v>
      </c>
      <c r="AB44" s="2851" t="n" cm="1">
        <f t="array" ref="AB44">INDEX('각층분기별_유효전력량(전월)'!F2:F2018,MATCH(1,("5-DaHall 1-PDU-14"='각층분기별_유효전력량(전월)'!D2:D2018)*("[branch#013] [A] kWh last month"='각층분기별_유효전력량(전월)'!E2:E2018),0))</f>
        <v>244.0</v>
      </c>
      <c r="AC44" s="2586" t="n">
        <f t="shared" si="14"/>
        <v>244.0</v>
      </c>
      <c r="AD44" s="2574"/>
      <c r="AH44" s="2470"/>
    </row>
    <row r="45" spans="1:34" ht="27" x14ac:dyDescent="0.15">
      <c r="A45" s="3279" t="s">
        <v>2476</v>
      </c>
      <c r="B45" s="3287" t="s">
        <v>3053</v>
      </c>
      <c r="C45" s="2784"/>
      <c r="D45" s="2765" t="s">
        <v>3054</v>
      </c>
      <c r="E45" s="2765" t="s">
        <v>3055</v>
      </c>
      <c r="F45" s="2785" t="s">
        <v>3056</v>
      </c>
      <c r="G45" s="2786" t="s">
        <v>3057</v>
      </c>
      <c r="H45" s="1529" t="str">
        <f t="shared" si="9"/>
        <v>5-DaHall1-PDU-13-20-17</v>
      </c>
      <c r="I45" s="1530" t="str">
        <f t="shared" si="10"/>
        <v>5-DaHall1-PDU-14-20-15</v>
      </c>
      <c r="J45" s="1629">
        <v>220</v>
      </c>
      <c r="K45" s="1630">
        <v>20</v>
      </c>
      <c r="L45" s="2483" t="s">
        <v>6969</v>
      </c>
      <c r="M45" s="1631">
        <v>17</v>
      </c>
      <c r="N45" s="1632">
        <v>220</v>
      </c>
      <c r="O45" s="1633">
        <v>20</v>
      </c>
      <c r="P45" s="2515" t="s">
        <v>6976</v>
      </c>
      <c r="Q45" s="1634">
        <v>15</v>
      </c>
      <c r="R45" s="3363"/>
      <c r="S45" s="3365"/>
      <c r="T45" s="3231"/>
      <c r="U45" s="3223"/>
      <c r="V45" s="3231"/>
      <c r="W45" s="3242"/>
      <c r="X45" s="255" t="n">
        <f>SUM('5층_부하량(월간_AVG)'!D344:F344)</f>
        <v>0.0</v>
      </c>
      <c r="Y45" s="255" t="n">
        <f>SUM('5층_부하량(월간_AVG)'!D402:F402)</f>
        <v>0.0</v>
      </c>
      <c r="Z45" s="2557" t="n">
        <f t="shared" si="13"/>
        <v>0.0</v>
      </c>
      <c r="AA45" s="2850" t="n" cm="1">
        <f t="array" ref="AA45">INDEX('각층분기별_유효전력량(전월)'!F2:F2018,MATCH(1,("5-DaHall 1-PDU-13"='각층분기별_유효전력량(전월)'!D2:D2018)*("[branch#017] [A] kWh last month"='각층분기별_유효전력량(전월)'!E2:E2018),0))</f>
        <v>0.0</v>
      </c>
      <c r="AB45" s="2851" t="n" cm="1">
        <f t="array" ref="AB45">INDEX('각층분기별_유효전력량(전월)'!F2:F2018,MATCH(1,("5-DaHall 1-PDU-14"='각층분기별_유효전력량(전월)'!D2:D2018)*("[branch#015] [A] kWh last month"='각층분기별_유효전력량(전월)'!E2:E2018),0))</f>
        <v>0.0</v>
      </c>
      <c r="AC45" s="3409" t="n">
        <f>SUM(AA45:AB46)</f>
        <v>682.3</v>
      </c>
      <c r="AD45" s="2783" t="s">
        <v>1900</v>
      </c>
      <c r="AH45" s="2470"/>
    </row>
    <row r="46" spans="1:34" ht="54" x14ac:dyDescent="0.15">
      <c r="A46" s="3279"/>
      <c r="B46" s="3287"/>
      <c r="C46" s="2784" t="s">
        <v>3058</v>
      </c>
      <c r="D46" s="2784" t="s">
        <v>3059</v>
      </c>
      <c r="E46" s="2784" t="s">
        <v>3060</v>
      </c>
      <c r="F46" s="2785" t="s">
        <v>3061</v>
      </c>
      <c r="G46" s="2786" t="s">
        <v>3062</v>
      </c>
      <c r="H46" s="1529" t="str">
        <f t="shared" si="9"/>
        <v>5-DaHall1-PDU-15-30-12</v>
      </c>
      <c r="I46" s="1530" t="str">
        <f t="shared" si="10"/>
        <v>5-DaHall1-PDU-16-30-12</v>
      </c>
      <c r="J46" s="1635">
        <v>220</v>
      </c>
      <c r="K46" s="1636">
        <v>30</v>
      </c>
      <c r="L46" s="2483" t="s">
        <v>6970</v>
      </c>
      <c r="M46" s="1631">
        <v>12</v>
      </c>
      <c r="N46" s="1637">
        <v>220</v>
      </c>
      <c r="O46" s="1638">
        <v>30</v>
      </c>
      <c r="P46" s="2515" t="s">
        <v>6977</v>
      </c>
      <c r="Q46" s="1634">
        <v>12</v>
      </c>
      <c r="R46" s="2785" t="s">
        <v>2908</v>
      </c>
      <c r="S46" s="2786" t="s">
        <v>2909</v>
      </c>
      <c r="T46" s="2757" t="s">
        <v>2910</v>
      </c>
      <c r="U46" s="2752" t="s">
        <v>2911</v>
      </c>
      <c r="V46" s="3231"/>
      <c r="W46" s="3242"/>
      <c r="X46" s="270" t="n">
        <f>SUM('5층_부하량(월간_AVG)'!N361:P361)</f>
        <v>2.314642638868288</v>
      </c>
      <c r="Y46" s="270" t="n">
        <f>SUM('5층_부하량(월간_AVG)'!N420:P420)</f>
        <v>2.4929178899954585</v>
      </c>
      <c r="Z46" s="2566" t="n">
        <f t="shared" si="13"/>
        <v>4.807560528863746</v>
      </c>
      <c r="AA46" s="2866" t="n" cm="1">
        <f t="array" ref="AA46">INDEX('각층분기별_유효전력량(전월)'!F2:F2018,MATCH(1,("5-DaHall 1-PDU-15"='각층분기별_유효전력량(전월)'!D2:D2018)*("[branch#012] [A] kWh last month"='각층분기별_유효전력량(전월)'!E2:E2018),0))</f>
        <v>363.1</v>
      </c>
      <c r="AB46" s="2867" t="n" cm="1">
        <f t="array" ref="AB46">INDEX('각층분기별_유효전력량(전월)'!F2:F2018,MATCH(1,("5-DaHall 1-PDU-16"='각층분기별_유효전력량(전월)'!D2:D2018)*("[branch#012] [A] kWh last month"='각층분기별_유효전력량(전월)'!E2:E2018),0))</f>
        <v>319.2</v>
      </c>
      <c r="AC46" s="3410"/>
      <c r="AD46" s="2627" t="s">
        <v>3063</v>
      </c>
      <c r="AH46" s="2470"/>
    </row>
    <row r="47" spans="1:34" ht="54" x14ac:dyDescent="0.15">
      <c r="A47" s="3279" t="s">
        <v>2488</v>
      </c>
      <c r="B47" s="3287" t="s">
        <v>3064</v>
      </c>
      <c r="C47" s="2784"/>
      <c r="D47" s="2765" t="s">
        <v>3065</v>
      </c>
      <c r="E47" s="2765" t="s">
        <v>3066</v>
      </c>
      <c r="F47" s="2785" t="s">
        <v>3067</v>
      </c>
      <c r="G47" s="2786" t="s">
        <v>3068</v>
      </c>
      <c r="H47" s="1529" t="str">
        <f t="shared" si="9"/>
        <v>5-DaHall1-PDU-13-20-19</v>
      </c>
      <c r="I47" s="1530" t="str">
        <f t="shared" si="10"/>
        <v>5-DaHall1-PDU-14-20-17</v>
      </c>
      <c r="J47" s="1629">
        <v>220</v>
      </c>
      <c r="K47" s="1630">
        <v>20</v>
      </c>
      <c r="L47" s="2483" t="s">
        <v>6969</v>
      </c>
      <c r="M47" s="1631">
        <v>19</v>
      </c>
      <c r="N47" s="1632">
        <v>220</v>
      </c>
      <c r="O47" s="1633">
        <v>20</v>
      </c>
      <c r="P47" s="2515" t="s">
        <v>6976</v>
      </c>
      <c r="Q47" s="1634">
        <v>17</v>
      </c>
      <c r="R47" s="2785" t="s">
        <v>2976</v>
      </c>
      <c r="S47" s="2786" t="s">
        <v>2984</v>
      </c>
      <c r="T47" s="2757" t="s">
        <v>2977</v>
      </c>
      <c r="U47" s="2752" t="s">
        <v>2985</v>
      </c>
      <c r="V47" s="3231"/>
      <c r="W47" s="3242"/>
      <c r="X47" s="255" t="n">
        <f>SUM('5층_부하량(월간_AVG)'!D345:F345)</f>
        <v>5.57468012737289</v>
      </c>
      <c r="Y47" s="255" t="n">
        <f>SUM('5층_부하량(월간_AVG)'!D403:F403)</f>
        <v>0.936871397513888</v>
      </c>
      <c r="Z47" s="3250" t="n">
        <f>SUM(X47:Y48)</f>
        <v>6.511551524886778</v>
      </c>
      <c r="AA47" s="2854" t="n" cm="1">
        <f t="array" ref="AA47">INDEX('각층분기별_유효전력량(전월)'!F2:F2018,MATCH(1,("5-DaHall 1-PDU-13"='각층분기별_유효전력량(전월)'!D2:D2018)*("[branch#019] [A] kWh last month"='각층분기별_유효전력량(전월)'!E2:E2018),0))</f>
        <v>922.1</v>
      </c>
      <c r="AB47" s="2855" t="n" cm="1">
        <f t="array" ref="AB47">INDEX('각층분기별_유효전력량(전월)'!F2:F2018,MATCH(1,("5-DaHall 1-PDU-14"='각층분기별_유효전력량(전월)'!D2:D2018)*("[branch#017] [A] kWh last month"='각층분기별_유효전력량(전월)'!E2:E2018),0))</f>
        <v>121.0</v>
      </c>
      <c r="AC47" s="3409" t="n">
        <f>SUM(AA47:AB48)</f>
        <v>1043.1</v>
      </c>
      <c r="AD47" s="3417" t="s">
        <v>1900</v>
      </c>
      <c r="AH47" s="2470"/>
    </row>
    <row r="48" spans="1:34" ht="54" x14ac:dyDescent="0.15">
      <c r="A48" s="3279"/>
      <c r="B48" s="3287"/>
      <c r="C48" s="2784"/>
      <c r="D48" s="2765" t="s">
        <v>3069</v>
      </c>
      <c r="E48" s="2765" t="s">
        <v>3070</v>
      </c>
      <c r="F48" s="2785" t="s">
        <v>3071</v>
      </c>
      <c r="G48" s="2786" t="s">
        <v>3072</v>
      </c>
      <c r="H48" s="1529" t="str">
        <f t="shared" si="9"/>
        <v>5-DaHall1-PDU-11-20-22</v>
      </c>
      <c r="I48" s="1530" t="str">
        <f t="shared" si="10"/>
        <v>5-DaHall1-PDU-12-20-22</v>
      </c>
      <c r="J48" s="1629">
        <v>220</v>
      </c>
      <c r="K48" s="1630">
        <v>20</v>
      </c>
      <c r="L48" s="2483" t="s">
        <v>6968</v>
      </c>
      <c r="M48" s="1631">
        <v>22</v>
      </c>
      <c r="N48" s="1632">
        <v>220</v>
      </c>
      <c r="O48" s="1633">
        <v>20</v>
      </c>
      <c r="P48" s="2515" t="s">
        <v>6975</v>
      </c>
      <c r="Q48" s="1634">
        <v>22</v>
      </c>
      <c r="R48" s="2800" t="s">
        <v>2816</v>
      </c>
      <c r="S48" s="2786" t="s">
        <v>2817</v>
      </c>
      <c r="T48" s="2757" t="s">
        <v>2818</v>
      </c>
      <c r="U48" s="2752" t="s">
        <v>2819</v>
      </c>
      <c r="V48" s="3231"/>
      <c r="W48" s="3242"/>
      <c r="X48" s="255" t="n">
        <f>SUM('5층_부하량(월간_AVG)'!N326:P326)</f>
        <v>0.0</v>
      </c>
      <c r="Y48" s="255" t="n">
        <f>SUM('5층_부하량(월간_AVG)'!N385:P385)</f>
        <v>0.0</v>
      </c>
      <c r="Z48" s="3252"/>
      <c r="AA48" s="2854" t="n" cm="1">
        <f t="array" ref="AA48">INDEX('각층분기별_유효전력량(전월)'!F2:F2018,MATCH(1,("5-DaHall 1-PDU-11"='각층분기별_유효전력량(전월)'!D2:D2018)*("[branch#022] [A] kWh last month"='각층분기별_유효전력량(전월)'!E2:E2018),0))</f>
        <v>0.0</v>
      </c>
      <c r="AB48" s="2855" t="n" cm="1">
        <f t="array" ref="AB48">INDEX('각층분기별_유효전력량(전월)'!F2:F2018,MATCH(1,("5-DaHall 1-PDU-12"='각층분기별_유효전력량(전월)'!D2:D2018)*("[branch#022] [A] kWh last month"='각층분기별_유효전력량(전월)'!E2:E2018),0))</f>
        <v>0.0</v>
      </c>
      <c r="AC48" s="3410"/>
      <c r="AD48" s="3417"/>
      <c r="AH48" s="2470"/>
    </row>
    <row r="49" spans="1:34" ht="27" x14ac:dyDescent="0.15">
      <c r="A49" s="2769" t="s">
        <v>2494</v>
      </c>
      <c r="B49" s="2771" t="s">
        <v>3073</v>
      </c>
      <c r="C49" s="2784"/>
      <c r="D49" s="2765" t="s">
        <v>3074</v>
      </c>
      <c r="E49" s="2765" t="s">
        <v>3075</v>
      </c>
      <c r="F49" s="2785" t="s">
        <v>3076</v>
      </c>
      <c r="G49" s="2786" t="s">
        <v>3077</v>
      </c>
      <c r="H49" s="1529" t="str">
        <f t="shared" si="9"/>
        <v>5-DaHall1-PDU-13-20-21</v>
      </c>
      <c r="I49" s="1530" t="str">
        <f t="shared" si="10"/>
        <v>5-DaHall1-PDU-14-20-19</v>
      </c>
      <c r="J49" s="1629">
        <v>220</v>
      </c>
      <c r="K49" s="1630">
        <v>20</v>
      </c>
      <c r="L49" s="2483" t="s">
        <v>6969</v>
      </c>
      <c r="M49" s="1631">
        <v>21</v>
      </c>
      <c r="N49" s="1632">
        <v>220</v>
      </c>
      <c r="O49" s="1633">
        <v>20</v>
      </c>
      <c r="P49" s="2515" t="s">
        <v>6976</v>
      </c>
      <c r="Q49" s="1634">
        <v>19</v>
      </c>
      <c r="R49" s="3363" t="s">
        <v>2976</v>
      </c>
      <c r="S49" s="3365" t="s">
        <v>2984</v>
      </c>
      <c r="T49" s="3231" t="s">
        <v>2977</v>
      </c>
      <c r="U49" s="3223" t="s">
        <v>2985</v>
      </c>
      <c r="V49" s="3231"/>
      <c r="W49" s="3242"/>
      <c r="X49" s="255" t="n">
        <f>SUM('5층_부하량(월간_AVG)'!D346:F346)</f>
        <v>3.098823425315421</v>
      </c>
      <c r="Y49" s="255" t="n">
        <f>SUM('5층_부하량(월간_AVG)'!D404:F404)</f>
        <v>2.6305357997015895</v>
      </c>
      <c r="Z49" s="2557" t="n">
        <f t="shared" ref="Z49" si="15">SUM(X49:Y49)</f>
        <v>5.72935922501701</v>
      </c>
      <c r="AA49" s="2850" t="n" cm="1">
        <f t="array" ref="AA49">INDEX('각층분기별_유효전력량(전월)'!F2:F2018,MATCH(1,("5-DaHall 1-PDU-13"='각층분기별_유효전력량(전월)'!D2:D2018)*("[branch#021] [A] kWh last month"='각층분기별_유효전력량(전월)'!E2:E2018),0))</f>
        <v>408.8</v>
      </c>
      <c r="AB49" s="2851" t="n" cm="1">
        <f t="array" ref="AB49">INDEX('각층분기별_유효전력량(전월)'!F2:F2018,MATCH(1,("5-DaHall 1-PDU-14"='각층분기별_유효전력량(전월)'!D2:D2018)*("[branch#019] [A] kWh last month"='각층분기별_유효전력량(전월)'!E2:E2018),0))</f>
        <v>425.8</v>
      </c>
      <c r="AC49" s="2586" t="n">
        <f t="shared" ref="AC49" si="16">SUM(AA49:AB49)</f>
        <v>834.6</v>
      </c>
      <c r="AD49" s="2574"/>
      <c r="AH49" s="2470"/>
    </row>
    <row r="50" spans="1:34" ht="27" x14ac:dyDescent="0.15">
      <c r="A50" s="3279" t="s">
        <v>2501</v>
      </c>
      <c r="B50" s="3287" t="s">
        <v>3078</v>
      </c>
      <c r="C50" s="2784"/>
      <c r="D50" s="2765" t="s">
        <v>3079</v>
      </c>
      <c r="E50" s="2765" t="s">
        <v>3080</v>
      </c>
      <c r="F50" s="2785" t="s">
        <v>3081</v>
      </c>
      <c r="G50" s="2786" t="s">
        <v>3082</v>
      </c>
      <c r="H50" s="1529" t="str">
        <f t="shared" si="9"/>
        <v>5-DaHall1-PDU-13-20-23</v>
      </c>
      <c r="I50" s="1530" t="str">
        <f t="shared" si="10"/>
        <v>5-DaHall1-PDU-14-20-21</v>
      </c>
      <c r="J50" s="1629">
        <v>220</v>
      </c>
      <c r="K50" s="1630">
        <v>20</v>
      </c>
      <c r="L50" s="2483" t="s">
        <v>6969</v>
      </c>
      <c r="M50" s="1631">
        <v>23</v>
      </c>
      <c r="N50" s="1632">
        <v>220</v>
      </c>
      <c r="O50" s="1633">
        <v>20</v>
      </c>
      <c r="P50" s="2515" t="s">
        <v>6976</v>
      </c>
      <c r="Q50" s="1634">
        <v>21</v>
      </c>
      <c r="R50" s="3459"/>
      <c r="S50" s="3458"/>
      <c r="T50" s="3231"/>
      <c r="U50" s="3242"/>
      <c r="V50" s="3231"/>
      <c r="W50" s="3242"/>
      <c r="X50" s="255" t="n">
        <f>SUM('5층_부하량(월간_AVG)'!D347:F347)</f>
        <v>8.94995989805581</v>
      </c>
      <c r="Y50" s="255" t="n">
        <f>SUM('5층_부하량(월간_AVG)'!D405:F405)</f>
        <v>3.2902154579425247</v>
      </c>
      <c r="Z50" s="3250" t="n">
        <f>SUM(X50:Y51)</f>
        <v>17.479536926070892</v>
      </c>
      <c r="AA50" s="2854" t="n" cm="1">
        <f t="array" ref="AA50">INDEX('각층분기별_유효전력량(전월)'!F2:F2018,MATCH(1,("5-DaHall 1-PDU-13"='각층분기별_유효전력량(전월)'!D2:D2018)*("[branch#023] [A] kWh last month"='각층분기별_유효전력량(전월)'!E2:E2018),0))</f>
        <v>1493.0</v>
      </c>
      <c r="AB50" s="2855" t="n" cm="1">
        <f t="array" ref="AB50">INDEX('각층분기별_유효전력량(전월)'!F2:F2018,MATCH(1,("5-DaHall 1-PDU-14"='각층분기별_유효전력량(전월)'!D2:D2018)*("[branch#021] [A] kWh last month"='각층분기별_유효전력량(전월)'!E2:E2018),0))</f>
        <v>554.7</v>
      </c>
      <c r="AC50" s="3409" t="n">
        <f>SUM(AA50:AB51)</f>
        <v>2915.4</v>
      </c>
      <c r="AD50" s="2574"/>
      <c r="AH50" s="2470"/>
    </row>
    <row r="51" spans="1:34" ht="54" x14ac:dyDescent="0.15">
      <c r="A51" s="3279"/>
      <c r="B51" s="3287"/>
      <c r="C51" s="2784"/>
      <c r="D51" s="2765" t="s">
        <v>3083</v>
      </c>
      <c r="E51" s="2834"/>
      <c r="F51" s="2785" t="s">
        <v>3084</v>
      </c>
      <c r="G51" s="2827"/>
      <c r="H51" s="1529" t="str">
        <f t="shared" si="9"/>
        <v>5-DaHall1-PDU-11-20-30</v>
      </c>
      <c r="I51" s="1653"/>
      <c r="J51" s="1629">
        <v>220</v>
      </c>
      <c r="K51" s="1630">
        <v>20</v>
      </c>
      <c r="L51" s="2483" t="s">
        <v>6968</v>
      </c>
      <c r="M51" s="1631">
        <v>30</v>
      </c>
      <c r="N51" s="1654"/>
      <c r="O51" s="1655"/>
      <c r="P51" s="2827"/>
      <c r="Q51" s="1656"/>
      <c r="R51" s="2800" t="s">
        <v>2816</v>
      </c>
      <c r="S51" s="885"/>
      <c r="T51" s="2757" t="s">
        <v>2818</v>
      </c>
      <c r="U51" s="885"/>
      <c r="V51" s="3231"/>
      <c r="W51" s="885"/>
      <c r="X51" s="255" t="n">
        <f>SUM('5층_부하량(월간_AVG)'!N330:P330)</f>
        <v>5.239361570072559</v>
      </c>
      <c r="Y51" s="885"/>
      <c r="Z51" s="3252"/>
      <c r="AA51" s="2854" t="n" cm="1">
        <f t="array" ref="AA51">INDEX('각층분기별_유효전력량(전월)'!F2:F2018,MATCH(1,("5-DaHall 1-PDU-11"='각층분기별_유효전력량(전월)'!D2:D2018)*("[branch#030] [A] kWh last month"='각층분기별_유효전력량(전월)'!E2:E2018),0))</f>
        <v>867.7</v>
      </c>
      <c r="AB51" s="2855"/>
      <c r="AC51" s="3410"/>
      <c r="AD51" s="2574" t="s">
        <v>3085</v>
      </c>
      <c r="AH51" s="2470"/>
    </row>
    <row r="52" spans="1:34" ht="54.75" thickBot="1" x14ac:dyDescent="0.2">
      <c r="A52" s="2779" t="s">
        <v>2508</v>
      </c>
      <c r="B52" s="2792" t="s">
        <v>3086</v>
      </c>
      <c r="C52" s="2809"/>
      <c r="D52" s="2780" t="s">
        <v>3087</v>
      </c>
      <c r="E52" s="2780" t="s">
        <v>3088</v>
      </c>
      <c r="F52" s="2796" t="s">
        <v>3089</v>
      </c>
      <c r="G52" s="2797" t="s">
        <v>3090</v>
      </c>
      <c r="H52" s="1529" t="str">
        <f t="shared" si="9"/>
        <v>5-DaHall1-PDU-13-20-25</v>
      </c>
      <c r="I52" s="1530" t="str">
        <f t="shared" ref="I52:I101" si="17">"5-DaHall1-PDU-"&amp;P52&amp;"-"&amp;O52&amp;"-"&amp;Q52</f>
        <v>5-DaHall1-PDU-14-20-23</v>
      </c>
      <c r="J52" s="1639">
        <v>220</v>
      </c>
      <c r="K52" s="1640">
        <v>20</v>
      </c>
      <c r="L52" s="2484" t="s">
        <v>6969</v>
      </c>
      <c r="M52" s="1641">
        <v>25</v>
      </c>
      <c r="N52" s="1642">
        <v>220</v>
      </c>
      <c r="O52" s="1643">
        <v>20</v>
      </c>
      <c r="P52" s="2516" t="s">
        <v>6976</v>
      </c>
      <c r="Q52" s="1644">
        <v>23</v>
      </c>
      <c r="R52" s="2796" t="s">
        <v>2976</v>
      </c>
      <c r="S52" s="2797" t="s">
        <v>2984</v>
      </c>
      <c r="T52" s="2759" t="s">
        <v>2977</v>
      </c>
      <c r="U52" s="2753" t="s">
        <v>2985</v>
      </c>
      <c r="V52" s="3235"/>
      <c r="W52" s="2753" t="s">
        <v>2821</v>
      </c>
      <c r="X52" s="333" t="n">
        <f>SUM('5층_부하량(월간_AVG)'!D348:F348)</f>
        <v>2.4386809822603417</v>
      </c>
      <c r="Y52" s="333" t="n">
        <f>SUM('5층_부하량(월간_AVG)'!D406:F406)</f>
        <v>2.7027708662877274</v>
      </c>
      <c r="Z52" s="2558" t="n">
        <f t="shared" ref="Z52:Z59" si="18">SUM(X52:Y52)</f>
        <v>5.141451848548069</v>
      </c>
      <c r="AA52" s="2856" t="n" cm="1">
        <f t="array" ref="AA52">INDEX('각층분기별_유효전력량(전월)'!F2:F2018,MATCH(1,("5-DaHall 1-PDU-13"='각층분기별_유효전력량(전월)'!D2:D2018)*("[branch#025] [A] kWh last month"='각층분기별_유효전력량(전월)'!E2:E2018),0))</f>
        <v>385.3</v>
      </c>
      <c r="AB52" s="2857" t="n" cm="1">
        <f t="array" ref="AB52">INDEX('각층분기별_유효전력량(전월)'!F2:F2018,MATCH(1,("5-DaHall 1-PDU-14"='각층분기별_유효전력량(전월)'!D2:D2018)*("[branch#023] [A] kWh last month"='각층분기별_유효전력량(전월)'!E2:E2018),0))</f>
        <v>518.7</v>
      </c>
      <c r="AC52" s="2587" t="n">
        <f>SUM(AA52:AB52)</f>
        <v>904.0</v>
      </c>
      <c r="AD52" s="2575"/>
      <c r="AH52" s="2470"/>
    </row>
    <row r="53" spans="1:34" ht="27.75" thickTop="1" x14ac:dyDescent="0.15">
      <c r="A53" s="1106"/>
      <c r="B53" s="834" t="s">
        <v>3091</v>
      </c>
      <c r="C53" s="992"/>
      <c r="D53" s="834" t="s">
        <v>3092</v>
      </c>
      <c r="E53" s="834" t="s">
        <v>3093</v>
      </c>
      <c r="F53" s="892" t="s">
        <v>3094</v>
      </c>
      <c r="G53" s="893" t="s">
        <v>3095</v>
      </c>
      <c r="H53" s="1645" t="str">
        <f t="shared" si="9"/>
        <v>5-DaHall1-PDU-13-20-31</v>
      </c>
      <c r="I53" s="1646" t="str">
        <f t="shared" si="17"/>
        <v>5-DaHall1-PDU-14-20-29</v>
      </c>
      <c r="J53" s="1657">
        <v>220</v>
      </c>
      <c r="K53" s="1658">
        <v>20</v>
      </c>
      <c r="L53" s="2503" t="s">
        <v>6969</v>
      </c>
      <c r="M53" s="1649">
        <v>31</v>
      </c>
      <c r="N53" s="1659">
        <v>220</v>
      </c>
      <c r="O53" s="1660">
        <v>20</v>
      </c>
      <c r="P53" s="2529" t="s">
        <v>6976</v>
      </c>
      <c r="Q53" s="1652">
        <v>29</v>
      </c>
      <c r="R53" s="3367" t="s">
        <v>2976</v>
      </c>
      <c r="S53" s="3368" t="s">
        <v>2984</v>
      </c>
      <c r="T53" s="3230" t="s">
        <v>2977</v>
      </c>
      <c r="U53" s="3232" t="s">
        <v>2985</v>
      </c>
      <c r="V53" s="3230" t="s">
        <v>2820</v>
      </c>
      <c r="W53" s="3232" t="s">
        <v>2821</v>
      </c>
      <c r="X53" s="837" t="n">
        <f>SUM('5층_부하량(월간_AVG)'!D351:F351)</f>
        <v>0.0</v>
      </c>
      <c r="Y53" s="837" t="n">
        <f>SUM('5층_부하량(월간_AVG)'!D409:F409)</f>
        <v>0.0</v>
      </c>
      <c r="Z53" s="2562" t="n">
        <f t="shared" si="18"/>
        <v>0.0</v>
      </c>
      <c r="AA53" s="2864" t="n" cm="1">
        <f t="array" ref="AA53">INDEX('각층분기별_유효전력량(전월)'!F2:F2018,MATCH(1,("5-DaHall 1-PDU-13"='각층분기별_유효전력량(전월)'!D2:D2018)*("[branch#031] [A] kWh last month"='각층분기별_유효전력량(전월)'!E2:E2018),0))</f>
        <v>0.0</v>
      </c>
      <c r="AB53" s="2865" t="n" cm="1">
        <f t="array" ref="AB53">INDEX('각층분기별_유효전력량(전월)'!F2:F2018,MATCH(1,("5-DaHall 1-PDU-14"='각층분기별_유효전력량(전월)'!D2:D2018)*("[branch#029] [A] kWh last month"='각층분기별_유효전력량(전월)'!E2:E2018),0))</f>
        <v>0.0</v>
      </c>
      <c r="AC53" s="2591" t="n">
        <f>SUM(AA53:AB53)</f>
        <v>0.0</v>
      </c>
      <c r="AD53" s="2577" t="s">
        <v>1579</v>
      </c>
      <c r="AH53" s="2470"/>
    </row>
    <row r="54" spans="1:34" ht="27" x14ac:dyDescent="0.15">
      <c r="A54" s="1107"/>
      <c r="B54" s="2834" t="s">
        <v>3096</v>
      </c>
      <c r="C54" s="904"/>
      <c r="D54" s="2834" t="s">
        <v>3097</v>
      </c>
      <c r="E54" s="2834" t="s">
        <v>3098</v>
      </c>
      <c r="F54" s="2831" t="s">
        <v>3099</v>
      </c>
      <c r="G54" s="2827" t="s">
        <v>3100</v>
      </c>
      <c r="H54" s="1661" t="str">
        <f t="shared" si="9"/>
        <v>5-DaHall1-PDU-13-30-4</v>
      </c>
      <c r="I54" s="1653" t="str">
        <f t="shared" si="17"/>
        <v>5-DaHall1-PDU-14-20-31</v>
      </c>
      <c r="J54" s="1662">
        <v>220</v>
      </c>
      <c r="K54" s="1663">
        <v>30</v>
      </c>
      <c r="L54" s="2504" t="s">
        <v>6969</v>
      </c>
      <c r="M54" s="1664">
        <v>4</v>
      </c>
      <c r="N54" s="1665">
        <v>220</v>
      </c>
      <c r="O54" s="1655">
        <v>20</v>
      </c>
      <c r="P54" s="2530" t="s">
        <v>6976</v>
      </c>
      <c r="Q54" s="1656">
        <v>31</v>
      </c>
      <c r="R54" s="3363"/>
      <c r="S54" s="3365"/>
      <c r="T54" s="3231"/>
      <c r="U54" s="3242"/>
      <c r="V54" s="3231"/>
      <c r="W54" s="3242"/>
      <c r="X54" s="840" t="n">
        <f>SUM('5층_부하량(월간_AVG)'!N337:P337)</f>
        <v>0.0</v>
      </c>
      <c r="Y54" s="840" t="n">
        <f>SUM('5층_부하량(월간_AVG)'!D410:F410)</f>
        <v>0.0</v>
      </c>
      <c r="Z54" s="2564" t="n">
        <f t="shared" si="18"/>
        <v>0.0</v>
      </c>
      <c r="AA54" s="2868" t="n" cm="1">
        <f t="array" ref="AA54">INDEX('각층분기별_유효전력량(전월)'!F2:F2018,MATCH(1,("5-DaHall 1-PDU-13"='각층분기별_유효전력량(전월)'!D2:D2018)*("[branch#004] [A] kWh last month"='각층분기별_유효전력량(전월)'!E2:E2018),0))</f>
        <v>0.0</v>
      </c>
      <c r="AB54" s="2869" t="n" cm="1">
        <f t="array" ref="AB54">INDEX('각층분기별_유효전력량(전월)'!F2:F2018,MATCH(1,("5-DaHall 1-PDU-14"='각층분기별_유효전력량(전월)'!D2:D2018)*("[branch#031] [A] kWh last month"='각층분기별_유효전력량(전월)'!E2:E2018),0))</f>
        <v>0.0</v>
      </c>
      <c r="AC54" s="2594" t="n">
        <f>SUM(AA54:AB54)</f>
        <v>0.0</v>
      </c>
      <c r="AD54" s="2579" t="s">
        <v>1579</v>
      </c>
      <c r="AH54" s="2470"/>
    </row>
    <row r="55" spans="1:34" ht="27" x14ac:dyDescent="0.15">
      <c r="A55" s="2769" t="s">
        <v>3101</v>
      </c>
      <c r="B55" s="2771" t="s">
        <v>3102</v>
      </c>
      <c r="C55" s="2784" t="s">
        <v>3103</v>
      </c>
      <c r="D55" s="2765" t="s">
        <v>3104</v>
      </c>
      <c r="E55" s="2765" t="s">
        <v>3105</v>
      </c>
      <c r="F55" s="2785" t="s">
        <v>3106</v>
      </c>
      <c r="G55" s="2786" t="s">
        <v>3107</v>
      </c>
      <c r="H55" s="1666" t="str">
        <f t="shared" si="9"/>
        <v>5-DaHall1-PDU-13-30-6</v>
      </c>
      <c r="I55" s="1667" t="str">
        <f t="shared" si="17"/>
        <v>5-DaHall1-PDU-14-30-4</v>
      </c>
      <c r="J55" s="1629">
        <v>220</v>
      </c>
      <c r="K55" s="1630">
        <v>30</v>
      </c>
      <c r="L55" s="2483" t="s">
        <v>6969</v>
      </c>
      <c r="M55" s="1631">
        <v>6</v>
      </c>
      <c r="N55" s="1632">
        <v>220</v>
      </c>
      <c r="O55" s="1633">
        <v>30</v>
      </c>
      <c r="P55" s="2515" t="s">
        <v>6976</v>
      </c>
      <c r="Q55" s="1634">
        <v>4</v>
      </c>
      <c r="R55" s="3363"/>
      <c r="S55" s="3365"/>
      <c r="T55" s="3231"/>
      <c r="U55" s="3242"/>
      <c r="V55" s="3231"/>
      <c r="W55" s="3242"/>
      <c r="X55" s="255" t="n">
        <f>SUM('5층_부하량(월간_AVG)'!N338:P338)</f>
        <v>5.7185788115502865</v>
      </c>
      <c r="Y55" s="255" t="n">
        <f>SUM('5층_부하량(월간_AVG)'!N396:P396)</f>
        <v>6.784016385319609</v>
      </c>
      <c r="Z55" s="2557" t="n">
        <f t="shared" si="18"/>
        <v>12.502595196869896</v>
      </c>
      <c r="AA55" s="2850" t="n" cm="1">
        <f t="array" ref="AA55">INDEX('각층분기별_유효전력량(전월)'!F2:F2018,MATCH(1,("5-DaHall 1-PDU-13"='각층분기별_유효전력량(전월)'!D2:D2018)*("[branch#006] [A] kWh last month"='각층분기별_유효전력량(전월)'!E2:E2018),0))</f>
        <v>920.8</v>
      </c>
      <c r="AB55" s="2851" t="n" cm="1">
        <f t="array" ref="AB55">INDEX('각층분기별_유효전력량(전월)'!F2:F2018,MATCH(1,("5-DaHall 1-PDU-14"='각층분기별_유효전력량(전월)'!D2:D2018)*("[branch#004] [A] kWh last month"='각층분기별_유효전력량(전월)'!E2:E2018),0))</f>
        <v>1078.9</v>
      </c>
      <c r="AC55" s="2586" t="n">
        <f>SUM(AA55:AB55)</f>
        <v>1999.7</v>
      </c>
      <c r="AD55" s="2574"/>
      <c r="AH55" s="2470"/>
    </row>
    <row r="56" spans="1:34" ht="27" x14ac:dyDescent="0.15">
      <c r="A56" s="2769" t="s">
        <v>3108</v>
      </c>
      <c r="B56" s="2771" t="s">
        <v>3109</v>
      </c>
      <c r="C56" s="2784" t="s">
        <v>3103</v>
      </c>
      <c r="D56" s="2765" t="s">
        <v>3110</v>
      </c>
      <c r="E56" s="2765" t="s">
        <v>3111</v>
      </c>
      <c r="F56" s="2785" t="s">
        <v>3112</v>
      </c>
      <c r="G56" s="2786" t="s">
        <v>3113</v>
      </c>
      <c r="H56" s="1666" t="str">
        <f t="shared" si="9"/>
        <v>5-DaHall1-PDU-13-30-8</v>
      </c>
      <c r="I56" s="1667" t="str">
        <f t="shared" si="17"/>
        <v>5-DaHall1-PDU-14-30-6</v>
      </c>
      <c r="J56" s="1629">
        <v>220</v>
      </c>
      <c r="K56" s="1630">
        <v>30</v>
      </c>
      <c r="L56" s="2483" t="s">
        <v>6969</v>
      </c>
      <c r="M56" s="1631">
        <v>8</v>
      </c>
      <c r="N56" s="1632">
        <v>220</v>
      </c>
      <c r="O56" s="1633">
        <v>30</v>
      </c>
      <c r="P56" s="2515" t="s">
        <v>6976</v>
      </c>
      <c r="Q56" s="1634">
        <v>6</v>
      </c>
      <c r="R56" s="3363"/>
      <c r="S56" s="3365"/>
      <c r="T56" s="3231"/>
      <c r="U56" s="3242"/>
      <c r="V56" s="3231"/>
      <c r="W56" s="3242"/>
      <c r="X56" s="255" t="n">
        <f>SUM('5층_부하량(월간_AVG)'!N339:P339)</f>
        <v>4.114321436456489</v>
      </c>
      <c r="Y56" s="255" t="n">
        <f>SUM('5층_부하량(월간_AVG)'!N397:P397)</f>
        <v>2.7566654891002638</v>
      </c>
      <c r="Z56" s="2557" t="n">
        <f t="shared" si="18"/>
        <v>6.870986925556753</v>
      </c>
      <c r="AA56" s="2850" t="n" cm="1">
        <f t="array" ref="AA56">INDEX('각층분기별_유효전력량(전월)'!F2:F2018,MATCH(1,("5-DaHall 1-PDU-13"='각층분기별_유효전력량(전월)'!D2:D2018)*("[branch#008] [A] kWh last month"='각층분기별_유효전력량(전월)'!E2:E2018),0))</f>
        <v>614.9</v>
      </c>
      <c r="AB56" s="2851" t="n" cm="1">
        <f t="array" ref="AB56">INDEX('각층분기별_유효전력량(전월)'!F2:F2018,MATCH(1,("5-DaHall 1-PDU-14"='각층분기별_유효전력량(전월)'!D2:D2018)*("[branch#006] [A] kWh last month"='각층분기별_유효전력량(전월)'!E2:E2018),0))</f>
        <v>425.8</v>
      </c>
      <c r="AC56" s="2586" t="n">
        <f t="shared" ref="AC56:AC59" si="19">SUM(AA56:AB56)</f>
        <v>1040.7</v>
      </c>
      <c r="AD56" s="2574"/>
      <c r="AH56" s="2470"/>
    </row>
    <row r="57" spans="1:34" ht="27" x14ac:dyDescent="0.15">
      <c r="A57" s="2769" t="s">
        <v>3114</v>
      </c>
      <c r="B57" s="2771" t="s">
        <v>3115</v>
      </c>
      <c r="C57" s="2784" t="s">
        <v>3116</v>
      </c>
      <c r="D57" s="2765" t="s">
        <v>3117</v>
      </c>
      <c r="E57" s="2765" t="s">
        <v>3118</v>
      </c>
      <c r="F57" s="2785" t="s">
        <v>3119</v>
      </c>
      <c r="G57" s="2786" t="s">
        <v>3120</v>
      </c>
      <c r="H57" s="1666" t="str">
        <f t="shared" si="9"/>
        <v>5-DaHall1-PDU-13-30-10</v>
      </c>
      <c r="I57" s="1667" t="str">
        <f t="shared" si="17"/>
        <v>5-DaHall1-PDU-14-30-8</v>
      </c>
      <c r="J57" s="1629">
        <v>220</v>
      </c>
      <c r="K57" s="1630">
        <v>30</v>
      </c>
      <c r="L57" s="2483" t="s">
        <v>6969</v>
      </c>
      <c r="M57" s="1631">
        <v>10</v>
      </c>
      <c r="N57" s="1632">
        <v>220</v>
      </c>
      <c r="O57" s="1633">
        <v>30</v>
      </c>
      <c r="P57" s="2515" t="s">
        <v>6976</v>
      </c>
      <c r="Q57" s="1634">
        <v>8</v>
      </c>
      <c r="R57" s="3363"/>
      <c r="S57" s="3365"/>
      <c r="T57" s="3231"/>
      <c r="U57" s="3242"/>
      <c r="V57" s="3231"/>
      <c r="W57" s="3242"/>
      <c r="X57" s="255" t="n">
        <f>SUM('5층_부하량(월간_AVG)'!N340:P340)</f>
        <v>5.435065521716995</v>
      </c>
      <c r="Y57" s="255" t="n">
        <f>SUM('5층_부하량(월간_AVG)'!N398:P398)</f>
        <v>0.0</v>
      </c>
      <c r="Z57" s="2557" t="n">
        <f t="shared" si="18"/>
        <v>5.435065521716995</v>
      </c>
      <c r="AA57" s="2850" t="n" cm="1">
        <f t="array" ref="AA57">INDEX('각층분기별_유효전력량(전월)'!F2:F2018,MATCH(1,("5-DaHall 1-PDU-13"='각층분기별_유효전력량(전월)'!D2:D2018)*("[branch#010] [A] kWh last month"='각층분기별_유효전력량(전월)'!E2:E2018),0))</f>
        <v>922.1</v>
      </c>
      <c r="AB57" s="2851" t="n" cm="1">
        <f t="array" ref="AB57">INDEX('각층분기별_유효전력량(전월)'!F2:F2018,MATCH(1,("5-DaHall 1-PDU-14"='각층분기별_유효전력량(전월)'!D2:D2018)*("[branch#008] [A] kWh last month"='각층분기별_유효전력량(전월)'!E2:E2018),0))</f>
        <v>0.0</v>
      </c>
      <c r="AC57" s="2586" t="n">
        <f t="shared" si="19"/>
        <v>922.1</v>
      </c>
      <c r="AD57" s="2574"/>
      <c r="AH57" s="2470"/>
    </row>
    <row r="58" spans="1:34" ht="27" x14ac:dyDescent="0.15">
      <c r="A58" s="2769" t="s">
        <v>3121</v>
      </c>
      <c r="B58" s="2771" t="s">
        <v>3122</v>
      </c>
      <c r="C58" s="2784" t="s">
        <v>3116</v>
      </c>
      <c r="D58" s="2765" t="s">
        <v>2542</v>
      </c>
      <c r="E58" s="2765" t="s">
        <v>2543</v>
      </c>
      <c r="F58" s="2785" t="s">
        <v>3123</v>
      </c>
      <c r="G58" s="2786" t="s">
        <v>3124</v>
      </c>
      <c r="H58" s="1666" t="str">
        <f t="shared" si="9"/>
        <v>5-DaHall1-PDU-13-20-12</v>
      </c>
      <c r="I58" s="1667" t="str">
        <f t="shared" si="17"/>
        <v>5-DaHall1-PDU-14-30-10</v>
      </c>
      <c r="J58" s="1629">
        <v>220</v>
      </c>
      <c r="K58" s="1630">
        <v>20</v>
      </c>
      <c r="L58" s="2483" t="s">
        <v>6969</v>
      </c>
      <c r="M58" s="1631">
        <v>12</v>
      </c>
      <c r="N58" s="1632">
        <v>220</v>
      </c>
      <c r="O58" s="1633">
        <v>30</v>
      </c>
      <c r="P58" s="2515" t="s">
        <v>6976</v>
      </c>
      <c r="Q58" s="1634">
        <v>10</v>
      </c>
      <c r="R58" s="3363"/>
      <c r="S58" s="3365"/>
      <c r="T58" s="3231"/>
      <c r="U58" s="3242"/>
      <c r="V58" s="3231"/>
      <c r="W58" s="3242"/>
      <c r="X58" s="255" t="n">
        <f>SUM('5층_부하량(월간_AVG)'!N341:P341)</f>
        <v>8.8343880048585</v>
      </c>
      <c r="Y58" s="255" t="n">
        <f>SUM('5층_부하량(월간_AVG)'!N399:P399)</f>
        <v>2.4611611892786516</v>
      </c>
      <c r="Z58" s="2557" t="n">
        <f t="shared" si="18"/>
        <v>11.295549194137152</v>
      </c>
      <c r="AA58" s="2850" t="n" cm="1">
        <f t="array" ref="AA58">INDEX('각층분기별_유효전력량(전월)'!F2:F2018,MATCH(1,("5-DaHall 1-PDU-13"='각층분기별_유효전력량(전월)'!D2:D2018)*("[branch#012] [A] kWh last month"='각층분기별_유효전력량(전월)'!E2:E2018),0))</f>
        <v>1493.0</v>
      </c>
      <c r="AB58" s="2851" t="n" cm="1">
        <f t="array" ref="AB58">INDEX('각층분기별_유효전력량(전월)'!F2:F2018,MATCH(1,("5-DaHall 1-PDU-14"='각층분기별_유효전력량(전월)'!D2:D2018)*("[branch#010] [A] kWh last month"='각층분기별_유효전력량(전월)'!E2:E2018),0))</f>
        <v>390.3</v>
      </c>
      <c r="AC58" s="2586" t="n">
        <f t="shared" si="19"/>
        <v>1883.3</v>
      </c>
      <c r="AD58" s="2574"/>
      <c r="AH58" s="2470"/>
    </row>
    <row r="59" spans="1:34" ht="27" x14ac:dyDescent="0.15">
      <c r="A59" s="2769" t="s">
        <v>3125</v>
      </c>
      <c r="B59" s="2771" t="s">
        <v>3126</v>
      </c>
      <c r="C59" s="2784" t="s">
        <v>3116</v>
      </c>
      <c r="D59" s="2765" t="s">
        <v>2548</v>
      </c>
      <c r="E59" s="2765" t="s">
        <v>2549</v>
      </c>
      <c r="F59" s="2785" t="s">
        <v>3127</v>
      </c>
      <c r="G59" s="2786" t="s">
        <v>3128</v>
      </c>
      <c r="H59" s="1666" t="str">
        <f t="shared" si="9"/>
        <v>5-DaHall1-PDU-13-20-14</v>
      </c>
      <c r="I59" s="1667" t="str">
        <f t="shared" si="17"/>
        <v>5-DaHall1-PDU-14-20-12</v>
      </c>
      <c r="J59" s="1629">
        <v>220</v>
      </c>
      <c r="K59" s="1630">
        <v>20</v>
      </c>
      <c r="L59" s="2483" t="s">
        <v>6969</v>
      </c>
      <c r="M59" s="1631">
        <v>14</v>
      </c>
      <c r="N59" s="1632">
        <v>220</v>
      </c>
      <c r="O59" s="1633">
        <v>20</v>
      </c>
      <c r="P59" s="2515" t="s">
        <v>6976</v>
      </c>
      <c r="Q59" s="1634">
        <v>12</v>
      </c>
      <c r="R59" s="3363"/>
      <c r="S59" s="3365"/>
      <c r="T59" s="3231"/>
      <c r="U59" s="3242"/>
      <c r="V59" s="3231"/>
      <c r="W59" s="3242"/>
      <c r="X59" s="255" t="n">
        <f>SUM('5층_부하량(월간_AVG)'!N342:P342)</f>
        <v>0.0</v>
      </c>
      <c r="Y59" s="255" t="n">
        <f>SUM('5층_부하량(월간_AVG)'!N400:P400)</f>
        <v>2.445521436242747</v>
      </c>
      <c r="Z59" s="2557" t="n">
        <f t="shared" si="18"/>
        <v>2.445521436242747</v>
      </c>
      <c r="AA59" s="2850" t="n" cm="1">
        <f t="array" ref="AA59">INDEX('각층분기별_유효전력량(전월)'!F2:F2018,MATCH(1,("5-DaHall 1-PDU-13"='각층분기별_유효전력량(전월)'!D2:D2018)*("[branch#014] [A] kWh last month"='각층분기별_유효전력량(전월)'!E2:E2018),0))</f>
        <v>0.0</v>
      </c>
      <c r="AB59" s="2851" t="n" cm="1">
        <f t="array" ref="AB59">INDEX('각층분기별_유효전력량(전월)'!F2:F2018,MATCH(1,("5-DaHall 1-PDU-14"='각층분기별_유효전력량(전월)'!D2:D2018)*("[branch#012] [A] kWh last month"='각층분기별_유효전력량(전월)'!E2:E2018),0))</f>
        <v>404.9</v>
      </c>
      <c r="AC59" s="2586" t="n">
        <f t="shared" si="19"/>
        <v>404.9</v>
      </c>
      <c r="AD59" s="2574"/>
      <c r="AH59" s="2470"/>
    </row>
    <row r="60" spans="1:34" ht="27" x14ac:dyDescent="0.15">
      <c r="A60" s="3280" t="s">
        <v>3129</v>
      </c>
      <c r="B60" s="3287" t="s">
        <v>3130</v>
      </c>
      <c r="C60" s="3430" t="s">
        <v>2824</v>
      </c>
      <c r="D60" s="2765" t="s">
        <v>3131</v>
      </c>
      <c r="E60" s="2765" t="s">
        <v>3132</v>
      </c>
      <c r="F60" s="2785" t="s">
        <v>3133</v>
      </c>
      <c r="G60" s="2786" t="s">
        <v>3134</v>
      </c>
      <c r="H60" s="1666" t="str">
        <f t="shared" si="9"/>
        <v>5-DaHall1-PDU-13-20-16</v>
      </c>
      <c r="I60" s="1667" t="str">
        <f t="shared" si="17"/>
        <v>5-DaHall1-PDU-14-20-14</v>
      </c>
      <c r="J60" s="1629">
        <v>220</v>
      </c>
      <c r="K60" s="1630">
        <v>20</v>
      </c>
      <c r="L60" s="2483" t="s">
        <v>6969</v>
      </c>
      <c r="M60" s="1631">
        <v>16</v>
      </c>
      <c r="N60" s="1632">
        <v>220</v>
      </c>
      <c r="O60" s="1633">
        <v>20</v>
      </c>
      <c r="P60" s="2515" t="s">
        <v>6976</v>
      </c>
      <c r="Q60" s="1634">
        <v>14</v>
      </c>
      <c r="R60" s="3363"/>
      <c r="S60" s="3365"/>
      <c r="T60" s="3231"/>
      <c r="U60" s="3242"/>
      <c r="V60" s="3231"/>
      <c r="W60" s="3242"/>
      <c r="X60" s="255" t="n">
        <f>SUM('5층_부하량(월간_AVG)'!N343:P343)</f>
        <v>3.765911846659028</v>
      </c>
      <c r="Y60" s="255" t="n">
        <f>SUM('5층_부하량(월간_AVG)'!N401:P401)</f>
        <v>3.112584148287278</v>
      </c>
      <c r="Z60" s="3250" t="n">
        <f>SUM(X60:Y61)</f>
        <v>10.991497590409413</v>
      </c>
      <c r="AA60" s="2854" t="n" cm="1">
        <f t="array" ref="AA60">INDEX('각층분기별_유효전력량(전월)'!F2:F2018,MATCH(1,("5-DaHall 1-PDU-13"='각층분기별_유효전력량(전월)'!D2:D2018)*("[branch#016] [A] kWh last month"='각층분기별_유효전력량(전월)'!E2:E2018),0))</f>
        <v>632.2</v>
      </c>
      <c r="AB60" s="2855" t="n" cm="1">
        <f t="array" ref="AB60">INDEX('각층분기별_유효전력량(전월)'!F2:F2018,MATCH(1,("5-DaHall 1-PDU-14"='각층분기별_유효전력량(전월)'!D2:D2018)*("[branch#014] [A] kWh last month"='각층분기별_유효전력량(전월)'!E2:E2018),0))</f>
        <v>518.7</v>
      </c>
      <c r="AC60" s="3409" t="n">
        <f>SUM(AA60:AB61)</f>
        <v>2107.9</v>
      </c>
      <c r="AD60" s="2574"/>
      <c r="AH60" s="2470"/>
    </row>
    <row r="61" spans="1:34" ht="54.75" thickBot="1" x14ac:dyDescent="0.2">
      <c r="A61" s="3302"/>
      <c r="B61" s="3454"/>
      <c r="C61" s="3483"/>
      <c r="D61" s="2780" t="s">
        <v>3135</v>
      </c>
      <c r="E61" s="2780" t="s">
        <v>3136</v>
      </c>
      <c r="F61" s="2796" t="s">
        <v>3137</v>
      </c>
      <c r="G61" s="2797" t="s">
        <v>3138</v>
      </c>
      <c r="H61" s="1668" t="str">
        <f t="shared" si="9"/>
        <v>5-DaHall1-PDU-11-20-24</v>
      </c>
      <c r="I61" s="1669" t="str">
        <f t="shared" si="17"/>
        <v>5-DaHall1-PDU-12-20-24</v>
      </c>
      <c r="J61" s="1639">
        <v>220</v>
      </c>
      <c r="K61" s="1640">
        <v>20</v>
      </c>
      <c r="L61" s="2484" t="s">
        <v>6968</v>
      </c>
      <c r="M61" s="1641">
        <v>24</v>
      </c>
      <c r="N61" s="1642">
        <v>220</v>
      </c>
      <c r="O61" s="1643">
        <v>20</v>
      </c>
      <c r="P61" s="2516" t="s">
        <v>6975</v>
      </c>
      <c r="Q61" s="1644">
        <v>24</v>
      </c>
      <c r="R61" s="890" t="s">
        <v>2816</v>
      </c>
      <c r="S61" s="2797" t="s">
        <v>2817</v>
      </c>
      <c r="T61" s="2759" t="s">
        <v>2818</v>
      </c>
      <c r="U61" s="2753" t="s">
        <v>2819</v>
      </c>
      <c r="V61" s="3235"/>
      <c r="W61" s="3248"/>
      <c r="X61" s="333" t="n">
        <f>'5층_부하량(월간_AVG)'!O327</f>
        <v>0.0</v>
      </c>
      <c r="Y61" s="333" t="n">
        <f>'5층_부하량(월간_AVG)'!O386</f>
        <v>4.113001595463106</v>
      </c>
      <c r="Z61" s="3253"/>
      <c r="AA61" s="2870" t="n" cm="1">
        <f t="array" ref="AA61">INDEX('각층분기별_유효전력량(전월)'!F2:F2018,MATCH(1,("5-DaHall 1-PDU-11"='각층분기별_유효전력량(전월)'!D2:D2018)*("[branch#024] [A] kWh last month"='각층분기별_유효전력량(전월)'!E2:E2018),0))</f>
        <v>0.0</v>
      </c>
      <c r="AB61" s="2871" t="n" cm="1">
        <f t="array" ref="AB61">INDEX('각층분기별_유효전력량(전월)'!F2:F2018,MATCH(1,("5-DaHall 1-PDU-12"='각층분기별_유효전력량(전월)'!D2:D2018)*("[branch#024] [A] kWh last month"='각층분기별_유효전력량(전월)'!E2:E2018),0))</f>
        <v>957.0</v>
      </c>
      <c r="AC61" s="3418"/>
      <c r="AD61" s="2575"/>
      <c r="AH61" s="2470"/>
    </row>
    <row r="62" spans="1:34" ht="27" customHeight="1" thickTop="1" x14ac:dyDescent="0.15">
      <c r="A62" s="1107"/>
      <c r="B62" s="2834" t="s">
        <v>3139</v>
      </c>
      <c r="C62" s="904"/>
      <c r="D62" s="2834" t="s">
        <v>3140</v>
      </c>
      <c r="E62" s="2834" t="s">
        <v>3141</v>
      </c>
      <c r="F62" s="2831" t="s">
        <v>3142</v>
      </c>
      <c r="G62" s="2827" t="s">
        <v>3143</v>
      </c>
      <c r="H62" s="1661" t="str">
        <f t="shared" si="9"/>
        <v>5-DaHall1-PDU-13-20-22</v>
      </c>
      <c r="I62" s="1653" t="str">
        <f t="shared" si="17"/>
        <v>5-DaHall1-PDU-14-20-20</v>
      </c>
      <c r="J62" s="1662">
        <v>220</v>
      </c>
      <c r="K62" s="1663">
        <v>20</v>
      </c>
      <c r="L62" s="2504" t="s">
        <v>6969</v>
      </c>
      <c r="M62" s="1664">
        <v>22</v>
      </c>
      <c r="N62" s="1665">
        <v>220</v>
      </c>
      <c r="O62" s="1655">
        <v>20</v>
      </c>
      <c r="P62" s="2530" t="s">
        <v>6976</v>
      </c>
      <c r="Q62" s="1656">
        <v>20</v>
      </c>
      <c r="R62" s="3484"/>
      <c r="S62" s="3462"/>
      <c r="T62" s="3244"/>
      <c r="U62" s="3229"/>
      <c r="V62" s="3244"/>
      <c r="W62" s="3229"/>
      <c r="X62" s="840" t="n">
        <f>SUM('5층_부하량(월간_AVG)'!N346:P346)</f>
        <v>0.0</v>
      </c>
      <c r="Y62" s="840" t="n">
        <f>SUM('5층_부하량(월간_AVG)'!N404:P404)</f>
        <v>0.0</v>
      </c>
      <c r="Z62" s="2564" t="n">
        <f t="shared" ref="Z62:Z81" si="20">SUM(X62:Y62)</f>
        <v>0.0</v>
      </c>
      <c r="AA62" s="2868" t="n" cm="1">
        <f t="array" ref="AA62">INDEX('각층분기별_유효전력량(전월)'!F2:F2018,MATCH(1,("5-DaHall 1-PDU-13"='각층분기별_유효전력량(전월)'!D2:D2018)*("[branch#022] [A] kWh last month"='각층분기별_유효전력량(전월)'!E2:E2018),0))</f>
        <v>0.0</v>
      </c>
      <c r="AB62" s="2869" t="n" cm="1">
        <f t="array" ref="AB62">INDEX('각층분기별_유효전력량(전월)'!F2:F2018,MATCH(1,("5-DaHall 1-PDU-14"='각층분기별_유효전력량(전월)'!D2:D2018)*("[branch#020] [A] kWh last month"='각층분기별_유효전력량(전월)'!E2:E2018),0))</f>
        <v>0.0</v>
      </c>
      <c r="AC62" s="2591" t="n">
        <f>SUM(AA62:AB62)</f>
        <v>0.0</v>
      </c>
      <c r="AD62" s="2579" t="s">
        <v>1579</v>
      </c>
      <c r="AH62" s="2470"/>
    </row>
    <row r="63" spans="1:34" ht="27" x14ac:dyDescent="0.15">
      <c r="A63" s="1107"/>
      <c r="B63" s="2834" t="s">
        <v>3144</v>
      </c>
      <c r="C63" s="904"/>
      <c r="D63" s="2834" t="s">
        <v>3145</v>
      </c>
      <c r="E63" s="2834" t="s">
        <v>3146</v>
      </c>
      <c r="F63" s="2831" t="s">
        <v>3147</v>
      </c>
      <c r="G63" s="2827" t="s">
        <v>3148</v>
      </c>
      <c r="H63" s="1661" t="str">
        <f t="shared" si="9"/>
        <v>5-DaHall1-PDU-13-20-24</v>
      </c>
      <c r="I63" s="1653" t="str">
        <f t="shared" si="17"/>
        <v>5-DaHall1-PDU-14-20-22</v>
      </c>
      <c r="J63" s="1662">
        <v>220</v>
      </c>
      <c r="K63" s="1663">
        <v>20</v>
      </c>
      <c r="L63" s="2504" t="s">
        <v>6969</v>
      </c>
      <c r="M63" s="1664">
        <v>24</v>
      </c>
      <c r="N63" s="1665">
        <v>220</v>
      </c>
      <c r="O63" s="1655">
        <v>20</v>
      </c>
      <c r="P63" s="2530" t="s">
        <v>6976</v>
      </c>
      <c r="Q63" s="1656">
        <v>22</v>
      </c>
      <c r="R63" s="3484"/>
      <c r="S63" s="3462"/>
      <c r="T63" s="3244"/>
      <c r="U63" s="3229"/>
      <c r="V63" s="3244"/>
      <c r="W63" s="3229"/>
      <c r="X63" s="840" t="n">
        <f>SUM('5층_부하량(월간_AVG)'!N347:P347)</f>
        <v>3.708803096276047</v>
      </c>
      <c r="Y63" s="840" t="n">
        <f>SUM('5층_부하량(월간_AVG)'!N405:P405)</f>
        <v>0.0</v>
      </c>
      <c r="Z63" s="2564" t="n">
        <f t="shared" si="20"/>
        <v>3.708803096276047</v>
      </c>
      <c r="AA63" s="2868" t="n" cm="1">
        <f t="array" ref="AA63">INDEX('각층분기별_유효전력량(전월)'!F2:F2018,MATCH(1,("5-DaHall 1-PDU-13"='각층분기별_유효전력량(전월)'!D2:D2018)*("[branch#024] [A] kWh last month"='각층분기별_유효전력량(전월)'!E2:E2018),0))</f>
        <v>632.2</v>
      </c>
      <c r="AB63" s="2869" t="n" cm="1">
        <f t="array" ref="AB63">INDEX('각층분기별_유효전력량(전월)'!F2:F2018,MATCH(1,("5-DaHall 1-PDU-14"='각층분기별_유효전력량(전월)'!D2:D2018)*("[branch#022] [A] kWh last month"='각층분기별_유효전력량(전월)'!E2:E2018),0))</f>
        <v>0.0</v>
      </c>
      <c r="AC63" s="2594" t="n">
        <f>SUM(AA63:AB63)</f>
        <v>632.2</v>
      </c>
      <c r="AD63" s="2579" t="s">
        <v>1579</v>
      </c>
      <c r="AH63" s="2470"/>
    </row>
    <row r="64" spans="1:34" ht="27" x14ac:dyDescent="0.15">
      <c r="A64" s="2769" t="s">
        <v>3149</v>
      </c>
      <c r="B64" s="2771" t="s">
        <v>3150</v>
      </c>
      <c r="C64" s="2784" t="s">
        <v>3103</v>
      </c>
      <c r="D64" s="2765" t="s">
        <v>3151</v>
      </c>
      <c r="E64" s="2765" t="s">
        <v>3152</v>
      </c>
      <c r="F64" s="2785" t="s">
        <v>3153</v>
      </c>
      <c r="G64" s="2786" t="s">
        <v>3154</v>
      </c>
      <c r="H64" s="1666" t="str">
        <f t="shared" si="9"/>
        <v>5-DaHall1-PDU-13-20-26</v>
      </c>
      <c r="I64" s="1667" t="str">
        <f t="shared" si="17"/>
        <v>5-DaHall1-PDU-14-20-24</v>
      </c>
      <c r="J64" s="1629">
        <v>220</v>
      </c>
      <c r="K64" s="1630">
        <v>20</v>
      </c>
      <c r="L64" s="2483" t="s">
        <v>6969</v>
      </c>
      <c r="M64" s="1631">
        <v>26</v>
      </c>
      <c r="N64" s="1632">
        <v>220</v>
      </c>
      <c r="O64" s="1633">
        <v>20</v>
      </c>
      <c r="P64" s="2515" t="s">
        <v>6976</v>
      </c>
      <c r="Q64" s="1634">
        <v>24</v>
      </c>
      <c r="R64" s="3484"/>
      <c r="S64" s="3462"/>
      <c r="T64" s="3244"/>
      <c r="U64" s="3229"/>
      <c r="V64" s="3244"/>
      <c r="W64" s="3229"/>
      <c r="X64" s="255" t="n">
        <f>SUM('5층_부하량(월간_AVG)'!N348:P348)</f>
        <v>1.831355360381447</v>
      </c>
      <c r="Y64" s="255" t="n">
        <f>SUM('5층_부하량(월간_AVG)'!N406:P406)</f>
        <v>5.225430983936236</v>
      </c>
      <c r="Z64" s="2557" t="n">
        <f t="shared" si="20"/>
        <v>7.056786344317683</v>
      </c>
      <c r="AA64" s="2850" t="n" cm="1">
        <f t="array" ref="AA64">INDEX('각층분기별_유효전력량(전월)'!F2:F2018,MATCH(1,("5-DaHall 1-PDU-13"='각층분기별_유효전력량(전월)'!D2:D2018)*("[branch#026] [A] kWh last month"='각층분기별_유효전력량(전월)'!E2:E2018),0))</f>
        <v>271.0</v>
      </c>
      <c r="AB64" s="2851" t="n" cm="1">
        <f t="array" ref="AB64">INDEX('각층분기별_유효전력량(전월)'!F2:F2018,MATCH(1,("5-DaHall 1-PDU-14"='각층분기별_유효전력량(전월)'!D2:D2018)*("[branch#024] [A] kWh last month"='각층분기별_유효전력량(전월)'!E2:E2018),0))</f>
        <v>801.6</v>
      </c>
      <c r="AC64" s="2586" t="n">
        <f>SUM(AA64:AB64)</f>
        <v>1072.6</v>
      </c>
      <c r="AD64" s="2574"/>
      <c r="AH64" s="2470"/>
    </row>
    <row r="65" spans="1:34" x14ac:dyDescent="0.15">
      <c r="A65" s="3280" t="s">
        <v>3155</v>
      </c>
      <c r="B65" s="3298" t="s">
        <v>3156</v>
      </c>
      <c r="C65" s="2784"/>
      <c r="D65" s="2765"/>
      <c r="E65" s="2765"/>
      <c r="F65" s="2785"/>
      <c r="G65" s="2786"/>
      <c r="H65" s="1666" t="str">
        <f t="shared" si="9"/>
        <v>5-DaHall1-PDU-15-30-10</v>
      </c>
      <c r="I65" s="1667" t="str">
        <f t="shared" si="17"/>
        <v>5-DaHall1-PDU-16-30-10</v>
      </c>
      <c r="J65" s="1629"/>
      <c r="K65" s="1630">
        <v>30</v>
      </c>
      <c r="L65" s="2483" t="s">
        <v>6970</v>
      </c>
      <c r="M65" s="1631">
        <v>10</v>
      </c>
      <c r="N65" s="1632"/>
      <c r="O65" s="1633">
        <v>30</v>
      </c>
      <c r="P65" s="2515" t="s">
        <v>6977</v>
      </c>
      <c r="Q65" s="1634">
        <v>10</v>
      </c>
      <c r="R65" s="3484"/>
      <c r="S65" s="3462"/>
      <c r="T65" s="3244"/>
      <c r="U65" s="3229"/>
      <c r="V65" s="3244"/>
      <c r="W65" s="3229"/>
      <c r="X65" s="255" t="n">
        <f>SUM('5층_부하량(월간_AVG)'!N360:P360)</f>
        <v>6.594217287776868</v>
      </c>
      <c r="Y65" s="255" t="n">
        <f>SUM('5층_부하량(월간_AVG)'!N419:P419)</f>
        <v>0.9712045056540896</v>
      </c>
      <c r="Z65" s="2557" t="n">
        <f t="shared" si="20"/>
        <v>7.565421793430957</v>
      </c>
      <c r="AA65" s="2850" t="n" cm="1">
        <f t="array" ref="AA65">INDEX('각층분기별_유효전력량(전월)'!F2:F2018,MATCH(1,("5-DaHall 1-PDU-15"='각층분기별_유효전력량(전월)'!D2:D2018)*("[branch#010] [A] kWh last month"='각층분기별_유효전력량(전월)'!E2:E2018),0))</f>
        <v>52.0</v>
      </c>
      <c r="AB65" s="2851" t="n" cm="1">
        <f t="array" ref="AB65">INDEX('각층분기별_유효전력량(전월)'!F2:F2018,MATCH(1,("5-DaHall 1-PDU-16"='각층분기별_유효전력량(전월)'!D2:D2018)*("[branch#010] [A] kWh last month"='각층분기별_유효전력량(전월)'!E2:E2018),0))</f>
        <v>1.3</v>
      </c>
      <c r="AC65" s="3409" t="n">
        <f>SUM(AA65:AB66)</f>
        <v>53.3</v>
      </c>
      <c r="AD65" s="2574"/>
      <c r="AH65" s="2470"/>
    </row>
    <row r="66" spans="1:34" ht="27" x14ac:dyDescent="0.15">
      <c r="A66" s="3282"/>
      <c r="B66" s="3299"/>
      <c r="C66" s="2784"/>
      <c r="D66" s="2765" t="s">
        <v>3157</v>
      </c>
      <c r="E66" s="2765" t="s">
        <v>3158</v>
      </c>
      <c r="F66" s="2785" t="s">
        <v>3159</v>
      </c>
      <c r="G66" s="2786" t="s">
        <v>3160</v>
      </c>
      <c r="H66" s="1666" t="str">
        <f t="shared" si="9"/>
        <v>5-DaHall1-PDU-13-20-28</v>
      </c>
      <c r="I66" s="1667" t="str">
        <f t="shared" si="17"/>
        <v>5-DaHall1-PDU-14-20-26</v>
      </c>
      <c r="J66" s="1629">
        <v>220</v>
      </c>
      <c r="K66" s="1630">
        <v>20</v>
      </c>
      <c r="L66" s="2483" t="s">
        <v>6969</v>
      </c>
      <c r="M66" s="1631">
        <v>28</v>
      </c>
      <c r="N66" s="1632">
        <v>220</v>
      </c>
      <c r="O66" s="1633">
        <v>20</v>
      </c>
      <c r="P66" s="2515" t="s">
        <v>6976</v>
      </c>
      <c r="Q66" s="1634">
        <v>26</v>
      </c>
      <c r="R66" s="3484"/>
      <c r="S66" s="3462"/>
      <c r="T66" s="3244"/>
      <c r="U66" s="3229"/>
      <c r="V66" s="3244"/>
      <c r="W66" s="3229"/>
      <c r="X66" s="255" t="n">
        <f>SUM('5층_부하량(월간_AVG)'!N349:P349)</f>
        <v>0.0</v>
      </c>
      <c r="Y66" s="255" t="n">
        <f>SUM('5층_부하량(월간_AVG)'!N407:P407)</f>
        <v>0.0</v>
      </c>
      <c r="Z66" s="2557" t="n">
        <f t="shared" si="20"/>
        <v>0.0</v>
      </c>
      <c r="AA66" s="2850" t="n" cm="1">
        <f t="array" ref="AA66">INDEX('각층분기별_유효전력량(전월)'!F2:F2018,MATCH(1,("5-DaHall 1-PDU-13"='각층분기별_유효전력량(전월)'!D2:D2018)*("[branch#028] [A] kWh last month"='각층분기별_유효전력량(전월)'!E2:E2018),0))</f>
        <v>0.0</v>
      </c>
      <c r="AB66" s="2851" t="n" cm="1">
        <f t="array" ref="AB66">INDEX('각층분기별_유효전력량(전월)'!F2:F2018,MATCH(1,("5-DaHall 1-PDU-14"='각층분기별_유효전력량(전월)'!D2:D2018)*("[branch#026] [A] kWh last month"='각층분기별_유효전력량(전월)'!E2:E2018),0))</f>
        <v>0.0</v>
      </c>
      <c r="AC66" s="3410"/>
      <c r="AD66" s="2628" t="s">
        <v>3161</v>
      </c>
      <c r="AH66" s="2470"/>
    </row>
    <row r="67" spans="1:34" x14ac:dyDescent="0.15">
      <c r="A67" s="3280" t="s">
        <v>3162</v>
      </c>
      <c r="B67" s="3298" t="s">
        <v>3163</v>
      </c>
      <c r="C67" s="2784"/>
      <c r="D67" s="2765"/>
      <c r="E67" s="2765"/>
      <c r="F67" s="2785"/>
      <c r="G67" s="2786"/>
      <c r="H67" s="1666" t="str">
        <f t="shared" si="9"/>
        <v>5-DaHall1-PDU-15-30-8</v>
      </c>
      <c r="I67" s="1667" t="str">
        <f t="shared" si="17"/>
        <v>5-DaHall1-PDU-16-30-8</v>
      </c>
      <c r="J67" s="1629"/>
      <c r="K67" s="1630">
        <v>30</v>
      </c>
      <c r="L67" s="2483" t="s">
        <v>6970</v>
      </c>
      <c r="M67" s="1631">
        <v>8</v>
      </c>
      <c r="N67" s="1632"/>
      <c r="O67" s="1633">
        <v>30</v>
      </c>
      <c r="P67" s="2515" t="s">
        <v>6977</v>
      </c>
      <c r="Q67" s="1634">
        <v>8</v>
      </c>
      <c r="R67" s="3484"/>
      <c r="S67" s="3462"/>
      <c r="T67" s="3244"/>
      <c r="U67" s="3229"/>
      <c r="V67" s="3244"/>
      <c r="W67" s="3229"/>
      <c r="X67" s="255" t="n">
        <f>SUM('5층_부하량(월간_AVG)'!N359:P359)</f>
        <v>4.193720066483461</v>
      </c>
      <c r="Y67" s="255" t="n">
        <f>SUM('5층_부하량(월간_AVG)'!N418:P418)</f>
        <v>4.336232715816819</v>
      </c>
      <c r="Z67" s="2557" t="n">
        <f t="shared" si="20"/>
        <v>8.529952782300281</v>
      </c>
      <c r="AA67" s="2850" t="n" cm="1">
        <f t="array" ref="AA67">INDEX('각층분기별_유효전력량(전월)'!F2:F2018,MATCH(1,("5-DaHall 1-PDU-15"='각층분기별_유효전력량(전월)'!D2:D2018)*("[branch#008] [A] kWh last month"='각층분기별_유효전력량(전월)'!E2:E2018),0))</f>
        <v>620.2</v>
      </c>
      <c r="AB67" s="2851" t="n" cm="1">
        <f t="array" ref="AB67">INDEX('각층분기별_유효전력량(전월)'!F2:F2018,MATCH(1,("5-DaHall 1-PDU-16"='각층분기별_유효전력량(전월)'!D2:D2018)*("[branch#008] [A] kWh last month"='각층분기별_유효전력량(전월)'!E2:E2018),0))</f>
        <v>669.9</v>
      </c>
      <c r="AC67" s="3409" t="n">
        <f>SUM(AA67:AB68)</f>
        <v>2091.7</v>
      </c>
      <c r="AD67" s="2628"/>
      <c r="AH67" s="2470"/>
    </row>
    <row r="68" spans="1:34" ht="27" x14ac:dyDescent="0.15">
      <c r="A68" s="3282"/>
      <c r="B68" s="3299"/>
      <c r="C68" s="2784"/>
      <c r="D68" s="2765" t="s">
        <v>3164</v>
      </c>
      <c r="E68" s="2765" t="s">
        <v>3165</v>
      </c>
      <c r="F68" s="2785" t="s">
        <v>3166</v>
      </c>
      <c r="G68" s="2786" t="s">
        <v>3167</v>
      </c>
      <c r="H68" s="1666" t="str">
        <f t="shared" si="9"/>
        <v>5-DaHall1-PDU-13-20-30</v>
      </c>
      <c r="I68" s="1667" t="str">
        <f t="shared" si="17"/>
        <v>5-DaHall1-PDU-14-20-28</v>
      </c>
      <c r="J68" s="1629">
        <v>220</v>
      </c>
      <c r="K68" s="1630">
        <v>20</v>
      </c>
      <c r="L68" s="2483" t="s">
        <v>6969</v>
      </c>
      <c r="M68" s="1631">
        <v>30</v>
      </c>
      <c r="N68" s="1632">
        <v>220</v>
      </c>
      <c r="O68" s="1633">
        <v>20</v>
      </c>
      <c r="P68" s="2515" t="s">
        <v>6976</v>
      </c>
      <c r="Q68" s="1634">
        <v>28</v>
      </c>
      <c r="R68" s="3484"/>
      <c r="S68" s="3462"/>
      <c r="T68" s="3244"/>
      <c r="U68" s="3229"/>
      <c r="V68" s="3244"/>
      <c r="W68" s="3229"/>
      <c r="X68" s="255" t="n">
        <f>SUM('5층_부하량(월간_AVG)'!N350:P350)</f>
        <v>0.0</v>
      </c>
      <c r="Y68" s="255" t="n">
        <f>SUM('5층_부하량(월간_AVG)'!N408:P408)</f>
        <v>5.1565635115263015</v>
      </c>
      <c r="Z68" s="2557" t="n">
        <f t="shared" si="20"/>
        <v>5.1565635115263015</v>
      </c>
      <c r="AA68" s="2850" t="n" cm="1">
        <f t="array" ref="AA68">INDEX('각층분기별_유효전력량(전월)'!F2:F2018,MATCH(1,("5-DaHall 1-PDU-13"='각층분기별_유효전력량(전월)'!D2:D2018)*("[branch#030] [A] kWh last month"='각층분기별_유효전력량(전월)'!E2:E2018),0))</f>
        <v>0.0</v>
      </c>
      <c r="AB68" s="2851" t="n" cm="1">
        <f t="array" ref="AB68">INDEX('각층분기별_유효전력량(전월)'!F2:F2018,MATCH(1,("5-DaHall 1-PDU-14"='각층분기별_유효전력량(전월)'!D2:D2018)*("[branch#028] [A] kWh last month"='각층분기별_유효전력량(전월)'!E2:E2018),0))</f>
        <v>801.6</v>
      </c>
      <c r="AC68" s="3410"/>
      <c r="AD68" s="2574"/>
      <c r="AH68" s="2470"/>
    </row>
    <row r="69" spans="1:34" ht="27.75" thickBot="1" x14ac:dyDescent="0.2">
      <c r="A69" s="2769" t="s">
        <v>3168</v>
      </c>
      <c r="B69" s="2765" t="s">
        <v>3169</v>
      </c>
      <c r="C69" s="2784"/>
      <c r="D69" s="2765" t="s">
        <v>3170</v>
      </c>
      <c r="E69" s="2765" t="s">
        <v>3171</v>
      </c>
      <c r="F69" s="2785" t="s">
        <v>3172</v>
      </c>
      <c r="G69" s="2786" t="s">
        <v>3173</v>
      </c>
      <c r="H69" s="1666" t="str">
        <f t="shared" si="9"/>
        <v>5-DaHall1-PDU-13-20-32</v>
      </c>
      <c r="I69" s="1667" t="str">
        <f t="shared" si="17"/>
        <v>5-DaHall1-PDU-14-20-30</v>
      </c>
      <c r="J69" s="1629">
        <v>220</v>
      </c>
      <c r="K69" s="1630">
        <v>20</v>
      </c>
      <c r="L69" s="2483" t="s">
        <v>6969</v>
      </c>
      <c r="M69" s="1631">
        <v>32</v>
      </c>
      <c r="N69" s="1632">
        <v>220</v>
      </c>
      <c r="O69" s="1633">
        <v>20</v>
      </c>
      <c r="P69" s="2515" t="s">
        <v>6976</v>
      </c>
      <c r="Q69" s="1634">
        <v>30</v>
      </c>
      <c r="R69" s="3485"/>
      <c r="S69" s="3457"/>
      <c r="T69" s="3234"/>
      <c r="U69" s="3243"/>
      <c r="V69" s="3234"/>
      <c r="W69" s="3243"/>
      <c r="X69" s="255" t="n">
        <f>SUM('5층_부하량(월간_AVG)'!N351:P351)</f>
        <v>0.0</v>
      </c>
      <c r="Y69" s="255" t="n">
        <f>SUM('5층_부하량(월간_AVG)'!N409:P409)</f>
        <v>2.0325886107844783E-4</v>
      </c>
      <c r="Z69" s="2557" t="n">
        <f t="shared" si="20"/>
        <v>2.0325886107844783E-4</v>
      </c>
      <c r="AA69" s="2850" t="n" cm="1">
        <f t="array" ref="AA69">INDEX('각층분기별_유효전력량(전월)'!F2:F2018,MATCH(1,("5-DaHall 1-PDU-13"='각층분기별_유효전력량(전월)'!D2:D2018)*("[branch#032] [A] kWh last month"='각층분기별_유효전력량(전월)'!E2:E2018),0))</f>
        <v>0.0</v>
      </c>
      <c r="AB69" s="2851" t="n" cm="1">
        <f t="array" ref="AB69">INDEX('각층분기별_유효전력량(전월)'!F2:F2018,MATCH(1,("5-DaHall 1-PDU-14"='각층분기별_유효전력량(전월)'!D2:D2018)*("[branch#030] [A] kWh last month"='각층분기별_유효전력량(전월)'!E2:E2018),0))</f>
        <v>0.0</v>
      </c>
      <c r="AC69" s="2586" t="n">
        <f>SUM(AA69:AB69)</f>
        <v>0.0</v>
      </c>
      <c r="AD69" s="2574"/>
      <c r="AH69" s="2470"/>
    </row>
    <row r="70" spans="1:34" ht="14.25" thickTop="1" x14ac:dyDescent="0.15">
      <c r="A70" s="2252" t="s">
        <v>2065</v>
      </c>
      <c r="B70" s="331" t="s">
        <v>3186</v>
      </c>
      <c r="C70" s="991" t="s">
        <v>3187</v>
      </c>
      <c r="D70" s="331"/>
      <c r="E70" s="331"/>
      <c r="F70" s="2793"/>
      <c r="G70" s="2794"/>
      <c r="H70" s="1678" t="str">
        <f t="shared" si="9"/>
        <v>5-DaHall1-PDU-03-30-32</v>
      </c>
      <c r="I70" s="1679" t="str">
        <f t="shared" si="17"/>
        <v>5-DaHall1-PDU-04-30-32</v>
      </c>
      <c r="J70" s="1623"/>
      <c r="K70" s="1624">
        <v>30</v>
      </c>
      <c r="L70" s="2482" t="s">
        <v>6927</v>
      </c>
      <c r="M70" s="1625">
        <v>32</v>
      </c>
      <c r="N70" s="1626"/>
      <c r="O70" s="1627">
        <v>30</v>
      </c>
      <c r="P70" s="2514" t="s">
        <v>6922</v>
      </c>
      <c r="Q70" s="1628">
        <v>32</v>
      </c>
      <c r="R70" s="3367"/>
      <c r="S70" s="3368"/>
      <c r="T70" s="3230"/>
      <c r="U70" s="3232"/>
      <c r="V70" s="3230"/>
      <c r="W70" s="3232"/>
      <c r="X70" s="842" t="n">
        <f>SUM('5층_부하량(월간_AVG)'!N103:P103)</f>
        <v>2.489822382497356</v>
      </c>
      <c r="Y70" s="842" t="n">
        <f>SUM('5층_부하량(월간_AVG)'!N133:P133)</f>
        <v>0.2707407273898886</v>
      </c>
      <c r="Z70" s="2560" t="n">
        <f t="shared" si="20"/>
        <v>2.760563109887245</v>
      </c>
      <c r="AA70" s="2848" t="n" cm="1">
        <f t="array" ref="AA70">INDEX('각층분기별_유효전력량(전월)'!F2:F2018,MATCH(1,("5-DaHall 1-PDU-03"='각층분기별_유효전력량(전월)'!D2:D2018)*("[branch#071] [A] kWh last month"='각층분기별_유효전력량(전월)'!E2:E2018),0))</f>
        <v>255.8</v>
      </c>
      <c r="AB70" s="2849" t="n" cm="1">
        <f t="array" ref="AB70">INDEX('각층분기별_유효전력량(전월)'!F2:F2018,MATCH(1,("5-DaHall 1-PDU-04"='각층분기별_유효전력량(전월)'!D2:D2018)*("[branch#071] [A] kWh last month"='각층분기별_유효전력량(전월)'!E2:E2018),0))</f>
        <v>23.6</v>
      </c>
      <c r="AC70" s="2589" t="n">
        <f>SUM(AA70:AB70)</f>
        <v>279.40000000000003</v>
      </c>
      <c r="AD70" s="2576"/>
      <c r="AH70" s="2470"/>
    </row>
    <row r="71" spans="1:34" x14ac:dyDescent="0.15">
      <c r="A71" s="2253" t="s">
        <v>3188</v>
      </c>
      <c r="B71" s="2765" t="s">
        <v>3189</v>
      </c>
      <c r="C71" s="2784" t="s">
        <v>3190</v>
      </c>
      <c r="D71" s="2765"/>
      <c r="E71" s="2765"/>
      <c r="F71" s="2785"/>
      <c r="G71" s="2786"/>
      <c r="H71" s="1666" t="str">
        <f t="shared" si="9"/>
        <v>5-DaHall1-PDU-03-30-34</v>
      </c>
      <c r="I71" s="1667" t="str">
        <f t="shared" si="17"/>
        <v>5-DaHall1-PDU-04-30-34</v>
      </c>
      <c r="J71" s="1629"/>
      <c r="K71" s="1630">
        <v>30</v>
      </c>
      <c r="L71" s="2483" t="s">
        <v>6927</v>
      </c>
      <c r="M71" s="1631">
        <v>34</v>
      </c>
      <c r="N71" s="1632"/>
      <c r="O71" s="1633">
        <v>30</v>
      </c>
      <c r="P71" s="2515" t="s">
        <v>6922</v>
      </c>
      <c r="Q71" s="1634">
        <v>34</v>
      </c>
      <c r="R71" s="3363"/>
      <c r="S71" s="3365"/>
      <c r="T71" s="3241"/>
      <c r="U71" s="3242"/>
      <c r="V71" s="3241"/>
      <c r="W71" s="3242"/>
      <c r="X71" s="270" t="n">
        <f>SUM('5층_부하량(월간_AVG)'!N104:P104)</f>
        <v>2.169628421291678</v>
      </c>
      <c r="Y71" s="270" t="n">
        <f>SUM('5층_부하량(월간_AVG)'!N134:P134)</f>
        <v>0.289905486120164</v>
      </c>
      <c r="Z71" s="2557" t="n">
        <f t="shared" si="20"/>
        <v>2.459533907411842</v>
      </c>
      <c r="AA71" s="2850" t="n" cm="1">
        <f t="array" ref="AA71">INDEX('각층분기별_유효전력량(전월)'!F2:F2018,MATCH(1,("5-DaHall 1-PDU-03"='각층분기별_유효전력량(전월)'!D2:D2018)*("[branch#072] [A] kWh last month"='각층분기별_유효전력량(전월)'!E2:E2018),0))</f>
        <v>222.1</v>
      </c>
      <c r="AB71" s="2851" t="n" cm="1">
        <f t="array" ref="AB71">INDEX('각층분기별_유효전력량(전월)'!F2:F2018,MATCH(1,("5-DaHall 1-PDU-04"='각층분기별_유효전력량(전월)'!D2:D2018)*("[branch#072] [A] kWh last month"='각층분기별_유효전력량(전월)'!E2:E2018),0))</f>
        <v>15.8</v>
      </c>
      <c r="AC71" s="2586" t="n">
        <f>SUM(AA71:AB71)</f>
        <v>237.9</v>
      </c>
      <c r="AD71" s="2574"/>
      <c r="AH71" s="2470"/>
    </row>
    <row r="72" spans="1:34" x14ac:dyDescent="0.15">
      <c r="A72" s="2253" t="s">
        <v>2077</v>
      </c>
      <c r="B72" s="2765" t="s">
        <v>3191</v>
      </c>
      <c r="C72" s="2784" t="s">
        <v>3190</v>
      </c>
      <c r="D72" s="2765"/>
      <c r="E72" s="2765"/>
      <c r="F72" s="2785"/>
      <c r="G72" s="2786"/>
      <c r="H72" s="1666" t="str">
        <f t="shared" si="9"/>
        <v>5-DaHall1-PDU-03-30-36</v>
      </c>
      <c r="I72" s="1667" t="str">
        <f t="shared" si="17"/>
        <v>5-DaHall1-PDU-04-30-36</v>
      </c>
      <c r="J72" s="1629"/>
      <c r="K72" s="1630">
        <v>30</v>
      </c>
      <c r="L72" s="2483" t="s">
        <v>6927</v>
      </c>
      <c r="M72" s="1631">
        <v>36</v>
      </c>
      <c r="N72" s="1632"/>
      <c r="O72" s="1633">
        <v>30</v>
      </c>
      <c r="P72" s="2515" t="s">
        <v>6922</v>
      </c>
      <c r="Q72" s="1634">
        <v>36</v>
      </c>
      <c r="R72" s="3363"/>
      <c r="S72" s="3365"/>
      <c r="T72" s="3241"/>
      <c r="U72" s="3242"/>
      <c r="V72" s="3241"/>
      <c r="W72" s="3242"/>
      <c r="X72" s="270" t="n">
        <f>SUM('5층_부하량(월간_AVG)'!N105:P105)</f>
        <v>2.1700023080067807</v>
      </c>
      <c r="Y72" s="270" t="n">
        <f>SUM('5층_부하량(월간_AVG)'!N135:P135)</f>
        <v>2.2938781804023103</v>
      </c>
      <c r="Z72" s="2557" t="n">
        <f t="shared" si="20"/>
        <v>4.463880488409091</v>
      </c>
      <c r="AA72" s="2850" t="n" cm="1">
        <f t="array" ref="AA72">INDEX('각층분기별_유효전력량(전월)'!F2:F2018,MATCH(1,("5-DaHall 1-PDU-03"='각층분기별_유효전력량(전월)'!D2:D2018)*("[branch#073] [A] kWh last month"='각층분기별_유효전력량(전월)'!E2:E2018),0))</f>
        <v>232.6</v>
      </c>
      <c r="AB72" s="2851" t="n" cm="1">
        <f t="array" ref="AB72">INDEX('각층분기별_유효전력량(전월)'!F2:F2018,MATCH(1,("5-DaHall 1-PDU-04"='각층분기별_유효전력량(전월)'!D2:D2018)*("[branch#073] [A] kWh last month"='각층분기별_유효전력량(전월)'!E2:E2018),0))</f>
        <v>255.4</v>
      </c>
      <c r="AC72" s="2586" t="n">
        <f t="shared" ref="AC72:AC75" si="21">SUM(AA72:AB72)</f>
        <v>488.0</v>
      </c>
      <c r="AD72" s="2574"/>
      <c r="AH72" s="2470"/>
    </row>
    <row r="73" spans="1:34" x14ac:dyDescent="0.15">
      <c r="A73" s="2253" t="s">
        <v>3192</v>
      </c>
      <c r="B73" s="2765" t="s">
        <v>3193</v>
      </c>
      <c r="C73" s="2784" t="s">
        <v>3190</v>
      </c>
      <c r="D73" s="2765"/>
      <c r="E73" s="2765"/>
      <c r="F73" s="2785"/>
      <c r="G73" s="2786"/>
      <c r="H73" s="1666" t="str">
        <f t="shared" si="9"/>
        <v>5-DaHall1-PDU-03-30-38</v>
      </c>
      <c r="I73" s="1667" t="str">
        <f t="shared" si="17"/>
        <v>5-DaHall1-PDU-04-30-38</v>
      </c>
      <c r="J73" s="1629"/>
      <c r="K73" s="1630">
        <v>30</v>
      </c>
      <c r="L73" s="2483" t="s">
        <v>6927</v>
      </c>
      <c r="M73" s="1631">
        <v>38</v>
      </c>
      <c r="N73" s="1632"/>
      <c r="O73" s="1633">
        <v>30</v>
      </c>
      <c r="P73" s="2515" t="s">
        <v>6922</v>
      </c>
      <c r="Q73" s="1634">
        <v>38</v>
      </c>
      <c r="R73" s="3363"/>
      <c r="S73" s="3365"/>
      <c r="T73" s="3241"/>
      <c r="U73" s="3242"/>
      <c r="V73" s="3241"/>
      <c r="W73" s="3242"/>
      <c r="X73" s="270" t="n">
        <f>SUM('5층_부하량(월간_AVG)'!N106:P106)</f>
        <v>2.4349858424120545</v>
      </c>
      <c r="Y73" s="270" t="n">
        <f>SUM('5층_부하량(월간_AVG)'!N136:P136)</f>
        <v>2.5977847360827813</v>
      </c>
      <c r="Z73" s="2557" t="n">
        <f t="shared" si="20"/>
        <v>5.032770578494835</v>
      </c>
      <c r="AA73" s="2850" t="n" cm="1">
        <f t="array" ref="AA73">INDEX('각층분기별_유효전력량(전월)'!F2:F2018,MATCH(1,("5-DaHall 1-PDU-03"='각층분기별_유효전력량(전월)'!D2:D2018)*("[branch#074] [A] kWh last month"='각층분기별_유효전력량(전월)'!E2:E2018),0))</f>
        <v>282.9</v>
      </c>
      <c r="AB73" s="2851" t="n" cm="1">
        <f t="array" ref="AB73">INDEX('각층분기별_유효전력량(전월)'!F2:F2018,MATCH(1,("5-DaHall 1-PDU-04"='각층분기별_유효전력량(전월)'!D2:D2018)*("[branch#074] [A] kWh last month"='각층분기별_유효전력량(전월)'!E2:E2018),0))</f>
        <v>300.9</v>
      </c>
      <c r="AC73" s="2586" t="n">
        <f t="shared" si="21"/>
        <v>583.8</v>
      </c>
      <c r="AD73" s="2574"/>
      <c r="AH73" s="2470"/>
    </row>
    <row r="74" spans="1:34" x14ac:dyDescent="0.15">
      <c r="A74" s="2253" t="s">
        <v>3194</v>
      </c>
      <c r="B74" s="2765" t="s">
        <v>3195</v>
      </c>
      <c r="C74" s="2784" t="s">
        <v>3190</v>
      </c>
      <c r="D74" s="2765"/>
      <c r="E74" s="2765"/>
      <c r="F74" s="2785"/>
      <c r="G74" s="2786"/>
      <c r="H74" s="1666" t="str">
        <f t="shared" si="9"/>
        <v>5-DaHall1-PDU-03-30-40</v>
      </c>
      <c r="I74" s="1667" t="str">
        <f t="shared" si="17"/>
        <v>5-DaHall1-PDU-04-30-40</v>
      </c>
      <c r="J74" s="1629"/>
      <c r="K74" s="1630">
        <v>30</v>
      </c>
      <c r="L74" s="2483" t="s">
        <v>6927</v>
      </c>
      <c r="M74" s="1631">
        <v>40</v>
      </c>
      <c r="N74" s="1632"/>
      <c r="O74" s="1633">
        <v>30</v>
      </c>
      <c r="P74" s="2515" t="s">
        <v>6922</v>
      </c>
      <c r="Q74" s="1634">
        <v>40</v>
      </c>
      <c r="R74" s="3363"/>
      <c r="S74" s="3365"/>
      <c r="T74" s="3241"/>
      <c r="U74" s="3242"/>
      <c r="V74" s="3241"/>
      <c r="W74" s="3242"/>
      <c r="X74" s="270" t="n">
        <f>SUM('5층_부하량(월간_AVG)'!N107:P107)</f>
        <v>1.3682892382983567</v>
      </c>
      <c r="Y74" s="270" t="n">
        <f>SUM('5층_부하량(월간_AVG)'!N137:P137)</f>
        <v>1.4562298837033556</v>
      </c>
      <c r="Z74" s="2557" t="n">
        <f t="shared" si="20"/>
        <v>2.8245191220017123</v>
      </c>
      <c r="AA74" s="2850" t="n" cm="1">
        <f t="array" ref="AA74">INDEX('각층분기별_유효전력량(전월)'!F2:F2018,MATCH(1,("5-DaHall 1-PDU-03"='각층분기별_유효전력량(전월)'!D2:D2018)*("[branch#075] [A] kWh last month"='각층분기별_유효전력량(전월)'!E2:E2018),0))</f>
        <v>170.4</v>
      </c>
      <c r="AB74" s="2851" t="n" cm="1">
        <f t="array" ref="AB74">INDEX('각층분기별_유효전력량(전월)'!F2:F2018,MATCH(1,("5-DaHall 1-PDU-04"='각층분기별_유효전력량(전월)'!D2:D2018)*("[branch#075] [A] kWh last month"='각층분기별_유효전력량(전월)'!E2:E2018),0))</f>
        <v>187.3</v>
      </c>
      <c r="AC74" s="2586" t="n">
        <f t="shared" si="21"/>
        <v>357.70000000000005</v>
      </c>
      <c r="AD74" s="2574"/>
      <c r="AH74" s="2470"/>
    </row>
    <row r="75" spans="1:34" x14ac:dyDescent="0.15">
      <c r="A75" s="2253" t="s">
        <v>3196</v>
      </c>
      <c r="B75" s="2765" t="s">
        <v>3197</v>
      </c>
      <c r="C75" s="2784" t="s">
        <v>3190</v>
      </c>
      <c r="D75" s="2765"/>
      <c r="E75" s="2765"/>
      <c r="F75" s="2785"/>
      <c r="G75" s="2786"/>
      <c r="H75" s="1666" t="str">
        <f t="shared" si="9"/>
        <v>5-DaHall1-PDU-03-30-42</v>
      </c>
      <c r="I75" s="1667" t="str">
        <f t="shared" si="17"/>
        <v>5-DaHall1-PDU-04-30-42</v>
      </c>
      <c r="J75" s="1629"/>
      <c r="K75" s="1630">
        <v>30</v>
      </c>
      <c r="L75" s="2483" t="s">
        <v>6927</v>
      </c>
      <c r="M75" s="1631">
        <v>42</v>
      </c>
      <c r="N75" s="1632"/>
      <c r="O75" s="1633">
        <v>30</v>
      </c>
      <c r="P75" s="2515" t="s">
        <v>6922</v>
      </c>
      <c r="Q75" s="1634">
        <v>42</v>
      </c>
      <c r="R75" s="3363"/>
      <c r="S75" s="3365"/>
      <c r="T75" s="3241"/>
      <c r="U75" s="3242"/>
      <c r="V75" s="3241"/>
      <c r="W75" s="3242"/>
      <c r="X75" s="270" t="n">
        <f>SUM('5층_부하량(월간_AVG)'!N108:P108)</f>
        <v>1.789243954323277</v>
      </c>
      <c r="Y75" s="270" t="n">
        <f>SUM('5층_부하량(월간_AVG)'!N138:P138)</f>
        <v>1.5857251799437317</v>
      </c>
      <c r="Z75" s="2557" t="n">
        <f t="shared" si="20"/>
        <v>3.3749691342670087</v>
      </c>
      <c r="AA75" s="2850" t="n" cm="1">
        <f t="array" ref="AA75">INDEX('각층분기별_유효전력량(전월)'!F2:F2018,MATCH(1,("5-DaHall 1-PDU-03"='각층분기별_유효전력량(전월)'!D2:D2018)*("[branch#076] [A] kWh last month"='각층분기별_유효전력량(전월)'!E2:E2018),0))</f>
        <v>215.9</v>
      </c>
      <c r="AB75" s="2851" t="n" cm="1">
        <f t="array" ref="AB75">INDEX('각층분기별_유효전력량(전월)'!F2:F2018,MATCH(1,("5-DaHall 1-PDU-04"='각층분기별_유효전력량(전월)'!D2:D2018)*("[branch#076] [A] kWh last month"='각층분기별_유효전력량(전월)'!E2:E2018),0))</f>
        <v>183.5</v>
      </c>
      <c r="AC75" s="2586" t="n">
        <f t="shared" si="21"/>
        <v>399.4</v>
      </c>
      <c r="AD75" s="2574"/>
      <c r="AH75" s="2470"/>
    </row>
    <row r="76" spans="1:34" ht="14.25" thickBot="1" x14ac:dyDescent="0.2">
      <c r="A76" s="2254" t="s">
        <v>2109</v>
      </c>
      <c r="B76" s="2780" t="s">
        <v>3198</v>
      </c>
      <c r="C76" s="2809" t="s">
        <v>3190</v>
      </c>
      <c r="D76" s="2780"/>
      <c r="E76" s="2780"/>
      <c r="F76" s="2796"/>
      <c r="G76" s="2797"/>
      <c r="H76" s="1668" t="str">
        <f t="shared" si="9"/>
        <v>5-DaHall1-PDU-03-30-44</v>
      </c>
      <c r="I76" s="1669" t="str">
        <f t="shared" si="17"/>
        <v>5-DaHall1-PDU-04-30-44</v>
      </c>
      <c r="J76" s="1639"/>
      <c r="K76" s="1640">
        <v>30</v>
      </c>
      <c r="L76" s="2484" t="s">
        <v>6927</v>
      </c>
      <c r="M76" s="1641">
        <v>44</v>
      </c>
      <c r="N76" s="1642"/>
      <c r="O76" s="1643">
        <v>30</v>
      </c>
      <c r="P76" s="2516" t="s">
        <v>6922</v>
      </c>
      <c r="Q76" s="1644">
        <v>44</v>
      </c>
      <c r="R76" s="3363"/>
      <c r="S76" s="3365"/>
      <c r="T76" s="3241"/>
      <c r="U76" s="3242"/>
      <c r="V76" s="3241"/>
      <c r="W76" s="3242"/>
      <c r="X76" s="335" t="n">
        <f>SUM('5층_부하량(월간_AVG)'!N109:P109)</f>
        <v>2.943622578608824</v>
      </c>
      <c r="Y76" s="335" t="n">
        <f>SUM('5층_부하량(월간_AVG)'!N139:P139)</f>
        <v>2.321453510476452</v>
      </c>
      <c r="Z76" s="2558" t="n">
        <f t="shared" si="20"/>
        <v>5.265076089085277</v>
      </c>
      <c r="AA76" s="2856" t="n" cm="1">
        <f t="array" ref="AA76">INDEX('각층분기별_유효전력량(전월)'!F2:F2018,MATCH(1,("5-DaHall 1-PDU-03"='각층분기별_유효전력량(전월)'!D2:D2018)*("[branch#077] [A] kWh last month"='각층분기별_유효전력량(전월)'!E2:E2018),0))</f>
        <v>454.1</v>
      </c>
      <c r="AB76" s="2857" t="n" cm="1">
        <f t="array" ref="AB76">INDEX('각층분기별_유효전력량(전월)'!F2:F2018,MATCH(1,("5-DaHall 1-PDU-04"='각층분기별_유효전력량(전월)'!D2:D2018)*("[branch#077] [A] kWh last month"='각층분기별_유효전력량(전월)'!E2:E2018),0))</f>
        <v>338.7</v>
      </c>
      <c r="AC76" s="2587" t="n">
        <f>SUM(AA76:AB76)</f>
        <v>792.8</v>
      </c>
      <c r="AD76" s="2575"/>
      <c r="AH76" s="2470"/>
    </row>
    <row r="77" spans="1:34" ht="14.25" thickTop="1" x14ac:dyDescent="0.15">
      <c r="A77" s="2252" t="s">
        <v>730</v>
      </c>
      <c r="B77" s="331" t="s">
        <v>3199</v>
      </c>
      <c r="C77" s="991" t="s">
        <v>3190</v>
      </c>
      <c r="D77" s="331"/>
      <c r="E77" s="331"/>
      <c r="F77" s="2793"/>
      <c r="G77" s="2794"/>
      <c r="H77" s="1678" t="str">
        <f t="shared" si="9"/>
        <v>5-DaHall1-PDU-03-30-46</v>
      </c>
      <c r="I77" s="1679" t="str">
        <f t="shared" si="17"/>
        <v>5-DaHall1-PDU-04-30-46</v>
      </c>
      <c r="J77" s="1623"/>
      <c r="K77" s="1624">
        <v>30</v>
      </c>
      <c r="L77" s="2482" t="s">
        <v>6927</v>
      </c>
      <c r="M77" s="1625">
        <v>46</v>
      </c>
      <c r="N77" s="1626"/>
      <c r="O77" s="1627">
        <v>30</v>
      </c>
      <c r="P77" s="2514" t="s">
        <v>6922</v>
      </c>
      <c r="Q77" s="1628">
        <v>46</v>
      </c>
      <c r="R77" s="3363"/>
      <c r="S77" s="3365"/>
      <c r="T77" s="3241"/>
      <c r="U77" s="3242"/>
      <c r="V77" s="3241"/>
      <c r="W77" s="3242"/>
      <c r="X77" s="2324" t="n">
        <f>SUM('5층_부하량(월간_AVG)'!N110:P110)</f>
        <v>2.9119698279604025</v>
      </c>
      <c r="Y77" s="842" t="n">
        <f>SUM('5층_부하량(월간_AVG)'!N140:P140)</f>
        <v>2.3525020227136992</v>
      </c>
      <c r="Z77" s="2565" t="n">
        <f t="shared" si="20"/>
        <v>5.264471850674102</v>
      </c>
      <c r="AA77" s="2872" t="n" cm="1">
        <f t="array" ref="AA77">INDEX('각층분기별_유효전력량(전월)'!F2:F2018,MATCH(1,("5-DaHall 1-PDU-03"='각층분기별_유효전력량(전월)'!D2:D2018)*("[branch#078] [A] kWh last month"='각층분기별_유효전력량(전월)'!E2:E2018),0))</f>
        <v>445.4</v>
      </c>
      <c r="AB77" s="2873" t="n" cm="1">
        <f t="array" ref="AB77">INDEX('각층분기별_유효전력량(전월)'!F2:F2018,MATCH(1,("5-DaHall 1-PDU-04"='각층분기별_유효전력량(전월)'!D2:D2018)*("[branch#078] [A] kWh last month"='각층분기별_유효전력량(전월)'!E2:E2018),0))</f>
        <v>337.5</v>
      </c>
      <c r="AC77" s="2589" t="n">
        <f>SUM(AA77:AB77)</f>
        <v>782.9</v>
      </c>
      <c r="AD77" s="2630"/>
      <c r="AH77" s="2470"/>
    </row>
    <row r="78" spans="1:34" x14ac:dyDescent="0.15">
      <c r="A78" s="2253" t="s">
        <v>2013</v>
      </c>
      <c r="B78" s="2765" t="s">
        <v>3200</v>
      </c>
      <c r="C78" s="2784" t="s">
        <v>3190</v>
      </c>
      <c r="D78" s="2765"/>
      <c r="E78" s="2765"/>
      <c r="F78" s="2785"/>
      <c r="G78" s="2786"/>
      <c r="H78" s="1666" t="str">
        <f t="shared" si="9"/>
        <v>5-DaHall1-PDU-03-30-48</v>
      </c>
      <c r="I78" s="1667" t="str">
        <f t="shared" si="17"/>
        <v>5-DaHall1-PDU-04-30-48</v>
      </c>
      <c r="J78" s="1629"/>
      <c r="K78" s="1630">
        <v>30</v>
      </c>
      <c r="L78" s="2483" t="s">
        <v>6927</v>
      </c>
      <c r="M78" s="1631">
        <v>48</v>
      </c>
      <c r="N78" s="1632"/>
      <c r="O78" s="1633">
        <v>30</v>
      </c>
      <c r="P78" s="2515" t="s">
        <v>6922</v>
      </c>
      <c r="Q78" s="1634">
        <v>48</v>
      </c>
      <c r="R78" s="3363"/>
      <c r="S78" s="3365"/>
      <c r="T78" s="3241"/>
      <c r="U78" s="3242"/>
      <c r="V78" s="3241"/>
      <c r="W78" s="3242"/>
      <c r="X78" s="270" t="n">
        <f>SUM('5층_부하량(월간_AVG)'!N111:P111)</f>
        <v>3.719088539037483</v>
      </c>
      <c r="Y78" s="270" t="n">
        <f>SUM('5층_부하량(월간_AVG)'!N141:P141)</f>
        <v>3.182275912445429</v>
      </c>
      <c r="Z78" s="2557" t="n">
        <f t="shared" si="20"/>
        <v>6.901364451482912</v>
      </c>
      <c r="AA78" s="2850" t="n" cm="1">
        <f t="array" ref="AA78">INDEX('각층분기별_유효전력량(전월)'!F2:F2018,MATCH(1,("5-DaHall 1-PDU-03"='각층분기별_유효전력량(전월)'!D2:D2018)*("[branch#079] [A] kWh last month"='각층분기별_유효전력량(전월)'!E2:E2018),0))</f>
        <v>584.6</v>
      </c>
      <c r="AB78" s="2851" t="n" cm="1">
        <f t="array" ref="AB78">INDEX('각층분기별_유효전력량(전월)'!F2:F2018,MATCH(1,("5-DaHall 1-PDU-04"='각층분기별_유효전력량(전월)'!D2:D2018)*("[branch#079] [A] kWh last month"='각층분기별_유효전력량(전월)'!E2:E2018),0))</f>
        <v>490.0</v>
      </c>
      <c r="AC78" s="2586" t="n">
        <f>SUM(AA78:AB78)</f>
        <v>1074.6</v>
      </c>
      <c r="AD78" s="2574"/>
      <c r="AH78" s="2470"/>
    </row>
    <row r="79" spans="1:34" x14ac:dyDescent="0.15">
      <c r="A79" s="2253" t="s">
        <v>2019</v>
      </c>
      <c r="B79" s="2765" t="s">
        <v>3201</v>
      </c>
      <c r="C79" s="2784" t="s">
        <v>3190</v>
      </c>
      <c r="D79" s="2765"/>
      <c r="E79" s="2765"/>
      <c r="F79" s="2785"/>
      <c r="G79" s="2786"/>
      <c r="H79" s="1666" t="str">
        <f t="shared" si="9"/>
        <v>5-DaHall1-PDU-03-30-50</v>
      </c>
      <c r="I79" s="1667" t="str">
        <f t="shared" si="17"/>
        <v>5-DaHall1-PDU-04-30-50</v>
      </c>
      <c r="J79" s="1629"/>
      <c r="K79" s="1630">
        <v>30</v>
      </c>
      <c r="L79" s="2483" t="s">
        <v>6927</v>
      </c>
      <c r="M79" s="1631">
        <v>50</v>
      </c>
      <c r="N79" s="1632"/>
      <c r="O79" s="1633">
        <v>30</v>
      </c>
      <c r="P79" s="2515" t="s">
        <v>6922</v>
      </c>
      <c r="Q79" s="1634">
        <v>50</v>
      </c>
      <c r="R79" s="3363"/>
      <c r="S79" s="3365"/>
      <c r="T79" s="3241"/>
      <c r="U79" s="3242"/>
      <c r="V79" s="3241"/>
      <c r="W79" s="3242"/>
      <c r="X79" s="270" t="n">
        <f>SUM('5층_부하량(월간_AVG)'!N112:P112)</f>
        <v>4.103068164488508</v>
      </c>
      <c r="Y79" s="270" t="n">
        <f>SUM('5층_부하량(월간_AVG)'!N142:P142)</f>
        <v>3.9494071069674357</v>
      </c>
      <c r="Z79" s="2557" t="n">
        <f t="shared" si="20"/>
        <v>8.052475271455943</v>
      </c>
      <c r="AA79" s="2850" t="n" cm="1">
        <f t="array" ref="AA79">INDEX('각층분기별_유효전력량(전월)'!F2:F2018,MATCH(1,("5-DaHall 1-PDU-03"='각층분기별_유효전력량(전월)'!D2:D2018)*("[branch#080] [A] kWh last month"='각층분기별_유효전력량(전월)'!E2:E2018),0))</f>
        <v>682.9</v>
      </c>
      <c r="AB79" s="2851" t="n" cm="1">
        <f t="array" ref="AB79">INDEX('각층분기별_유효전력량(전월)'!F2:F2018,MATCH(1,("5-DaHall 1-PDU-04"='각층분기별_유효전력량(전월)'!D2:D2018)*("[branch#080] [A] kWh last month"='각층분기별_유효전력량(전월)'!E2:E2018),0))</f>
        <v>660.2</v>
      </c>
      <c r="AC79" s="2586" t="n">
        <f t="shared" ref="AC79:AC81" si="22">SUM(AA79:AB79)</f>
        <v>1343.1</v>
      </c>
      <c r="AD79" s="2574"/>
      <c r="AH79" s="2470"/>
    </row>
    <row r="80" spans="1:34" x14ac:dyDescent="0.15">
      <c r="A80" s="2253" t="s">
        <v>2025</v>
      </c>
      <c r="B80" s="2765" t="s">
        <v>3202</v>
      </c>
      <c r="C80" s="2784" t="s">
        <v>3190</v>
      </c>
      <c r="D80" s="2765"/>
      <c r="E80" s="2765"/>
      <c r="F80" s="2785"/>
      <c r="G80" s="2786"/>
      <c r="H80" s="1666" t="str">
        <f t="shared" si="9"/>
        <v>5-DaHall1-PDU-03-30-47</v>
      </c>
      <c r="I80" s="1667" t="str">
        <f t="shared" si="17"/>
        <v>5-DaHall1-PDU-04-30-47</v>
      </c>
      <c r="J80" s="1629"/>
      <c r="K80" s="1630">
        <v>30</v>
      </c>
      <c r="L80" s="2483" t="s">
        <v>6927</v>
      </c>
      <c r="M80" s="1631">
        <v>47</v>
      </c>
      <c r="N80" s="1632"/>
      <c r="O80" s="1633">
        <v>30</v>
      </c>
      <c r="P80" s="2515" t="s">
        <v>6922</v>
      </c>
      <c r="Q80" s="1634">
        <v>47</v>
      </c>
      <c r="R80" s="3363"/>
      <c r="S80" s="3365"/>
      <c r="T80" s="3241"/>
      <c r="U80" s="3242"/>
      <c r="V80" s="3241"/>
      <c r="W80" s="3242"/>
      <c r="X80" s="270" t="n">
        <f>SUM('5층_부하량(월간_AVG)'!D111:F111)</f>
        <v>4.0462433783372065</v>
      </c>
      <c r="Y80" s="270" t="n">
        <f>SUM('5층_부하량(월간_AVG)'!D141:F141)</f>
        <v>4.395310323347011</v>
      </c>
      <c r="Z80" s="2557" t="n">
        <f t="shared" si="20"/>
        <v>8.441553701684217</v>
      </c>
      <c r="AA80" s="2850" t="n" cm="1">
        <f t="array" ref="AA80">INDEX('각층분기별_유효전력량(전월)'!F2:F2018,MATCH(1,("5-DaHall 1-PDU-03"='각층분기별_유효전력량(전월)'!D2:D2018)*("[branch#025] [A] kWh last month"='각층분기별_유효전력량(전월)'!E2:E2018),0))</f>
        <v>614.6</v>
      </c>
      <c r="AB80" s="2851" t="n" cm="1">
        <f t="array" ref="AB80">INDEX('각층분기별_유효전력량(전월)'!F2:F2018,MATCH(1,("5-DaHall 1-PDU-04"='각층분기별_유효전력량(전월)'!D2:D2018)*("[branch#025] [A] kWh last month"='각층분기별_유효전력량(전월)'!E2:E2018),0))</f>
        <v>654.9</v>
      </c>
      <c r="AC80" s="2586" t="n">
        <f t="shared" si="22"/>
        <v>1269.5</v>
      </c>
      <c r="AD80" s="2574"/>
      <c r="AH80" s="2470"/>
    </row>
    <row r="81" spans="1:34" x14ac:dyDescent="0.15">
      <c r="A81" s="2253" t="s">
        <v>2031</v>
      </c>
      <c r="B81" s="2765" t="s">
        <v>3203</v>
      </c>
      <c r="C81" s="2784" t="s">
        <v>3190</v>
      </c>
      <c r="D81" s="2765"/>
      <c r="E81" s="2765"/>
      <c r="F81" s="2785"/>
      <c r="G81" s="2786"/>
      <c r="H81" s="1666" t="str">
        <f t="shared" si="9"/>
        <v>5-DaHall1-PDU-03-30-49</v>
      </c>
      <c r="I81" s="1667" t="str">
        <f t="shared" si="17"/>
        <v>5-DaHall1-PDU-04-30-49</v>
      </c>
      <c r="J81" s="1629"/>
      <c r="K81" s="1630">
        <v>30</v>
      </c>
      <c r="L81" s="2483" t="s">
        <v>6927</v>
      </c>
      <c r="M81" s="1631">
        <v>49</v>
      </c>
      <c r="N81" s="1632"/>
      <c r="O81" s="1633">
        <v>30</v>
      </c>
      <c r="P81" s="2515" t="s">
        <v>6922</v>
      </c>
      <c r="Q81" s="1634">
        <v>49</v>
      </c>
      <c r="R81" s="3363"/>
      <c r="S81" s="3365"/>
      <c r="T81" s="3241"/>
      <c r="U81" s="3242"/>
      <c r="V81" s="3241"/>
      <c r="W81" s="3242"/>
      <c r="X81" s="270" t="n">
        <f>SUM('5층_부하량(월간_AVG)'!D112:F112)</f>
        <v>5.699049943791124</v>
      </c>
      <c r="Y81" s="270" t="n">
        <f>SUM('5층_부하량(월간_AVG)'!D142:F142)</f>
        <v>5.428694756592056</v>
      </c>
      <c r="Z81" s="2557" t="n">
        <f t="shared" si="20"/>
        <v>11.127744700383179</v>
      </c>
      <c r="AA81" s="2850" t="n" cm="1">
        <f t="array" ref="AA81">INDEX('각층분기별_유효전력량(전월)'!F2:F2018,MATCH(1,("5-DaHall 1-PDU-03"='각층분기별_유효전력량(전월)'!D2:D2018)*("[branch#026] [A] kWh last month"='각층분기별_유효전력량(전월)'!E2:E2018),0))</f>
        <v>899.6</v>
      </c>
      <c r="AB81" s="2851" t="n" cm="1">
        <f t="array" ref="AB81">INDEX('각층분기별_유효전력량(전월)'!F2:F2018,MATCH(1,("5-DaHall 1-PDU-04"='각층분기별_유효전력량(전월)'!D2:D2018)*("[branch#026] [A] kWh last month"='각층분기별_유효전력량(전월)'!E2:E2018),0))</f>
        <v>852.2</v>
      </c>
      <c r="AC81" s="2586" t="n">
        <f t="shared" si="22"/>
        <v>1751.8000000000002</v>
      </c>
      <c r="AD81" s="2574"/>
      <c r="AH81" s="2470"/>
    </row>
    <row r="82" spans="1:34" ht="13.5" customHeight="1" x14ac:dyDescent="0.15">
      <c r="A82" s="3407" t="s">
        <v>2039</v>
      </c>
      <c r="B82" s="3298" t="s">
        <v>3204</v>
      </c>
      <c r="C82" s="3305" t="s">
        <v>3190</v>
      </c>
      <c r="D82" s="2255"/>
      <c r="E82" s="2255"/>
      <c r="F82" s="2256"/>
      <c r="G82" s="2257"/>
      <c r="H82" s="2258" t="str">
        <f t="shared" si="9"/>
        <v>5-DaHall1-PDU-03-30-2</v>
      </c>
      <c r="I82" s="2259" t="str">
        <f t="shared" si="17"/>
        <v>5-DaHall1-PDU-04-30-2</v>
      </c>
      <c r="J82" s="1834"/>
      <c r="K82" s="1835">
        <v>30</v>
      </c>
      <c r="L82" s="2494" t="s">
        <v>6927</v>
      </c>
      <c r="M82" s="2260">
        <v>2</v>
      </c>
      <c r="N82" s="1837"/>
      <c r="O82" s="1838">
        <v>30</v>
      </c>
      <c r="P82" s="2520" t="s">
        <v>6922</v>
      </c>
      <c r="Q82" s="2261">
        <v>2</v>
      </c>
      <c r="R82" s="3363"/>
      <c r="S82" s="3365"/>
      <c r="T82" s="3241"/>
      <c r="U82" s="3242"/>
      <c r="V82" s="3241"/>
      <c r="W82" s="3242"/>
      <c r="X82" s="2325" t="n">
        <f>SUM('5층_부하량(월간_AVG)'!N88:P88)</f>
        <v>0.0</v>
      </c>
      <c r="Y82" s="2325" t="n">
        <f>SUM('5층_부하량(월간_AVG)'!N118:P118)</f>
        <v>0.0</v>
      </c>
      <c r="Z82" s="3250" t="n">
        <f>SUM(X82:Y84)</f>
        <v>0.0</v>
      </c>
      <c r="AA82" s="2874" t="n" cm="1">
        <f t="array" ref="AA82">INDEX('각층분기별_유효전력량(전월)'!F2:F2018,MATCH(1,("5-DaHall 1-PDU-03"='각층분기별_유효전력량(전월)'!D2:D2018)*("[branch#056] [A] kWh last month"='각층분기별_유효전력량(전월)'!E2:E2018),0))</f>
        <v>0.0</v>
      </c>
      <c r="AB82" s="2875" t="n" cm="1">
        <f t="array" ref="AB82">INDEX('각층분기별_유효전력량(전월)'!F2:F2018,MATCH(1,("5-DaHall 1-PDU-04"='각층분기별_유효전력량(전월)'!D2:D2018)*("[branch#056] [A] kWh last month"='각층분기별_유효전력량(전월)'!E2:E2018),0))</f>
        <v>0.0</v>
      </c>
      <c r="AC82" s="3409" t="n">
        <f>SUM(AA82:AB84)</f>
        <v>0.0</v>
      </c>
      <c r="AD82" s="2631"/>
      <c r="AH82" s="2470"/>
    </row>
    <row r="83" spans="1:34" ht="13.5" customHeight="1" x14ac:dyDescent="0.15">
      <c r="A83" s="3434"/>
      <c r="B83" s="3435"/>
      <c r="C83" s="3436"/>
      <c r="D83" s="2262"/>
      <c r="E83" s="2262"/>
      <c r="F83" s="2263"/>
      <c r="G83" s="2264"/>
      <c r="H83" s="2265" t="str">
        <f t="shared" si="9"/>
        <v>5-DaHall1-PDU-03-30-4</v>
      </c>
      <c r="I83" s="2266" t="str">
        <f t="shared" si="17"/>
        <v>5-DaHall1-PDU-04-30-4</v>
      </c>
      <c r="J83" s="2267"/>
      <c r="K83" s="2268">
        <v>30</v>
      </c>
      <c r="L83" s="2495" t="s">
        <v>6927</v>
      </c>
      <c r="M83" s="2269">
        <v>4</v>
      </c>
      <c r="N83" s="2270"/>
      <c r="O83" s="2271">
        <v>30</v>
      </c>
      <c r="P83" s="2521" t="s">
        <v>6922</v>
      </c>
      <c r="Q83" s="2272">
        <v>4</v>
      </c>
      <c r="R83" s="3363"/>
      <c r="S83" s="3365"/>
      <c r="T83" s="3241"/>
      <c r="U83" s="3242"/>
      <c r="V83" s="3241"/>
      <c r="W83" s="3242"/>
      <c r="X83" s="2325" t="n">
        <f>SUM('5층_부하량(월간_AVG)'!N89:P89)</f>
        <v>0.0</v>
      </c>
      <c r="Y83" s="2325" t="n">
        <f>SUM('5층_부하량(월간_AVG)'!N119:P119)</f>
        <v>0.0</v>
      </c>
      <c r="Z83" s="3251"/>
      <c r="AA83" s="2876" t="n" cm="1">
        <f t="array" ref="AA83">INDEX('각층분기별_유효전력량(전월)'!F2:F2018,MATCH(1,("5-DaHall 1-PDU-03"='각층분기별_유효전력량(전월)'!D2:D2018)*("[branch#057] [A] kWh last month"='각층분기별_유효전력량(전월)'!E2:E2018),0))</f>
        <v>0.0</v>
      </c>
      <c r="AB83" s="2877" t="n" cm="1">
        <f t="array" ref="AB83">INDEX('각층분기별_유효전력량(전월)'!F2:F2018,MATCH(1,("5-DaHall 1-PDU-04"='각층분기별_유효전력량(전월)'!D2:D2018)*("[branch#057] [A] kWh last month"='각층분기별_유효전력량(전월)'!E2:E2018),0))</f>
        <v>0.0</v>
      </c>
      <c r="AC83" s="3419"/>
      <c r="AD83" s="2632"/>
      <c r="AH83" s="2470"/>
    </row>
    <row r="84" spans="1:34" ht="13.5" customHeight="1" x14ac:dyDescent="0.15">
      <c r="A84" s="3408"/>
      <c r="B84" s="3299"/>
      <c r="C84" s="3306"/>
      <c r="D84" s="2273"/>
      <c r="E84" s="2273"/>
      <c r="F84" s="2274"/>
      <c r="G84" s="2275"/>
      <c r="H84" s="2276" t="str">
        <f t="shared" si="9"/>
        <v>5-DaHall1-PDU-03-30-41</v>
      </c>
      <c r="I84" s="2277" t="str">
        <f t="shared" si="17"/>
        <v>5-DaHall1-PDU-04-30-41</v>
      </c>
      <c r="J84" s="1841"/>
      <c r="K84" s="1842">
        <v>30</v>
      </c>
      <c r="L84" s="2496" t="s">
        <v>6927</v>
      </c>
      <c r="M84" s="2278">
        <v>41</v>
      </c>
      <c r="N84" s="1843"/>
      <c r="O84" s="1844">
        <v>30</v>
      </c>
      <c r="P84" s="2522" t="s">
        <v>6922</v>
      </c>
      <c r="Q84" s="2279">
        <v>41</v>
      </c>
      <c r="R84" s="3363"/>
      <c r="S84" s="3365"/>
      <c r="T84" s="3241"/>
      <c r="U84" s="3242"/>
      <c r="V84" s="3241"/>
      <c r="W84" s="3242"/>
      <c r="X84" s="2326" t="n">
        <f>SUM('5층_부하량(월간_AVG)'!D108:F108)</f>
        <v>0.0</v>
      </c>
      <c r="Y84" s="2326" t="n">
        <f>SUM('5층_부하량(월간_AVG)'!D138:F138)</f>
        <v>0.0</v>
      </c>
      <c r="Z84" s="3252"/>
      <c r="AA84" s="2878" t="n" cm="1">
        <f t="array" ref="AA84">INDEX('각층분기별_유효전력량(전월)'!F2:F2018,MATCH(1,("5-DaHall 1-PDU-03"='각층분기별_유효전력량(전월)'!D2:D2018)*("[branch#022] [A] kWh last month"='각층분기별_유효전력량(전월)'!E2:E2018),0))</f>
        <v>0.0</v>
      </c>
      <c r="AB84" s="2879" t="n" cm="1">
        <f t="array" ref="AB84">INDEX('각층분기별_유효전력량(전월)'!F2:F2018,MATCH(1,("5-DaHall 1-PDU-04"='각층분기별_유효전력량(전월)'!D2:D2018)*("[branch#022] [A] kWh last month"='각층분기별_유효전력량(전월)'!E2:E2018),0))</f>
        <v>0.0</v>
      </c>
      <c r="AC84" s="3410"/>
      <c r="AD84" s="2633"/>
      <c r="AH84" s="2470"/>
    </row>
    <row r="85" spans="1:34" ht="13.5" customHeight="1" x14ac:dyDescent="0.15">
      <c r="A85" s="3407" t="s">
        <v>2045</v>
      </c>
      <c r="B85" s="3298" t="s">
        <v>3205</v>
      </c>
      <c r="C85" s="3305" t="s">
        <v>3190</v>
      </c>
      <c r="D85" s="2255"/>
      <c r="E85" s="2255"/>
      <c r="F85" s="2256"/>
      <c r="G85" s="2257"/>
      <c r="H85" s="2258" t="str">
        <f t="shared" si="9"/>
        <v>5-DaHall1-PDU-03-30-6</v>
      </c>
      <c r="I85" s="2259" t="str">
        <f t="shared" si="17"/>
        <v>5-DaHall1-PDU-04-30-6</v>
      </c>
      <c r="J85" s="1834"/>
      <c r="K85" s="1835">
        <v>30</v>
      </c>
      <c r="L85" s="2494" t="s">
        <v>6927</v>
      </c>
      <c r="M85" s="2260">
        <v>6</v>
      </c>
      <c r="N85" s="1837"/>
      <c r="O85" s="1838">
        <v>30</v>
      </c>
      <c r="P85" s="2520" t="s">
        <v>6922</v>
      </c>
      <c r="Q85" s="2261">
        <v>6</v>
      </c>
      <c r="R85" s="3363"/>
      <c r="S85" s="3365"/>
      <c r="T85" s="3241"/>
      <c r="U85" s="3242"/>
      <c r="V85" s="3241"/>
      <c r="W85" s="3242"/>
      <c r="X85" s="2325" t="n">
        <f>SUM('5층_부하량(월간_AVG)'!N90:P90)</f>
        <v>0.5681509910120145</v>
      </c>
      <c r="Y85" s="2325" t="n">
        <f>SUM('5층_부하량(월간_AVG)'!N120:P120)</f>
        <v>0.568306511411558</v>
      </c>
      <c r="Z85" s="3250" t="n">
        <f>SUM(X85:Y87)</f>
        <v>9.182027636098718</v>
      </c>
      <c r="AA85" s="2874" t="n" cm="1">
        <f t="array" ref="AA85">INDEX('각층분기별_유효전력량(전월)'!F2:F2018,MATCH(1,("5-DaHall 1-PDU-03"='각층분기별_유효전력량(전월)'!D2:D2018)*("[branch#058] [A] kWh last month"='각층분기별_유효전력량(전월)'!E2:E2018),0))</f>
        <v>87.4</v>
      </c>
      <c r="AB85" s="2875" t="n" cm="1">
        <f t="array" ref="AB85">INDEX('각층분기별_유효전력량(전월)'!F2:F2018,MATCH(1,("5-DaHall 1-PDU-04"='각층분기별_유효전력량(전월)'!D2:D2018)*("[branch#058] [A] kWh last month"='각층분기별_유효전력량(전월)'!E2:E2018),0))</f>
        <v>88.4</v>
      </c>
      <c r="AC85" s="3409" t="n">
        <f>SUM(AA85:AB87)</f>
        <v>1428.0</v>
      </c>
      <c r="AD85" s="2631"/>
      <c r="AH85" s="2470"/>
    </row>
    <row r="86" spans="1:34" ht="13.5" customHeight="1" x14ac:dyDescent="0.15">
      <c r="A86" s="3434"/>
      <c r="B86" s="3435"/>
      <c r="C86" s="3436"/>
      <c r="D86" s="2262"/>
      <c r="E86" s="2262"/>
      <c r="F86" s="2263"/>
      <c r="G86" s="2264"/>
      <c r="H86" s="2265" t="str">
        <f t="shared" si="9"/>
        <v>5-DaHall1-PDU-03-30-8</v>
      </c>
      <c r="I86" s="2266" t="str">
        <f t="shared" si="17"/>
        <v>5-DaHall1-PDU-04-30-8</v>
      </c>
      <c r="J86" s="2267"/>
      <c r="K86" s="2268">
        <v>30</v>
      </c>
      <c r="L86" s="2495" t="s">
        <v>6927</v>
      </c>
      <c r="M86" s="2269">
        <v>8</v>
      </c>
      <c r="N86" s="2270"/>
      <c r="O86" s="2271">
        <v>30</v>
      </c>
      <c r="P86" s="2521" t="s">
        <v>6922</v>
      </c>
      <c r="Q86" s="2272">
        <v>8</v>
      </c>
      <c r="R86" s="3363"/>
      <c r="S86" s="3365"/>
      <c r="T86" s="3241"/>
      <c r="U86" s="3242"/>
      <c r="V86" s="3241"/>
      <c r="W86" s="3242"/>
      <c r="X86" s="2327" t="n">
        <f>SUM('5층_부하량(월간_AVG)'!N91:P91)</f>
        <v>1.4132966497392698</v>
      </c>
      <c r="Y86" s="2327" t="n">
        <f>SUM('5층_부하량(월간_AVG)'!N121:P121)</f>
        <v>1.7195059115964118</v>
      </c>
      <c r="Z86" s="3251"/>
      <c r="AA86" s="2876" t="n" cm="1">
        <f t="array" ref="AA86">INDEX('각층분기별_유효전력량(전월)'!F2:F2018,MATCH(1,("5-DaHall 1-PDU-03"='각층분기별_유효전력량(전월)'!D2:D2018)*("[branch#059] [A] kWh last month"='각층분기별_유효전력량(전월)'!E2:E2018),0))</f>
        <v>224.8</v>
      </c>
      <c r="AB86" s="2877" t="n" cm="1">
        <f t="array" ref="AB86">INDEX('각층분기별_유효전력량(전월)'!F2:F2018,MATCH(1,("5-DaHall 1-PDU-04"='각층분기별_유효전력량(전월)'!D2:D2018)*("[branch#059] [A] kWh last month"='각층분기별_유효전력량(전월)'!E2:E2018),0))</f>
        <v>273.4</v>
      </c>
      <c r="AC86" s="3419"/>
      <c r="AD86" s="2632"/>
      <c r="AH86" s="2470"/>
    </row>
    <row r="87" spans="1:34" ht="14.25" customHeight="1" thickBot="1" x14ac:dyDescent="0.2">
      <c r="A87" s="3437"/>
      <c r="B87" s="3438"/>
      <c r="C87" s="3439"/>
      <c r="D87" s="2280"/>
      <c r="E87" s="2280"/>
      <c r="F87" s="2281"/>
      <c r="G87" s="2282"/>
      <c r="H87" s="2283" t="str">
        <f t="shared" si="9"/>
        <v>5-DaHall1-PDU-03-30-43</v>
      </c>
      <c r="I87" s="2284" t="str">
        <f t="shared" si="17"/>
        <v>5-DaHall1-PDU-04-30-43</v>
      </c>
      <c r="J87" s="2285"/>
      <c r="K87" s="2286">
        <v>30</v>
      </c>
      <c r="L87" s="2497" t="s">
        <v>6927</v>
      </c>
      <c r="M87" s="2287">
        <v>43</v>
      </c>
      <c r="N87" s="2288"/>
      <c r="O87" s="2289">
        <v>30</v>
      </c>
      <c r="P87" s="2523" t="s">
        <v>6922</v>
      </c>
      <c r="Q87" s="2290">
        <v>43</v>
      </c>
      <c r="R87" s="3363"/>
      <c r="S87" s="3365"/>
      <c r="T87" s="3241"/>
      <c r="U87" s="3242"/>
      <c r="V87" s="3241"/>
      <c r="W87" s="3242"/>
      <c r="X87" s="2328" t="n">
        <f>SUM('5층_부하량(월간_AVG)'!D109:F109)</f>
        <v>2.4187484624557674</v>
      </c>
      <c r="Y87" s="2328" t="n">
        <f>SUM('5층_부하량(월간_AVG)'!D139:F139)</f>
        <v>2.494019109883697</v>
      </c>
      <c r="Z87" s="3253"/>
      <c r="AA87" s="2880" t="n" cm="1">
        <f t="array" ref="AA87">INDEX('각층분기별_유효전력량(전월)'!F2:F2018,MATCH(1,("5-DaHall 1-PDU-03"='각층분기별_유효전력량(전월)'!D2:D2018)*("[branch#023] [A] kWh last month"='각층분기별_유효전력량(전월)'!E2:E2018),0))</f>
        <v>370.2</v>
      </c>
      <c r="AB87" s="2881" t="n" cm="1">
        <f t="array" ref="AB87">INDEX('각층분기별_유효전력량(전월)'!F2:F2018,MATCH(1,("5-DaHall 1-PDU-04"='각층분기별_유효전력량(전월)'!D2:D2018)*("[branch#023] [A] kWh last month"='각층분기별_유효전력량(전월)'!E2:E2018),0))</f>
        <v>383.8</v>
      </c>
      <c r="AC87" s="3418"/>
      <c r="AD87" s="2634"/>
      <c r="AH87" s="2470"/>
    </row>
    <row r="88" spans="1:34" ht="14.25" thickTop="1" x14ac:dyDescent="0.15">
      <c r="A88" s="3440" t="s">
        <v>575</v>
      </c>
      <c r="B88" s="3441" t="s">
        <v>3206</v>
      </c>
      <c r="C88" s="3442" t="s">
        <v>3190</v>
      </c>
      <c r="D88" s="2291"/>
      <c r="E88" s="2291"/>
      <c r="F88" s="2292"/>
      <c r="G88" s="2293"/>
      <c r="H88" s="2294" t="str">
        <f t="shared" si="9"/>
        <v>5-DaHall1-PDU-03-30-10</v>
      </c>
      <c r="I88" s="2295" t="str">
        <f t="shared" si="17"/>
        <v>5-DaHall1-PDU-04-30-10</v>
      </c>
      <c r="J88" s="1818"/>
      <c r="K88" s="1819">
        <v>30</v>
      </c>
      <c r="L88" s="2498" t="s">
        <v>6927</v>
      </c>
      <c r="M88" s="2296">
        <v>10</v>
      </c>
      <c r="N88" s="1821"/>
      <c r="O88" s="1822">
        <v>30</v>
      </c>
      <c r="P88" s="2524" t="s">
        <v>6922</v>
      </c>
      <c r="Q88" s="2297">
        <v>10</v>
      </c>
      <c r="R88" s="3363"/>
      <c r="S88" s="3365"/>
      <c r="T88" s="3241"/>
      <c r="U88" s="3242"/>
      <c r="V88" s="3241"/>
      <c r="W88" s="3242"/>
      <c r="X88" s="2329" t="n">
        <f>SUM('5층_부하량(월간_AVG)'!N92:P92)</f>
        <v>3.568724268181456</v>
      </c>
      <c r="Y88" s="2329" t="n">
        <f>SUM('5층_부하량(월간_AVG)'!N122:P122)</f>
        <v>3.546193543327264</v>
      </c>
      <c r="Z88" s="3420" t="n">
        <f>SUM(X88:Y90)</f>
        <v>10.707260380654382</v>
      </c>
      <c r="AA88" s="2882" t="n" cm="1">
        <f t="array" ref="AA88">INDEX('각층분기별_유효전력량(전월)'!F2:F2018,MATCH(1,("5-DaHall 1-PDU-03"='각층분기별_유효전력량(전월)'!D2:D2018)*("[branch#060] [A] kWh last month"='각층분기별_유효전력량(전월)'!E2:E2018),0))</f>
        <v>565.4</v>
      </c>
      <c r="AB88" s="2883" t="n" cm="1">
        <f t="array" ref="AB88">INDEX('각층분기별_유효전력량(전월)'!F2:F2018,MATCH(1,("5-DaHall 1-PDU-04"='각층분기별_유효전력량(전월)'!D2:D2018)*("[branch#060] [A] kWh last month"='각층분기별_유효전력량(전월)'!E2:E2018),0))</f>
        <v>561.9</v>
      </c>
      <c r="AC88" s="3421" t="n">
        <f>SUM(AA88:AB90)</f>
        <v>1688.6000000000001</v>
      </c>
      <c r="AD88" s="2635"/>
      <c r="AH88" s="2470"/>
    </row>
    <row r="89" spans="1:34" ht="13.5" customHeight="1" x14ac:dyDescent="0.15">
      <c r="A89" s="3434"/>
      <c r="B89" s="3435"/>
      <c r="C89" s="3436"/>
      <c r="D89" s="2262"/>
      <c r="E89" s="2262"/>
      <c r="F89" s="2263"/>
      <c r="G89" s="2264"/>
      <c r="H89" s="2265" t="str">
        <f t="shared" si="9"/>
        <v>5-DaHall1-PDU-03-30-12</v>
      </c>
      <c r="I89" s="2266" t="str">
        <f t="shared" si="17"/>
        <v>5-DaHall1-PDU-04-30-12</v>
      </c>
      <c r="J89" s="2267"/>
      <c r="K89" s="2268">
        <v>30</v>
      </c>
      <c r="L89" s="2495" t="s">
        <v>6927</v>
      </c>
      <c r="M89" s="2269">
        <v>12</v>
      </c>
      <c r="N89" s="2270"/>
      <c r="O89" s="2271">
        <v>30</v>
      </c>
      <c r="P89" s="2521" t="s">
        <v>6922</v>
      </c>
      <c r="Q89" s="2272">
        <v>12</v>
      </c>
      <c r="R89" s="3363"/>
      <c r="S89" s="3365"/>
      <c r="T89" s="3241"/>
      <c r="U89" s="3242"/>
      <c r="V89" s="3241"/>
      <c r="W89" s="3242"/>
      <c r="X89" s="2327" t="n">
        <f>SUM('5층_부하량(월간_AVG)'!N93:P93)</f>
        <v>1.7761627061846361</v>
      </c>
      <c r="Y89" s="2327" t="n">
        <f>SUM('5층_부하량(월간_AVG)'!N123:P123)</f>
        <v>1.8161798629610264</v>
      </c>
      <c r="Z89" s="3251"/>
      <c r="AA89" s="2876" t="n" cm="1">
        <f t="array" ref="AA89">INDEX('각층분기별_유효전력량(전월)'!F2:F2018,MATCH(1,("5-DaHall 1-PDU-03"='각층분기별_유효전력량(전월)'!D2:D2018)*("[branch#061] [A] kWh last month"='각층분기별_유효전력량(전월)'!E2:E2018),0))</f>
        <v>278.1</v>
      </c>
      <c r="AB89" s="2877" t="n" cm="1">
        <f t="array" ref="AB89">INDEX('각층분기별_유효전력량(전월)'!F2:F2018,MATCH(1,("5-DaHall 1-PDU-04"='각층분기별_유효전력량(전월)'!D2:D2018)*("[branch#061] [A] kWh last month"='각층분기별_유효전력량(전월)'!E2:E2018),0))</f>
        <v>283.2</v>
      </c>
      <c r="AC89" s="3419"/>
      <c r="AD89" s="2632"/>
      <c r="AH89" s="2470"/>
    </row>
    <row r="90" spans="1:34" ht="13.5" customHeight="1" x14ac:dyDescent="0.15">
      <c r="A90" s="3408"/>
      <c r="B90" s="3299"/>
      <c r="C90" s="3306"/>
      <c r="D90" s="2273"/>
      <c r="E90" s="2273"/>
      <c r="F90" s="2274"/>
      <c r="G90" s="2275"/>
      <c r="H90" s="2276" t="str">
        <f t="shared" si="9"/>
        <v>5-DaHall1-PDU-03-30-45</v>
      </c>
      <c r="I90" s="2277" t="str">
        <f t="shared" si="17"/>
        <v>5-DaHall1-PDU-04-30-45</v>
      </c>
      <c r="J90" s="1841"/>
      <c r="K90" s="1842">
        <v>30</v>
      </c>
      <c r="L90" s="2496" t="s">
        <v>6927</v>
      </c>
      <c r="M90" s="2278">
        <v>45</v>
      </c>
      <c r="N90" s="1843"/>
      <c r="O90" s="1844">
        <v>30</v>
      </c>
      <c r="P90" s="2522" t="s">
        <v>6922</v>
      </c>
      <c r="Q90" s="2279">
        <v>45</v>
      </c>
      <c r="R90" s="3363"/>
      <c r="S90" s="3365"/>
      <c r="T90" s="3241"/>
      <c r="U90" s="3242"/>
      <c r="V90" s="3241"/>
      <c r="W90" s="3242"/>
      <c r="X90" s="2326" t="n">
        <f>SUM('5층_부하량(월간_AVG)'!D110:F110)</f>
        <v>0.0</v>
      </c>
      <c r="Y90" s="2326" t="n">
        <f>SUM('5층_부하량(월간_AVG)'!D140:F140)</f>
        <v>0.0</v>
      </c>
      <c r="Z90" s="3252"/>
      <c r="AA90" s="2878" t="n" cm="1">
        <f t="array" ref="AA90">INDEX('각층분기별_유효전력량(전월)'!F2:F2018,MATCH(1,("5-DaHall 1-PDU-03"='각층분기별_유효전력량(전월)'!D2:D2018)*("[branch#024] [A] kWh last month"='각층분기별_유효전력량(전월)'!E2:E2018),0))</f>
        <v>0.0</v>
      </c>
      <c r="AB90" s="2879" t="n" cm="1">
        <f t="array" ref="AB90">INDEX('각층분기별_유효전력량(전월)'!F2:F2018,MATCH(1,("5-DaHall 1-PDU-04"='각층분기별_유효전력량(전월)'!D2:D2018)*("[branch#024] [A] kWh last month"='각층분기별_유효전력량(전월)'!E2:E2018),0))</f>
        <v>0.0</v>
      </c>
      <c r="AC90" s="3410"/>
      <c r="AD90" s="2633"/>
      <c r="AH90" s="2470"/>
    </row>
    <row r="91" spans="1:34" ht="13.5" customHeight="1" x14ac:dyDescent="0.15">
      <c r="A91" s="3407" t="s">
        <v>570</v>
      </c>
      <c r="B91" s="3298" t="s">
        <v>3207</v>
      </c>
      <c r="C91" s="3305" t="s">
        <v>3190</v>
      </c>
      <c r="D91" s="2255"/>
      <c r="E91" s="2255"/>
      <c r="F91" s="2256"/>
      <c r="G91" s="2257"/>
      <c r="H91" s="2258" t="str">
        <f t="shared" si="9"/>
        <v>5-DaHall1-PDU-03-30-14</v>
      </c>
      <c r="I91" s="2259" t="str">
        <f t="shared" si="17"/>
        <v>5-DaHall1-PDU-04-30-14</v>
      </c>
      <c r="J91" s="1834"/>
      <c r="K91" s="1835">
        <v>30</v>
      </c>
      <c r="L91" s="2494" t="s">
        <v>6927</v>
      </c>
      <c r="M91" s="2260">
        <v>14</v>
      </c>
      <c r="N91" s="1837"/>
      <c r="O91" s="1838">
        <v>30</v>
      </c>
      <c r="P91" s="2520" t="s">
        <v>6922</v>
      </c>
      <c r="Q91" s="2261">
        <v>14</v>
      </c>
      <c r="R91" s="3363"/>
      <c r="S91" s="3365"/>
      <c r="T91" s="3241"/>
      <c r="U91" s="3242"/>
      <c r="V91" s="3241"/>
      <c r="W91" s="3242"/>
      <c r="X91" s="2325" t="n">
        <f>SUM('5층_부하량(월간_AVG)'!N94:P94)</f>
        <v>0.35629444439874774</v>
      </c>
      <c r="Y91" s="2325" t="n">
        <f>SUM('5층_부하량(월간_AVG)'!N124:P124)</f>
        <v>0.6403613521648076</v>
      </c>
      <c r="Z91" s="3250" t="n">
        <f>SUM(X91:Y92)</f>
        <v>8.19441735013319</v>
      </c>
      <c r="AA91" s="2874" t="n" cm="1">
        <f t="array" ref="AA91">INDEX('각층분기별_유효전력량(전월)'!F2:F2018,MATCH(1,("5-DaHall 1-PDU-03"='각층분기별_유효전력량(전월)'!D2:D2018)*("[branch#062] [A] kWh last month"='각층분기별_유효전력량(전월)'!E2:E2018),0))</f>
        <v>45.5</v>
      </c>
      <c r="AB91" s="2875" t="n" cm="1">
        <f t="array" ref="AB91">INDEX('각층분기별_유효전력량(전월)'!F2:F2018,MATCH(1,("5-DaHall 1-PDU-04"='각층분기별_유효전력량(전월)'!D2:D2018)*("[branch#062] [A] kWh last month"='각층분기별_유효전력량(전월)'!E2:E2018),0))</f>
        <v>92.4</v>
      </c>
      <c r="AC91" s="3409" t="n">
        <f>SUM(AA91:AB92)</f>
        <v>1221.9</v>
      </c>
      <c r="AD91" s="2631"/>
      <c r="AH91" s="2470"/>
    </row>
    <row r="92" spans="1:34" ht="13.5" customHeight="1" x14ac:dyDescent="0.15">
      <c r="A92" s="3408"/>
      <c r="B92" s="3299"/>
      <c r="C92" s="3306"/>
      <c r="D92" s="2273"/>
      <c r="E92" s="2273"/>
      <c r="F92" s="2274"/>
      <c r="G92" s="2275"/>
      <c r="H92" s="2276" t="str">
        <f t="shared" si="9"/>
        <v>5-DaHall1-PDU-03-30-37</v>
      </c>
      <c r="I92" s="2277" t="str">
        <f t="shared" si="17"/>
        <v>5-DaHall1-PDU-04-30-37</v>
      </c>
      <c r="J92" s="1841"/>
      <c r="K92" s="1842">
        <v>30</v>
      </c>
      <c r="L92" s="2496" t="s">
        <v>6927</v>
      </c>
      <c r="M92" s="2278">
        <v>37</v>
      </c>
      <c r="N92" s="1843"/>
      <c r="O92" s="1844">
        <v>30</v>
      </c>
      <c r="P92" s="2522" t="s">
        <v>6922</v>
      </c>
      <c r="Q92" s="2279">
        <v>37</v>
      </c>
      <c r="R92" s="3363"/>
      <c r="S92" s="3365"/>
      <c r="T92" s="3241"/>
      <c r="U92" s="3242"/>
      <c r="V92" s="3241"/>
      <c r="W92" s="3242"/>
      <c r="X92" s="2326" t="n">
        <f>SUM('5층_부하량(월간_AVG)'!D106:F106)</f>
        <v>3.3377469843580996</v>
      </c>
      <c r="Y92" s="2326" t="n">
        <f>SUM('5층_부하량(월간_AVG)'!D136:F136)</f>
        <v>3.8600145692115353</v>
      </c>
      <c r="Z92" s="3252"/>
      <c r="AA92" s="2878" t="n" cm="1">
        <f t="array" ref="AA92">INDEX('각층분기별_유효전력량(전월)'!F2:F2018,MATCH(1,("5-DaHall 1-PDU-03"='각층분기별_유효전력량(전월)'!D2:D2018)*("[branch#020] [A] kWh last month"='각층분기별_유효전력량(전월)'!E2:E2018),0))</f>
        <v>501.0</v>
      </c>
      <c r="AB92" s="2879" t="n" cm="1">
        <f t="array" ref="AB92">INDEX('각층분기별_유효전력량(전월)'!F2:F2018,MATCH(1,("5-DaHall 1-PDU-04"='각층분기별_유효전력량(전월)'!D2:D2018)*("[branch#020] [A] kWh last month"='각층분기별_유효전력량(전월)'!E2:E2018),0))</f>
        <v>583.0</v>
      </c>
      <c r="AC92" s="3410"/>
      <c r="AD92" s="2633"/>
      <c r="AH92" s="2470"/>
    </row>
    <row r="93" spans="1:34" ht="13.5" customHeight="1" x14ac:dyDescent="0.15">
      <c r="A93" s="3407" t="s">
        <v>1959</v>
      </c>
      <c r="B93" s="3298" t="s">
        <v>3208</v>
      </c>
      <c r="C93" s="3305" t="s">
        <v>3190</v>
      </c>
      <c r="D93" s="2255"/>
      <c r="E93" s="2255"/>
      <c r="F93" s="2256"/>
      <c r="G93" s="2257"/>
      <c r="H93" s="2258" t="str">
        <f t="shared" si="9"/>
        <v>5-DaHall1-PDU-03-30-16</v>
      </c>
      <c r="I93" s="2259" t="str">
        <f t="shared" si="17"/>
        <v>5-DaHall1-PDU-04-30-16</v>
      </c>
      <c r="J93" s="1834"/>
      <c r="K93" s="1835">
        <v>30</v>
      </c>
      <c r="L93" s="2494" t="s">
        <v>6927</v>
      </c>
      <c r="M93" s="2260">
        <v>16</v>
      </c>
      <c r="N93" s="1837"/>
      <c r="O93" s="1838">
        <v>30</v>
      </c>
      <c r="P93" s="2520" t="s">
        <v>6922</v>
      </c>
      <c r="Q93" s="2261">
        <v>16</v>
      </c>
      <c r="R93" s="3363"/>
      <c r="S93" s="3365"/>
      <c r="T93" s="3241"/>
      <c r="U93" s="3242"/>
      <c r="V93" s="3241"/>
      <c r="W93" s="3242"/>
      <c r="X93" s="2325" t="n">
        <f>SUM('5층_부하량(월간_AVG)'!N95:P95)</f>
        <v>3.8992714795506718</v>
      </c>
      <c r="Y93" s="2325" t="n">
        <f>SUM('5층_부하량(월간_AVG)'!N125:P125)</f>
        <v>3.8896422462041707</v>
      </c>
      <c r="Z93" s="3250" t="n">
        <f>SUM(X93:Y94)</f>
        <v>10.074857162791789</v>
      </c>
      <c r="AA93" s="2874" t="n" cm="1">
        <f t="array" ref="AA93">INDEX('각층분기별_유효전력량(전월)'!F2:F2018,MATCH(1,("5-DaHall 1-PDU-03"='각층분기별_유효전력량(전월)'!D2:D2018)*("[branch#063] [A] kWh last month"='각층분기별_유효전력량(전월)'!E2:E2018),0))</f>
        <v>630.8</v>
      </c>
      <c r="AB93" s="2875" t="n" cm="1">
        <f t="array" ref="AB93">INDEX('각층분기별_유효전력량(전월)'!F2:F2018,MATCH(1,("5-DaHall 1-PDU-04"='각층분기별_유효전력량(전월)'!D2:D2018)*("[branch#063] [A] kWh last month"='각층분기별_유효전력량(전월)'!E2:E2018),0))</f>
        <v>626.5</v>
      </c>
      <c r="AC93" s="3409" t="n">
        <f>SUM(AA93:AB94)</f>
        <v>1287.8</v>
      </c>
      <c r="AD93" s="2631"/>
      <c r="AH93" s="2470"/>
    </row>
    <row r="94" spans="1:34" ht="13.5" customHeight="1" x14ac:dyDescent="0.15">
      <c r="A94" s="3408"/>
      <c r="B94" s="3299"/>
      <c r="C94" s="3306"/>
      <c r="D94" s="2273"/>
      <c r="E94" s="2273"/>
      <c r="F94" s="2274"/>
      <c r="G94" s="2275"/>
      <c r="H94" s="2276" t="str">
        <f t="shared" si="9"/>
        <v>5-DaHall1-PDU-03-30-39</v>
      </c>
      <c r="I94" s="2277" t="str">
        <f t="shared" si="17"/>
        <v>5-DaHall1-PDU-04-30-39</v>
      </c>
      <c r="J94" s="1841"/>
      <c r="K94" s="1842">
        <v>30</v>
      </c>
      <c r="L94" s="2496" t="s">
        <v>6927</v>
      </c>
      <c r="M94" s="2278">
        <v>39</v>
      </c>
      <c r="N94" s="1843"/>
      <c r="O94" s="1844">
        <v>30</v>
      </c>
      <c r="P94" s="2522" t="s">
        <v>6922</v>
      </c>
      <c r="Q94" s="2279">
        <v>39</v>
      </c>
      <c r="R94" s="3363"/>
      <c r="S94" s="3365"/>
      <c r="T94" s="3241"/>
      <c r="U94" s="3242"/>
      <c r="V94" s="3241"/>
      <c r="W94" s="3242"/>
      <c r="X94" s="2326" t="n">
        <f>SUM('5층_부하량(월간_AVG)'!D107:F107)</f>
        <v>1.3726554167858736</v>
      </c>
      <c r="Y94" s="2326" t="n">
        <f>SUM('5층_부하량(월간_AVG)'!D137:F137)</f>
        <v>0.9132880202510728</v>
      </c>
      <c r="Z94" s="3252"/>
      <c r="AA94" s="2878" t="n" cm="1">
        <f t="array" ref="AA94">INDEX('각층분기별_유효전력량(전월)'!F2:F2018,MATCH(1,("5-DaHall 1-PDU-03"='각층분기별_유효전력량(전월)'!D2:D2018)*("[branch#021] [A] kWh last month"='각층분기별_유효전력량(전월)'!E2:E2018),0))</f>
        <v>19.5</v>
      </c>
      <c r="AB94" s="2879" t="n" cm="1">
        <f t="array" ref="AB94">INDEX('각층분기별_유효전력량(전월)'!F2:F2018,MATCH(1,("5-DaHall 1-PDU-04"='각층분기별_유효전력량(전월)'!D2:D2018)*("[branch#021] [A] kWh last month"='각층분기별_유효전력량(전월)'!E2:E2018),0))</f>
        <v>11.0</v>
      </c>
      <c r="AC94" s="3410"/>
      <c r="AD94" s="2633"/>
      <c r="AH94" s="2470"/>
    </row>
    <row r="95" spans="1:34" x14ac:dyDescent="0.15">
      <c r="A95" s="2789" t="s">
        <v>1965</v>
      </c>
      <c r="B95" s="2775" t="s">
        <v>3209</v>
      </c>
      <c r="C95" s="2778" t="s">
        <v>3190</v>
      </c>
      <c r="D95" s="2775"/>
      <c r="E95" s="2775"/>
      <c r="F95" s="2799"/>
      <c r="G95" s="2798"/>
      <c r="H95" s="2298" t="str">
        <f t="shared" si="9"/>
        <v>5-DaHall1-PDU-03-30-18</v>
      </c>
      <c r="I95" s="2299" t="str">
        <f t="shared" si="17"/>
        <v>5-DaHall1-PDU-04-30-18</v>
      </c>
      <c r="J95" s="2300"/>
      <c r="K95" s="2301">
        <v>30</v>
      </c>
      <c r="L95" s="2499" t="s">
        <v>6927</v>
      </c>
      <c r="M95" s="2302">
        <v>18</v>
      </c>
      <c r="N95" s="2303"/>
      <c r="O95" s="2304">
        <v>30</v>
      </c>
      <c r="P95" s="2525" t="s">
        <v>6922</v>
      </c>
      <c r="Q95" s="2305">
        <v>18</v>
      </c>
      <c r="R95" s="3363"/>
      <c r="S95" s="3365"/>
      <c r="T95" s="3241"/>
      <c r="U95" s="3242"/>
      <c r="V95" s="3241"/>
      <c r="W95" s="3242"/>
      <c r="X95" s="270" t="n">
        <f>SUM('5층_부하량(월간_AVG)'!N96:P96)</f>
        <v>4.647416136143483</v>
      </c>
      <c r="Y95" s="270" t="n">
        <f>SUM('5층_부하량(월간_AVG)'!N126:P126)</f>
        <v>4.496556537529216</v>
      </c>
      <c r="Z95" s="2557" t="n">
        <f t="shared" ref="Z95:Z101" si="23">SUM(X95:Y95)</f>
        <v>9.1439726736727</v>
      </c>
      <c r="AA95" s="2850" t="n" cm="1">
        <f t="array" ref="AA95">INDEX('각층분기별_유효전력량(전월)'!F2:F2018,MATCH(1,("5-DaHall 1-PDU-03"='각층분기별_유효전력량(전월)'!D2:D2018)*("[branch#064] [A] kWh last month"='각층분기별_유효전력량(전월)'!E2:E2018),0))</f>
        <v>804.2</v>
      </c>
      <c r="AB95" s="2851" t="n" cm="1">
        <f t="array" ref="AB95">INDEX('각층분기별_유효전력량(전월)'!F2:F2018,MATCH(1,("5-DaHall 1-PDU-04"='각층분기별_유효전력량(전월)'!D2:D2018)*("[branch#064] [A] kWh last month"='각층분기별_유효전력량(전월)'!E2:E2018),0))</f>
        <v>776.1</v>
      </c>
      <c r="AC95" s="2586" t="n">
        <f>SUM(AA95:AB95)</f>
        <v>1580.3000000000002</v>
      </c>
      <c r="AD95" s="2574"/>
      <c r="AH95" s="2470"/>
    </row>
    <row r="96" spans="1:34" x14ac:dyDescent="0.15">
      <c r="A96" s="2789" t="s">
        <v>1971</v>
      </c>
      <c r="B96" s="2775" t="s">
        <v>3210</v>
      </c>
      <c r="C96" s="2778" t="s">
        <v>3190</v>
      </c>
      <c r="D96" s="2775"/>
      <c r="E96" s="2775"/>
      <c r="F96" s="2799"/>
      <c r="G96" s="2798"/>
      <c r="H96" s="2298" t="str">
        <f t="shared" si="9"/>
        <v>5-DaHall1-PDU-03-30-20</v>
      </c>
      <c r="I96" s="2299" t="str">
        <f t="shared" si="17"/>
        <v>5-DaHall1-PDU-04-30-20</v>
      </c>
      <c r="J96" s="2300"/>
      <c r="K96" s="2301">
        <v>30</v>
      </c>
      <c r="L96" s="2499" t="s">
        <v>6927</v>
      </c>
      <c r="M96" s="2302">
        <v>20</v>
      </c>
      <c r="N96" s="2303"/>
      <c r="O96" s="2304">
        <v>30</v>
      </c>
      <c r="P96" s="2525" t="s">
        <v>6922</v>
      </c>
      <c r="Q96" s="2305">
        <v>20</v>
      </c>
      <c r="R96" s="3363"/>
      <c r="S96" s="3365"/>
      <c r="T96" s="3241"/>
      <c r="U96" s="3242"/>
      <c r="V96" s="3241"/>
      <c r="W96" s="3242"/>
      <c r="X96" s="270" t="n">
        <f>SUM('5층_부하량(월간_AVG)'!N97:P97)</f>
        <v>2.8040721877035906</v>
      </c>
      <c r="Y96" s="270" t="n">
        <f>SUM('5층_부하량(월간_AVG)'!N127:P127)</f>
        <v>1.84413171977286</v>
      </c>
      <c r="Z96" s="2557" t="n">
        <f t="shared" si="23"/>
        <v>4.64820390747645</v>
      </c>
      <c r="AA96" s="2850" t="n" cm="1">
        <f t="array" ref="AA96">INDEX('각층분기별_유효전력량(전월)'!F2:F2018,MATCH(1,("5-DaHall 1-PDU-03"='각층분기별_유효전력량(전월)'!D2:D2018)*("[branch#065] [A] kWh last month"='각층분기별_유효전력량(전월)'!E2:E2018),0))</f>
        <v>402.9</v>
      </c>
      <c r="AB96" s="2851" t="n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402.9</v>
      </c>
      <c r="AC96" s="2586" t="n">
        <f t="shared" ref="AC96:AC109" si="24">SUM(AA96:AB96)</f>
        <v>805.8</v>
      </c>
      <c r="AD96" s="2574"/>
      <c r="AH96" s="2470"/>
    </row>
    <row r="97" spans="1:35" x14ac:dyDescent="0.15">
      <c r="A97" s="2789" t="s">
        <v>1977</v>
      </c>
      <c r="B97" s="2775" t="s">
        <v>3211</v>
      </c>
      <c r="C97" s="2784" t="s">
        <v>3190</v>
      </c>
      <c r="D97" s="2765"/>
      <c r="E97" s="2765"/>
      <c r="F97" s="2785"/>
      <c r="G97" s="2786"/>
      <c r="H97" s="1666" t="str">
        <f t="shared" si="9"/>
        <v>5-DaHall1-PDU-03-30-22</v>
      </c>
      <c r="I97" s="1667" t="str">
        <f t="shared" si="17"/>
        <v>5-DaHall1-PDU-04-30-22</v>
      </c>
      <c r="J97" s="1629"/>
      <c r="K97" s="1630">
        <v>30</v>
      </c>
      <c r="L97" s="2483" t="s">
        <v>6927</v>
      </c>
      <c r="M97" s="1631">
        <v>22</v>
      </c>
      <c r="N97" s="1632"/>
      <c r="O97" s="1633">
        <v>30</v>
      </c>
      <c r="P97" s="2515" t="s">
        <v>6922</v>
      </c>
      <c r="Q97" s="1634">
        <v>22</v>
      </c>
      <c r="R97" s="3363"/>
      <c r="S97" s="3365"/>
      <c r="T97" s="3241"/>
      <c r="U97" s="3242"/>
      <c r="V97" s="3241"/>
      <c r="W97" s="3242"/>
      <c r="X97" s="270" t="n">
        <f>SUM('5층_부하량(월간_AVG)'!N98:P98)</f>
        <v>3.3988581577840096</v>
      </c>
      <c r="Y97" s="270" t="n">
        <f>SUM('5층_부하량(월간_AVG)'!N128:P128)</f>
        <v>4.7165906482028985</v>
      </c>
      <c r="Z97" s="2557" t="n">
        <f t="shared" si="23"/>
        <v>8.115448805986908</v>
      </c>
      <c r="AA97" s="2850" t="n" cm="1">
        <f t="array" ref="AA97">INDEX('각층분기별_유효전력량(전월)'!F2:F2018,MATCH(1,("5-DaHall 1-PDU-03"='각층분기별_유효전력량(전월)'!D2:D2018)*("[branch#066] [A] kWh last month"='각층분기별_유효전력량(전월)'!E2:E2018),0))</f>
        <v>461.9</v>
      </c>
      <c r="AB97" s="2851" t="n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461.9</v>
      </c>
      <c r="AC97" s="2586" t="n">
        <f t="shared" si="24"/>
        <v>923.8</v>
      </c>
      <c r="AD97" s="2574"/>
      <c r="AH97" s="2470"/>
    </row>
    <row r="98" spans="1:35" ht="14.25" thickBot="1" x14ac:dyDescent="0.2">
      <c r="A98" s="2787" t="s">
        <v>1983</v>
      </c>
      <c r="B98" s="2780" t="s">
        <v>3212</v>
      </c>
      <c r="C98" s="2809" t="s">
        <v>3190</v>
      </c>
      <c r="D98" s="2780"/>
      <c r="E98" s="2780"/>
      <c r="F98" s="2796"/>
      <c r="G98" s="2797"/>
      <c r="H98" s="1668" t="str">
        <f t="shared" ref="H98:H101" si="25">"5-DaHall1-PDU-"&amp;L98&amp;"-"&amp;K98&amp;"-"&amp;M98</f>
        <v>5-DaHall1-PDU-03-30-24</v>
      </c>
      <c r="I98" s="1669" t="str">
        <f t="shared" si="17"/>
        <v>5-DaHall1-PDU-04-30-24</v>
      </c>
      <c r="J98" s="1639"/>
      <c r="K98" s="1640">
        <v>30</v>
      </c>
      <c r="L98" s="2484" t="s">
        <v>6927</v>
      </c>
      <c r="M98" s="1641">
        <v>24</v>
      </c>
      <c r="N98" s="1642"/>
      <c r="O98" s="1643">
        <v>30</v>
      </c>
      <c r="P98" s="2516" t="s">
        <v>6922</v>
      </c>
      <c r="Q98" s="1644">
        <v>24</v>
      </c>
      <c r="R98" s="3363"/>
      <c r="S98" s="3365"/>
      <c r="T98" s="3241"/>
      <c r="U98" s="3242"/>
      <c r="V98" s="3241"/>
      <c r="W98" s="3242"/>
      <c r="X98" s="335" t="n">
        <f>SUM('5층_부하량(월간_AVG)'!N99:P99)</f>
        <v>0.0</v>
      </c>
      <c r="Y98" s="335" t="n">
        <f>SUM('5층_부하량(월간_AVG)'!N129:P129)</f>
        <v>0.0</v>
      </c>
      <c r="Z98" s="2558" t="n">
        <f t="shared" si="23"/>
        <v>0.0</v>
      </c>
      <c r="AA98" s="2856" t="n" cm="1">
        <f t="array" ref="AA98">INDEX('각층분기별_유효전력량(전월)'!F2:F2018,MATCH(1,("5-DaHall 1-PDU-03"='각층분기별_유효전력량(전월)'!D2:D2018)*("[branch#067] [A] kWh last month"='각층분기별_유효전력량(전월)'!E2:E2018),0))</f>
        <v>0.0</v>
      </c>
      <c r="AB98" s="2857" t="n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0.0</v>
      </c>
      <c r="AC98" s="2587" t="n">
        <f t="shared" si="24"/>
        <v>0.0</v>
      </c>
      <c r="AD98" s="2575"/>
      <c r="AH98" s="2470"/>
    </row>
    <row r="99" spans="1:35" ht="14.25" thickTop="1" x14ac:dyDescent="0.15">
      <c r="A99" s="2789" t="s">
        <v>374</v>
      </c>
      <c r="B99" s="2775" t="s">
        <v>3213</v>
      </c>
      <c r="C99" s="2778" t="s">
        <v>3190</v>
      </c>
      <c r="D99" s="2775"/>
      <c r="E99" s="2775"/>
      <c r="F99" s="2799"/>
      <c r="G99" s="2798"/>
      <c r="H99" s="2298" t="str">
        <f t="shared" si="25"/>
        <v>5-DaHall1-PDU-03-30-26</v>
      </c>
      <c r="I99" s="2299" t="str">
        <f t="shared" si="17"/>
        <v>5-DaHall1-PDU-04-30-26</v>
      </c>
      <c r="J99" s="2300"/>
      <c r="K99" s="2301">
        <v>30</v>
      </c>
      <c r="L99" s="2499" t="s">
        <v>6927</v>
      </c>
      <c r="M99" s="2302">
        <v>26</v>
      </c>
      <c r="N99" s="2303"/>
      <c r="O99" s="2304">
        <v>30</v>
      </c>
      <c r="P99" s="2525" t="s">
        <v>6922</v>
      </c>
      <c r="Q99" s="2305">
        <v>26</v>
      </c>
      <c r="R99" s="3363"/>
      <c r="S99" s="3365"/>
      <c r="T99" s="3241"/>
      <c r="U99" s="3242"/>
      <c r="V99" s="3241"/>
      <c r="W99" s="3242"/>
      <c r="X99" s="2324" t="n">
        <f>SUM('5층_부하량(월간_AVG)'!N100:P100)</f>
        <v>0.0</v>
      </c>
      <c r="Y99" s="842" t="n">
        <f>SUM('5층_부하량(월간_AVG)'!N130:P130)</f>
        <v>0.0</v>
      </c>
      <c r="Z99" s="2565" t="n">
        <f t="shared" si="23"/>
        <v>0.0</v>
      </c>
      <c r="AA99" s="2872" t="n" cm="1">
        <f t="array" ref="AA99">INDEX('각층분기별_유효전력량(전월)'!F2:F2018,MATCH(1,("5-DaHall 1-PDU-03"='각층분기별_유효전력량(전월)'!D2:D2018)*("[branch#068] [A] kWh last month"='각층분기별_유효전력량(전월)'!E2:E2018),0))</f>
        <v>0.0</v>
      </c>
      <c r="AB99" s="2873" t="n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0.0</v>
      </c>
      <c r="AC99" s="2595" t="n">
        <f t="shared" si="24"/>
        <v>0.0</v>
      </c>
      <c r="AD99" s="2630"/>
      <c r="AH99" s="2470"/>
    </row>
    <row r="100" spans="1:35" x14ac:dyDescent="0.15">
      <c r="A100" s="2253" t="s">
        <v>370</v>
      </c>
      <c r="B100" s="2765" t="s">
        <v>3214</v>
      </c>
      <c r="C100" s="2784" t="s">
        <v>3190</v>
      </c>
      <c r="D100" s="2765"/>
      <c r="E100" s="2765"/>
      <c r="F100" s="2785"/>
      <c r="G100" s="2786"/>
      <c r="H100" s="1666" t="str">
        <f t="shared" si="25"/>
        <v>5-DaHall1-PDU-03-30-28</v>
      </c>
      <c r="I100" s="1667" t="str">
        <f t="shared" si="17"/>
        <v>5-DaHall1-PDU-04-30-28</v>
      </c>
      <c r="J100" s="1629"/>
      <c r="K100" s="1630">
        <v>30</v>
      </c>
      <c r="L100" s="2483" t="s">
        <v>6927</v>
      </c>
      <c r="M100" s="1631">
        <v>28</v>
      </c>
      <c r="N100" s="1632"/>
      <c r="O100" s="1633">
        <v>30</v>
      </c>
      <c r="P100" s="2515" t="s">
        <v>6922</v>
      </c>
      <c r="Q100" s="1634">
        <v>28</v>
      </c>
      <c r="R100" s="3363"/>
      <c r="S100" s="3365"/>
      <c r="T100" s="3241"/>
      <c r="U100" s="3242"/>
      <c r="V100" s="3241"/>
      <c r="W100" s="3242"/>
      <c r="X100" s="270" t="n">
        <f>SUM('5층_부하량(월간_AVG)'!N101:P101)</f>
        <v>0.0</v>
      </c>
      <c r="Y100" s="270" t="n">
        <f>SUM('5층_부하량(월간_AVG)'!N131:P131)</f>
        <v>0.0</v>
      </c>
      <c r="Z100" s="2557" t="n">
        <f t="shared" si="23"/>
        <v>0.0</v>
      </c>
      <c r="AA100" s="2850" t="n" cm="1">
        <f t="array" ref="AA100">INDEX('각층분기별_유효전력량(전월)'!F2:F2018,MATCH(1,("5-DaHall 1-PDU-03"='각층분기별_유효전력량(전월)'!D2:D2018)*("[branch#069] [A] kWh last month"='각층분기별_유효전력량(전월)'!E2:E2018),0))</f>
        <v>0.0</v>
      </c>
      <c r="AB100" s="2851" t="n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0.0</v>
      </c>
      <c r="AC100" s="2586" t="n">
        <f t="shared" si="24"/>
        <v>0.0</v>
      </c>
      <c r="AD100" s="2574"/>
      <c r="AH100" s="2470"/>
    </row>
    <row r="101" spans="1:35" ht="14.25" thickBot="1" x14ac:dyDescent="0.2">
      <c r="A101" s="2254" t="s">
        <v>366</v>
      </c>
      <c r="B101" s="2780" t="s">
        <v>3215</v>
      </c>
      <c r="C101" s="2809" t="s">
        <v>3190</v>
      </c>
      <c r="D101" s="2780"/>
      <c r="E101" s="2780"/>
      <c r="F101" s="2796"/>
      <c r="G101" s="2797"/>
      <c r="H101" s="1668" t="str">
        <f t="shared" si="25"/>
        <v>5-DaHall1-PDU-03-30-30</v>
      </c>
      <c r="I101" s="1669" t="str">
        <f t="shared" si="17"/>
        <v>5-DaHall1-PDU-04-30-30</v>
      </c>
      <c r="J101" s="1639"/>
      <c r="K101" s="1640">
        <v>30</v>
      </c>
      <c r="L101" s="2484" t="s">
        <v>6927</v>
      </c>
      <c r="M101" s="1641">
        <v>30</v>
      </c>
      <c r="N101" s="1642"/>
      <c r="O101" s="1643">
        <v>30</v>
      </c>
      <c r="P101" s="2516" t="s">
        <v>6922</v>
      </c>
      <c r="Q101" s="1644">
        <v>30</v>
      </c>
      <c r="R101" s="3364"/>
      <c r="S101" s="3366"/>
      <c r="T101" s="3247"/>
      <c r="U101" s="3248"/>
      <c r="V101" s="3247"/>
      <c r="W101" s="3248"/>
      <c r="X101" s="335" t="n">
        <f>SUM('5층_부하량(월간_AVG)'!N102:P102)</f>
        <v>0.0</v>
      </c>
      <c r="Y101" s="270" t="n">
        <f>SUM('5층_부하량(월간_AVG)'!N132:P132)</f>
        <v>0.0</v>
      </c>
      <c r="Z101" s="2558" t="n">
        <f t="shared" si="23"/>
        <v>0.0</v>
      </c>
      <c r="AA101" s="2856" t="n" cm="1">
        <f t="array" ref="AA101">INDEX('각층분기별_유효전력량(전월)'!F2:F2018,MATCH(1,("5-DaHall 1-PDU-03"='각층분기별_유효전력량(전월)'!D2:D2018)*("[branch#070] [A] kWh last month"='각층분기별_유효전력량(전월)'!E2:E2018),0))</f>
        <v>0.0</v>
      </c>
      <c r="AB101" s="2857" t="n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0.0</v>
      </c>
      <c r="AC101" s="2587" t="n">
        <f t="shared" si="24"/>
        <v>0.0</v>
      </c>
      <c r="AD101" s="2575"/>
      <c r="AF101" s="1402" t="n">
        <f>SUM(AA70:AA101)/1000</f>
        <v>9.4526</v>
      </c>
      <c r="AH101" s="2470"/>
      <c r="AI101" s="2470"/>
    </row>
    <row r="102" spans="1:35" ht="42" thickTop="1" thickBot="1" x14ac:dyDescent="0.2">
      <c r="A102" s="2776" t="s">
        <v>3174</v>
      </c>
      <c r="B102" s="1410" t="s">
        <v>3175</v>
      </c>
      <c r="C102" s="1411" t="s">
        <v>3176</v>
      </c>
      <c r="D102" s="2788" t="s">
        <v>3177</v>
      </c>
      <c r="E102" s="2788" t="s">
        <v>3178</v>
      </c>
      <c r="F102" s="1412" t="s">
        <v>3179</v>
      </c>
      <c r="G102" s="2781" t="s">
        <v>3180</v>
      </c>
      <c r="H102" s="1670" t="str">
        <f>"5-DaHall1-PDU-"&amp;L102&amp;"-"&amp;K102&amp;"-"&amp;M102</f>
        <v>5-DaHall1-PDU-01-30-46</v>
      </c>
      <c r="I102" s="1671" t="str">
        <f>"5-DaHall1-PDU-"&amp;P102&amp;"-"&amp;O102&amp;"-"&amp;Q102</f>
        <v>5-DaHall1-PDU-02-30-46</v>
      </c>
      <c r="J102" s="1672">
        <v>220</v>
      </c>
      <c r="K102" s="1673">
        <v>30</v>
      </c>
      <c r="L102" s="2481" t="s">
        <v>6925</v>
      </c>
      <c r="M102" s="1674">
        <v>46</v>
      </c>
      <c r="N102" s="1675">
        <v>220</v>
      </c>
      <c r="O102" s="1676">
        <v>30</v>
      </c>
      <c r="P102" s="2513" t="s">
        <v>6920</v>
      </c>
      <c r="Q102" s="1677">
        <v>46</v>
      </c>
      <c r="R102" s="1412" t="s">
        <v>3181</v>
      </c>
      <c r="S102" s="2781" t="s">
        <v>3182</v>
      </c>
      <c r="T102" s="2762" t="s">
        <v>3183</v>
      </c>
      <c r="U102" s="2755" t="s">
        <v>3184</v>
      </c>
      <c r="V102" s="2762" t="s">
        <v>2820</v>
      </c>
      <c r="W102" s="2755" t="s">
        <v>2821</v>
      </c>
      <c r="X102" s="1403" t="n">
        <f>SUM('5층_부하량(월간_AVG)'!N50:P50)</f>
        <v>0.6153702065407523</v>
      </c>
      <c r="Y102" s="1403" t="n">
        <f>SUM('5층_부하량(월간_AVG)'!N80:P80)</f>
        <v>0.6574806847152386</v>
      </c>
      <c r="Z102" s="2598" t="n">
        <f>SUM(X102:Y102)</f>
        <v>1.2728508912559908</v>
      </c>
      <c r="AA102" s="2884" t="n" cm="1">
        <f t="array" ref="AA102">INDEX('각층분기별_유효전력량(전월)'!F2:F2018,MATCH(1,("5-DaHall 1-PDU-01"='각층분기별_유효전력량(전월)'!D2:D2018)*("[branch#078] [A] kWh last month"='각층분기별_유효전력량(전월)'!E2:E2018),0))</f>
        <v>77.2</v>
      </c>
      <c r="AB102" s="2885" t="n" cm="1">
        <f t="array" ref="AB102">INDEX('각층분기별_유효전력량(전월)'!F2:F2018,MATCH(1,("5-DaHall 1-PDU-02"='각층분기별_유효전력량(전월)'!D2:D2018)*("[branch#078] [A] kWh last month"='각층분기별_유효전력량(전월)'!E2:E2018),0))</f>
        <v>86.5</v>
      </c>
      <c r="AC102" s="2647" t="n">
        <f t="shared" si="24"/>
        <v>163.7</v>
      </c>
      <c r="AD102" s="2629" t="s">
        <v>3185</v>
      </c>
      <c r="AH102" s="2470"/>
    </row>
    <row r="103" spans="1:35" ht="27.75" thickTop="1" x14ac:dyDescent="0.15">
      <c r="A103" s="1105"/>
      <c r="B103" s="331" t="s">
        <v>3216</v>
      </c>
      <c r="C103" s="991"/>
      <c r="D103" s="331" t="s">
        <v>3217</v>
      </c>
      <c r="E103" s="331" t="s">
        <v>3218</v>
      </c>
      <c r="F103" s="2793" t="s">
        <v>3219</v>
      </c>
      <c r="G103" s="2794" t="s">
        <v>3220</v>
      </c>
      <c r="H103" s="1678" t="str">
        <f t="shared" ref="H103:H109" si="26">"5-DaHall1-PDU-"&amp;L103&amp;"-"&amp;K103&amp;"-"&amp;M103</f>
        <v>5-DaHall1-PDU-03-30-5</v>
      </c>
      <c r="I103" s="1679" t="str">
        <f t="shared" ref="I103:I109" si="27">"5-DaHall1-PDU-"&amp;P103&amp;"-"&amp;O103&amp;"-"&amp;Q103</f>
        <v>5-DaHall1-PDU-04-30-5</v>
      </c>
      <c r="J103" s="1623">
        <v>220</v>
      </c>
      <c r="K103" s="1624">
        <v>30</v>
      </c>
      <c r="L103" s="2482" t="s">
        <v>6927</v>
      </c>
      <c r="M103" s="1625">
        <v>5</v>
      </c>
      <c r="N103" s="1626">
        <v>220</v>
      </c>
      <c r="O103" s="1627">
        <v>30</v>
      </c>
      <c r="P103" s="2514" t="s">
        <v>6922</v>
      </c>
      <c r="Q103" s="1628">
        <v>5</v>
      </c>
      <c r="R103" s="3444" t="s">
        <v>3221</v>
      </c>
      <c r="S103" s="3447" t="s">
        <v>3222</v>
      </c>
      <c r="T103" s="3233" t="s">
        <v>3223</v>
      </c>
      <c r="U103" s="3245" t="s">
        <v>3224</v>
      </c>
      <c r="V103" s="3233" t="s">
        <v>2820</v>
      </c>
      <c r="W103" s="3245" t="s">
        <v>2821</v>
      </c>
      <c r="X103" s="332" t="n">
        <f>SUM('5층_부하량(월간_AVG)'!D90:F90)</f>
        <v>0.0</v>
      </c>
      <c r="Y103" s="332" t="n">
        <f>SUM('5층_부하량(월간_AVG)'!D120:F120)</f>
        <v>0.0</v>
      </c>
      <c r="Z103" s="2560" t="n">
        <f t="shared" ref="Z103:Z109" si="28">SUM(X103:Y103)</f>
        <v>0.0</v>
      </c>
      <c r="AA103" s="2848" t="n" cm="1">
        <f t="array" ref="AA103">INDEX('각층분기별_유효전력량(전월)'!F2:F2018,MATCH(1,("5-DaHall 1-PDU-03"='각층분기별_유효전력량(전월)'!D2:D2018)*("[branch#004] [A] kWh last month"='각층분기별_유효전력량(전월)'!E2:E2018),0))</f>
        <v>0.0</v>
      </c>
      <c r="AB103" s="2849" t="n" cm="1">
        <f t="array" ref="AB103">INDEX('각층분기별_유효전력량(전월)'!F2:F2018,MATCH(1,("5-DaHall 1-PDU-04"='각층분기별_유효전력량(전월)'!D2:D2018)*("[branch#004] [A] kWh last month"='각층분기별_유효전력량(전월)'!E2:E2018),0))</f>
        <v>0.0</v>
      </c>
      <c r="AC103" s="2589" t="n">
        <f t="shared" si="24"/>
        <v>0.0</v>
      </c>
      <c r="AD103" s="2576"/>
      <c r="AH103" s="2470"/>
    </row>
    <row r="104" spans="1:35" ht="27" x14ac:dyDescent="0.15">
      <c r="A104" s="2769"/>
      <c r="B104" s="2765" t="s">
        <v>3225</v>
      </c>
      <c r="C104" s="2784"/>
      <c r="D104" s="2765" t="s">
        <v>3226</v>
      </c>
      <c r="E104" s="2765" t="s">
        <v>3227</v>
      </c>
      <c r="F104" s="2785" t="s">
        <v>3228</v>
      </c>
      <c r="G104" s="2786" t="s">
        <v>3229</v>
      </c>
      <c r="H104" s="1666" t="str">
        <f t="shared" si="26"/>
        <v>5-DaHall1-PDU-03-30-7</v>
      </c>
      <c r="I104" s="1667" t="str">
        <f t="shared" si="27"/>
        <v>5-DaHall1-PDU-04-30-7</v>
      </c>
      <c r="J104" s="1629">
        <v>220</v>
      </c>
      <c r="K104" s="1630">
        <v>30</v>
      </c>
      <c r="L104" s="2483" t="s">
        <v>6927</v>
      </c>
      <c r="M104" s="1631">
        <v>7</v>
      </c>
      <c r="N104" s="1632">
        <v>220</v>
      </c>
      <c r="O104" s="1633">
        <v>30</v>
      </c>
      <c r="P104" s="2515" t="s">
        <v>6922</v>
      </c>
      <c r="Q104" s="1634">
        <v>7</v>
      </c>
      <c r="R104" s="3445"/>
      <c r="S104" s="3448"/>
      <c r="T104" s="3450"/>
      <c r="U104" s="3452"/>
      <c r="V104" s="3450"/>
      <c r="W104" s="3452"/>
      <c r="X104" s="255" t="n">
        <f>SUM('5층_부하량(월간_AVG)'!D91:F91)</f>
        <v>0.0</v>
      </c>
      <c r="Y104" s="255" t="n">
        <f>SUM('5층_부하량(월간_AVG)'!D121:F121)</f>
        <v>0.0</v>
      </c>
      <c r="Z104" s="2557" t="n">
        <f t="shared" si="28"/>
        <v>0.0</v>
      </c>
      <c r="AA104" s="2850" t="n" cm="1">
        <f t="array" ref="AA104">INDEX('각층분기별_유효전력량(전월)'!F2:F2018,MATCH(1,("5-DaHall 1-PDU-03"='각층분기별_유효전력량(전월)'!D2:D2018)*("[branch#005] [A] kWh last month"='각층분기별_유효전력량(전월)'!E2:E2018),0))</f>
        <v>0.0</v>
      </c>
      <c r="AB104" s="2851" t="n" cm="1">
        <f t="array" ref="AB104">INDEX('각층분기별_유효전력량(전월)'!F2:F2018,MATCH(1,("5-DaHall 1-PDU-04"='각층분기별_유효전력량(전월)'!D2:D2018)*("[branch#005] [A] kWh last month"='각층분기별_유효전력량(전월)'!E2:E2018),0))</f>
        <v>0.0</v>
      </c>
      <c r="AC104" s="2586" t="n">
        <f t="shared" si="24"/>
        <v>0.0</v>
      </c>
      <c r="AD104" s="2574"/>
      <c r="AH104" s="2470"/>
    </row>
    <row r="105" spans="1:35" ht="27" x14ac:dyDescent="0.15">
      <c r="A105" s="2769"/>
      <c r="B105" s="2765" t="s">
        <v>3230</v>
      </c>
      <c r="C105" s="2784"/>
      <c r="D105" s="2765" t="s">
        <v>3231</v>
      </c>
      <c r="E105" s="2765" t="s">
        <v>3232</v>
      </c>
      <c r="F105" s="2785" t="s">
        <v>3233</v>
      </c>
      <c r="G105" s="2786" t="s">
        <v>3234</v>
      </c>
      <c r="H105" s="1666" t="str">
        <f t="shared" si="26"/>
        <v>5-DaHall1-PDU-03-30-9</v>
      </c>
      <c r="I105" s="1667" t="str">
        <f t="shared" si="27"/>
        <v>5-DaHall1-PDU-04-30-9</v>
      </c>
      <c r="J105" s="1629">
        <v>220</v>
      </c>
      <c r="K105" s="1630">
        <v>30</v>
      </c>
      <c r="L105" s="2483" t="s">
        <v>6927</v>
      </c>
      <c r="M105" s="1631">
        <v>9</v>
      </c>
      <c r="N105" s="1632">
        <v>220</v>
      </c>
      <c r="O105" s="1633">
        <v>30</v>
      </c>
      <c r="P105" s="2515" t="s">
        <v>6922</v>
      </c>
      <c r="Q105" s="1634">
        <v>9</v>
      </c>
      <c r="R105" s="3445"/>
      <c r="S105" s="3448"/>
      <c r="T105" s="3450"/>
      <c r="U105" s="3452"/>
      <c r="V105" s="3450"/>
      <c r="W105" s="3452"/>
      <c r="X105" s="255" t="n">
        <f>SUM('5층_부하량(월간_AVG)'!D92:F92)</f>
        <v>0.0</v>
      </c>
      <c r="Y105" s="255" t="n">
        <f>SUM('5층_부하량(월간_AVG)'!D122:F122)</f>
        <v>0.0</v>
      </c>
      <c r="Z105" s="2557" t="n">
        <f t="shared" si="28"/>
        <v>0.0</v>
      </c>
      <c r="AA105" s="2850" t="n" cm="1">
        <f t="array" ref="AA105">INDEX('각층분기별_유효전력량(전월)'!F2:F2018,MATCH(1,("5-DaHall 1-PDU-03"='각층분기별_유효전력량(전월)'!D2:D2018)*("[branch#006] [A] kWh last month"='각층분기별_유효전력량(전월)'!E2:E2018),0))</f>
        <v>0.0</v>
      </c>
      <c r="AB105" s="2851" t="n" cm="1">
        <f t="array" ref="AB105">INDEX('각층분기별_유효전력량(전월)'!F2:F2018,MATCH(1,("5-DaHall 1-PDU-04"='각층분기별_유효전력량(전월)'!D2:D2018)*("[branch#006] [A] kWh last month"='각층분기별_유효전력량(전월)'!E2:E2018),0))</f>
        <v>0.0</v>
      </c>
      <c r="AC105" s="2586" t="n">
        <f t="shared" si="24"/>
        <v>0.0</v>
      </c>
      <c r="AD105" s="2574"/>
      <c r="AH105" s="2470"/>
    </row>
    <row r="106" spans="1:35" ht="27" x14ac:dyDescent="0.15">
      <c r="A106" s="2769"/>
      <c r="B106" s="2765" t="s">
        <v>3235</v>
      </c>
      <c r="C106" s="2784"/>
      <c r="D106" s="2765" t="s">
        <v>3236</v>
      </c>
      <c r="E106" s="2765" t="s">
        <v>3237</v>
      </c>
      <c r="F106" s="2785" t="s">
        <v>3238</v>
      </c>
      <c r="G106" s="2786" t="s">
        <v>3239</v>
      </c>
      <c r="H106" s="1666" t="str">
        <f t="shared" si="26"/>
        <v>5-DaHall1-PDU-03-30-11</v>
      </c>
      <c r="I106" s="1667" t="str">
        <f t="shared" si="27"/>
        <v>5-DaHall1-PDU-04-30-11</v>
      </c>
      <c r="J106" s="1629">
        <v>220</v>
      </c>
      <c r="K106" s="1630">
        <v>30</v>
      </c>
      <c r="L106" s="2483" t="s">
        <v>6927</v>
      </c>
      <c r="M106" s="1631">
        <v>11</v>
      </c>
      <c r="N106" s="1632">
        <v>220</v>
      </c>
      <c r="O106" s="1633">
        <v>30</v>
      </c>
      <c r="P106" s="2515" t="s">
        <v>6922</v>
      </c>
      <c r="Q106" s="1634">
        <v>11</v>
      </c>
      <c r="R106" s="3445"/>
      <c r="S106" s="3448"/>
      <c r="T106" s="3450"/>
      <c r="U106" s="3452"/>
      <c r="V106" s="3450"/>
      <c r="W106" s="3452"/>
      <c r="X106" s="255" t="n">
        <f>SUM('5층_부하량(월간_AVG)'!D93:F93)</f>
        <v>0.0</v>
      </c>
      <c r="Y106" s="255" t="n">
        <f>SUM('5층_부하량(월간_AVG)'!D123:F123)</f>
        <v>0.0</v>
      </c>
      <c r="Z106" s="2557" t="n">
        <f t="shared" si="28"/>
        <v>0.0</v>
      </c>
      <c r="AA106" s="2850" t="n" cm="1">
        <f t="array" ref="AA106">INDEX('각층분기별_유효전력량(전월)'!F2:F2018,MATCH(1,("5-DaHall 1-PDU-03"='각층분기별_유효전력량(전월)'!D2:D2018)*("[branch#007] [A] kWh last month"='각층분기별_유효전력량(전월)'!E2:E2018),0))</f>
        <v>0.0</v>
      </c>
      <c r="AB106" s="2851" t="n" cm="1">
        <f t="array" ref="AB106">INDEX('각층분기별_유효전력량(전월)'!F2:F2018,MATCH(1,("5-DaHall 1-PDU-04"='각층분기별_유효전력량(전월)'!D2:D2018)*("[branch#007] [A] kWh last month"='각층분기별_유효전력량(전월)'!E2:E2018),0))</f>
        <v>0.0</v>
      </c>
      <c r="AC106" s="2586" t="n">
        <f t="shared" si="24"/>
        <v>0.0</v>
      </c>
      <c r="AD106" s="2574"/>
      <c r="AH106" s="2470"/>
    </row>
    <row r="107" spans="1:35" ht="27" x14ac:dyDescent="0.15">
      <c r="A107" s="2769"/>
      <c r="B107" s="2765" t="s">
        <v>3241</v>
      </c>
      <c r="C107" s="2784"/>
      <c r="D107" s="2765" t="s">
        <v>3242</v>
      </c>
      <c r="E107" s="2765" t="s">
        <v>3243</v>
      </c>
      <c r="F107" s="2785" t="s">
        <v>3244</v>
      </c>
      <c r="G107" s="2786" t="s">
        <v>3245</v>
      </c>
      <c r="H107" s="1666" t="str">
        <f t="shared" si="26"/>
        <v>5-DaHall1-PDU-03-30-13</v>
      </c>
      <c r="I107" s="1667" t="str">
        <f t="shared" si="27"/>
        <v>5-DaHall1-PDU-04-30-13</v>
      </c>
      <c r="J107" s="1629">
        <v>220</v>
      </c>
      <c r="K107" s="1630">
        <v>30</v>
      </c>
      <c r="L107" s="2483" t="s">
        <v>6927</v>
      </c>
      <c r="M107" s="1631">
        <v>13</v>
      </c>
      <c r="N107" s="1632">
        <v>220</v>
      </c>
      <c r="O107" s="1633">
        <v>30</v>
      </c>
      <c r="P107" s="2515" t="s">
        <v>6922</v>
      </c>
      <c r="Q107" s="1634">
        <v>13</v>
      </c>
      <c r="R107" s="3445"/>
      <c r="S107" s="3448"/>
      <c r="T107" s="3450"/>
      <c r="U107" s="3452"/>
      <c r="V107" s="3450"/>
      <c r="W107" s="3452"/>
      <c r="X107" s="255" t="n">
        <f>SUM('5층_부하량(월간_AVG)'!D94:F94)</f>
        <v>0.0</v>
      </c>
      <c r="Y107" s="255" t="n">
        <f>SUM('5층_부하량(월간_AVG)'!D124:F124)</f>
        <v>0.0</v>
      </c>
      <c r="Z107" s="2557" t="n">
        <f t="shared" si="28"/>
        <v>0.0</v>
      </c>
      <c r="AA107" s="2850" t="n" cm="1">
        <f t="array" ref="AA107">INDEX('각층분기별_유효전력량(전월)'!F2:F2018,MATCH(1,("5-DaHall 1-PDU-03"='각층분기별_유효전력량(전월)'!D2:D2018)*("[branch#008] [A] kWh last month"='각층분기별_유효전력량(전월)'!E2:E2018),0))</f>
        <v>0.0</v>
      </c>
      <c r="AB107" s="2851" t="n" cm="1">
        <f t="array" ref="AB107">INDEX('각층분기별_유효전력량(전월)'!F2:F2018,MATCH(1,("5-DaHall 1-PDU-04"='각층분기별_유효전력량(전월)'!D2:D2018)*("[branch#008] [A] kWh last month"='각층분기별_유효전력량(전월)'!E2:E2018),0))</f>
        <v>0.0</v>
      </c>
      <c r="AC107" s="2586" t="n">
        <f t="shared" si="24"/>
        <v>0.0</v>
      </c>
      <c r="AD107" s="2574"/>
      <c r="AH107" s="2470"/>
    </row>
    <row r="108" spans="1:35" ht="27" x14ac:dyDescent="0.15">
      <c r="A108" s="2769"/>
      <c r="B108" s="2765" t="s">
        <v>3247</v>
      </c>
      <c r="C108" s="2784"/>
      <c r="D108" s="2765" t="s">
        <v>3248</v>
      </c>
      <c r="E108" s="2765" t="s">
        <v>3249</v>
      </c>
      <c r="F108" s="2785" t="s">
        <v>3250</v>
      </c>
      <c r="G108" s="2786" t="s">
        <v>3251</v>
      </c>
      <c r="H108" s="1666" t="str">
        <f t="shared" si="26"/>
        <v>5-DaHall1-PDU-03-30-15</v>
      </c>
      <c r="I108" s="1667" t="str">
        <f t="shared" si="27"/>
        <v>5-DaHall1-PDU-04-30-15</v>
      </c>
      <c r="J108" s="1629">
        <v>220</v>
      </c>
      <c r="K108" s="1630">
        <v>30</v>
      </c>
      <c r="L108" s="2483" t="s">
        <v>6927</v>
      </c>
      <c r="M108" s="1631">
        <v>15</v>
      </c>
      <c r="N108" s="1632">
        <v>220</v>
      </c>
      <c r="O108" s="1633">
        <v>30</v>
      </c>
      <c r="P108" s="2515" t="s">
        <v>6922</v>
      </c>
      <c r="Q108" s="1634">
        <v>15</v>
      </c>
      <c r="R108" s="3445"/>
      <c r="S108" s="3448"/>
      <c r="T108" s="3450"/>
      <c r="U108" s="3452"/>
      <c r="V108" s="3450"/>
      <c r="W108" s="3452"/>
      <c r="X108" s="255" t="n">
        <f>SUM('5층_부하량(월간_AVG)'!D95:F95)</f>
        <v>0.0</v>
      </c>
      <c r="Y108" s="255" t="n">
        <f>SUM('5층_부하량(월간_AVG)'!D125:F125)</f>
        <v>0.0</v>
      </c>
      <c r="Z108" s="2557" t="n">
        <f t="shared" si="28"/>
        <v>0.0</v>
      </c>
      <c r="AA108" s="2850" t="n" cm="1">
        <f t="array" ref="AA108">INDEX('각층분기별_유효전력량(전월)'!F2:F2018,MATCH(1,("5-DaHall 1-PDU-03"='각층분기별_유효전력량(전월)'!D2:D2018)*("[branch#009] [A] kWh last month"='각층분기별_유효전력량(전월)'!E2:E2018),0))</f>
        <v>0.0</v>
      </c>
      <c r="AB108" s="2851" t="n" cm="1">
        <f t="array" ref="AB108">INDEX('각층분기별_유효전력량(전월)'!F2:F2018,MATCH(1,("5-DaHall 1-PDU-04"='각층분기별_유효전력량(전월)'!D2:D2018)*("[branch#009] [A] kWh last month"='각층분기별_유효전력량(전월)'!E2:E2018),0))</f>
        <v>0.0</v>
      </c>
      <c r="AC108" s="2586" t="n">
        <f t="shared" si="24"/>
        <v>0.0</v>
      </c>
      <c r="AD108" s="2574"/>
      <c r="AH108" s="2470"/>
    </row>
    <row r="109" spans="1:35" ht="27" x14ac:dyDescent="0.15">
      <c r="A109" s="2769"/>
      <c r="B109" s="2765" t="s">
        <v>3252</v>
      </c>
      <c r="C109" s="2784"/>
      <c r="D109" s="2765" t="s">
        <v>3253</v>
      </c>
      <c r="E109" s="2765" t="s">
        <v>3254</v>
      </c>
      <c r="F109" s="2785" t="s">
        <v>3255</v>
      </c>
      <c r="G109" s="2786" t="s">
        <v>3256</v>
      </c>
      <c r="H109" s="1666" t="str">
        <f t="shared" si="26"/>
        <v>5-DaHall1-PDU-03-30-17</v>
      </c>
      <c r="I109" s="1667" t="str">
        <f t="shared" si="27"/>
        <v>5-DaHall1-PDU-04-30-17</v>
      </c>
      <c r="J109" s="1629">
        <v>220</v>
      </c>
      <c r="K109" s="1630">
        <v>30</v>
      </c>
      <c r="L109" s="2483" t="s">
        <v>6927</v>
      </c>
      <c r="M109" s="1631">
        <v>17</v>
      </c>
      <c r="N109" s="1632">
        <v>220</v>
      </c>
      <c r="O109" s="1633">
        <v>30</v>
      </c>
      <c r="P109" s="2515" t="s">
        <v>6922</v>
      </c>
      <c r="Q109" s="1634">
        <v>17</v>
      </c>
      <c r="R109" s="3446"/>
      <c r="S109" s="3449"/>
      <c r="T109" s="3451"/>
      <c r="U109" s="3453"/>
      <c r="V109" s="3451"/>
      <c r="W109" s="3453"/>
      <c r="X109" s="255" t="n">
        <f>SUM('5층_부하량(월간_AVG)'!D96:F96)</f>
        <v>0.0</v>
      </c>
      <c r="Y109" s="255" t="n">
        <f>SUM('5층_부하량(월간_AVG)'!D126:F126)</f>
        <v>0.0</v>
      </c>
      <c r="Z109" s="2557" t="n">
        <f t="shared" si="28"/>
        <v>0.0</v>
      </c>
      <c r="AA109" s="2850" t="n" cm="1">
        <f t="array" ref="AA109">INDEX('각층분기별_유효전력량(전월)'!F2:F2018,MATCH(1,("5-DaHall 1-PDU-03"='각층분기별_유효전력량(전월)'!D2:D2018)*("[branch#010] [A] kWh last month"='각층분기별_유효전력량(전월)'!E2:E2018),0))</f>
        <v>0.0</v>
      </c>
      <c r="AB109" s="2851" t="n" cm="1">
        <f t="array" ref="AB109">INDEX('각층분기별_유효전력량(전월)'!F2:F2018,MATCH(1,("5-DaHall 1-PDU-04"='각층분기별_유효전력량(전월)'!D2:D2018)*("[branch#010] [A] kWh last month"='각층분기별_유효전력량(전월)'!E2:E2018),0))</f>
        <v>0.0</v>
      </c>
      <c r="AC109" s="2586" t="n">
        <f t="shared" si="24"/>
        <v>0.0</v>
      </c>
      <c r="AD109" s="2574"/>
      <c r="AH109" s="2470"/>
    </row>
    <row r="110" spans="1:35" x14ac:dyDescent="0.15">
      <c r="A110" s="2769"/>
      <c r="B110" s="2834"/>
      <c r="C110" s="904"/>
      <c r="D110" s="2834"/>
      <c r="E110" s="2834"/>
      <c r="F110" s="2831"/>
      <c r="G110" s="2827"/>
      <c r="H110" s="1661"/>
      <c r="I110" s="1653"/>
      <c r="J110" s="1662"/>
      <c r="K110" s="1663"/>
      <c r="L110" s="2831"/>
      <c r="M110" s="1664"/>
      <c r="N110" s="1665"/>
      <c r="O110" s="1655"/>
      <c r="P110" s="2827"/>
      <c r="Q110" s="1656"/>
      <c r="R110" s="884"/>
      <c r="S110" s="885"/>
      <c r="T110" s="838"/>
      <c r="U110" s="839"/>
      <c r="V110" s="838"/>
      <c r="W110" s="839"/>
      <c r="X110" s="840"/>
      <c r="Y110" s="840"/>
      <c r="Z110" s="2564"/>
      <c r="AA110" s="2868"/>
      <c r="AB110" s="2869"/>
      <c r="AC110" s="2594"/>
      <c r="AD110" s="2636"/>
      <c r="AH110" s="2470"/>
    </row>
    <row r="111" spans="1:35" x14ac:dyDescent="0.15">
      <c r="A111" s="2769"/>
      <c r="B111" s="2834"/>
      <c r="C111" s="904"/>
      <c r="D111" s="2834"/>
      <c r="E111" s="2834"/>
      <c r="F111" s="2831"/>
      <c r="G111" s="2827"/>
      <c r="H111" s="1661"/>
      <c r="I111" s="1653"/>
      <c r="J111" s="1662"/>
      <c r="K111" s="1663"/>
      <c r="L111" s="2831"/>
      <c r="M111" s="1664"/>
      <c r="N111" s="1665"/>
      <c r="O111" s="1655"/>
      <c r="P111" s="2827"/>
      <c r="Q111" s="1656"/>
      <c r="R111" s="884"/>
      <c r="S111" s="885"/>
      <c r="T111" s="838"/>
      <c r="U111" s="839"/>
      <c r="V111" s="838"/>
      <c r="W111" s="839"/>
      <c r="X111" s="840"/>
      <c r="Y111" s="840"/>
      <c r="Z111" s="2564"/>
      <c r="AA111" s="2868"/>
      <c r="AB111" s="2869"/>
      <c r="AC111" s="2594"/>
      <c r="AD111" s="2636"/>
      <c r="AH111" s="2470"/>
    </row>
    <row r="112" spans="1:35" ht="14.25" thickBot="1" x14ac:dyDescent="0.2">
      <c r="A112" s="2779"/>
      <c r="B112" s="850"/>
      <c r="C112" s="995"/>
      <c r="D112" s="850"/>
      <c r="E112" s="850"/>
      <c r="F112" s="894"/>
      <c r="G112" s="895"/>
      <c r="H112" s="1680"/>
      <c r="I112" s="1681"/>
      <c r="J112" s="1682"/>
      <c r="K112" s="1683"/>
      <c r="L112" s="894"/>
      <c r="M112" s="1684"/>
      <c r="N112" s="1685"/>
      <c r="O112" s="1686"/>
      <c r="P112" s="895"/>
      <c r="Q112" s="1687"/>
      <c r="R112" s="888"/>
      <c r="S112" s="889"/>
      <c r="T112" s="851"/>
      <c r="U112" s="852"/>
      <c r="V112" s="851"/>
      <c r="W112" s="852"/>
      <c r="X112" s="853"/>
      <c r="Y112" s="853"/>
      <c r="Z112" s="2599"/>
      <c r="AA112" s="2886"/>
      <c r="AB112" s="2887"/>
      <c r="AC112" s="2593"/>
      <c r="AD112" s="2637"/>
      <c r="AH112" s="2470"/>
    </row>
    <row r="113" spans="1:34" ht="27.75" thickTop="1" x14ac:dyDescent="0.15">
      <c r="A113" s="1105"/>
      <c r="B113" s="331" t="s">
        <v>3257</v>
      </c>
      <c r="C113" s="991"/>
      <c r="D113" s="331" t="s">
        <v>3258</v>
      </c>
      <c r="E113" s="331" t="s">
        <v>3259</v>
      </c>
      <c r="F113" s="2793" t="s">
        <v>3260</v>
      </c>
      <c r="G113" s="2794" t="s">
        <v>3261</v>
      </c>
      <c r="H113" s="1678" t="str">
        <f>"5-DaHall1-PDU-"&amp;L113&amp;"-"&amp;K113&amp;"-"&amp;M113</f>
        <v>5-DaHall1-PDU-03-30-35</v>
      </c>
      <c r="I113" s="1679" t="str">
        <f>"5-DaHall1-PDU-"&amp;P113&amp;"-"&amp;O113&amp;"-"&amp;Q113</f>
        <v>5-DaHall1-PDU-04-30-35</v>
      </c>
      <c r="J113" s="1623">
        <v>220</v>
      </c>
      <c r="K113" s="1624">
        <v>30</v>
      </c>
      <c r="L113" s="2482" t="s">
        <v>6927</v>
      </c>
      <c r="M113" s="1625">
        <v>35</v>
      </c>
      <c r="N113" s="1626">
        <v>220</v>
      </c>
      <c r="O113" s="1627">
        <v>30</v>
      </c>
      <c r="P113" s="2514" t="s">
        <v>6922</v>
      </c>
      <c r="Q113" s="1628">
        <v>35</v>
      </c>
      <c r="R113" s="3444" t="s">
        <v>3221</v>
      </c>
      <c r="S113" s="3447" t="s">
        <v>3222</v>
      </c>
      <c r="T113" s="3233" t="s">
        <v>3223</v>
      </c>
      <c r="U113" s="3245" t="s">
        <v>3224</v>
      </c>
      <c r="V113" s="3233" t="s">
        <v>2820</v>
      </c>
      <c r="W113" s="3245" t="s">
        <v>2821</v>
      </c>
      <c r="X113" s="332" t="n">
        <f>SUM('5층_부하량(월간_AVG)'!D105:F105)</f>
        <v>0.0</v>
      </c>
      <c r="Y113" s="332" t="n">
        <f>SUM('5층_부하량(월간_AVG)'!D135:F135)</f>
        <v>0.0</v>
      </c>
      <c r="Z113" s="2560" t="n">
        <f t="shared" ref="Z113" si="29">SUM(X113:Y113)</f>
        <v>0.0</v>
      </c>
      <c r="AA113" s="2848" t="n" cm="1">
        <f t="array" ref="AA113">INDEX('각층분기별_유효전력량(전월)'!F2:F2018,MATCH(1,("5-DaHall 1-PDU-03"='각층분기별_유효전력량(전월)'!D2:D2018)*("[branch#019] [A] kWh last month"='각층분기별_유효전력량(전월)'!E2:E2018),0))</f>
        <v>0.0</v>
      </c>
      <c r="AB113" s="2849" t="n" cm="1">
        <f t="array" ref="AB113">INDEX('각층분기별_유효전력량(전월)'!F2:F2018,MATCH(1,("5-DaHall 1-PDU-04"='각층분기별_유효전력량(전월)'!D2:D2018)*("[branch#019] [A] kWh last month"='각층분기별_유효전력량(전월)'!E2:E2018),0))</f>
        <v>0.0</v>
      </c>
      <c r="AC113" s="2589" t="n">
        <f>SUM(AA113:AB113)</f>
        <v>0.0</v>
      </c>
      <c r="AD113" s="2576"/>
      <c r="AH113" s="2470"/>
    </row>
    <row r="114" spans="1:34" x14ac:dyDescent="0.15">
      <c r="A114" s="2769"/>
      <c r="B114" s="2765" t="s">
        <v>3262</v>
      </c>
      <c r="C114" s="1126"/>
      <c r="D114" s="2834"/>
      <c r="E114" s="2834"/>
      <c r="F114" s="1127"/>
      <c r="G114" s="1128"/>
      <c r="H114" s="1661"/>
      <c r="I114" s="1653"/>
      <c r="J114" s="1688"/>
      <c r="K114" s="1689"/>
      <c r="L114" s="1127"/>
      <c r="M114" s="1690"/>
      <c r="N114" s="1691"/>
      <c r="O114" s="1692"/>
      <c r="P114" s="1128"/>
      <c r="Q114" s="1693"/>
      <c r="R114" s="3445"/>
      <c r="S114" s="3448"/>
      <c r="T114" s="3450"/>
      <c r="U114" s="3452"/>
      <c r="V114" s="3450"/>
      <c r="W114" s="3452"/>
      <c r="X114" s="1133"/>
      <c r="Y114" s="1133"/>
      <c r="Z114" s="2600"/>
      <c r="AA114" s="2888"/>
      <c r="AB114" s="2889"/>
      <c r="AC114" s="2594"/>
      <c r="AD114" s="2638"/>
      <c r="AH114" s="2470"/>
    </row>
    <row r="115" spans="1:34" x14ac:dyDescent="0.15">
      <c r="A115" s="2769"/>
      <c r="B115" s="2765" t="s">
        <v>3263</v>
      </c>
      <c r="C115" s="1126"/>
      <c r="D115" s="2834"/>
      <c r="E115" s="2834"/>
      <c r="F115" s="1127"/>
      <c r="G115" s="1128"/>
      <c r="H115" s="1661"/>
      <c r="I115" s="1653"/>
      <c r="J115" s="1688"/>
      <c r="K115" s="1689"/>
      <c r="L115" s="1127"/>
      <c r="M115" s="1690"/>
      <c r="N115" s="1691"/>
      <c r="O115" s="1692"/>
      <c r="P115" s="1128"/>
      <c r="Q115" s="1693"/>
      <c r="R115" s="3445"/>
      <c r="S115" s="3448"/>
      <c r="T115" s="3450"/>
      <c r="U115" s="3452"/>
      <c r="V115" s="3450"/>
      <c r="W115" s="3452"/>
      <c r="X115" s="1133"/>
      <c r="Y115" s="1133"/>
      <c r="Z115" s="2600"/>
      <c r="AA115" s="2888"/>
      <c r="AB115" s="2889"/>
      <c r="AC115" s="2594"/>
      <c r="AD115" s="2638"/>
      <c r="AH115" s="2470"/>
    </row>
    <row r="116" spans="1:34" x14ac:dyDescent="0.15">
      <c r="A116" s="2769"/>
      <c r="B116" s="2765" t="s">
        <v>3264</v>
      </c>
      <c r="C116" s="1126"/>
      <c r="D116" s="2834"/>
      <c r="E116" s="2834"/>
      <c r="F116" s="1127"/>
      <c r="G116" s="1128"/>
      <c r="H116" s="1661"/>
      <c r="I116" s="1653"/>
      <c r="J116" s="1688"/>
      <c r="K116" s="1689"/>
      <c r="L116" s="1127"/>
      <c r="M116" s="1690"/>
      <c r="N116" s="1691"/>
      <c r="O116" s="1692"/>
      <c r="P116" s="1128"/>
      <c r="Q116" s="1693"/>
      <c r="R116" s="3445"/>
      <c r="S116" s="3448"/>
      <c r="T116" s="3450"/>
      <c r="U116" s="3452"/>
      <c r="V116" s="3450"/>
      <c r="W116" s="3452"/>
      <c r="X116" s="1133"/>
      <c r="Y116" s="1133"/>
      <c r="Z116" s="2600"/>
      <c r="AA116" s="2888"/>
      <c r="AB116" s="2889"/>
      <c r="AC116" s="2594"/>
      <c r="AD116" s="2638"/>
      <c r="AH116" s="2470"/>
    </row>
    <row r="117" spans="1:34" x14ac:dyDescent="0.15">
      <c r="A117" s="2769"/>
      <c r="B117" s="2765" t="s">
        <v>3265</v>
      </c>
      <c r="C117" s="1126"/>
      <c r="D117" s="2834"/>
      <c r="E117" s="2834"/>
      <c r="F117" s="1127"/>
      <c r="G117" s="1128"/>
      <c r="H117" s="1661"/>
      <c r="I117" s="1653"/>
      <c r="J117" s="1688"/>
      <c r="K117" s="1689"/>
      <c r="L117" s="1127"/>
      <c r="M117" s="1690"/>
      <c r="N117" s="1691"/>
      <c r="O117" s="1692"/>
      <c r="P117" s="1128"/>
      <c r="Q117" s="1693"/>
      <c r="R117" s="3445"/>
      <c r="S117" s="3448"/>
      <c r="T117" s="3450"/>
      <c r="U117" s="3452"/>
      <c r="V117" s="3450"/>
      <c r="W117" s="3452"/>
      <c r="X117" s="1133"/>
      <c r="Y117" s="1133"/>
      <c r="Z117" s="2600"/>
      <c r="AA117" s="2888"/>
      <c r="AB117" s="2889"/>
      <c r="AC117" s="2594"/>
      <c r="AD117" s="2638"/>
      <c r="AH117" s="2470"/>
    </row>
    <row r="118" spans="1:34" x14ac:dyDescent="0.15">
      <c r="A118" s="2769"/>
      <c r="B118" s="2765" t="s">
        <v>3266</v>
      </c>
      <c r="C118" s="1126"/>
      <c r="D118" s="2834"/>
      <c r="E118" s="2834"/>
      <c r="F118" s="1127"/>
      <c r="G118" s="1128"/>
      <c r="H118" s="1661"/>
      <c r="I118" s="1653"/>
      <c r="J118" s="1688"/>
      <c r="K118" s="1689"/>
      <c r="L118" s="1127"/>
      <c r="M118" s="1690"/>
      <c r="N118" s="1691"/>
      <c r="O118" s="1692"/>
      <c r="P118" s="1128"/>
      <c r="Q118" s="1693"/>
      <c r="R118" s="3445"/>
      <c r="S118" s="3448"/>
      <c r="T118" s="3450"/>
      <c r="U118" s="3452"/>
      <c r="V118" s="3450"/>
      <c r="W118" s="3452"/>
      <c r="X118" s="1133"/>
      <c r="Y118" s="1133"/>
      <c r="Z118" s="2600"/>
      <c r="AA118" s="2888"/>
      <c r="AB118" s="2889"/>
      <c r="AC118" s="2594"/>
      <c r="AD118" s="2638"/>
      <c r="AH118" s="2470"/>
    </row>
    <row r="119" spans="1:34" x14ac:dyDescent="0.15">
      <c r="A119" s="2769"/>
      <c r="B119" s="2765" t="s">
        <v>3267</v>
      </c>
      <c r="C119" s="1126"/>
      <c r="D119" s="2834"/>
      <c r="E119" s="2834"/>
      <c r="F119" s="1127"/>
      <c r="G119" s="1128"/>
      <c r="H119" s="1661"/>
      <c r="I119" s="1653"/>
      <c r="J119" s="1688"/>
      <c r="K119" s="1689"/>
      <c r="L119" s="1127"/>
      <c r="M119" s="1690"/>
      <c r="N119" s="1691"/>
      <c r="O119" s="1692"/>
      <c r="P119" s="1128"/>
      <c r="Q119" s="1693"/>
      <c r="R119" s="3446"/>
      <c r="S119" s="3449"/>
      <c r="T119" s="3451"/>
      <c r="U119" s="3453"/>
      <c r="V119" s="3451"/>
      <c r="W119" s="3453"/>
      <c r="X119" s="1133"/>
      <c r="Y119" s="1133"/>
      <c r="Z119" s="2600"/>
      <c r="AA119" s="2888"/>
      <c r="AB119" s="2889"/>
      <c r="AC119" s="2594"/>
      <c r="AD119" s="2638"/>
      <c r="AH119" s="2470"/>
    </row>
    <row r="120" spans="1:34" x14ac:dyDescent="0.15">
      <c r="A120" s="2769"/>
      <c r="B120" s="1125"/>
      <c r="C120" s="1126"/>
      <c r="D120" s="2834"/>
      <c r="E120" s="2834"/>
      <c r="F120" s="1127"/>
      <c r="G120" s="1128"/>
      <c r="H120" s="1661"/>
      <c r="I120" s="1653"/>
      <c r="J120" s="1688"/>
      <c r="K120" s="1689"/>
      <c r="L120" s="1127"/>
      <c r="M120" s="1690"/>
      <c r="N120" s="1691"/>
      <c r="O120" s="1692"/>
      <c r="P120" s="1128"/>
      <c r="Q120" s="1693"/>
      <c r="R120" s="1129"/>
      <c r="S120" s="1130"/>
      <c r="T120" s="1131"/>
      <c r="U120" s="1132"/>
      <c r="V120" s="1131"/>
      <c r="W120" s="1132"/>
      <c r="X120" s="1133"/>
      <c r="Y120" s="1133"/>
      <c r="Z120" s="2600"/>
      <c r="AA120" s="2888"/>
      <c r="AB120" s="2889"/>
      <c r="AC120" s="2594"/>
      <c r="AD120" s="2638"/>
      <c r="AH120" s="2470"/>
    </row>
    <row r="121" spans="1:34" x14ac:dyDescent="0.15">
      <c r="A121" s="2769"/>
      <c r="B121" s="1125"/>
      <c r="C121" s="1126"/>
      <c r="D121" s="2834"/>
      <c r="E121" s="2834"/>
      <c r="F121" s="1127"/>
      <c r="G121" s="1128"/>
      <c r="H121" s="1661"/>
      <c r="I121" s="1653"/>
      <c r="J121" s="1688"/>
      <c r="K121" s="1689"/>
      <c r="L121" s="1127"/>
      <c r="M121" s="1690"/>
      <c r="N121" s="1691"/>
      <c r="O121" s="1692"/>
      <c r="P121" s="1128"/>
      <c r="Q121" s="1693"/>
      <c r="R121" s="1129"/>
      <c r="S121" s="1130"/>
      <c r="T121" s="1131"/>
      <c r="U121" s="1132"/>
      <c r="V121" s="1131"/>
      <c r="W121" s="1132"/>
      <c r="X121" s="1133"/>
      <c r="Y121" s="1133"/>
      <c r="Z121" s="2600"/>
      <c r="AA121" s="2888"/>
      <c r="AB121" s="2889"/>
      <c r="AC121" s="2594"/>
      <c r="AD121" s="2638"/>
      <c r="AH121" s="2470"/>
    </row>
    <row r="122" spans="1:34" ht="14.25" thickBot="1" x14ac:dyDescent="0.2">
      <c r="A122" s="2779"/>
      <c r="B122" s="850"/>
      <c r="C122" s="995"/>
      <c r="D122" s="847"/>
      <c r="E122" s="847"/>
      <c r="F122" s="894"/>
      <c r="G122" s="895"/>
      <c r="H122" s="1680"/>
      <c r="I122" s="1681"/>
      <c r="J122" s="1682"/>
      <c r="K122" s="1683"/>
      <c r="L122" s="894"/>
      <c r="M122" s="1684"/>
      <c r="N122" s="1685"/>
      <c r="O122" s="1686"/>
      <c r="P122" s="895"/>
      <c r="Q122" s="1687"/>
      <c r="R122" s="888"/>
      <c r="S122" s="889"/>
      <c r="T122" s="851"/>
      <c r="U122" s="852"/>
      <c r="V122" s="851"/>
      <c r="W122" s="852"/>
      <c r="X122" s="853"/>
      <c r="Y122" s="853"/>
      <c r="Z122" s="2599"/>
      <c r="AA122" s="2886"/>
      <c r="AB122" s="2887"/>
      <c r="AC122" s="2593"/>
      <c r="AD122" s="2637"/>
      <c r="AH122" s="2470"/>
    </row>
    <row r="123" spans="1:34" ht="14.25" thickTop="1" x14ac:dyDescent="0.15">
      <c r="A123" s="1105"/>
      <c r="B123" s="331" t="s">
        <v>3268</v>
      </c>
      <c r="C123" s="991"/>
      <c r="D123" s="331"/>
      <c r="E123" s="331"/>
      <c r="F123" s="2793"/>
      <c r="G123" s="2794"/>
      <c r="H123" s="1678"/>
      <c r="I123" s="1679"/>
      <c r="J123" s="1623"/>
      <c r="K123" s="1624"/>
      <c r="L123" s="2793"/>
      <c r="M123" s="1625"/>
      <c r="N123" s="1626"/>
      <c r="O123" s="1627"/>
      <c r="P123" s="2794"/>
      <c r="Q123" s="1628"/>
      <c r="R123" s="3444"/>
      <c r="S123" s="3447"/>
      <c r="T123" s="3233"/>
      <c r="U123" s="3245"/>
      <c r="V123" s="3233"/>
      <c r="W123" s="3245"/>
      <c r="X123" s="332"/>
      <c r="Y123" s="332"/>
      <c r="Z123" s="2560"/>
      <c r="AA123" s="2848"/>
      <c r="AB123" s="2849"/>
      <c r="AC123" s="2589"/>
      <c r="AD123" s="2576"/>
      <c r="AH123" s="2470"/>
    </row>
    <row r="124" spans="1:34" x14ac:dyDescent="0.15">
      <c r="A124" s="2769"/>
      <c r="B124" s="2765" t="s">
        <v>3269</v>
      </c>
      <c r="C124" s="2784"/>
      <c r="D124" s="2765"/>
      <c r="E124" s="2765"/>
      <c r="F124" s="2785"/>
      <c r="G124" s="2786"/>
      <c r="H124" s="1666"/>
      <c r="I124" s="1667"/>
      <c r="J124" s="1629"/>
      <c r="K124" s="1630"/>
      <c r="L124" s="2785"/>
      <c r="M124" s="1631"/>
      <c r="N124" s="1632"/>
      <c r="O124" s="1633"/>
      <c r="P124" s="2786"/>
      <c r="Q124" s="1634"/>
      <c r="R124" s="3460"/>
      <c r="S124" s="3462"/>
      <c r="T124" s="3244"/>
      <c r="U124" s="3229"/>
      <c r="V124" s="3244"/>
      <c r="W124" s="3229"/>
      <c r="X124" s="255"/>
      <c r="Y124" s="255"/>
      <c r="Z124" s="2557"/>
      <c r="AA124" s="2850"/>
      <c r="AB124" s="2851"/>
      <c r="AC124" s="2586"/>
      <c r="AD124" s="2574"/>
      <c r="AH124" s="2470"/>
    </row>
    <row r="125" spans="1:34" x14ac:dyDescent="0.15">
      <c r="A125" s="2769"/>
      <c r="B125" s="2765" t="s">
        <v>3270</v>
      </c>
      <c r="C125" s="2784"/>
      <c r="D125" s="2765"/>
      <c r="E125" s="2765"/>
      <c r="F125" s="2785"/>
      <c r="G125" s="2786"/>
      <c r="H125" s="1666"/>
      <c r="I125" s="1667"/>
      <c r="J125" s="1629"/>
      <c r="K125" s="1630"/>
      <c r="L125" s="2785"/>
      <c r="M125" s="1631"/>
      <c r="N125" s="1632"/>
      <c r="O125" s="1633"/>
      <c r="P125" s="2786"/>
      <c r="Q125" s="1634"/>
      <c r="R125" s="3460"/>
      <c r="S125" s="3462"/>
      <c r="T125" s="3244"/>
      <c r="U125" s="3229"/>
      <c r="V125" s="3244"/>
      <c r="W125" s="3229"/>
      <c r="X125" s="255"/>
      <c r="Y125" s="255"/>
      <c r="Z125" s="2557"/>
      <c r="AA125" s="2850"/>
      <c r="AB125" s="2851"/>
      <c r="AC125" s="2586"/>
      <c r="AD125" s="2574"/>
      <c r="AH125" s="2470"/>
    </row>
    <row r="126" spans="1:34" x14ac:dyDescent="0.15">
      <c r="A126" s="2769"/>
      <c r="B126" s="2765" t="s">
        <v>3271</v>
      </c>
      <c r="C126" s="2784"/>
      <c r="D126" s="2765"/>
      <c r="E126" s="2765"/>
      <c r="F126" s="2785"/>
      <c r="G126" s="2786"/>
      <c r="H126" s="1666"/>
      <c r="I126" s="1667"/>
      <c r="J126" s="1629"/>
      <c r="K126" s="1630"/>
      <c r="L126" s="2785"/>
      <c r="M126" s="1631"/>
      <c r="N126" s="1632"/>
      <c r="O126" s="1633"/>
      <c r="P126" s="2786"/>
      <c r="Q126" s="1634"/>
      <c r="R126" s="3460"/>
      <c r="S126" s="3462"/>
      <c r="T126" s="3244"/>
      <c r="U126" s="3229"/>
      <c r="V126" s="3244"/>
      <c r="W126" s="3229"/>
      <c r="X126" s="255"/>
      <c r="Y126" s="255"/>
      <c r="Z126" s="2557"/>
      <c r="AA126" s="2850"/>
      <c r="AB126" s="2851"/>
      <c r="AC126" s="2586"/>
      <c r="AD126" s="2574"/>
      <c r="AH126" s="2470"/>
    </row>
    <row r="127" spans="1:34" x14ac:dyDescent="0.15">
      <c r="A127" s="2769"/>
      <c r="B127" s="2765" t="s">
        <v>3272</v>
      </c>
      <c r="C127" s="2784"/>
      <c r="D127" s="2765"/>
      <c r="E127" s="2765"/>
      <c r="F127" s="2785"/>
      <c r="G127" s="2786"/>
      <c r="H127" s="1666"/>
      <c r="I127" s="1667"/>
      <c r="J127" s="1629"/>
      <c r="K127" s="1630"/>
      <c r="L127" s="2785"/>
      <c r="M127" s="1631"/>
      <c r="N127" s="1632"/>
      <c r="O127" s="1633"/>
      <c r="P127" s="2786"/>
      <c r="Q127" s="1634"/>
      <c r="R127" s="3460"/>
      <c r="S127" s="3462"/>
      <c r="T127" s="3244"/>
      <c r="U127" s="3229"/>
      <c r="V127" s="3244"/>
      <c r="W127" s="3229"/>
      <c r="X127" s="255"/>
      <c r="Y127" s="255"/>
      <c r="Z127" s="2557"/>
      <c r="AA127" s="2850"/>
      <c r="AB127" s="2851"/>
      <c r="AC127" s="2586"/>
      <c r="AD127" s="2574"/>
      <c r="AH127" s="2470"/>
    </row>
    <row r="128" spans="1:34" x14ac:dyDescent="0.15">
      <c r="A128" s="2769"/>
      <c r="B128" s="2765" t="s">
        <v>3273</v>
      </c>
      <c r="C128" s="2784"/>
      <c r="D128" s="2765"/>
      <c r="E128" s="2765"/>
      <c r="F128" s="2785"/>
      <c r="G128" s="2786"/>
      <c r="H128" s="1666"/>
      <c r="I128" s="1667"/>
      <c r="J128" s="1629"/>
      <c r="K128" s="1630"/>
      <c r="L128" s="2785"/>
      <c r="M128" s="1631"/>
      <c r="N128" s="1632"/>
      <c r="O128" s="1633"/>
      <c r="P128" s="2786"/>
      <c r="Q128" s="1634"/>
      <c r="R128" s="3461"/>
      <c r="S128" s="3457"/>
      <c r="T128" s="3234"/>
      <c r="U128" s="3243"/>
      <c r="V128" s="3234"/>
      <c r="W128" s="3243"/>
      <c r="X128" s="255"/>
      <c r="Y128" s="255"/>
      <c r="Z128" s="2557"/>
      <c r="AA128" s="2850"/>
      <c r="AB128" s="2851"/>
      <c r="AC128" s="2586"/>
      <c r="AD128" s="2574"/>
      <c r="AH128" s="2470"/>
    </row>
    <row r="129" spans="1:34" x14ac:dyDescent="0.15">
      <c r="A129" s="2769"/>
      <c r="B129" s="2834"/>
      <c r="C129" s="904"/>
      <c r="D129" s="2834"/>
      <c r="E129" s="2834"/>
      <c r="F129" s="2831"/>
      <c r="G129" s="2827"/>
      <c r="H129" s="1661"/>
      <c r="I129" s="1653"/>
      <c r="J129" s="1662"/>
      <c r="K129" s="1663"/>
      <c r="L129" s="2831"/>
      <c r="M129" s="1664"/>
      <c r="N129" s="1665"/>
      <c r="O129" s="1655"/>
      <c r="P129" s="2827"/>
      <c r="Q129" s="1656"/>
      <c r="R129" s="884"/>
      <c r="S129" s="885"/>
      <c r="T129" s="838"/>
      <c r="U129" s="839"/>
      <c r="V129" s="838"/>
      <c r="W129" s="839"/>
      <c r="X129" s="840"/>
      <c r="Y129" s="840"/>
      <c r="Z129" s="2564"/>
      <c r="AA129" s="2868"/>
      <c r="AB129" s="2869"/>
      <c r="AC129" s="2594"/>
      <c r="AD129" s="2636"/>
      <c r="AH129" s="2470"/>
    </row>
    <row r="130" spans="1:34" x14ac:dyDescent="0.15">
      <c r="A130" s="2769"/>
      <c r="B130" s="2834"/>
      <c r="C130" s="904"/>
      <c r="D130" s="2834"/>
      <c r="E130" s="2834"/>
      <c r="F130" s="2831"/>
      <c r="G130" s="2827"/>
      <c r="H130" s="1661"/>
      <c r="I130" s="1653"/>
      <c r="J130" s="1662"/>
      <c r="K130" s="1663"/>
      <c r="L130" s="2831"/>
      <c r="M130" s="1664"/>
      <c r="N130" s="1665"/>
      <c r="O130" s="1655"/>
      <c r="P130" s="2827"/>
      <c r="Q130" s="1656"/>
      <c r="R130" s="884"/>
      <c r="S130" s="885"/>
      <c r="T130" s="838"/>
      <c r="U130" s="839"/>
      <c r="V130" s="838"/>
      <c r="W130" s="839"/>
      <c r="X130" s="840"/>
      <c r="Y130" s="840"/>
      <c r="Z130" s="2564"/>
      <c r="AA130" s="2868"/>
      <c r="AB130" s="2869"/>
      <c r="AC130" s="2594"/>
      <c r="AD130" s="2636"/>
      <c r="AH130" s="2470"/>
    </row>
    <row r="131" spans="1:34" x14ac:dyDescent="0.15">
      <c r="A131" s="2769"/>
      <c r="B131" s="2834"/>
      <c r="C131" s="904"/>
      <c r="D131" s="2834"/>
      <c r="E131" s="2834"/>
      <c r="F131" s="2831"/>
      <c r="G131" s="2827"/>
      <c r="H131" s="1661"/>
      <c r="I131" s="1653"/>
      <c r="J131" s="1662"/>
      <c r="K131" s="1663"/>
      <c r="L131" s="2831"/>
      <c r="M131" s="1664"/>
      <c r="N131" s="1665"/>
      <c r="O131" s="1655"/>
      <c r="P131" s="2827"/>
      <c r="Q131" s="1656"/>
      <c r="R131" s="884"/>
      <c r="S131" s="885"/>
      <c r="T131" s="838"/>
      <c r="U131" s="839"/>
      <c r="V131" s="838"/>
      <c r="W131" s="839"/>
      <c r="X131" s="840"/>
      <c r="Y131" s="840"/>
      <c r="Z131" s="2564"/>
      <c r="AA131" s="2868"/>
      <c r="AB131" s="2869"/>
      <c r="AC131" s="2594"/>
      <c r="AD131" s="2636"/>
      <c r="AH131" s="2470"/>
    </row>
    <row r="132" spans="1:34" ht="14.25" thickBot="1" x14ac:dyDescent="0.2">
      <c r="A132" s="2779"/>
      <c r="B132" s="847"/>
      <c r="C132" s="993"/>
      <c r="D132" s="847"/>
      <c r="E132" s="847"/>
      <c r="F132" s="2832"/>
      <c r="G132" s="2828"/>
      <c r="H132" s="1680"/>
      <c r="I132" s="1681"/>
      <c r="J132" s="1694"/>
      <c r="K132" s="1695"/>
      <c r="L132" s="2832"/>
      <c r="M132" s="1696"/>
      <c r="N132" s="1697"/>
      <c r="O132" s="1698"/>
      <c r="P132" s="2828"/>
      <c r="Q132" s="1699"/>
      <c r="R132" s="898"/>
      <c r="S132" s="899"/>
      <c r="T132" s="848"/>
      <c r="U132" s="867"/>
      <c r="V132" s="848"/>
      <c r="W132" s="867"/>
      <c r="X132" s="868"/>
      <c r="Y132" s="868"/>
      <c r="Z132" s="2563"/>
      <c r="AA132" s="2890"/>
      <c r="AB132" s="2891"/>
      <c r="AC132" s="2593"/>
      <c r="AD132" s="2639"/>
      <c r="AH132" s="2470"/>
    </row>
    <row r="133" spans="1:34" ht="27.75" thickTop="1" x14ac:dyDescent="0.15">
      <c r="A133" s="1105"/>
      <c r="B133" s="331" t="s">
        <v>3274</v>
      </c>
      <c r="C133" s="991"/>
      <c r="D133" s="331" t="s">
        <v>3275</v>
      </c>
      <c r="E133" s="331" t="s">
        <v>3276</v>
      </c>
      <c r="F133" s="2793" t="s">
        <v>3277</v>
      </c>
      <c r="G133" s="2794" t="s">
        <v>3278</v>
      </c>
      <c r="H133" s="1678" t="str">
        <f t="shared" ref="H133:H140" si="30">"5-DaHall1-PDU-"&amp;L133&amp;"-"&amp;K133&amp;"-"&amp;M133</f>
        <v>5-DaHall1-PDU-05-30-1</v>
      </c>
      <c r="I133" s="1679" t="str">
        <f t="shared" ref="I133:I140" si="31">"5-DaHall1-PDU-"&amp;P133&amp;"-"&amp;O133&amp;"-"&amp;Q133</f>
        <v>5-DaHall1-PDU-06-30-1</v>
      </c>
      <c r="J133" s="1623">
        <v>220</v>
      </c>
      <c r="K133" s="1624">
        <v>30</v>
      </c>
      <c r="L133" s="2482" t="s">
        <v>6918</v>
      </c>
      <c r="M133" s="1625">
        <v>1</v>
      </c>
      <c r="N133" s="1626">
        <v>220</v>
      </c>
      <c r="O133" s="1627">
        <v>30</v>
      </c>
      <c r="P133" s="2514" t="s">
        <v>6928</v>
      </c>
      <c r="Q133" s="1628">
        <v>1</v>
      </c>
      <c r="R133" s="3367" t="s">
        <v>3279</v>
      </c>
      <c r="S133" s="3368" t="s">
        <v>3280</v>
      </c>
      <c r="T133" s="3230" t="s">
        <v>3281</v>
      </c>
      <c r="U133" s="3232" t="s">
        <v>3282</v>
      </c>
      <c r="V133" s="3230" t="s">
        <v>2820</v>
      </c>
      <c r="W133" s="3232" t="s">
        <v>2821</v>
      </c>
      <c r="X133" s="332" t="n">
        <f>SUM('5층_부하량(월간_AVG)'!D164:F164)</f>
        <v>0.0</v>
      </c>
      <c r="Y133" s="332" t="n">
        <f>SUM('5층_부하량(월간_AVG)'!D195:F195)</f>
        <v>0.0</v>
      </c>
      <c r="Z133" s="2560" t="n">
        <f t="shared" ref="Z133:Z140" si="32">SUM(X133:Y133)</f>
        <v>0.0</v>
      </c>
      <c r="AA133" s="2848" t="n" cm="1">
        <f t="array" ref="AA133">INDEX('각층분기별_유효전력량(전월)'!F2:F2018,MATCH(1,("5-DaHall 1-PDU-05"='각층분기별_유효전력량(전월)'!D2:D2018)*("[branch#001] [A] kWh last month"='각층분기별_유효전력량(전월)'!E2:E2018),0))</f>
        <v>0.0</v>
      </c>
      <c r="AB133" s="2849" t="n" cm="1">
        <f t="array" ref="AB133">INDEX('각층분기별_유효전력량(전월)'!F2:F2018,MATCH(1,("5-DaHall 1-PDU-06"='각층분기별_유효전력량(전월)'!D2:D2018)*("[branch#001] [A] kWh last month"='각층분기별_유효전력량(전월)'!E2:E2018),0))</f>
        <v>0.0</v>
      </c>
      <c r="AC133" s="2589" t="n">
        <f>SUM(AA133:AB133)</f>
        <v>0.0</v>
      </c>
      <c r="AD133" s="2576"/>
      <c r="AH133" s="2470"/>
    </row>
    <row r="134" spans="1:34" ht="27" x14ac:dyDescent="0.15">
      <c r="A134" s="2769"/>
      <c r="B134" s="2765" t="s">
        <v>3284</v>
      </c>
      <c r="C134" s="2784"/>
      <c r="D134" s="2765" t="s">
        <v>3285</v>
      </c>
      <c r="E134" s="2765" t="s">
        <v>3286</v>
      </c>
      <c r="F134" s="2785" t="s">
        <v>3287</v>
      </c>
      <c r="G134" s="2786" t="s">
        <v>3288</v>
      </c>
      <c r="H134" s="1666" t="str">
        <f t="shared" si="30"/>
        <v>5-DaHall1-PDU-05-30-3</v>
      </c>
      <c r="I134" s="1667" t="str">
        <f t="shared" si="31"/>
        <v>5-DaHall1-PDU-06-30-3</v>
      </c>
      <c r="J134" s="1629">
        <v>220</v>
      </c>
      <c r="K134" s="1630">
        <v>30</v>
      </c>
      <c r="L134" s="2483" t="s">
        <v>6918</v>
      </c>
      <c r="M134" s="1631">
        <v>3</v>
      </c>
      <c r="N134" s="1632">
        <v>220</v>
      </c>
      <c r="O134" s="1633">
        <v>30</v>
      </c>
      <c r="P134" s="2515" t="s">
        <v>6928</v>
      </c>
      <c r="Q134" s="1634">
        <v>3</v>
      </c>
      <c r="R134" s="3363"/>
      <c r="S134" s="3365"/>
      <c r="T134" s="3241"/>
      <c r="U134" s="3242"/>
      <c r="V134" s="3241"/>
      <c r="W134" s="3242"/>
      <c r="X134" s="255" t="n">
        <f>SUM('5층_부하량(월간_AVG)'!D165:F165)</f>
        <v>0.0</v>
      </c>
      <c r="Y134" s="255" t="n">
        <f>SUM('5층_부하량(월간_AVG)'!D196:F196)</f>
        <v>0.0</v>
      </c>
      <c r="Z134" s="2557" t="n">
        <f t="shared" si="32"/>
        <v>0.0</v>
      </c>
      <c r="AA134" s="2850" t="n" cm="1">
        <f t="array" ref="AA134">INDEX('각층분기별_유효전력량(전월)'!F2:F2018,MATCH(1,("5-DaHall 1-PDU-05"='각층분기별_유효전력량(전월)'!D2:D2018)*("[branch#003] [A] kWh last month"='각층분기별_유효전력량(전월)'!E2:E2018),0))</f>
        <v>0.0</v>
      </c>
      <c r="AB134" s="2851" t="n" cm="1">
        <f t="array" ref="AB134">INDEX('각층분기별_유효전력량(전월)'!F2:F2018,MATCH(1,("5-DaHall 1-PDU-06"='각층분기별_유효전력량(전월)'!D2:D2018)*("[branch#003] [A] kWh last month"='각층분기별_유효전력량(전월)'!E2:E2018),0))</f>
        <v>0.0</v>
      </c>
      <c r="AC134" s="2586" t="n">
        <f>SUM(AA134:AB134)</f>
        <v>0.0</v>
      </c>
      <c r="AD134" s="2574"/>
      <c r="AH134" s="2470"/>
    </row>
    <row r="135" spans="1:34" ht="27" x14ac:dyDescent="0.15">
      <c r="A135" s="2769"/>
      <c r="B135" s="2765" t="s">
        <v>3290</v>
      </c>
      <c r="C135" s="2784"/>
      <c r="D135" s="2765" t="s">
        <v>3291</v>
      </c>
      <c r="E135" s="2765" t="s">
        <v>3292</v>
      </c>
      <c r="F135" s="2785" t="s">
        <v>3293</v>
      </c>
      <c r="G135" s="2786" t="s">
        <v>3294</v>
      </c>
      <c r="H135" s="1666" t="str">
        <f t="shared" si="30"/>
        <v>5-DaHall1-PDU-05-30-5</v>
      </c>
      <c r="I135" s="1667" t="str">
        <f t="shared" si="31"/>
        <v>5-DaHall1-PDU-06-30-5</v>
      </c>
      <c r="J135" s="1629">
        <v>220</v>
      </c>
      <c r="K135" s="1630">
        <v>30</v>
      </c>
      <c r="L135" s="2483" t="s">
        <v>6918</v>
      </c>
      <c r="M135" s="1631">
        <v>5</v>
      </c>
      <c r="N135" s="1632">
        <v>220</v>
      </c>
      <c r="O135" s="1633">
        <v>30</v>
      </c>
      <c r="P135" s="2515" t="s">
        <v>6928</v>
      </c>
      <c r="Q135" s="1634">
        <v>5</v>
      </c>
      <c r="R135" s="3363"/>
      <c r="S135" s="3365"/>
      <c r="T135" s="3241"/>
      <c r="U135" s="3242"/>
      <c r="V135" s="3241"/>
      <c r="W135" s="3242"/>
      <c r="X135" s="255" t="n">
        <f>SUM('5층_부하량(월간_AVG)'!D166:F166)</f>
        <v>0.0</v>
      </c>
      <c r="Y135" s="255" t="n">
        <f>SUM('5층_부하량(월간_AVG)'!D197:F197)</f>
        <v>0.0</v>
      </c>
      <c r="Z135" s="2557" t="n">
        <f t="shared" si="32"/>
        <v>0.0</v>
      </c>
      <c r="AA135" s="2850" t="n" cm="1">
        <f t="array" ref="AA135">INDEX('각층분기별_유효전력량(전월)'!F2:F2018,MATCH(1,("5-DaHall 1-PDU-05"='각층분기별_유효전력량(전월)'!D2:D2018)*("[branch#005] [A] kWh last month"='각층분기별_유효전력량(전월)'!E2:E2018),0))</f>
        <v>0.0</v>
      </c>
      <c r="AB135" s="2851" t="n" cm="1">
        <f t="array" ref="AB135">INDEX('각층분기별_유효전력량(전월)'!F2:F2018,MATCH(1,("5-DaHall 1-PDU-06"='각층분기별_유효전력량(전월)'!D2:D2018)*("[branch#005] [A] kWh last month"='각층분기별_유효전력량(전월)'!E2:E2018),0))</f>
        <v>0.0</v>
      </c>
      <c r="AC135" s="2586" t="n">
        <f t="shared" ref="AC135:AC140" si="33">SUM(AA135:AB135)</f>
        <v>0.0</v>
      </c>
      <c r="AD135" s="2574"/>
      <c r="AH135" s="2470"/>
    </row>
    <row r="136" spans="1:34" ht="27" x14ac:dyDescent="0.15">
      <c r="A136" s="2769"/>
      <c r="B136" s="2765" t="s">
        <v>3296</v>
      </c>
      <c r="C136" s="2784"/>
      <c r="D136" s="2765" t="s">
        <v>3297</v>
      </c>
      <c r="E136" s="2765" t="s">
        <v>3298</v>
      </c>
      <c r="F136" s="2785" t="s">
        <v>3299</v>
      </c>
      <c r="G136" s="2786" t="s">
        <v>3300</v>
      </c>
      <c r="H136" s="1666" t="str">
        <f t="shared" si="30"/>
        <v>5-DaHall1-PDU-05-30-9</v>
      </c>
      <c r="I136" s="1667" t="str">
        <f t="shared" si="31"/>
        <v>5-DaHall1-PDU-06-30-7</v>
      </c>
      <c r="J136" s="1629">
        <v>220</v>
      </c>
      <c r="K136" s="1630">
        <v>30</v>
      </c>
      <c r="L136" s="2483" t="s">
        <v>6918</v>
      </c>
      <c r="M136" s="1631">
        <v>9</v>
      </c>
      <c r="N136" s="1632">
        <v>220</v>
      </c>
      <c r="O136" s="1633">
        <v>30</v>
      </c>
      <c r="P136" s="2515" t="s">
        <v>6928</v>
      </c>
      <c r="Q136" s="1634">
        <v>7</v>
      </c>
      <c r="R136" s="3363"/>
      <c r="S136" s="3365"/>
      <c r="T136" s="3241"/>
      <c r="U136" s="3242"/>
      <c r="V136" s="3241"/>
      <c r="W136" s="3242"/>
      <c r="X136" s="255" t="n">
        <f>SUM('5층_부하량(월간_AVG)'!D167:F167)</f>
        <v>0.0</v>
      </c>
      <c r="Y136" s="255" t="n">
        <f>SUM('5층_부하량(월간_AVG)'!D198:F198)</f>
        <v>0.0</v>
      </c>
      <c r="Z136" s="2557" t="n">
        <f t="shared" si="32"/>
        <v>0.0</v>
      </c>
      <c r="AA136" s="2850" t="n" cm="1">
        <f t="array" ref="AA136">INDEX('각층분기별_유효전력량(전월)'!F2:F2018,MATCH(1,("5-DaHall 1-PDU-05"='각층분기별_유효전력량(전월)'!D2:D2018)*("[branch#009] [A] kWh last month"='각층분기별_유효전력량(전월)'!E2:E2018),0))</f>
        <v>0.0</v>
      </c>
      <c r="AB136" s="2851" t="n" cm="1">
        <f t="array" ref="AB136">INDEX('각층분기별_유효전력량(전월)'!F2:F2018,MATCH(1,("5-DaHall 1-PDU-05"='각층분기별_유효전력량(전월)'!D2:D2018)*("[branch#007] [A] kWh last month"='각층분기별_유효전력량(전월)'!E2:E2018),0))</f>
        <v>0.0</v>
      </c>
      <c r="AC136" s="2586" t="n">
        <f t="shared" si="33"/>
        <v>0.0</v>
      </c>
      <c r="AD136" s="2574"/>
      <c r="AH136" s="2470"/>
    </row>
    <row r="137" spans="1:34" ht="27" x14ac:dyDescent="0.15">
      <c r="A137" s="2769"/>
      <c r="B137" s="2765" t="s">
        <v>3302</v>
      </c>
      <c r="C137" s="2784"/>
      <c r="D137" s="2765" t="s">
        <v>3303</v>
      </c>
      <c r="E137" s="2765" t="s">
        <v>3304</v>
      </c>
      <c r="F137" s="2785" t="s">
        <v>3305</v>
      </c>
      <c r="G137" s="2786" t="s">
        <v>3306</v>
      </c>
      <c r="H137" s="1666" t="str">
        <f t="shared" si="30"/>
        <v>5-DaHall1-PDU-05-30-11</v>
      </c>
      <c r="I137" s="1667" t="str">
        <f t="shared" si="31"/>
        <v>5-DaHall1-PDU-06-30-9</v>
      </c>
      <c r="J137" s="1629">
        <v>220</v>
      </c>
      <c r="K137" s="1630">
        <v>30</v>
      </c>
      <c r="L137" s="2483" t="s">
        <v>6918</v>
      </c>
      <c r="M137" s="1631">
        <v>11</v>
      </c>
      <c r="N137" s="1632">
        <v>220</v>
      </c>
      <c r="O137" s="1633">
        <v>30</v>
      </c>
      <c r="P137" s="2515" t="s">
        <v>6928</v>
      </c>
      <c r="Q137" s="1634">
        <v>9</v>
      </c>
      <c r="R137" s="3363"/>
      <c r="S137" s="3365"/>
      <c r="T137" s="3241"/>
      <c r="U137" s="3242"/>
      <c r="V137" s="3241"/>
      <c r="W137" s="3242"/>
      <c r="X137" s="255" t="n">
        <f>SUM('5층_부하량(월간_AVG)'!D168:F168)</f>
        <v>0.0</v>
      </c>
      <c r="Y137" s="255" t="n">
        <f>SUM('5층_부하량(월간_AVG)'!D199:F199)</f>
        <v>0.0</v>
      </c>
      <c r="Z137" s="2557" t="n">
        <f t="shared" si="32"/>
        <v>0.0</v>
      </c>
      <c r="AA137" s="2850" t="n" cm="1">
        <f t="array" ref="AA137">INDEX('각층분기별_유효전력량(전월)'!F2:F2018,MATCH(1,("5-DaHall 1-PDU-05"='각층분기별_유효전력량(전월)'!D2:D2018)*("[branch#011] [A] kWh last month"='각층분기별_유효전력량(전월)'!E2:E2018),0))</f>
        <v>0.0</v>
      </c>
      <c r="AB137" s="2851" t="n" cm="1">
        <f t="array" ref="AB137">INDEX('각층분기별_유효전력량(전월)'!F2:F2018,MATCH(1,("5-DaHall 1-PDU-06"='각층분기별_유효전력량(전월)'!D2:D2018)*("[branch#009] [A] kWh last month"='각층분기별_유효전력량(전월)'!E2:E2018),0))</f>
        <v>0.0</v>
      </c>
      <c r="AC137" s="2586" t="n">
        <f t="shared" si="33"/>
        <v>0.0</v>
      </c>
      <c r="AD137" s="2574"/>
      <c r="AH137" s="2470"/>
    </row>
    <row r="138" spans="1:34" ht="27" x14ac:dyDescent="0.15">
      <c r="A138" s="2769"/>
      <c r="B138" s="2765" t="s">
        <v>3308</v>
      </c>
      <c r="C138" s="2784"/>
      <c r="D138" s="2765" t="s">
        <v>3309</v>
      </c>
      <c r="E138" s="2765" t="s">
        <v>3310</v>
      </c>
      <c r="F138" s="2785" t="s">
        <v>3311</v>
      </c>
      <c r="G138" s="2786" t="s">
        <v>3312</v>
      </c>
      <c r="H138" s="1666" t="str">
        <f t="shared" si="30"/>
        <v>5-DaHall1-PDU-05-30-13</v>
      </c>
      <c r="I138" s="1667" t="str">
        <f t="shared" si="31"/>
        <v>5-DaHall1-PDU-06-30-11</v>
      </c>
      <c r="J138" s="1629">
        <v>220</v>
      </c>
      <c r="K138" s="1630">
        <v>30</v>
      </c>
      <c r="L138" s="2483" t="s">
        <v>6918</v>
      </c>
      <c r="M138" s="1631">
        <v>13</v>
      </c>
      <c r="N138" s="1632">
        <v>220</v>
      </c>
      <c r="O138" s="1633">
        <v>30</v>
      </c>
      <c r="P138" s="2515" t="s">
        <v>6928</v>
      </c>
      <c r="Q138" s="1634">
        <v>11</v>
      </c>
      <c r="R138" s="3363"/>
      <c r="S138" s="3365"/>
      <c r="T138" s="3241"/>
      <c r="U138" s="3242"/>
      <c r="V138" s="3241"/>
      <c r="W138" s="3242"/>
      <c r="X138" s="255" t="n">
        <f>SUM('5층_부하량(월간_AVG)'!D169:F169)</f>
        <v>0.0</v>
      </c>
      <c r="Y138" s="255" t="n">
        <f>SUM('5층_부하량(월간_AVG)'!D200:F200)</f>
        <v>0.0</v>
      </c>
      <c r="Z138" s="2557" t="n">
        <f t="shared" si="32"/>
        <v>0.0</v>
      </c>
      <c r="AA138" s="2850" t="n" cm="1">
        <f t="array" ref="AA138">INDEX('각층분기별_유효전력량(전월)'!F2:F2018,MATCH(1,("5-DaHall 1-PDU-05"='각층분기별_유효전력량(전월)'!D2:D2018)*("[branch#013] [A] kWh last month"='각층분기별_유효전력량(전월)'!E2:E2018),0))</f>
        <v>0.0</v>
      </c>
      <c r="AB138" s="2851" t="n" cm="1">
        <f t="array" ref="AB138">INDEX('각층분기별_유효전력량(전월)'!F2:F2018,MATCH(1,("5-DaHall 1-PDU-06"='각층분기별_유효전력량(전월)'!D2:D2018)*("[branch#011] [A] kWh last month"='각층분기별_유효전력량(전월)'!E2:E2018),0))</f>
        <v>0.0</v>
      </c>
      <c r="AC138" s="2586" t="n">
        <f t="shared" si="33"/>
        <v>0.0</v>
      </c>
      <c r="AD138" s="2574"/>
      <c r="AH138" s="2470"/>
    </row>
    <row r="139" spans="1:34" ht="27" x14ac:dyDescent="0.15">
      <c r="A139" s="2769"/>
      <c r="B139" s="2765" t="s">
        <v>3314</v>
      </c>
      <c r="C139" s="2784"/>
      <c r="D139" s="2765" t="s">
        <v>3315</v>
      </c>
      <c r="E139" s="2765" t="s">
        <v>3316</v>
      </c>
      <c r="F139" s="2785" t="s">
        <v>3317</v>
      </c>
      <c r="G139" s="2786" t="s">
        <v>3318</v>
      </c>
      <c r="H139" s="1666" t="str">
        <f t="shared" si="30"/>
        <v>5-DaHall1-PDU-05-30-15</v>
      </c>
      <c r="I139" s="1667" t="str">
        <f t="shared" si="31"/>
        <v>5-DaHall1-PDU-06-30-15</v>
      </c>
      <c r="J139" s="1629">
        <v>220</v>
      </c>
      <c r="K139" s="1630">
        <v>30</v>
      </c>
      <c r="L139" s="2483" t="s">
        <v>6918</v>
      </c>
      <c r="M139" s="1631">
        <v>15</v>
      </c>
      <c r="N139" s="1632">
        <v>220</v>
      </c>
      <c r="O139" s="1633">
        <v>30</v>
      </c>
      <c r="P139" s="2515" t="s">
        <v>6928</v>
      </c>
      <c r="Q139" s="1634">
        <v>15</v>
      </c>
      <c r="R139" s="3363"/>
      <c r="S139" s="3365"/>
      <c r="T139" s="3241"/>
      <c r="U139" s="3242"/>
      <c r="V139" s="3241"/>
      <c r="W139" s="3242"/>
      <c r="X139" s="255" t="n">
        <f>SUM('5층_부하량(월간_AVG)'!D170:F170)</f>
        <v>0.0</v>
      </c>
      <c r="Y139" s="255" t="n">
        <f>SUM('5층_부하량(월간_AVG)'!D202:F202)</f>
        <v>0.0</v>
      </c>
      <c r="Z139" s="2557" t="n">
        <f t="shared" si="32"/>
        <v>0.0</v>
      </c>
      <c r="AA139" s="2850" t="n" cm="1">
        <f t="array" ref="AA139">INDEX('각층분기별_유효전력량(전월)'!F2:F2018,MATCH(1,("5-DaHall 1-PDU-05"='각층분기별_유효전력량(전월)'!D2:D2018)*("[branch#015] [A] kWh last month"='각층분기별_유효전력량(전월)'!E2:E2018),0))</f>
        <v>0.0</v>
      </c>
      <c r="AB139" s="2851" t="n" cm="1">
        <f t="array" ref="AB139">INDEX('각층분기별_유효전력량(전월)'!F2:F2018,MATCH(1,("5-DaHall 1-PDU-06"='각층분기별_유효전력량(전월)'!D2:D2018)*("[branch#015] [A] kWh last month"='각층분기별_유효전력량(전월)'!E2:E2018),0))</f>
        <v>0.0</v>
      </c>
      <c r="AC139" s="2586" t="n">
        <f t="shared" si="33"/>
        <v>0.0</v>
      </c>
      <c r="AD139" s="2574"/>
      <c r="AH139" s="2470"/>
    </row>
    <row r="140" spans="1:34" ht="27" x14ac:dyDescent="0.15">
      <c r="A140" s="2769"/>
      <c r="B140" s="2765" t="s">
        <v>3320</v>
      </c>
      <c r="C140" s="2784"/>
      <c r="D140" s="2765" t="s">
        <v>3321</v>
      </c>
      <c r="E140" s="2765" t="s">
        <v>3322</v>
      </c>
      <c r="F140" s="2785" t="s">
        <v>3323</v>
      </c>
      <c r="G140" s="2786" t="s">
        <v>3324</v>
      </c>
      <c r="H140" s="1666" t="str">
        <f t="shared" si="30"/>
        <v>5-DaHall1-PDU-05-30-17</v>
      </c>
      <c r="I140" s="1667" t="str">
        <f t="shared" si="31"/>
        <v>5-DaHall1-PDU-06-30-17</v>
      </c>
      <c r="J140" s="1629">
        <v>220</v>
      </c>
      <c r="K140" s="1630">
        <v>30</v>
      </c>
      <c r="L140" s="2483" t="s">
        <v>6918</v>
      </c>
      <c r="M140" s="1631">
        <v>17</v>
      </c>
      <c r="N140" s="1632">
        <v>220</v>
      </c>
      <c r="O140" s="1633">
        <v>30</v>
      </c>
      <c r="P140" s="2515" t="s">
        <v>6928</v>
      </c>
      <c r="Q140" s="1634">
        <v>17</v>
      </c>
      <c r="R140" s="3363"/>
      <c r="S140" s="3365"/>
      <c r="T140" s="3241"/>
      <c r="U140" s="3242"/>
      <c r="V140" s="3241"/>
      <c r="W140" s="3242"/>
      <c r="X140" s="255" t="n">
        <f>SUM('5층_부하량(월간_AVG)'!D171:F171)</f>
        <v>0.0</v>
      </c>
      <c r="Y140" s="255" t="n">
        <f>SUM('5층_부하량(월간_AVG)'!D203:F203)</f>
        <v>0.0</v>
      </c>
      <c r="Z140" s="2557" t="n">
        <f t="shared" si="32"/>
        <v>0.0</v>
      </c>
      <c r="AA140" s="2850" t="n" cm="1">
        <f t="array" ref="AA140">INDEX('각층분기별_유효전력량(전월)'!F2:F2018,MATCH(1,("5-DaHall 1-PDU-05"='각층분기별_유효전력량(전월)'!D2:D2018)*("[branch#017] [A] kWh last month"='각층분기별_유효전력량(전월)'!E2:E2018),0))</f>
        <v>0.0</v>
      </c>
      <c r="AB140" s="2851" t="n" cm="1">
        <f t="array" ref="AB140">INDEX('각층분기별_유효전력량(전월)'!F2:F2018,MATCH(1,("5-DaHall 1-PDU-06"='각층분기별_유효전력량(전월)'!D2:D2018)*("[branch#017] [A] kWh last month"='각층분기별_유효전력량(전월)'!E2:E2018),0))</f>
        <v>0.0</v>
      </c>
      <c r="AC140" s="2586" t="n">
        <f t="shared" si="33"/>
        <v>0.0</v>
      </c>
      <c r="AD140" s="2574"/>
      <c r="AH140" s="2470"/>
    </row>
    <row r="141" spans="1:34" x14ac:dyDescent="0.15">
      <c r="A141" s="2769"/>
      <c r="B141" s="2834"/>
      <c r="C141" s="904"/>
      <c r="D141" s="2834"/>
      <c r="E141" s="2834"/>
      <c r="F141" s="2831"/>
      <c r="G141" s="2827"/>
      <c r="H141" s="1661"/>
      <c r="I141" s="1653"/>
      <c r="J141" s="1662"/>
      <c r="K141" s="1663"/>
      <c r="L141" s="2831"/>
      <c r="M141" s="1664"/>
      <c r="N141" s="1665"/>
      <c r="O141" s="1655"/>
      <c r="P141" s="2827"/>
      <c r="Q141" s="1656"/>
      <c r="R141" s="2831"/>
      <c r="S141" s="2827"/>
      <c r="T141" s="838"/>
      <c r="U141" s="839"/>
      <c r="V141" s="838"/>
      <c r="W141" s="839"/>
      <c r="X141" s="840"/>
      <c r="Y141" s="840"/>
      <c r="Z141" s="2564"/>
      <c r="AA141" s="2868"/>
      <c r="AB141" s="2869"/>
      <c r="AC141" s="2594"/>
      <c r="AD141" s="2636"/>
      <c r="AH141" s="2470"/>
    </row>
    <row r="142" spans="1:34" ht="14.25" thickBot="1" x14ac:dyDescent="0.2">
      <c r="A142" s="2779"/>
      <c r="B142" s="847"/>
      <c r="C142" s="993"/>
      <c r="D142" s="847"/>
      <c r="E142" s="847"/>
      <c r="F142" s="2832"/>
      <c r="G142" s="2828"/>
      <c r="H142" s="1680"/>
      <c r="I142" s="1681"/>
      <c r="J142" s="1694"/>
      <c r="K142" s="1695"/>
      <c r="L142" s="2832"/>
      <c r="M142" s="1696"/>
      <c r="N142" s="1697"/>
      <c r="O142" s="1698"/>
      <c r="P142" s="2828"/>
      <c r="Q142" s="1699"/>
      <c r="R142" s="2832"/>
      <c r="S142" s="2828"/>
      <c r="T142" s="848"/>
      <c r="U142" s="867"/>
      <c r="V142" s="848"/>
      <c r="W142" s="867"/>
      <c r="X142" s="868"/>
      <c r="Y142" s="868"/>
      <c r="Z142" s="2563"/>
      <c r="AA142" s="2890"/>
      <c r="AB142" s="2891"/>
      <c r="AC142" s="2593"/>
      <c r="AD142" s="2639"/>
      <c r="AH142" s="2470"/>
    </row>
    <row r="143" spans="1:34" ht="27.75" thickTop="1" x14ac:dyDescent="0.15">
      <c r="A143" s="1105"/>
      <c r="B143" s="331" t="s">
        <v>3327</v>
      </c>
      <c r="C143" s="991"/>
      <c r="D143" s="331" t="s">
        <v>3328</v>
      </c>
      <c r="E143" s="331" t="s">
        <v>3329</v>
      </c>
      <c r="F143" s="2793" t="s">
        <v>3330</v>
      </c>
      <c r="G143" s="2794" t="s">
        <v>3331</v>
      </c>
      <c r="H143" s="1678" t="str">
        <f t="shared" ref="H143:H150" si="34">"5-DaHall1-PDU-"&amp;L143&amp;"-"&amp;K143&amp;"-"&amp;M143</f>
        <v>5-DaHall1-PDU-05-30-19</v>
      </c>
      <c r="I143" s="1679" t="str">
        <f t="shared" ref="I143:I150" si="35">"5-DaHall1-PDU-"&amp;P143&amp;"-"&amp;O143&amp;"-"&amp;Q143</f>
        <v>5-DaHall1-PDU-06-30-19</v>
      </c>
      <c r="J143" s="1623">
        <v>220</v>
      </c>
      <c r="K143" s="1624">
        <v>30</v>
      </c>
      <c r="L143" s="2482" t="s">
        <v>6918</v>
      </c>
      <c r="M143" s="1625">
        <v>19</v>
      </c>
      <c r="N143" s="1626">
        <v>220</v>
      </c>
      <c r="O143" s="1627">
        <v>30</v>
      </c>
      <c r="P143" s="2514" t="s">
        <v>6928</v>
      </c>
      <c r="Q143" s="1628">
        <v>19</v>
      </c>
      <c r="R143" s="3367" t="s">
        <v>3279</v>
      </c>
      <c r="S143" s="3368" t="s">
        <v>3280</v>
      </c>
      <c r="T143" s="3230" t="s">
        <v>3281</v>
      </c>
      <c r="U143" s="3232" t="s">
        <v>3282</v>
      </c>
      <c r="V143" s="3230" t="s">
        <v>2820</v>
      </c>
      <c r="W143" s="3232" t="s">
        <v>2821</v>
      </c>
      <c r="X143" s="332" t="n">
        <f>SUM('5층_부하량(월간_AVG)'!D173:F173)</f>
        <v>0.0</v>
      </c>
      <c r="Y143" s="332" t="n">
        <f>SUM('5층_부하량(월간_AVG)'!D204:F204)</f>
        <v>0.0</v>
      </c>
      <c r="Z143" s="2560" t="n">
        <f t="shared" ref="Z143:Z150" si="36">SUM(X143:Y143)</f>
        <v>0.0</v>
      </c>
      <c r="AA143" s="2848" t="n" cm="1">
        <f t="array" ref="AA143">INDEX('각층분기별_유효전력량(전월)'!F2:F2018,MATCH(1,("5-DaHall 1-PDU-05"='각층분기별_유효전력량(전월)'!D2:D2018)*("[branch#019] [A] kWh last month"='각층분기별_유효전력량(전월)'!E2:E2018),0))</f>
        <v>0.0</v>
      </c>
      <c r="AB143" s="2849" t="n" cm="1">
        <f t="array" ref="AB143">INDEX('각층분기별_유효전력량(전월)'!F2:F2018,MATCH(1,("5-DaHall 1-PDU-06"='각층분기별_유효전력량(전월)'!D2:D2018)*("[branch#019] [A] kWh last month"='각층분기별_유효전력량(전월)'!E2:E2018),0))</f>
        <v>0.0</v>
      </c>
      <c r="AC143" s="2589" t="n">
        <f>SUM(AA143:AB143)</f>
        <v>0.0</v>
      </c>
      <c r="AD143" s="2576"/>
      <c r="AH143" s="2470"/>
    </row>
    <row r="144" spans="1:34" ht="27" x14ac:dyDescent="0.15">
      <c r="A144" s="2769"/>
      <c r="B144" s="2765" t="s">
        <v>3333</v>
      </c>
      <c r="C144" s="2784"/>
      <c r="D144" s="2765" t="s">
        <v>3334</v>
      </c>
      <c r="E144" s="2765" t="s">
        <v>3335</v>
      </c>
      <c r="F144" s="2785" t="s">
        <v>3336</v>
      </c>
      <c r="G144" s="2786" t="s">
        <v>3337</v>
      </c>
      <c r="H144" s="1666" t="str">
        <f t="shared" si="34"/>
        <v>5-DaHall1-PDU-05-30-21</v>
      </c>
      <c r="I144" s="1667" t="str">
        <f t="shared" si="35"/>
        <v>5-DaHall1-PDU-06-30-21</v>
      </c>
      <c r="J144" s="1629">
        <v>220</v>
      </c>
      <c r="K144" s="1630">
        <v>30</v>
      </c>
      <c r="L144" s="2483" t="s">
        <v>6918</v>
      </c>
      <c r="M144" s="1631">
        <v>21</v>
      </c>
      <c r="N144" s="1632">
        <v>220</v>
      </c>
      <c r="O144" s="1633">
        <v>30</v>
      </c>
      <c r="P144" s="2515" t="s">
        <v>6928</v>
      </c>
      <c r="Q144" s="1634">
        <v>21</v>
      </c>
      <c r="R144" s="3363"/>
      <c r="S144" s="3365"/>
      <c r="T144" s="3241"/>
      <c r="U144" s="3242"/>
      <c r="V144" s="3241"/>
      <c r="W144" s="3242"/>
      <c r="X144" s="255" t="n">
        <f>SUM('5층_부하량(월간_AVG)'!D174:F174)</f>
        <v>0.0</v>
      </c>
      <c r="Y144" s="255" t="n">
        <f>SUM('5층_부하량(월간_AVG)'!D205:F205)</f>
        <v>0.0</v>
      </c>
      <c r="Z144" s="2557" t="n">
        <f t="shared" si="36"/>
        <v>0.0</v>
      </c>
      <c r="AA144" s="2850" t="n" cm="1">
        <f t="array" ref="AA144">INDEX('각층분기별_유효전력량(전월)'!F2:F2018,MATCH(1,("5-DaHall 1-PDU-05"='각층분기별_유효전력량(전월)'!D2:D2018)*("[branch#021] [A] kWh last month"='각층분기별_유효전력량(전월)'!E2:E2018),0))</f>
        <v>0.0</v>
      </c>
      <c r="AB144" s="2851" t="n" cm="1">
        <f t="array" ref="AB144">INDEX('각층분기별_유효전력량(전월)'!F2:F2018,MATCH(1,("5-DaHall 1-PDU-06"='각층분기별_유효전력량(전월)'!D2:D2018)*("[branch#021] [A] kWh last month"='각층분기별_유효전력량(전월)'!E2:E2018),0))</f>
        <v>0.0</v>
      </c>
      <c r="AC144" s="2586" t="n">
        <f>SUM(AA144:AB144)</f>
        <v>0.0</v>
      </c>
      <c r="AD144" s="2574"/>
      <c r="AH144" s="2470"/>
    </row>
    <row r="145" spans="1:34" ht="27" x14ac:dyDescent="0.15">
      <c r="A145" s="2769"/>
      <c r="B145" s="2765" t="s">
        <v>3339</v>
      </c>
      <c r="C145" s="2784"/>
      <c r="D145" s="2765" t="s">
        <v>3340</v>
      </c>
      <c r="E145" s="2765" t="s">
        <v>3341</v>
      </c>
      <c r="F145" s="2785" t="s">
        <v>3342</v>
      </c>
      <c r="G145" s="2786" t="s">
        <v>3343</v>
      </c>
      <c r="H145" s="1666" t="str">
        <f t="shared" si="34"/>
        <v>5-DaHall1-PDU-05-30-23</v>
      </c>
      <c r="I145" s="1667" t="str">
        <f t="shared" si="35"/>
        <v>5-DaHall1-PDU-06-30-23</v>
      </c>
      <c r="J145" s="1629">
        <v>220</v>
      </c>
      <c r="K145" s="1630">
        <v>30</v>
      </c>
      <c r="L145" s="2483" t="s">
        <v>6918</v>
      </c>
      <c r="M145" s="1631">
        <v>23</v>
      </c>
      <c r="N145" s="1632">
        <v>220</v>
      </c>
      <c r="O145" s="1633">
        <v>30</v>
      </c>
      <c r="P145" s="2515" t="s">
        <v>6928</v>
      </c>
      <c r="Q145" s="1634">
        <v>23</v>
      </c>
      <c r="R145" s="3363"/>
      <c r="S145" s="3365"/>
      <c r="T145" s="3241"/>
      <c r="U145" s="3242"/>
      <c r="V145" s="3241"/>
      <c r="W145" s="3242"/>
      <c r="X145" s="255" t="n">
        <f>SUM('5층_부하량(월간_AVG)'!D175:F175)</f>
        <v>0.0</v>
      </c>
      <c r="Y145" s="255" t="n">
        <f>SUM('5층_부하량(월간_AVG)'!D206:F206)</f>
        <v>0.0</v>
      </c>
      <c r="Z145" s="2557" t="n">
        <f t="shared" si="36"/>
        <v>0.0</v>
      </c>
      <c r="AA145" s="2850" t="n" cm="1">
        <f t="array" ref="AA145">INDEX('각층분기별_유효전력량(전월)'!F2:F2018,MATCH(1,("5-DaHall 1-PDU-05"='각층분기별_유효전력량(전월)'!D2:D2018)*("[branch#023] [A] kWh last month"='각층분기별_유효전력량(전월)'!E2:E2018),0))</f>
        <v>0.0</v>
      </c>
      <c r="AB145" s="2851" t="n" cm="1">
        <f t="array" ref="AB145">INDEX('각층분기별_유효전력량(전월)'!F2:F2018,MATCH(1,("5-DaHall 1-PDU-06"='각층분기별_유효전력량(전월)'!D2:D2018)*("[branch#023] [A] kWh last month"='각층분기별_유효전력량(전월)'!E2:E2018),0))</f>
        <v>0.0</v>
      </c>
      <c r="AC145" s="2586" t="n">
        <f t="shared" ref="AC145:AC150" si="37">SUM(AA145:AB145)</f>
        <v>0.0</v>
      </c>
      <c r="AD145" s="2574"/>
      <c r="AH145" s="2470"/>
    </row>
    <row r="146" spans="1:34" ht="27" x14ac:dyDescent="0.15">
      <c r="A146" s="2769"/>
      <c r="B146" s="2765" t="s">
        <v>3345</v>
      </c>
      <c r="C146" s="2784"/>
      <c r="D146" s="2765" t="s">
        <v>3346</v>
      </c>
      <c r="E146" s="2765" t="s">
        <v>3347</v>
      </c>
      <c r="F146" s="2785" t="s">
        <v>3348</v>
      </c>
      <c r="G146" s="2786" t="s">
        <v>3349</v>
      </c>
      <c r="H146" s="1666" t="str">
        <f t="shared" si="34"/>
        <v>5-DaHall1-PDU-05-30-27</v>
      </c>
      <c r="I146" s="1667" t="str">
        <f t="shared" si="35"/>
        <v>5-DaHall1-PDU-06-30-25</v>
      </c>
      <c r="J146" s="1629">
        <v>220</v>
      </c>
      <c r="K146" s="1630">
        <v>30</v>
      </c>
      <c r="L146" s="2483" t="s">
        <v>6918</v>
      </c>
      <c r="M146" s="1631">
        <v>27</v>
      </c>
      <c r="N146" s="1632">
        <v>220</v>
      </c>
      <c r="O146" s="1633">
        <v>30</v>
      </c>
      <c r="P146" s="2515" t="s">
        <v>6928</v>
      </c>
      <c r="Q146" s="1634">
        <v>25</v>
      </c>
      <c r="R146" s="3363"/>
      <c r="S146" s="3365"/>
      <c r="T146" s="3241"/>
      <c r="U146" s="3242"/>
      <c r="V146" s="3241"/>
      <c r="W146" s="3242"/>
      <c r="X146" s="255" t="n">
        <f>SUM('5층_부하량(월간_AVG)'!D177:F177)</f>
        <v>0.0</v>
      </c>
      <c r="Y146" s="255" t="n">
        <f>SUM('5층_부하량(월간_AVG)'!D207:F207)</f>
        <v>0.0</v>
      </c>
      <c r="Z146" s="2557" t="n">
        <f t="shared" si="36"/>
        <v>0.0</v>
      </c>
      <c r="AA146" s="2850" t="n" cm="1">
        <f t="array" ref="AA146">INDEX('각층분기별_유효전력량(전월)'!F2:F2018,MATCH(1,("5-DaHall 1-PDU-05"='각층분기별_유효전력량(전월)'!D2:D2018)*("[branch#027] [A] kWh last month"='각층분기별_유효전력량(전월)'!E2:E2018),0))</f>
        <v>0.0</v>
      </c>
      <c r="AB146" s="2851" t="n" cm="1">
        <f t="array" ref="AB146">INDEX('각층분기별_유효전력량(전월)'!F2:F2018,MATCH(1,("5-DaHall 1-PDU-06"='각층분기별_유효전력량(전월)'!D2:D2018)*("[branch#025] [A] kWh last month"='각층분기별_유효전력량(전월)'!E2:E2018),0))</f>
        <v>0.0</v>
      </c>
      <c r="AC146" s="2586" t="n">
        <f t="shared" si="37"/>
        <v>0.0</v>
      </c>
      <c r="AD146" s="2574"/>
      <c r="AH146" s="2470"/>
    </row>
    <row r="147" spans="1:34" ht="27" x14ac:dyDescent="0.15">
      <c r="A147" s="2769"/>
      <c r="B147" s="2765" t="s">
        <v>3351</v>
      </c>
      <c r="C147" s="2784"/>
      <c r="D147" s="2765" t="s">
        <v>3352</v>
      </c>
      <c r="E147" s="2765" t="s">
        <v>3353</v>
      </c>
      <c r="F147" s="2785" t="s">
        <v>3354</v>
      </c>
      <c r="G147" s="2786" t="s">
        <v>3355</v>
      </c>
      <c r="H147" s="1666" t="str">
        <f t="shared" si="34"/>
        <v>5-DaHall1-PDU-05-30-29</v>
      </c>
      <c r="I147" s="1667" t="str">
        <f t="shared" si="35"/>
        <v>5-DaHall1-PDU-06-30-27</v>
      </c>
      <c r="J147" s="1629">
        <v>220</v>
      </c>
      <c r="K147" s="1630">
        <v>30</v>
      </c>
      <c r="L147" s="2483" t="s">
        <v>6918</v>
      </c>
      <c r="M147" s="1631">
        <v>29</v>
      </c>
      <c r="N147" s="1632">
        <v>220</v>
      </c>
      <c r="O147" s="1633">
        <v>30</v>
      </c>
      <c r="P147" s="2515" t="s">
        <v>6928</v>
      </c>
      <c r="Q147" s="1634">
        <v>27</v>
      </c>
      <c r="R147" s="3363"/>
      <c r="S147" s="3365"/>
      <c r="T147" s="3241"/>
      <c r="U147" s="3242"/>
      <c r="V147" s="3241"/>
      <c r="W147" s="3242"/>
      <c r="X147" s="255" t="n">
        <f>SUM('5층_부하량(월간_AVG)'!D178:F178)</f>
        <v>0.0</v>
      </c>
      <c r="Y147" s="255" t="n">
        <f>SUM('5층_부하량(월간_AVG)'!D208:F208)</f>
        <v>0.0</v>
      </c>
      <c r="Z147" s="2557" t="n">
        <f t="shared" si="36"/>
        <v>0.0</v>
      </c>
      <c r="AA147" s="2850" t="n" cm="1">
        <f t="array" ref="AA147">INDEX('각층분기별_유효전력량(전월)'!F2:F2018,MATCH(1,("5-DaHall 1-PDU-05"='각층분기별_유효전력량(전월)'!D2:D2018)*("[branch#029] [A] kWh last month"='각층분기별_유효전력량(전월)'!E2:E2018),0))</f>
        <v>0.0</v>
      </c>
      <c r="AB147" s="2851" t="n" cm="1">
        <f t="array" ref="AB147">INDEX('각층분기별_유효전력량(전월)'!F2:F2018,MATCH(1,("5-DaHall 1-PDU-06"='각층분기별_유효전력량(전월)'!D2:D2018)*("[branch#027] [A] kWh last month"='각층분기별_유효전력량(전월)'!E2:E2018),0))</f>
        <v>0.0</v>
      </c>
      <c r="AC147" s="2586" t="n">
        <f t="shared" si="37"/>
        <v>0.0</v>
      </c>
      <c r="AD147" s="2574"/>
      <c r="AH147" s="2470"/>
    </row>
    <row r="148" spans="1:34" ht="27" x14ac:dyDescent="0.15">
      <c r="A148" s="2769"/>
      <c r="B148" s="2765" t="s">
        <v>3357</v>
      </c>
      <c r="C148" s="2784"/>
      <c r="D148" s="2765" t="s">
        <v>3358</v>
      </c>
      <c r="E148" s="2765" t="s">
        <v>3359</v>
      </c>
      <c r="F148" s="2785" t="s">
        <v>3360</v>
      </c>
      <c r="G148" s="2786" t="s">
        <v>3361</v>
      </c>
      <c r="H148" s="1666" t="str">
        <f t="shared" si="34"/>
        <v>5-DaHall1-PDU-05-30-31</v>
      </c>
      <c r="I148" s="1667" t="str">
        <f t="shared" si="35"/>
        <v>5-DaHall1-PDU-06-30-29</v>
      </c>
      <c r="J148" s="1629">
        <v>220</v>
      </c>
      <c r="K148" s="1630">
        <v>30</v>
      </c>
      <c r="L148" s="2483" t="s">
        <v>6918</v>
      </c>
      <c r="M148" s="1631">
        <v>31</v>
      </c>
      <c r="N148" s="1632">
        <v>220</v>
      </c>
      <c r="O148" s="1633">
        <v>30</v>
      </c>
      <c r="P148" s="2515" t="s">
        <v>6928</v>
      </c>
      <c r="Q148" s="1634">
        <v>29</v>
      </c>
      <c r="R148" s="3363"/>
      <c r="S148" s="3365"/>
      <c r="T148" s="3241"/>
      <c r="U148" s="3242"/>
      <c r="V148" s="3241"/>
      <c r="W148" s="3242"/>
      <c r="X148" s="255" t="n">
        <f>SUM('5층_부하량(월간_AVG)'!D179:F179)</f>
        <v>0.0</v>
      </c>
      <c r="Y148" s="255" t="n">
        <f>SUM('5층_부하량(월간_AVG)'!D209:F209)</f>
        <v>0.0</v>
      </c>
      <c r="Z148" s="2557" t="n">
        <f t="shared" si="36"/>
        <v>0.0</v>
      </c>
      <c r="AA148" s="2850" t="n" cm="1">
        <f t="array" ref="AA148">INDEX('각층분기별_유효전력량(전월)'!F2:F2018,MATCH(1,("5-DaHall 1-PDU-05"='각층분기별_유효전력량(전월)'!D2:D2018)*("[branch#031] [A] kWh last month"='각층분기별_유효전력량(전월)'!E2:E2018),0))</f>
        <v>0.0</v>
      </c>
      <c r="AB148" s="2851" t="n" cm="1">
        <f t="array" ref="AB148">INDEX('각층분기별_유효전력량(전월)'!F2:F2018,MATCH(1,("5-DaHall 1-PDU-06"='각층분기별_유효전력량(전월)'!D2:D2018)*("[branch#029] [A] kWh last month"='각층분기별_유효전력량(전월)'!E2:E2018),0))</f>
        <v>0.0</v>
      </c>
      <c r="AC148" s="2586" t="n">
        <f t="shared" si="37"/>
        <v>0.0</v>
      </c>
      <c r="AD148" s="2574"/>
      <c r="AH148" s="2470"/>
    </row>
    <row r="149" spans="1:34" ht="27" x14ac:dyDescent="0.15">
      <c r="A149" s="2769"/>
      <c r="B149" s="2765" t="s">
        <v>3363</v>
      </c>
      <c r="C149" s="2784"/>
      <c r="D149" s="2765" t="s">
        <v>3364</v>
      </c>
      <c r="E149" s="2765" t="s">
        <v>3365</v>
      </c>
      <c r="F149" s="2785" t="s">
        <v>3366</v>
      </c>
      <c r="G149" s="2786" t="s">
        <v>3367</v>
      </c>
      <c r="H149" s="1666" t="str">
        <f t="shared" si="34"/>
        <v>5-DaHall1-PDU-05-30-33</v>
      </c>
      <c r="I149" s="1667" t="str">
        <f t="shared" si="35"/>
        <v>5-DaHall1-PDU-06-30-33</v>
      </c>
      <c r="J149" s="1629">
        <v>220</v>
      </c>
      <c r="K149" s="1630">
        <v>30</v>
      </c>
      <c r="L149" s="2483" t="s">
        <v>6918</v>
      </c>
      <c r="M149" s="1631">
        <v>33</v>
      </c>
      <c r="N149" s="1632">
        <v>220</v>
      </c>
      <c r="O149" s="1633">
        <v>30</v>
      </c>
      <c r="P149" s="2515" t="s">
        <v>6928</v>
      </c>
      <c r="Q149" s="1634">
        <v>33</v>
      </c>
      <c r="R149" s="3363"/>
      <c r="S149" s="3365"/>
      <c r="T149" s="3241"/>
      <c r="U149" s="3242"/>
      <c r="V149" s="3241"/>
      <c r="W149" s="3242"/>
      <c r="X149" s="255" t="n">
        <f>SUM('5층_부하량(월간_AVG)'!D180:F180)</f>
        <v>0.0</v>
      </c>
      <c r="Y149" s="255" t="n">
        <f>SUM('5층_부하량(월간_AVG)'!D211:F211)</f>
        <v>0.0</v>
      </c>
      <c r="Z149" s="2557" t="n">
        <f t="shared" si="36"/>
        <v>0.0</v>
      </c>
      <c r="AA149" s="2850" t="n" cm="1">
        <f t="array" ref="AA149">INDEX('각층분기별_유효전력량(전월)'!F2:F2018,MATCH(1,("5-DaHall 1-PDU-05"='각층분기별_유효전력량(전월)'!D2:D2018)*("[branch#033] [A] kWh last month"='각층분기별_유효전력량(전월)'!E2:E2018),0))</f>
        <v>0.0</v>
      </c>
      <c r="AB149" s="2851" t="n" cm="1">
        <f t="array" ref="AB149">INDEX('각층분기별_유효전력량(전월)'!F2:F2018,MATCH(1,("5-DaHall 1-PDU-06"='각층분기별_유효전력량(전월)'!D2:D2018)*("[branch#033] [A] kWh last month"='각층분기별_유효전력량(전월)'!E2:E2018),0))</f>
        <v>0.0</v>
      </c>
      <c r="AC149" s="2586" t="n">
        <f t="shared" si="37"/>
        <v>0.0</v>
      </c>
      <c r="AD149" s="2574"/>
      <c r="AH149" s="2470"/>
    </row>
    <row r="150" spans="1:34" ht="27" x14ac:dyDescent="0.15">
      <c r="A150" s="2769"/>
      <c r="B150" s="2765" t="s">
        <v>3369</v>
      </c>
      <c r="C150" s="2784"/>
      <c r="D150" s="2765" t="s">
        <v>3370</v>
      </c>
      <c r="E150" s="2765" t="s">
        <v>3371</v>
      </c>
      <c r="F150" s="2785" t="s">
        <v>3372</v>
      </c>
      <c r="G150" s="2786" t="s">
        <v>3373</v>
      </c>
      <c r="H150" s="1666" t="str">
        <f t="shared" si="34"/>
        <v>5-DaHall1-PDU-05-30-35</v>
      </c>
      <c r="I150" s="1667" t="str">
        <f t="shared" si="35"/>
        <v>5-DaHall1-PDU-06-30-35</v>
      </c>
      <c r="J150" s="1629">
        <v>220</v>
      </c>
      <c r="K150" s="1630">
        <v>30</v>
      </c>
      <c r="L150" s="2483" t="s">
        <v>6918</v>
      </c>
      <c r="M150" s="1631">
        <v>35</v>
      </c>
      <c r="N150" s="1632">
        <v>220</v>
      </c>
      <c r="O150" s="1633">
        <v>30</v>
      </c>
      <c r="P150" s="2515" t="s">
        <v>6928</v>
      </c>
      <c r="Q150" s="1634">
        <v>35</v>
      </c>
      <c r="R150" s="3363"/>
      <c r="S150" s="3365"/>
      <c r="T150" s="3241"/>
      <c r="U150" s="3242"/>
      <c r="V150" s="3241"/>
      <c r="W150" s="3242"/>
      <c r="X150" s="255" t="n">
        <f>SUM('5층_부하량(월간_AVG)'!D181:F181)</f>
        <v>0.0</v>
      </c>
      <c r="Y150" s="255" t="n">
        <f>SUM('5층_부하량(월간_AVG)'!D212:F212)</f>
        <v>0.0</v>
      </c>
      <c r="Z150" s="2557" t="n">
        <f t="shared" si="36"/>
        <v>0.0</v>
      </c>
      <c r="AA150" s="2850" t="n" cm="1">
        <f t="array" ref="AA150">INDEX('각층분기별_유효전력량(전월)'!F2:F2018,MATCH(1,("5-DaHall 1-PDU-05"='각층분기별_유효전력량(전월)'!D2:D2018)*("[branch#035] [A] kWh last month"='각층분기별_유효전력량(전월)'!E2:E2018),0))</f>
        <v>0.0</v>
      </c>
      <c r="AB150" s="2851" t="n" cm="1">
        <f t="array" ref="AB150">INDEX('각층분기별_유효전력량(전월)'!F2:F2018,MATCH(1,("5-DaHall 1-PDU-06"='각층분기별_유효전력량(전월)'!D2:D2018)*("[branch#035] [A] kWh last month"='각층분기별_유효전력량(전월)'!E2:E2018),0))</f>
        <v>0.0</v>
      </c>
      <c r="AC150" s="2586" t="n">
        <f t="shared" si="37"/>
        <v>0.0</v>
      </c>
      <c r="AD150" s="2574"/>
      <c r="AH150" s="2470"/>
    </row>
    <row r="151" spans="1:34" x14ac:dyDescent="0.15">
      <c r="A151" s="2769"/>
      <c r="B151" s="2834"/>
      <c r="C151" s="904"/>
      <c r="D151" s="2834"/>
      <c r="E151" s="2834"/>
      <c r="F151" s="2831"/>
      <c r="G151" s="2827"/>
      <c r="H151" s="1661"/>
      <c r="I151" s="1653"/>
      <c r="J151" s="1662"/>
      <c r="K151" s="1663"/>
      <c r="L151" s="2831"/>
      <c r="M151" s="1664"/>
      <c r="N151" s="1665"/>
      <c r="O151" s="1655"/>
      <c r="P151" s="2827"/>
      <c r="Q151" s="1656"/>
      <c r="R151" s="2831"/>
      <c r="S151" s="2827"/>
      <c r="T151" s="838"/>
      <c r="U151" s="839"/>
      <c r="V151" s="838"/>
      <c r="W151" s="839"/>
      <c r="X151" s="840"/>
      <c r="Y151" s="840"/>
      <c r="Z151" s="2564"/>
      <c r="AA151" s="2868"/>
      <c r="AB151" s="2869"/>
      <c r="AC151" s="2594"/>
      <c r="AD151" s="2636"/>
      <c r="AH151" s="2470"/>
    </row>
    <row r="152" spans="1:34" ht="14.25" thickBot="1" x14ac:dyDescent="0.2">
      <c r="A152" s="2779"/>
      <c r="B152" s="847"/>
      <c r="C152" s="993"/>
      <c r="D152" s="847"/>
      <c r="E152" s="847"/>
      <c r="F152" s="2832"/>
      <c r="G152" s="2828"/>
      <c r="H152" s="1680"/>
      <c r="I152" s="1681"/>
      <c r="J152" s="1694"/>
      <c r="K152" s="1695"/>
      <c r="L152" s="2832"/>
      <c r="M152" s="1696"/>
      <c r="N152" s="1697"/>
      <c r="O152" s="1698"/>
      <c r="P152" s="2828"/>
      <c r="Q152" s="1699"/>
      <c r="R152" s="2832"/>
      <c r="S152" s="2828"/>
      <c r="T152" s="848"/>
      <c r="U152" s="867"/>
      <c r="V152" s="848"/>
      <c r="W152" s="867"/>
      <c r="X152" s="868"/>
      <c r="Y152" s="868"/>
      <c r="Z152" s="2563"/>
      <c r="AA152" s="2890"/>
      <c r="AB152" s="2891"/>
      <c r="AC152" s="2593"/>
      <c r="AD152" s="2639"/>
      <c r="AH152" s="2470"/>
    </row>
    <row r="153" spans="1:34" ht="27.75" thickTop="1" x14ac:dyDescent="0.15">
      <c r="A153" s="1105"/>
      <c r="B153" s="331" t="s">
        <v>3376</v>
      </c>
      <c r="C153" s="991"/>
      <c r="D153" s="331" t="s">
        <v>3377</v>
      </c>
      <c r="E153" s="331" t="s">
        <v>3378</v>
      </c>
      <c r="F153" s="2793" t="s">
        <v>3379</v>
      </c>
      <c r="G153" s="2794" t="s">
        <v>3380</v>
      </c>
      <c r="H153" s="1678" t="str">
        <f t="shared" ref="H153:H160" si="38">"5-DaHall1-PDU-"&amp;L153&amp;"-"&amp;K153&amp;"-"&amp;M153</f>
        <v>5-DaHall1-PDU-05-30-37</v>
      </c>
      <c r="I153" s="1679" t="str">
        <f t="shared" ref="I153:I160" si="39">"5-DaHall1-PDU-"&amp;P153&amp;"-"&amp;O153&amp;"-"&amp;Q153</f>
        <v>5-DaHall1-PDU-06-30-37</v>
      </c>
      <c r="J153" s="1623">
        <v>220</v>
      </c>
      <c r="K153" s="1624">
        <v>30</v>
      </c>
      <c r="L153" s="2482" t="s">
        <v>6918</v>
      </c>
      <c r="M153" s="1625">
        <v>37</v>
      </c>
      <c r="N153" s="1626">
        <v>220</v>
      </c>
      <c r="O153" s="1627">
        <v>30</v>
      </c>
      <c r="P153" s="2514" t="s">
        <v>6928</v>
      </c>
      <c r="Q153" s="1628">
        <v>37</v>
      </c>
      <c r="R153" s="3367" t="s">
        <v>3279</v>
      </c>
      <c r="S153" s="3368" t="s">
        <v>3280</v>
      </c>
      <c r="T153" s="3230" t="s">
        <v>3281</v>
      </c>
      <c r="U153" s="3232" t="s">
        <v>3282</v>
      </c>
      <c r="V153" s="3230" t="s">
        <v>2820</v>
      </c>
      <c r="W153" s="3232" t="s">
        <v>2821</v>
      </c>
      <c r="X153" s="332" t="n">
        <f>SUM('5층_부하량(월간_AVG)'!D213:F213)</f>
        <v>4.982618771726535E-5</v>
      </c>
      <c r="Y153" s="332" t="n">
        <f>SUM('5층_부하량(월간_AVG)'!D213:F213)</f>
        <v>4.982618771726535E-5</v>
      </c>
      <c r="Z153" s="2557" t="n">
        <f t="shared" ref="Z153:Z160" si="40">SUM(X153:Y153)</f>
        <v>9.96523754345307E-5</v>
      </c>
      <c r="AA153" s="2850" t="n" cm="1">
        <f t="array" ref="AA153">INDEX('각층분기별_유효전력량(전월)'!F2:F2018,MATCH(1,("5-DaHall 1-PDU-05"='각층분기별_유효전력량(전월)'!D2:D2018)*("[branch#037] [A] kWh last month"='각층분기별_유효전력량(전월)'!E2:E2018),0))</f>
        <v>0.0</v>
      </c>
      <c r="AB153" s="2851" t="n" cm="1">
        <f t="array" ref="AB153">INDEX('각층분기별_유효전력량(전월)'!F2:F2018,MATCH(1,("5-DaHall 1-PDU-06"='각층분기별_유효전력량(전월)'!D2:D2018)*("[branch#037] [A] kWh last month"='각층분기별_유효전력량(전월)'!E2:E2018),0))</f>
        <v>0.0</v>
      </c>
      <c r="AC153" s="2589" t="n">
        <f>SUM(AA153:AB153)</f>
        <v>0.0</v>
      </c>
      <c r="AD153" s="2576" t="s">
        <v>3381</v>
      </c>
      <c r="AH153" s="2470"/>
    </row>
    <row r="154" spans="1:34" ht="27" x14ac:dyDescent="0.15">
      <c r="A154" s="2769"/>
      <c r="B154" s="2765" t="s">
        <v>3382</v>
      </c>
      <c r="C154" s="2784"/>
      <c r="D154" s="2765" t="s">
        <v>3383</v>
      </c>
      <c r="E154" s="2765" t="s">
        <v>3384</v>
      </c>
      <c r="F154" s="2785" t="s">
        <v>3385</v>
      </c>
      <c r="G154" s="2786" t="s">
        <v>3386</v>
      </c>
      <c r="H154" s="1666" t="str">
        <f t="shared" si="38"/>
        <v>5-DaHall1-PDU-05-30-39</v>
      </c>
      <c r="I154" s="1667" t="str">
        <f t="shared" si="39"/>
        <v>5-DaHall1-PDU-06-30-39</v>
      </c>
      <c r="J154" s="1629">
        <v>220</v>
      </c>
      <c r="K154" s="1630">
        <v>30</v>
      </c>
      <c r="L154" s="2483" t="s">
        <v>6918</v>
      </c>
      <c r="M154" s="1631">
        <v>39</v>
      </c>
      <c r="N154" s="1632">
        <v>220</v>
      </c>
      <c r="O154" s="1633">
        <v>30</v>
      </c>
      <c r="P154" s="2515" t="s">
        <v>6928</v>
      </c>
      <c r="Q154" s="1634">
        <v>39</v>
      </c>
      <c r="R154" s="3363"/>
      <c r="S154" s="3365"/>
      <c r="T154" s="3241"/>
      <c r="U154" s="3242"/>
      <c r="V154" s="3241"/>
      <c r="W154" s="3242"/>
      <c r="X154" s="255" t="n">
        <f>SUM('5층_부하량(월간_AVG)'!D183:F183)</f>
        <v>0.0</v>
      </c>
      <c r="Y154" s="255" t="n">
        <f>SUM('5층_부하량(월간_AVG)'!D214:F214)</f>
        <v>0.0</v>
      </c>
      <c r="Z154" s="2557" t="n">
        <f t="shared" si="40"/>
        <v>0.0</v>
      </c>
      <c r="AA154" s="2850" t="n" cm="1">
        <f t="array" ref="AA154">INDEX('각층분기별_유효전력량(전월)'!F2:F2018,MATCH(1,("5-DaHall 1-PDU-05"='각층분기별_유효전력량(전월)'!D2:D2018)*("[branch#039] [A] kWh last month"='각층분기별_유효전력량(전월)'!E2:E2018),0))</f>
        <v>0.0</v>
      </c>
      <c r="AB154" s="2851" t="n" cm="1">
        <f t="array" ref="AB154">INDEX('각층분기별_유효전력량(전월)'!F2:F2018,MATCH(1,("5-DaHall 1-PDU-06"='각층분기별_유효전력량(전월)'!D2:D2018)*("[branch#039] [A] kWh last month"='각층분기별_유효전력량(전월)'!E2:E2018),0))</f>
        <v>0.0</v>
      </c>
      <c r="AC154" s="2586" t="n">
        <f>SUM(AA154:AB154)</f>
        <v>0.0</v>
      </c>
      <c r="AD154" s="2574" t="s">
        <v>3381</v>
      </c>
      <c r="AH154" s="2470"/>
    </row>
    <row r="155" spans="1:34" ht="27" x14ac:dyDescent="0.15">
      <c r="A155" s="2769"/>
      <c r="B155" s="2765" t="s">
        <v>3388</v>
      </c>
      <c r="C155" s="2784"/>
      <c r="D155" s="2765" t="s">
        <v>3389</v>
      </c>
      <c r="E155" s="2765" t="s">
        <v>3390</v>
      </c>
      <c r="F155" s="2785" t="s">
        <v>3391</v>
      </c>
      <c r="G155" s="2786" t="s">
        <v>3392</v>
      </c>
      <c r="H155" s="1666" t="str">
        <f t="shared" si="38"/>
        <v>5-DaHall1-PDU-05-30-41</v>
      </c>
      <c r="I155" s="1667" t="str">
        <f t="shared" si="39"/>
        <v>5-DaHall1-PDU-06-30-41</v>
      </c>
      <c r="J155" s="1629">
        <v>220</v>
      </c>
      <c r="K155" s="1630">
        <v>30</v>
      </c>
      <c r="L155" s="2483" t="s">
        <v>6918</v>
      </c>
      <c r="M155" s="1631">
        <v>41</v>
      </c>
      <c r="N155" s="1632">
        <v>220</v>
      </c>
      <c r="O155" s="1633">
        <v>30</v>
      </c>
      <c r="P155" s="2515" t="s">
        <v>6928</v>
      </c>
      <c r="Q155" s="1634">
        <v>41</v>
      </c>
      <c r="R155" s="3363"/>
      <c r="S155" s="3365"/>
      <c r="T155" s="3241"/>
      <c r="U155" s="3242"/>
      <c r="V155" s="3241"/>
      <c r="W155" s="3242"/>
      <c r="X155" s="255" t="n">
        <f>SUM('5층_부하량(월간_AVG)'!D184:F184)</f>
        <v>0.0</v>
      </c>
      <c r="Y155" s="255" t="n">
        <f>SUM('5층_부하량(월간_AVG)'!D215:F215)</f>
        <v>2.4333719582850516E-5</v>
      </c>
      <c r="Z155" s="2557" t="n">
        <f t="shared" si="40"/>
        <v>2.4333719582850516E-5</v>
      </c>
      <c r="AA155" s="2850" t="n" cm="1">
        <f t="array" ref="AA155">INDEX('각층분기별_유효전력량(전월)'!F2:F2018,MATCH(1,("5-DaHall 1-PDU-05"='각층분기별_유효전력량(전월)'!D2:D2018)*("[branch#041] [A] kWh last month"='각층분기별_유효전력량(전월)'!E2:E2018),0))</f>
        <v>0.0</v>
      </c>
      <c r="AB155" s="2851" t="n" cm="1">
        <f t="array" ref="AB155">INDEX('각층분기별_유효전력량(전월)'!F2:F2018,MATCH(1,("5-DaHall 1-PDU-06"='각층분기별_유효전력량(전월)'!D2:D2018)*("[branch#041] [A] kWh last month"='각층분기별_유효전력량(전월)'!E2:E2018),0))</f>
        <v>0.0</v>
      </c>
      <c r="AC155" s="2586" t="n">
        <f t="shared" ref="AC155:AC160" si="41">SUM(AA155:AB155)</f>
        <v>0.0</v>
      </c>
      <c r="AD155" s="2574" t="s">
        <v>3381</v>
      </c>
      <c r="AH155" s="2470"/>
    </row>
    <row r="156" spans="1:34" ht="27" x14ac:dyDescent="0.15">
      <c r="A156" s="2769"/>
      <c r="B156" s="2765" t="s">
        <v>3394</v>
      </c>
      <c r="C156" s="2784"/>
      <c r="D156" s="2765" t="s">
        <v>3395</v>
      </c>
      <c r="E156" s="2765" t="s">
        <v>3396</v>
      </c>
      <c r="F156" s="2785" t="s">
        <v>3397</v>
      </c>
      <c r="G156" s="2786" t="s">
        <v>3398</v>
      </c>
      <c r="H156" s="1666" t="str">
        <f t="shared" si="38"/>
        <v>5-DaHall1-PDU-05-30-45</v>
      </c>
      <c r="I156" s="1667" t="str">
        <f t="shared" si="39"/>
        <v>5-DaHall1-PDU-06-30-43</v>
      </c>
      <c r="J156" s="1629">
        <v>220</v>
      </c>
      <c r="K156" s="1630">
        <v>30</v>
      </c>
      <c r="L156" s="2483" t="s">
        <v>6918</v>
      </c>
      <c r="M156" s="1631">
        <v>45</v>
      </c>
      <c r="N156" s="1632">
        <v>220</v>
      </c>
      <c r="O156" s="1633">
        <v>30</v>
      </c>
      <c r="P156" s="2515" t="s">
        <v>6928</v>
      </c>
      <c r="Q156" s="1634">
        <v>43</v>
      </c>
      <c r="R156" s="3363"/>
      <c r="S156" s="3365"/>
      <c r="T156" s="3241"/>
      <c r="U156" s="3242"/>
      <c r="V156" s="3241"/>
      <c r="W156" s="3242"/>
      <c r="X156" s="255" t="n">
        <f>SUM('5층_부하량(월간_AVG)'!D186:F186)</f>
        <v>0.0</v>
      </c>
      <c r="Y156" s="255" t="n">
        <f>SUM('5층_부하량(월간_AVG)'!D216:F216)</f>
        <v>3.475842891901286E-5</v>
      </c>
      <c r="Z156" s="2557" t="n">
        <f t="shared" si="40"/>
        <v>3.475842891901286E-5</v>
      </c>
      <c r="AA156" s="2850" t="n" cm="1">
        <f t="array" ref="AA156">INDEX('각층분기별_유효전력량(전월)'!F2:F2018,MATCH(1,("5-DaHall 1-PDU-05"='각층분기별_유효전력량(전월)'!D2:D2018)*("[branch#045] [A] kWh last month"='각층분기별_유효전력량(전월)'!E2:E2018),0))</f>
        <v>0.0</v>
      </c>
      <c r="AB156" s="2851" t="n" cm="1">
        <f t="array" ref="AB156">INDEX('각층분기별_유효전력량(전월)'!F2:F2018,MATCH(1,("5-DaHall 1-PDU-06"='각층분기별_유효전력량(전월)'!D2:D2018)*("[branch#043] [A] kWh last month"='각층분기별_유효전력량(전월)'!E2:E2018),0))</f>
        <v>0.0</v>
      </c>
      <c r="AC156" s="2586" t="n">
        <f t="shared" si="41"/>
        <v>0.0</v>
      </c>
      <c r="AD156" s="2574" t="s">
        <v>3381</v>
      </c>
      <c r="AH156" s="2470"/>
    </row>
    <row r="157" spans="1:34" ht="27" x14ac:dyDescent="0.15">
      <c r="A157" s="2769"/>
      <c r="B157" s="2765" t="s">
        <v>3400</v>
      </c>
      <c r="C157" s="2784"/>
      <c r="D157" s="2765" t="s">
        <v>3401</v>
      </c>
      <c r="E157" s="2765" t="s">
        <v>3402</v>
      </c>
      <c r="F157" s="2785" t="s">
        <v>3403</v>
      </c>
      <c r="G157" s="2786" t="s">
        <v>3404</v>
      </c>
      <c r="H157" s="1666" t="str">
        <f t="shared" si="38"/>
        <v>5-DaHall1-PDU-05-30-47</v>
      </c>
      <c r="I157" s="1667" t="str">
        <f t="shared" si="39"/>
        <v>5-DaHall1-PDU-06-30-45</v>
      </c>
      <c r="J157" s="1629">
        <v>220</v>
      </c>
      <c r="K157" s="1630">
        <v>30</v>
      </c>
      <c r="L157" s="2483" t="s">
        <v>6918</v>
      </c>
      <c r="M157" s="1631">
        <v>47</v>
      </c>
      <c r="N157" s="1632">
        <v>220</v>
      </c>
      <c r="O157" s="1633">
        <v>30</v>
      </c>
      <c r="P157" s="2515" t="s">
        <v>6928</v>
      </c>
      <c r="Q157" s="1634">
        <v>45</v>
      </c>
      <c r="R157" s="3363"/>
      <c r="S157" s="3365"/>
      <c r="T157" s="3241"/>
      <c r="U157" s="3242"/>
      <c r="V157" s="3241"/>
      <c r="W157" s="3242"/>
      <c r="X157" s="255" t="n">
        <f>SUM('5층_부하량(월간_AVG)'!D187:F187)</f>
        <v>0.0</v>
      </c>
      <c r="Y157" s="255" t="n">
        <f>SUM('5층_부하량(월간_AVG)'!D217:F217)</f>
        <v>3.475842891901286E-5</v>
      </c>
      <c r="Z157" s="2557" t="n">
        <f t="shared" si="40"/>
        <v>3.475842891901286E-5</v>
      </c>
      <c r="AA157" s="2850" t="n" cm="1">
        <f t="array" ref="AA157">INDEX('각층분기별_유효전력량(전월)'!F2:F2018,MATCH(1,("5-DaHall 1-PDU-05"='각층분기별_유효전력량(전월)'!D2:D2018)*("[branch#047] [A] kWh last month"='각층분기별_유효전력량(전월)'!E2:E2018),0))</f>
        <v>0.0</v>
      </c>
      <c r="AB157" s="2851" t="n" cm="1">
        <f t="array" ref="AB157">INDEX('각층분기별_유효전력량(전월)'!F2:F2018,MATCH(1,("5-DaHall 1-PDU-06"='각층분기별_유효전력량(전월)'!D2:D2018)*("[branch#045] [A] kWh last month"='각층분기별_유효전력량(전월)'!E2:E2018),0))</f>
        <v>0.0</v>
      </c>
      <c r="AC157" s="2586" t="n">
        <f t="shared" si="41"/>
        <v>0.0</v>
      </c>
      <c r="AD157" s="2574" t="s">
        <v>3381</v>
      </c>
      <c r="AH157" s="2470"/>
    </row>
    <row r="158" spans="1:34" ht="27" x14ac:dyDescent="0.15">
      <c r="A158" s="2769"/>
      <c r="B158" s="2765" t="s">
        <v>3406</v>
      </c>
      <c r="C158" s="2784"/>
      <c r="D158" s="2765" t="s">
        <v>3407</v>
      </c>
      <c r="E158" s="2765" t="s">
        <v>3408</v>
      </c>
      <c r="F158" s="2785" t="s">
        <v>3409</v>
      </c>
      <c r="G158" s="2786" t="s">
        <v>3410</v>
      </c>
      <c r="H158" s="1666" t="str">
        <f t="shared" si="38"/>
        <v>5-DaHall1-PDU-05-30-49</v>
      </c>
      <c r="I158" s="1667" t="str">
        <f t="shared" si="39"/>
        <v>5-DaHall1-PDU-06-30-47</v>
      </c>
      <c r="J158" s="1629">
        <v>220</v>
      </c>
      <c r="K158" s="1630">
        <v>30</v>
      </c>
      <c r="L158" s="2483" t="s">
        <v>6918</v>
      </c>
      <c r="M158" s="1631">
        <v>49</v>
      </c>
      <c r="N158" s="1632">
        <v>220</v>
      </c>
      <c r="O158" s="1633">
        <v>30</v>
      </c>
      <c r="P158" s="2515" t="s">
        <v>6928</v>
      </c>
      <c r="Q158" s="1634">
        <v>47</v>
      </c>
      <c r="R158" s="3363"/>
      <c r="S158" s="3365"/>
      <c r="T158" s="3241"/>
      <c r="U158" s="3242"/>
      <c r="V158" s="3241"/>
      <c r="W158" s="3242"/>
      <c r="X158" s="255" t="n">
        <f>SUM('5층_부하량(월간_AVG)'!D188:F188)</f>
        <v>0.0</v>
      </c>
      <c r="Y158" s="255" t="n">
        <f>SUM('5층_부하량(월간_AVG)'!D218:F218)</f>
        <v>0.0</v>
      </c>
      <c r="Z158" s="2557" t="n">
        <f t="shared" si="40"/>
        <v>0.0</v>
      </c>
      <c r="AA158" s="2850" t="n" cm="1">
        <f t="array" ref="AA158">INDEX('각층분기별_유효전력량(전월)'!F2:F2018,MATCH(1,("5-DaHall 1-PDU-05"='각층분기별_유효전력량(전월)'!D2:D2018)*("[branch#049] [A] kWh last month"='각층분기별_유효전력량(전월)'!E2:E2018),0))</f>
        <v>0.0</v>
      </c>
      <c r="AB158" s="2851" t="n" cm="1">
        <f t="array" ref="AB158">INDEX('각층분기별_유효전력량(전월)'!F2:F2018,MATCH(1,("5-DaHall 1-PDU-06"='각층분기별_유효전력량(전월)'!D2:D2018)*("[branch#047] [A] kWh last month"='각층분기별_유효전력량(전월)'!E2:E2018),0))</f>
        <v>0.0</v>
      </c>
      <c r="AC158" s="2586" t="n">
        <f t="shared" si="41"/>
        <v>0.0</v>
      </c>
      <c r="AD158" s="2574" t="s">
        <v>3381</v>
      </c>
      <c r="AH158" s="2470"/>
    </row>
    <row r="159" spans="1:34" ht="27" x14ac:dyDescent="0.15">
      <c r="A159" s="2769"/>
      <c r="B159" s="2765" t="s">
        <v>3412</v>
      </c>
      <c r="C159" s="2784"/>
      <c r="D159" s="2765" t="s">
        <v>3413</v>
      </c>
      <c r="E159" s="2765" t="s">
        <v>3414</v>
      </c>
      <c r="F159" s="2785" t="s">
        <v>3415</v>
      </c>
      <c r="G159" s="2786" t="s">
        <v>3416</v>
      </c>
      <c r="H159" s="1666" t="str">
        <f t="shared" si="38"/>
        <v>5-DaHall1-PDU-05-30-51</v>
      </c>
      <c r="I159" s="1667" t="str">
        <f t="shared" si="39"/>
        <v>5-DaHall1-PDU-06-30-51</v>
      </c>
      <c r="J159" s="1629">
        <v>220</v>
      </c>
      <c r="K159" s="1630">
        <v>30</v>
      </c>
      <c r="L159" s="2483" t="s">
        <v>6918</v>
      </c>
      <c r="M159" s="1631">
        <v>51</v>
      </c>
      <c r="N159" s="1632">
        <v>220</v>
      </c>
      <c r="O159" s="1633">
        <v>30</v>
      </c>
      <c r="P159" s="2515" t="s">
        <v>6928</v>
      </c>
      <c r="Q159" s="1634">
        <v>51</v>
      </c>
      <c r="R159" s="3363"/>
      <c r="S159" s="3365"/>
      <c r="T159" s="3241"/>
      <c r="U159" s="3242"/>
      <c r="V159" s="3241"/>
      <c r="W159" s="3242"/>
      <c r="X159" s="255" t="n">
        <f>SUM('5층_부하량(월간_AVG)'!D189:F189)</f>
        <v>0.0</v>
      </c>
      <c r="Y159" s="255" t="n">
        <f>SUM('5층_부하량(월간_AVG)'!D220:F220)</f>
        <v>0.0</v>
      </c>
      <c r="Z159" s="2557" t="n">
        <f t="shared" si="40"/>
        <v>0.0</v>
      </c>
      <c r="AA159" s="2850" t="n" cm="1">
        <f t="array" ref="AA159">INDEX('각층분기별_유효전력량(전월)'!F2:F2018,MATCH(1,("5-DaHall 1-PDU-05"='각층분기별_유효전력량(전월)'!D2:D2018)*("[branch#051] [A] kWh last month"='각층분기별_유효전력량(전월)'!E2:E2018),0))</f>
        <v>0.0</v>
      </c>
      <c r="AB159" s="2851" t="n" cm="1">
        <f t="array" ref="AB159">INDEX('각층분기별_유효전력량(전월)'!F2:F2018,MATCH(1,("5-DaHall 1-PDU-06"='각층분기별_유효전력량(전월)'!D2:D2018)*("[branch#051] [A] kWh last month"='각층분기별_유효전력량(전월)'!E2:E2018),0))</f>
        <v>0.0</v>
      </c>
      <c r="AC159" s="2586" t="n">
        <f t="shared" si="41"/>
        <v>0.0</v>
      </c>
      <c r="AD159" s="2574" t="s">
        <v>3381</v>
      </c>
      <c r="AH159" s="2470"/>
    </row>
    <row r="160" spans="1:34" ht="27" x14ac:dyDescent="0.15">
      <c r="A160" s="2769"/>
      <c r="B160" s="2765" t="s">
        <v>3418</v>
      </c>
      <c r="C160" s="2784"/>
      <c r="D160" s="2765" t="s">
        <v>3419</v>
      </c>
      <c r="E160" s="2765" t="s">
        <v>3420</v>
      </c>
      <c r="F160" s="2785" t="s">
        <v>3421</v>
      </c>
      <c r="G160" s="2786" t="s">
        <v>3422</v>
      </c>
      <c r="H160" s="1666" t="str">
        <f t="shared" si="38"/>
        <v>5-DaHall1-PDU-05-30-53</v>
      </c>
      <c r="I160" s="1667" t="str">
        <f t="shared" si="39"/>
        <v>5-DaHall1-PDU-06-30-53</v>
      </c>
      <c r="J160" s="1629">
        <v>220</v>
      </c>
      <c r="K160" s="1630">
        <v>30</v>
      </c>
      <c r="L160" s="2483" t="s">
        <v>6918</v>
      </c>
      <c r="M160" s="1631">
        <v>53</v>
      </c>
      <c r="N160" s="1632">
        <v>220</v>
      </c>
      <c r="O160" s="1633">
        <v>30</v>
      </c>
      <c r="P160" s="2515" t="s">
        <v>6928</v>
      </c>
      <c r="Q160" s="1634">
        <v>53</v>
      </c>
      <c r="R160" s="3363"/>
      <c r="S160" s="3365"/>
      <c r="T160" s="3241"/>
      <c r="U160" s="3242"/>
      <c r="V160" s="3241"/>
      <c r="W160" s="3242"/>
      <c r="X160" s="255" t="n">
        <f>SUM('5층_부하량(월간_AVG)'!D190:F190)</f>
        <v>0.0</v>
      </c>
      <c r="Y160" s="255" t="n">
        <f>SUM('5층_부하량(월간_AVG)'!D221:F221)</f>
        <v>0.0</v>
      </c>
      <c r="Z160" s="2557" t="n">
        <f t="shared" si="40"/>
        <v>0.0</v>
      </c>
      <c r="AA160" s="2850" t="n" cm="1">
        <f t="array" ref="AA160">INDEX('각층분기별_유효전력량(전월)'!F2:F2018,MATCH(1,("5-DaHall 1-PDU-05"='각층분기별_유효전력량(전월)'!D2:D2018)*("[branch#053] [A] kWh last month"='각층분기별_유효전력량(전월)'!E2:E2018),0))</f>
        <v>0.0</v>
      </c>
      <c r="AB160" s="2851" t="n" cm="1">
        <f t="array" ref="AB160">INDEX('각층분기별_유효전력량(전월)'!F2:F2018,MATCH(1,("5-DaHall 1-PDU-06"='각층분기별_유효전력량(전월)'!D2:D2018)*("[branch#053] [A] kWh last month"='각층분기별_유효전력량(전월)'!E2:E2018),0))</f>
        <v>0.0</v>
      </c>
      <c r="AC160" s="2586" t="n">
        <f t="shared" si="41"/>
        <v>0.0</v>
      </c>
      <c r="AD160" s="2574" t="s">
        <v>3381</v>
      </c>
      <c r="AH160" s="2470"/>
    </row>
    <row r="161" spans="1:35" x14ac:dyDescent="0.15">
      <c r="A161" s="2769"/>
      <c r="B161" s="2834"/>
      <c r="C161" s="904"/>
      <c r="D161" s="2834"/>
      <c r="E161" s="2834"/>
      <c r="F161" s="2831"/>
      <c r="G161" s="2827"/>
      <c r="H161" s="1661"/>
      <c r="I161" s="1653"/>
      <c r="J161" s="1662"/>
      <c r="K161" s="1663"/>
      <c r="L161" s="2831"/>
      <c r="M161" s="1664"/>
      <c r="N161" s="1665"/>
      <c r="O161" s="1655"/>
      <c r="P161" s="2827"/>
      <c r="Q161" s="1656"/>
      <c r="R161" s="2831"/>
      <c r="S161" s="2827"/>
      <c r="T161" s="838"/>
      <c r="U161" s="839"/>
      <c r="V161" s="838"/>
      <c r="W161" s="839"/>
      <c r="X161" s="840"/>
      <c r="Y161" s="840"/>
      <c r="Z161" s="2564"/>
      <c r="AA161" s="2868"/>
      <c r="AB161" s="2869"/>
      <c r="AC161" s="2594"/>
      <c r="AD161" s="2636"/>
      <c r="AH161" s="2470"/>
    </row>
    <row r="162" spans="1:35" ht="14.25" thickBot="1" x14ac:dyDescent="0.2">
      <c r="A162" s="2779"/>
      <c r="B162" s="847"/>
      <c r="C162" s="993"/>
      <c r="D162" s="847"/>
      <c r="E162" s="847"/>
      <c r="F162" s="2832"/>
      <c r="G162" s="2828"/>
      <c r="H162" s="1680"/>
      <c r="I162" s="1681"/>
      <c r="J162" s="1694"/>
      <c r="K162" s="1695"/>
      <c r="L162" s="2832"/>
      <c r="M162" s="1696"/>
      <c r="N162" s="1697"/>
      <c r="O162" s="1698"/>
      <c r="P162" s="2828"/>
      <c r="Q162" s="1699"/>
      <c r="R162" s="2832"/>
      <c r="S162" s="2828"/>
      <c r="T162" s="848"/>
      <c r="U162" s="867"/>
      <c r="V162" s="848"/>
      <c r="W162" s="867"/>
      <c r="X162" s="868"/>
      <c r="Y162" s="868"/>
      <c r="Z162" s="2563"/>
      <c r="AA162" s="2890"/>
      <c r="AB162" s="2891"/>
      <c r="AC162" s="2593"/>
      <c r="AD162" s="2639"/>
      <c r="AH162" s="2470"/>
    </row>
    <row r="163" spans="1:35" s="356" customFormat="1" ht="33.75" thickTop="1" x14ac:dyDescent="0.15">
      <c r="A163" s="3370" t="s">
        <v>1710</v>
      </c>
      <c r="B163" s="3405" t="s">
        <v>4085</v>
      </c>
      <c r="C163" s="3394" t="s">
        <v>3910</v>
      </c>
      <c r="D163" s="2892" t="s">
        <v>4086</v>
      </c>
      <c r="E163" s="1257" t="s">
        <v>4087</v>
      </c>
      <c r="F163" s="1258" t="s">
        <v>4088</v>
      </c>
      <c r="G163" s="1259" t="s">
        <v>4089</v>
      </c>
      <c r="H163" s="1832" t="str">
        <f t="shared" ref="H163:H172" si="42">"5-DaHall1-PDU-"&amp;L163&amp;"-"&amp;K163&amp;"-"&amp;M163</f>
        <v>5-DaHall1-PDU-19-50-22</v>
      </c>
      <c r="I163" s="1833" t="str">
        <f t="shared" ref="I163:I218" si="43">"5-DaHall1-PDU-"&amp;P163&amp;"-"&amp;O163&amp;"-"&amp;Q163</f>
        <v>5-DaHall1-PDU-20-50-22</v>
      </c>
      <c r="J163" s="1834">
        <v>220</v>
      </c>
      <c r="K163" s="1835">
        <v>50</v>
      </c>
      <c r="L163" s="2490" t="s">
        <v>6971</v>
      </c>
      <c r="M163" s="1836">
        <v>22</v>
      </c>
      <c r="N163" s="1837">
        <v>220</v>
      </c>
      <c r="O163" s="1838">
        <v>50</v>
      </c>
      <c r="P163" s="2511" t="s">
        <v>6974</v>
      </c>
      <c r="Q163" s="1839">
        <v>22</v>
      </c>
      <c r="R163" s="1260" t="s">
        <v>3897</v>
      </c>
      <c r="S163" s="1261" t="s">
        <v>3898</v>
      </c>
      <c r="T163" s="1262" t="s">
        <v>3899</v>
      </c>
      <c r="U163" s="1263" t="s">
        <v>3900</v>
      </c>
      <c r="V163" s="3395" t="s">
        <v>2820</v>
      </c>
      <c r="W163" s="3397" t="s">
        <v>2821</v>
      </c>
      <c r="X163" s="1264" t="n">
        <f>SUM('5층_부하량(월간_AVG)'!N601:P601)</f>
        <v>0.0</v>
      </c>
      <c r="Y163" s="1264" t="n">
        <f>SUM('5층_부하량(월간_AVG)'!N617:P617)</f>
        <v>0.0</v>
      </c>
      <c r="Z163" s="3391" t="n">
        <f>SUM(X163:Y164)</f>
        <v>0.0</v>
      </c>
      <c r="AA163" s="2893" t="e" cm="1">
        <f t="array" ref="AA163">INDEX('각층분기별_유효전력량(전월)'!F2:F2018,MATCH(1,("5-DaHall 1-PDU-19"='각층분기별_유효전력량(전월)'!D2:D2018)*("3479 [branch#22] [A] KWh last month "='각층분기별_유효전력량(전월)'!E2:E2018),0))</f>
        <v>#N/A</v>
      </c>
      <c r="AB163" s="2855" t="e" cm="1">
        <f t="array" ref="AB163">INDEX('각층분기별_유효전력량(전월)'!F2:F2018,MATCH(1,("5-DaHall 1-PDU-20"='각층분기별_유효전력량(전월)'!D2:D2018)*("3479 [branch#22] [A] KWh last month "='각층분기별_유효전력량(전월)'!E2:E2018),0))</f>
        <v>#N/A</v>
      </c>
      <c r="AC163" s="3380" t="e">
        <f>SUM(AA163:AB164)</f>
        <v>#N/A</v>
      </c>
      <c r="AD163" s="2894"/>
      <c r="AE163"/>
      <c r="AI163" s="2470"/>
    </row>
    <row r="164" spans="1:35" s="356" customFormat="1" ht="33.75" thickBot="1" x14ac:dyDescent="0.2">
      <c r="A164" s="3411"/>
      <c r="B164" s="3412"/>
      <c r="C164" s="3413"/>
      <c r="D164" s="2896" t="s">
        <v>4090</v>
      </c>
      <c r="E164" s="2896" t="s">
        <v>4091</v>
      </c>
      <c r="F164" s="1265" t="s">
        <v>4092</v>
      </c>
      <c r="G164" s="1266" t="s">
        <v>4093</v>
      </c>
      <c r="H164" s="1856" t="str">
        <f t="shared" si="42"/>
        <v>5-DaHall1-PDU-21-50-22</v>
      </c>
      <c r="I164" s="1857" t="str">
        <f t="shared" si="43"/>
        <v>5-DaHall1-PDU-22-50-22</v>
      </c>
      <c r="J164" s="1858">
        <v>220</v>
      </c>
      <c r="K164" s="1859">
        <v>50</v>
      </c>
      <c r="L164" s="2493" t="s">
        <v>6972</v>
      </c>
      <c r="M164" s="1860">
        <v>22</v>
      </c>
      <c r="N164" s="1861">
        <v>220</v>
      </c>
      <c r="O164" s="1862">
        <v>50</v>
      </c>
      <c r="P164" s="2509" t="s">
        <v>6973</v>
      </c>
      <c r="Q164" s="1863">
        <v>22</v>
      </c>
      <c r="R164" s="1267" t="s">
        <v>3905</v>
      </c>
      <c r="S164" s="1268" t="s">
        <v>3906</v>
      </c>
      <c r="T164" s="1269" t="s">
        <v>3907</v>
      </c>
      <c r="U164" s="1270" t="s">
        <v>3908</v>
      </c>
      <c r="V164" s="3414"/>
      <c r="W164" s="3415"/>
      <c r="X164" s="1271" t="n">
        <f>SUM('5층_부하량(월간_AVG)'!N633:P633)</f>
        <v>0.0</v>
      </c>
      <c r="Y164" s="1271" t="n">
        <f>SUM('5층_부하량(월간_AVG)'!N649:P649)</f>
        <v>0.0</v>
      </c>
      <c r="Z164" s="3416"/>
      <c r="AA164" s="2897" t="e" cm="1">
        <f t="array" ref="AA164">INDEX('각층분기별_유효전력량(전월)'!F2:F2018,MATCH(1,("5-DaHall 1-PDU-21"='각층분기별_유효전력량(전월)'!D2:D2018)*("3479 [branch#22] [A] KWh last month "='각층분기별_유효전력량(전월)'!E2:E2018),0))</f>
        <v>#N/A</v>
      </c>
      <c r="AB164" s="2871" t="e" cm="1">
        <f t="array" ref="AB164">INDEX('각층분기별_유효전력량(전월)'!F2:F2018,MATCH(1,("5-DaHall 1-PDU-22"='각층분기별_유효전력량(전월)'!D2:D2018)*("3479 [branch#22] [A] KWh last month "='각층분기별_유효전력량(전월)'!E2:E2018),0))</f>
        <v>#N/A</v>
      </c>
      <c r="AC164" s="3381"/>
      <c r="AD164" s="2898"/>
      <c r="AE164"/>
      <c r="AG164" s="901"/>
      <c r="AI164" s="2470"/>
    </row>
    <row r="165" spans="1:35" s="356" customFormat="1" ht="33.75" thickTop="1" x14ac:dyDescent="0.15">
      <c r="A165" s="3370" t="s">
        <v>3240</v>
      </c>
      <c r="B165" s="3405" t="s">
        <v>4076</v>
      </c>
      <c r="C165" s="3394" t="s">
        <v>3910</v>
      </c>
      <c r="D165" s="2892" t="s">
        <v>4077</v>
      </c>
      <c r="E165" s="1257" t="s">
        <v>4078</v>
      </c>
      <c r="F165" s="1258" t="s">
        <v>4079</v>
      </c>
      <c r="G165" s="1259" t="s">
        <v>4080</v>
      </c>
      <c r="H165" s="1832" t="str">
        <f t="shared" si="42"/>
        <v>5-DaHall1-PDU-19-50-20</v>
      </c>
      <c r="I165" s="1833" t="str">
        <f t="shared" si="43"/>
        <v>5-DaHall1-PDU-20-50-20</v>
      </c>
      <c r="J165" s="1834">
        <v>220</v>
      </c>
      <c r="K165" s="1835">
        <v>50</v>
      </c>
      <c r="L165" s="2490" t="s">
        <v>6971</v>
      </c>
      <c r="M165" s="1836">
        <v>20</v>
      </c>
      <c r="N165" s="1837">
        <v>220</v>
      </c>
      <c r="O165" s="1838">
        <v>50</v>
      </c>
      <c r="P165" s="2511" t="s">
        <v>6974</v>
      </c>
      <c r="Q165" s="1839">
        <v>20</v>
      </c>
      <c r="R165" s="1275" t="s">
        <v>3897</v>
      </c>
      <c r="S165" s="1276" t="s">
        <v>3898</v>
      </c>
      <c r="T165" s="1262" t="s">
        <v>3899</v>
      </c>
      <c r="U165" s="1263" t="s">
        <v>3900</v>
      </c>
      <c r="V165" s="3395" t="s">
        <v>2820</v>
      </c>
      <c r="W165" s="3397" t="s">
        <v>2821</v>
      </c>
      <c r="X165" s="1264" t="n">
        <f>SUM('5층_부하량(월간_AVG)'!N600:P600)</f>
        <v>0.0</v>
      </c>
      <c r="Y165" s="1264" t="n">
        <f>SUM('5층_부하량(월간_AVG)'!N616:P616)</f>
        <v>0.0</v>
      </c>
      <c r="Z165" s="3391" t="n">
        <f>SUM(X165:Y166)</f>
        <v>0.0</v>
      </c>
      <c r="AA165" s="2893" t="e" cm="1">
        <f t="array" ref="AA165">INDEX('각층분기별_유효전력량(전월)'!F2:F2018,MATCH(1,("5-DaHall 1-PDU-19"='각층분기별_유효전력량(전월)'!D2:D2018)*("3159 [branch#20] [A] KWh last month "='각층분기별_유효전력량(전월)'!E2:E2018),0))</f>
        <v>#N/A</v>
      </c>
      <c r="AB165" s="2855" t="e" cm="1">
        <f t="array" ref="AB165">INDEX('각층분기별_유효전력량(전월)'!F2:F2018,MATCH(1,("5-DaHall 1-PDU-20"='각층분기별_유효전력량(전월)'!D2:D2018)*("3159 [branch#20] [A] KWh last month "='각층분기별_유효전력량(전월)'!E2:E2018),0))</f>
        <v>#N/A</v>
      </c>
      <c r="AC165" s="3380" t="e">
        <f>SUM(AA165:AB166)</f>
        <v>#N/A</v>
      </c>
      <c r="AD165" s="2894"/>
      <c r="AE165"/>
      <c r="AI165" s="2470"/>
    </row>
    <row r="166" spans="1:35" s="356" customFormat="1" ht="33" x14ac:dyDescent="0.15">
      <c r="A166" s="3370"/>
      <c r="B166" s="3406"/>
      <c r="C166" s="3373"/>
      <c r="D166" s="2900" t="s">
        <v>4081</v>
      </c>
      <c r="E166" s="2900" t="s">
        <v>4082</v>
      </c>
      <c r="F166" s="1250" t="s">
        <v>4083</v>
      </c>
      <c r="G166" s="1251" t="s">
        <v>4084</v>
      </c>
      <c r="H166" s="1824" t="str">
        <f t="shared" si="42"/>
        <v>5-DaHall1-PDU-21-50-20</v>
      </c>
      <c r="I166" s="1840" t="str">
        <f t="shared" si="43"/>
        <v>5-DaHall1-PDU-22-50-20</v>
      </c>
      <c r="J166" s="1841">
        <v>220</v>
      </c>
      <c r="K166" s="1842">
        <v>50</v>
      </c>
      <c r="L166" s="2489" t="s">
        <v>6972</v>
      </c>
      <c r="M166" s="1828">
        <v>20</v>
      </c>
      <c r="N166" s="1843">
        <v>220</v>
      </c>
      <c r="O166" s="1844">
        <v>50</v>
      </c>
      <c r="P166" s="2508" t="s">
        <v>6973</v>
      </c>
      <c r="Q166" s="1845">
        <v>20</v>
      </c>
      <c r="R166" s="1252" t="s">
        <v>3905</v>
      </c>
      <c r="S166" s="1253" t="s">
        <v>3906</v>
      </c>
      <c r="T166" s="1254" t="s">
        <v>3907</v>
      </c>
      <c r="U166" s="1255" t="s">
        <v>3908</v>
      </c>
      <c r="V166" s="3396"/>
      <c r="W166" s="3398"/>
      <c r="X166" s="1256" t="n">
        <f>SUM('5층_부하량(월간_AVG)'!N632:P632)</f>
        <v>0.0</v>
      </c>
      <c r="Y166" s="1256" t="n">
        <f>SUM('5층_부하량(월간_AVG)'!N648:P648)</f>
        <v>0.0</v>
      </c>
      <c r="Z166" s="3379"/>
      <c r="AA166" s="2893" t="e" cm="1">
        <f t="array" ref="AA166">INDEX('각층분기별_유효전력량(전월)'!F2:F2018,MATCH(1,("5-DaHall 1-PDU-21"='각층분기별_유효전력량(전월)'!D2:D2018)*("3159 [branch#20] [A] KWh last month "='각층분기별_유효전력량(전월)'!E2:E2018),0))</f>
        <v>#N/A</v>
      </c>
      <c r="AB166" s="2855" t="e" cm="1">
        <f t="array" ref="AB166">INDEX('각층분기별_유효전력량(전월)'!F2:F2018,MATCH(1,("5-DaHall 1-PDU-22"='각층분기별_유효전력량(전월)'!D2:D2018)*("3159 [branch#20] [A] KWh last month "='각층분기별_유효전력량(전월)'!E2:E2018),0))</f>
        <v>#N/A</v>
      </c>
      <c r="AC166" s="3393"/>
      <c r="AD166" s="2899"/>
      <c r="AE166"/>
      <c r="AG166" s="901"/>
      <c r="AI166" s="2470"/>
    </row>
    <row r="167" spans="1:35" s="356" customFormat="1" ht="33" x14ac:dyDescent="0.15">
      <c r="A167" s="3384" t="s">
        <v>3246</v>
      </c>
      <c r="B167" s="3405" t="s">
        <v>4067</v>
      </c>
      <c r="C167" s="3387" t="s">
        <v>3910</v>
      </c>
      <c r="D167" s="2892" t="s">
        <v>4068</v>
      </c>
      <c r="E167" s="1257" t="s">
        <v>4069</v>
      </c>
      <c r="F167" s="1258" t="s">
        <v>4070</v>
      </c>
      <c r="G167" s="1259" t="s">
        <v>4071</v>
      </c>
      <c r="H167" s="1832" t="str">
        <f t="shared" si="42"/>
        <v>5-DaHall1-PDU-19-50-18</v>
      </c>
      <c r="I167" s="1833" t="str">
        <f t="shared" si="43"/>
        <v>5-DaHall1-PDU-20-50-18</v>
      </c>
      <c r="J167" s="1834">
        <v>220</v>
      </c>
      <c r="K167" s="1835">
        <v>50</v>
      </c>
      <c r="L167" s="2490" t="s">
        <v>6971</v>
      </c>
      <c r="M167" s="1836">
        <v>18</v>
      </c>
      <c r="N167" s="1837">
        <v>220</v>
      </c>
      <c r="O167" s="1838">
        <v>50</v>
      </c>
      <c r="P167" s="2511" t="s">
        <v>6974</v>
      </c>
      <c r="Q167" s="1839">
        <v>18</v>
      </c>
      <c r="R167" s="1275" t="s">
        <v>3897</v>
      </c>
      <c r="S167" s="1276" t="s">
        <v>3898</v>
      </c>
      <c r="T167" s="1277" t="s">
        <v>3899</v>
      </c>
      <c r="U167" s="1278" t="s">
        <v>3900</v>
      </c>
      <c r="V167" s="3389" t="s">
        <v>2820</v>
      </c>
      <c r="W167" s="3390" t="s">
        <v>2821</v>
      </c>
      <c r="X167" s="1264" t="n">
        <f>SUM('5층_부하량(월간_AVG)'!N599:P599)</f>
        <v>0.0</v>
      </c>
      <c r="Y167" s="1279" t="n">
        <f>SUM('5층_부하량(월간_AVG)'!N615:P615)</f>
        <v>0.0</v>
      </c>
      <c r="Z167" s="3391" t="n">
        <f>SUM(X167:Y168)</f>
        <v>0.0</v>
      </c>
      <c r="AA167" s="2893" t="e" cm="1">
        <f t="array" ref="AA167">INDEX('각층분기별_유효전력량(전월)'!F2:F2018,MATCH(1,("5-DaHall 1-PDU-19"='각층분기별_유효전력량(전월)'!D2:D2018)*("2839 [branch#18] [A] KWh last month "='각층분기별_유효전력량(전월)'!E2:E2018),0))</f>
        <v>#N/A</v>
      </c>
      <c r="AB167" s="2855" t="e" cm="1">
        <f t="array" ref="AB167">INDEX('각층분기별_유효전력량(전월)'!F2:F2018,MATCH(1,("5-DaHall 1-PDU-20"='각층분기별_유효전력량(전월)'!D2:D2018)*("2839 [branch#18] [A] KWh last month "='각층분기별_유효전력량(전월)'!E2:E2018),0))</f>
        <v>#N/A</v>
      </c>
      <c r="AC167" s="3392" t="e">
        <f>SUM(AA167:AB168)</f>
        <v>#N/A</v>
      </c>
      <c r="AD167" s="2901"/>
      <c r="AE167"/>
      <c r="AI167" s="2470"/>
    </row>
    <row r="168" spans="1:35" s="356" customFormat="1" ht="33" x14ac:dyDescent="0.15">
      <c r="A168" s="3385"/>
      <c r="B168" s="3406"/>
      <c r="C168" s="3388"/>
      <c r="D168" s="2900" t="s">
        <v>4072</v>
      </c>
      <c r="E168" s="2900" t="s">
        <v>4073</v>
      </c>
      <c r="F168" s="1250" t="s">
        <v>4074</v>
      </c>
      <c r="G168" s="1251" t="s">
        <v>4075</v>
      </c>
      <c r="H168" s="1824" t="str">
        <f t="shared" si="42"/>
        <v>5-DaHall1-PDU-21-50-18</v>
      </c>
      <c r="I168" s="1840" t="str">
        <f t="shared" si="43"/>
        <v>5-DaHall1-PDU-22-50-18</v>
      </c>
      <c r="J168" s="1841">
        <v>220</v>
      </c>
      <c r="K168" s="1842">
        <v>50</v>
      </c>
      <c r="L168" s="2489" t="s">
        <v>6972</v>
      </c>
      <c r="M168" s="1828">
        <v>18</v>
      </c>
      <c r="N168" s="1843">
        <v>220</v>
      </c>
      <c r="O168" s="1844">
        <v>50</v>
      </c>
      <c r="P168" s="2508" t="s">
        <v>6973</v>
      </c>
      <c r="Q168" s="1845">
        <v>18</v>
      </c>
      <c r="R168" s="1252" t="s">
        <v>3905</v>
      </c>
      <c r="S168" s="1253" t="s">
        <v>3906</v>
      </c>
      <c r="T168" s="1284" t="s">
        <v>3907</v>
      </c>
      <c r="U168" s="1285" t="s">
        <v>3908</v>
      </c>
      <c r="V168" s="3375"/>
      <c r="W168" s="3377"/>
      <c r="X168" s="1286" t="n">
        <f>SUM('5층_부하량(월간_AVG)'!N631:P631)</f>
        <v>0.0</v>
      </c>
      <c r="Y168" s="1286" t="n">
        <f>SUM('5층_부하량(월간_AVG)'!N647:P647)</f>
        <v>0.0</v>
      </c>
      <c r="Z168" s="3379"/>
      <c r="AA168" s="2893" t="e" cm="1">
        <f t="array" ref="AA168">INDEX('각층분기별_유효전력량(전월)'!F2:F2018,MATCH(1,("5-DaHall 1-PDU-21"='각층분기별_유효전력량(전월)'!D2:D2018)*("2839 [branch#18] [A] KWh last month "='각층분기별_유효전력량(전월)'!E2:E2018),0))</f>
        <v>#N/A</v>
      </c>
      <c r="AB168" s="2855" t="e" cm="1">
        <f t="array" ref="AB168">INDEX('각층분기별_유효전력량(전월)'!F2:F2018,MATCH(1,("5-DaHall 1-PDU-22"='각층분기별_유효전력량(전월)'!D2:D2018)*("2839 [branch#18] [A] KWh last month "='각층분기별_유효전력량(전월)'!E2:E2018),0))</f>
        <v>#N/A</v>
      </c>
      <c r="AC168" s="3393"/>
      <c r="AD168" s="2902"/>
      <c r="AE168"/>
      <c r="AG168" s="901"/>
      <c r="AI168" s="2470"/>
    </row>
    <row r="169" spans="1:35" s="356" customFormat="1" ht="33" x14ac:dyDescent="0.15">
      <c r="A169" s="3370" t="s">
        <v>1747</v>
      </c>
      <c r="B169" s="3405" t="s">
        <v>4058</v>
      </c>
      <c r="C169" s="3394" t="s">
        <v>3910</v>
      </c>
      <c r="D169" s="2892" t="s">
        <v>4059</v>
      </c>
      <c r="E169" s="1257" t="s">
        <v>4060</v>
      </c>
      <c r="F169" s="1258" t="s">
        <v>4061</v>
      </c>
      <c r="G169" s="1259" t="s">
        <v>4062</v>
      </c>
      <c r="H169" s="1832" t="str">
        <f t="shared" si="42"/>
        <v>5-DaHall1-PDU-19-50-16</v>
      </c>
      <c r="I169" s="1833" t="str">
        <f t="shared" si="43"/>
        <v>5-DaHall1-PDU-20-50-16</v>
      </c>
      <c r="J169" s="1834">
        <v>220</v>
      </c>
      <c r="K169" s="1835">
        <v>50</v>
      </c>
      <c r="L169" s="2490" t="s">
        <v>6971</v>
      </c>
      <c r="M169" s="1836">
        <v>16</v>
      </c>
      <c r="N169" s="1837">
        <v>220</v>
      </c>
      <c r="O169" s="1838">
        <v>50</v>
      </c>
      <c r="P169" s="2511" t="s">
        <v>6974</v>
      </c>
      <c r="Q169" s="1839">
        <v>16</v>
      </c>
      <c r="R169" s="1260" t="s">
        <v>3987</v>
      </c>
      <c r="S169" s="1261" t="s">
        <v>3988</v>
      </c>
      <c r="T169" s="1262" t="s">
        <v>3899</v>
      </c>
      <c r="U169" s="1263" t="s">
        <v>3900</v>
      </c>
      <c r="V169" s="3395" t="s">
        <v>2820</v>
      </c>
      <c r="W169" s="3397" t="s">
        <v>2821</v>
      </c>
      <c r="X169" s="1264" t="n">
        <f>SUM('5층_부하량(월간_AVG)'!N598:P598)</f>
        <v>0.0</v>
      </c>
      <c r="Y169" s="1264" t="n">
        <f>SUM('5층_부하량(월간_AVG)'!N614:P614)</f>
        <v>0.0</v>
      </c>
      <c r="Z169" s="3391" t="n">
        <f>SUM(X169:Y170)</f>
        <v>0.0</v>
      </c>
      <c r="AA169" s="2893" t="e" cm="1">
        <f t="array" ref="AA169">INDEX('각층분기별_유효전력량(전월)'!F2:F2018,MATCH(1,("5-DaHall 1-PDU-19"='각층분기별_유효전력량(전월)'!D2:D2018)*("2519 [branch#16] [A] KWh last month "='각층분기별_유효전력량(전월)'!E2:E2018),0))</f>
        <v>#N/A</v>
      </c>
      <c r="AB169" s="2855" t="e" cm="1">
        <f t="array" ref="AB169">INDEX('각층분기별_유효전력량(전월)'!F2:F2018,MATCH(1,("5-DaHall 1-PDU-20"='각층분기별_유효전력량(전월)'!D2:D2018)*("2519 [branch#16] [A] KWh last month "='각층분기별_유효전력량(전월)'!E2:E2018),0))</f>
        <v>#N/A</v>
      </c>
      <c r="AC169" s="3392" t="e">
        <f t="shared" ref="AC169" si="44">SUM(AA169:AB170)</f>
        <v>#N/A</v>
      </c>
      <c r="AD169" s="2894"/>
      <c r="AE169"/>
      <c r="AG169" s="901"/>
      <c r="AI169" s="2470"/>
    </row>
    <row r="170" spans="1:35" s="356" customFormat="1" ht="33" x14ac:dyDescent="0.15">
      <c r="A170" s="3370"/>
      <c r="B170" s="3406"/>
      <c r="C170" s="3373"/>
      <c r="D170" s="2900" t="s">
        <v>4063</v>
      </c>
      <c r="E170" s="2900" t="s">
        <v>4064</v>
      </c>
      <c r="F170" s="1250" t="s">
        <v>4065</v>
      </c>
      <c r="G170" s="1251" t="s">
        <v>4066</v>
      </c>
      <c r="H170" s="1824" t="str">
        <f t="shared" si="42"/>
        <v>5-DaHall1-PDU-21-50-16</v>
      </c>
      <c r="I170" s="1840" t="str">
        <f t="shared" si="43"/>
        <v>5-DaHall1-PDU-22-50-16</v>
      </c>
      <c r="J170" s="1841">
        <v>220</v>
      </c>
      <c r="K170" s="1842">
        <v>50</v>
      </c>
      <c r="L170" s="2489" t="s">
        <v>6972</v>
      </c>
      <c r="M170" s="1828">
        <v>16</v>
      </c>
      <c r="N170" s="1843">
        <v>220</v>
      </c>
      <c r="O170" s="1844">
        <v>50</v>
      </c>
      <c r="P170" s="2508" t="s">
        <v>6973</v>
      </c>
      <c r="Q170" s="1845">
        <v>16</v>
      </c>
      <c r="R170" s="1252" t="s">
        <v>3993</v>
      </c>
      <c r="S170" s="1253" t="s">
        <v>3994</v>
      </c>
      <c r="T170" s="1254" t="s">
        <v>3907</v>
      </c>
      <c r="U170" s="1255" t="s">
        <v>3908</v>
      </c>
      <c r="V170" s="3396"/>
      <c r="W170" s="3398"/>
      <c r="X170" s="1256" t="n">
        <f>SUM('5층_부하량(월간_AVG)'!N630:P630)</f>
        <v>0.0</v>
      </c>
      <c r="Y170" s="1256" t="n">
        <f>SUM('5층_부하량(월간_AVG)'!N646:P646)</f>
        <v>0.0</v>
      </c>
      <c r="Z170" s="3379"/>
      <c r="AA170" s="2893" t="e" cm="1">
        <f t="array" ref="AA170">INDEX('각층분기별_유효전력량(전월)'!F2:F2018,MATCH(1,("5-DaHall 1-PDU-21"='각층분기별_유효전력량(전월)'!D2:D2018)*("2519 [branch#16] [A] KWh last month "='각층분기별_유효전력량(전월)'!E2:E2018),0))</f>
        <v>#N/A</v>
      </c>
      <c r="AB170" s="2855" t="e" cm="1">
        <f t="array" ref="AB170">INDEX('각층분기별_유효전력량(전월)'!F2:F2018,MATCH(1,("5-DaHall 1-PDU-22"='각층분기별_유효전력량(전월)'!D2:D2018)*("2519 [branch#16] [A] KWh last month "='각층분기별_유효전력량(전월)'!E2:E2018),0))</f>
        <v>#N/A</v>
      </c>
      <c r="AC170" s="3393"/>
      <c r="AD170" s="2899"/>
      <c r="AE170"/>
      <c r="AG170" s="901"/>
      <c r="AI170" s="2470"/>
    </row>
    <row r="171" spans="1:35" s="356" customFormat="1" ht="33" x14ac:dyDescent="0.15">
      <c r="A171" s="3370" t="s">
        <v>1652</v>
      </c>
      <c r="B171" s="3371" t="s">
        <v>9152</v>
      </c>
      <c r="C171" s="3387" t="s">
        <v>3910</v>
      </c>
      <c r="D171" s="2904"/>
      <c r="E171" s="1272"/>
      <c r="F171" s="1258"/>
      <c r="G171" s="1259"/>
      <c r="H171" s="1832" t="str">
        <f t="shared" si="42"/>
        <v>5-DaHall1-PDU-19-30-21</v>
      </c>
      <c r="I171" s="1833" t="str">
        <f t="shared" si="43"/>
        <v>5-DaHall1-PDU-20-30-21</v>
      </c>
      <c r="J171" s="1834">
        <v>220</v>
      </c>
      <c r="K171" s="1835">
        <v>30</v>
      </c>
      <c r="L171" s="2490" t="s">
        <v>6971</v>
      </c>
      <c r="M171" s="1836">
        <v>21</v>
      </c>
      <c r="N171" s="1837">
        <v>220</v>
      </c>
      <c r="O171" s="1838">
        <v>30</v>
      </c>
      <c r="P171" s="2511" t="s">
        <v>6974</v>
      </c>
      <c r="Q171" s="1839">
        <v>21</v>
      </c>
      <c r="R171" s="1275" t="s">
        <v>3897</v>
      </c>
      <c r="S171" s="1276" t="s">
        <v>3898</v>
      </c>
      <c r="T171" s="1262" t="s">
        <v>3899</v>
      </c>
      <c r="U171" s="1263" t="s">
        <v>3900</v>
      </c>
      <c r="V171" s="3395" t="s">
        <v>2820</v>
      </c>
      <c r="W171" s="3397" t="s">
        <v>2821</v>
      </c>
      <c r="X171" s="1264" t="n">
        <f>SUM('5층_부하량(월간_AVG)'!D601:F601)</f>
        <v>0.0</v>
      </c>
      <c r="Y171" s="1264" t="n">
        <f>SUM('5층_부하량(월간_AVG)'!D617:F617)</f>
        <v>0.0</v>
      </c>
      <c r="Z171" s="3391" t="n">
        <f t="shared" ref="Z171" si="45">SUM(X171:Y172)</f>
        <v>0.0</v>
      </c>
      <c r="AA171" s="2893" t="e" cm="1">
        <f t="array" ref="AA171">INDEX('각층분기별_유효전력량(전월)'!F2:F2018,MATCH(1,("5-DaHall 1-PDU-19"='각층분기별_유효전력량(전월)'!D2:D2018)*("3319 [branch#21] [A] KWh last month "='각층분기별_유효전력량(전월)'!E2:E2018),0))</f>
        <v>#N/A</v>
      </c>
      <c r="AB171" s="2855" t="e" cm="1">
        <f t="array" ref="AB171">INDEX('각층분기별_유효전력량(전월)'!F2:F2018,MATCH(1,("5-DaHall 1-PDU-20"='각층분기별_유효전력량(전월)'!D2:D2018)*("3319 [branch#21] [A] KWh last month "='각층분기별_유효전력량(전월)'!E2:E2018),0))</f>
        <v>#N/A</v>
      </c>
      <c r="AC171" s="3392" t="e">
        <f t="shared" ref="AC171" si="46">SUM(AA171:AB172)</f>
        <v>#N/A</v>
      </c>
      <c r="AD171" s="3382" t="s">
        <v>9153</v>
      </c>
      <c r="AE171"/>
      <c r="AG171" s="901"/>
      <c r="AI171" s="2470"/>
    </row>
    <row r="172" spans="1:35" s="356" customFormat="1" ht="33" x14ac:dyDescent="0.15">
      <c r="A172" s="3370"/>
      <c r="B172" s="3404"/>
      <c r="C172" s="3373"/>
      <c r="D172" s="2905"/>
      <c r="E172" s="2905"/>
      <c r="F172" s="1250"/>
      <c r="G172" s="1251"/>
      <c r="H172" s="1824" t="str">
        <f t="shared" si="42"/>
        <v>5-DaHall1-PDU-21-30-21</v>
      </c>
      <c r="I172" s="1840" t="str">
        <f t="shared" si="43"/>
        <v>5-DaHall1-PDU-22-30-21</v>
      </c>
      <c r="J172" s="1841">
        <v>220</v>
      </c>
      <c r="K172" s="1842">
        <v>30</v>
      </c>
      <c r="L172" s="2489" t="s">
        <v>6972</v>
      </c>
      <c r="M172" s="1828">
        <v>21</v>
      </c>
      <c r="N172" s="1843">
        <v>220</v>
      </c>
      <c r="O172" s="1844">
        <v>30</v>
      </c>
      <c r="P172" s="2508" t="s">
        <v>6973</v>
      </c>
      <c r="Q172" s="1845">
        <v>21</v>
      </c>
      <c r="R172" s="1252" t="s">
        <v>3905</v>
      </c>
      <c r="S172" s="1253" t="s">
        <v>3906</v>
      </c>
      <c r="T172" s="1254" t="s">
        <v>3907</v>
      </c>
      <c r="U172" s="1255" t="s">
        <v>3908</v>
      </c>
      <c r="V172" s="3396"/>
      <c r="W172" s="3398"/>
      <c r="X172" s="1256" t="n">
        <f>SUM('5층_부하량(월간_AVG)'!D633:F633)</f>
        <v>0.0</v>
      </c>
      <c r="Y172" s="1256" t="n">
        <f>SUM('5층_부하량(월간_AVG)'!D649:F649)</f>
        <v>0.0</v>
      </c>
      <c r="Z172" s="3379"/>
      <c r="AA172" s="2893" t="e" cm="1">
        <f t="array" ref="AA172">INDEX('각층분기별_유효전력량(전월)'!F2:F2018,MATCH(1,("5-DaHall 1-PDU-21"='각층분기별_유효전력량(전월)'!D2:D2018)*("3319 [branch#21] [A] KWh last month "='각층분기별_유효전력량(전월)'!E2:E2018),0))</f>
        <v>#N/A</v>
      </c>
      <c r="AB172" s="2855" t="e" cm="1">
        <f t="array" ref="AB172">INDEX('각층분기별_유효전력량(전월)'!F2:F2018,MATCH(1,("5-DaHall 1-PDU-22"='각층분기별_유효전력량(전월)'!D2:D2018)*("3319 [branch#21] [A] KWh last month "='각층분기별_유효전력량(전월)'!E2:E2018),0))</f>
        <v>#N/A</v>
      </c>
      <c r="AC172" s="3393"/>
      <c r="AD172" s="3383"/>
      <c r="AE172"/>
      <c r="AG172" s="901"/>
      <c r="AI172" s="2470"/>
    </row>
    <row r="173" spans="1:35" s="356" customFormat="1" ht="49.5" x14ac:dyDescent="0.15">
      <c r="A173" s="3370" t="s">
        <v>1658</v>
      </c>
      <c r="B173" s="3371" t="s">
        <v>4049</v>
      </c>
      <c r="C173" s="3387" t="s">
        <v>3910</v>
      </c>
      <c r="D173" s="2904" t="s">
        <v>4050</v>
      </c>
      <c r="E173" s="1272" t="s">
        <v>4051</v>
      </c>
      <c r="F173" s="1258" t="s">
        <v>4052</v>
      </c>
      <c r="G173" s="1259" t="s">
        <v>4053</v>
      </c>
      <c r="H173" s="1832" t="str">
        <f>"5-DaHall1-PDU-"&amp;L173&amp;"-"&amp;K173&amp;"-"&amp;M173</f>
        <v>5-DaHall1-PDU-19-30-19</v>
      </c>
      <c r="I173" s="1833" t="str">
        <f t="shared" si="43"/>
        <v>5-DaHall1-PDU-20-30-19</v>
      </c>
      <c r="J173" s="1834">
        <v>220</v>
      </c>
      <c r="K173" s="1835">
        <v>30</v>
      </c>
      <c r="L173" s="2490" t="s">
        <v>6971</v>
      </c>
      <c r="M173" s="1836">
        <v>19</v>
      </c>
      <c r="N173" s="1837">
        <v>220</v>
      </c>
      <c r="O173" s="1838">
        <v>30</v>
      </c>
      <c r="P173" s="2511" t="s">
        <v>6974</v>
      </c>
      <c r="Q173" s="1839">
        <v>19</v>
      </c>
      <c r="R173" s="1275" t="s">
        <v>3897</v>
      </c>
      <c r="S173" s="1276" t="s">
        <v>3898</v>
      </c>
      <c r="T173" s="1262" t="s">
        <v>3899</v>
      </c>
      <c r="U173" s="1263" t="s">
        <v>3900</v>
      </c>
      <c r="V173" s="3395" t="s">
        <v>2820</v>
      </c>
      <c r="W173" s="3397" t="s">
        <v>2821</v>
      </c>
      <c r="X173" s="1264" t="n">
        <f>SUM('5층_부하량(월간_AVG)'!D600:F600)</f>
        <v>0.0</v>
      </c>
      <c r="Y173" s="1264" t="n">
        <f>SUM('5층_부하량(월간_AVG)'!D616:F616)</f>
        <v>0.0</v>
      </c>
      <c r="Z173" s="3391" t="n">
        <f t="shared" ref="Z173" si="47">SUM(X173:Y174)</f>
        <v>0.0</v>
      </c>
      <c r="AA173" s="2893" t="e" cm="1">
        <f t="array" ref="AA173">INDEX('각층분기별_유효전력량(전월)'!F2:F2018,MATCH(1,("5-DaHall 1-PDU-19"='각층분기별_유효전력량(전월)'!D2:D2018)*("2999 [branch#19] [A] KWh last month "='각층분기별_유효전력량(전월)'!E2:E2018),0))</f>
        <v>#N/A</v>
      </c>
      <c r="AB173" s="2855" t="e" cm="1">
        <f t="array" ref="AB173">INDEX('각층분기별_유효전력량(전월)'!F2:F2018,MATCH(1,("5-DaHall 1-PDU-20"='각층분기별_유효전력량(전월)'!D2:D2018)*("2999 [branch#19] [A] KWh last month "='각층분기별_유효전력량(전월)'!E2:E2018),0))</f>
        <v>#N/A</v>
      </c>
      <c r="AC173" s="3392" t="e">
        <f t="shared" ref="AC173" si="48">SUM(AA173:AB174)</f>
        <v>#N/A</v>
      </c>
      <c r="AD173" s="2894"/>
      <c r="AE173"/>
      <c r="AG173" s="901"/>
      <c r="AI173" s="2470"/>
    </row>
    <row r="174" spans="1:35" s="356" customFormat="1" ht="49.5" x14ac:dyDescent="0.15">
      <c r="A174" s="3370"/>
      <c r="B174" s="3404"/>
      <c r="C174" s="3373"/>
      <c r="D174" s="2905" t="s">
        <v>4054</v>
      </c>
      <c r="E174" s="2905" t="s">
        <v>4055</v>
      </c>
      <c r="F174" s="1250" t="s">
        <v>4056</v>
      </c>
      <c r="G174" s="1251" t="s">
        <v>4057</v>
      </c>
      <c r="H174" s="1824" t="str">
        <f>"5-DaHall1-PDU-"&amp;L174&amp;"-"&amp;K174&amp;"-"&amp;M174</f>
        <v>5-DaHall1-PDU-21-30-19</v>
      </c>
      <c r="I174" s="1840" t="str">
        <f t="shared" si="43"/>
        <v>5-DaHall1-PDU-22-30-19</v>
      </c>
      <c r="J174" s="1841">
        <v>220</v>
      </c>
      <c r="K174" s="1842">
        <v>30</v>
      </c>
      <c r="L174" s="2489" t="s">
        <v>6972</v>
      </c>
      <c r="M174" s="1828">
        <v>19</v>
      </c>
      <c r="N174" s="1843">
        <v>220</v>
      </c>
      <c r="O174" s="1844">
        <v>30</v>
      </c>
      <c r="P174" s="2508" t="s">
        <v>6973</v>
      </c>
      <c r="Q174" s="1845">
        <v>19</v>
      </c>
      <c r="R174" s="1252" t="s">
        <v>3905</v>
      </c>
      <c r="S174" s="1253" t="s">
        <v>3906</v>
      </c>
      <c r="T174" s="1254" t="s">
        <v>3907</v>
      </c>
      <c r="U174" s="1255" t="s">
        <v>3908</v>
      </c>
      <c r="V174" s="3396"/>
      <c r="W174" s="3398"/>
      <c r="X174" s="1256" t="n">
        <f>SUM('5층_부하량(월간_AVG)'!D632:F632)</f>
        <v>0.0</v>
      </c>
      <c r="Y174" s="1256" t="n">
        <f>SUM('5층_부하량(월간_AVG)'!D648:F648)</f>
        <v>0.0</v>
      </c>
      <c r="Z174" s="3379"/>
      <c r="AA174" s="2893" t="e" cm="1">
        <f t="array" ref="AA174">INDEX('각층분기별_유효전력량(전월)'!F2:F2018,MATCH(1,("5-DaHall 1-PDU-21"='각층분기별_유효전력량(전월)'!D2:D2018)*("2999 [branch#19] [A] KWh last month "='각층분기별_유효전력량(전월)'!E2:E2018),0))</f>
        <v>#N/A</v>
      </c>
      <c r="AB174" s="2855" t="e" cm="1">
        <f t="array" ref="AB174">INDEX('각층분기별_유효전력량(전월)'!F2:F2018,MATCH(1,("5-DaHall 1-PDU-22"='각층분기별_유효전력량(전월)'!D2:D2018)*("2999 [branch#19] [A] KWh last month "='각층분기별_유효전력량(전월)'!E2:E2018),0))</f>
        <v>#N/A</v>
      </c>
      <c r="AC174" s="3393"/>
      <c r="AD174" s="2899"/>
      <c r="AE174"/>
      <c r="AG174" s="901"/>
      <c r="AI174" s="2470"/>
    </row>
    <row r="175" spans="1:35" s="356" customFormat="1" ht="49.5" x14ac:dyDescent="0.15">
      <c r="A175" s="3370" t="s">
        <v>1666</v>
      </c>
      <c r="B175" s="3404" t="s">
        <v>4040</v>
      </c>
      <c r="C175" s="3394" t="s">
        <v>3910</v>
      </c>
      <c r="D175" s="2892" t="s">
        <v>4041</v>
      </c>
      <c r="E175" s="1257" t="s">
        <v>4042</v>
      </c>
      <c r="F175" s="1258" t="s">
        <v>4043</v>
      </c>
      <c r="G175" s="1259" t="s">
        <v>4044</v>
      </c>
      <c r="H175" s="1832" t="str">
        <f>"5-DaHall1-PDU-"&amp;L175&amp;"-"&amp;K175&amp;"-"&amp;M175</f>
        <v>5-DaHall1-PDU-19-30-17</v>
      </c>
      <c r="I175" s="1833" t="str">
        <f t="shared" si="43"/>
        <v>5-DaHall1-PDU-20-30-17</v>
      </c>
      <c r="J175" s="1834">
        <v>220</v>
      </c>
      <c r="K175" s="1835">
        <v>30</v>
      </c>
      <c r="L175" s="2490" t="s">
        <v>6971</v>
      </c>
      <c r="M175" s="1836">
        <v>17</v>
      </c>
      <c r="N175" s="1837">
        <v>220</v>
      </c>
      <c r="O175" s="1838">
        <v>30</v>
      </c>
      <c r="P175" s="2511" t="s">
        <v>6974</v>
      </c>
      <c r="Q175" s="1839">
        <v>17</v>
      </c>
      <c r="R175" s="1275" t="s">
        <v>3897</v>
      </c>
      <c r="S175" s="1276" t="s">
        <v>3898</v>
      </c>
      <c r="T175" s="1262" t="s">
        <v>3899</v>
      </c>
      <c r="U175" s="1263" t="s">
        <v>3900</v>
      </c>
      <c r="V175" s="3395" t="s">
        <v>2820</v>
      </c>
      <c r="W175" s="3397" t="s">
        <v>2821</v>
      </c>
      <c r="X175" s="1264" t="n">
        <f>SUM('5층_부하량(월간_AVG)'!D599:F599)</f>
        <v>0.0</v>
      </c>
      <c r="Y175" s="1264" t="n">
        <f>SUM('5층_부하량(월간_AVG)'!D615:F615)</f>
        <v>0.0</v>
      </c>
      <c r="Z175" s="3391" t="n">
        <f t="shared" ref="Z175" si="49">SUM(X175:Y176)</f>
        <v>0.0</v>
      </c>
      <c r="AA175" s="2893" t="e" cm="1">
        <f t="array" ref="AA175">INDEX('각층분기별_유효전력량(전월)'!F2:F2018,MATCH(1,("5-DaHall 1-PDU-19"='각층분기별_유효전력량(전월)'!D2:D2018)*("2679 [branch#17] [A] KWh last month "='각층분기별_유효전력량(전월)'!E2:E2018),0))</f>
        <v>#N/A</v>
      </c>
      <c r="AB175" s="2855" t="e" cm="1">
        <f t="array" ref="AB175">INDEX('각층분기별_유효전력량(전월)'!F2:F2018,MATCH(1,("5-DaHall 1-PDU-20"='각층분기별_유효전력량(전월)'!D2:D2018)*("2679 [branch#17] [A] KWh last month "='각층분기별_유효전력량(전월)'!E2:E2018),0))</f>
        <v>#N/A</v>
      </c>
      <c r="AC175" s="3392" t="e">
        <f t="shared" ref="AC175" si="50">SUM(AA175:AB176)</f>
        <v>#N/A</v>
      </c>
      <c r="AD175" s="2894"/>
      <c r="AE175"/>
      <c r="AI175" s="2470"/>
    </row>
    <row r="176" spans="1:35" s="356" customFormat="1" ht="49.5" x14ac:dyDescent="0.15">
      <c r="A176" s="3370"/>
      <c r="B176" s="3404"/>
      <c r="C176" s="3373"/>
      <c r="D176" s="2900" t="s">
        <v>4045</v>
      </c>
      <c r="E176" s="2900" t="s">
        <v>4046</v>
      </c>
      <c r="F176" s="1250" t="s">
        <v>4047</v>
      </c>
      <c r="G176" s="1251" t="s">
        <v>4048</v>
      </c>
      <c r="H176" s="1824" t="str">
        <f>"5-DaHall1-PDU-"&amp;L176&amp;"-"&amp;K176&amp;"-"&amp;M176</f>
        <v>5-DaHall1-PDU-21-30-17</v>
      </c>
      <c r="I176" s="1840" t="str">
        <f t="shared" si="43"/>
        <v>5-DaHall1-PDU-22-30-17</v>
      </c>
      <c r="J176" s="1841">
        <v>220</v>
      </c>
      <c r="K176" s="1842">
        <v>30</v>
      </c>
      <c r="L176" s="2489" t="s">
        <v>6972</v>
      </c>
      <c r="M176" s="1828">
        <v>17</v>
      </c>
      <c r="N176" s="1843">
        <v>220</v>
      </c>
      <c r="O176" s="1844">
        <v>30</v>
      </c>
      <c r="P176" s="2508" t="s">
        <v>6973</v>
      </c>
      <c r="Q176" s="1845">
        <v>17</v>
      </c>
      <c r="R176" s="1252" t="s">
        <v>3905</v>
      </c>
      <c r="S176" s="1253" t="s">
        <v>3906</v>
      </c>
      <c r="T176" s="1254" t="s">
        <v>3907</v>
      </c>
      <c r="U176" s="1255" t="s">
        <v>3908</v>
      </c>
      <c r="V176" s="3396"/>
      <c r="W176" s="3398"/>
      <c r="X176" s="1256" t="n">
        <f>SUM('5층_부하량(월간_AVG)'!D631:F631)</f>
        <v>0.0</v>
      </c>
      <c r="Y176" s="1256" t="n">
        <f>SUM('5층_부하량(월간_AVG)'!D647:F647)</f>
        <v>0.0</v>
      </c>
      <c r="Z176" s="3379"/>
      <c r="AA176" s="2893" t="e" cm="1">
        <f t="array" ref="AA176">INDEX('각층분기별_유효전력량(전월)'!F2:F2018,MATCH(1,("5-DaHall 1-PDU-21"='각층분기별_유효전력량(전월)'!D2:D2018)*("2679 [branch#17] [A] KWh last month "='각층분기별_유효전력량(전월)'!E2:E2018),0))</f>
        <v>#N/A</v>
      </c>
      <c r="AB176" s="2855" t="e" cm="1">
        <f t="array" ref="AB176">INDEX('각층분기별_유효전력량(전월)'!F2:F2018,MATCH(1,("5-DaHall 1-PDU-22"='각층분기별_유효전력량(전월)'!D2:D2018)*("2679 [branch#17] [A] KWh last month "='각층분기별_유효전력량(전월)'!E2:E2018),0))</f>
        <v>#N/A</v>
      </c>
      <c r="AC176" s="3393"/>
      <c r="AD176" s="2899"/>
      <c r="AE176"/>
      <c r="AG176" s="901"/>
      <c r="AI176" s="2470"/>
    </row>
    <row r="177" spans="1:35" s="356" customFormat="1" ht="49.5" x14ac:dyDescent="0.15">
      <c r="A177" s="3384" t="s">
        <v>1672</v>
      </c>
      <c r="B177" s="3404" t="s">
        <v>4031</v>
      </c>
      <c r="C177" s="3394" t="s">
        <v>3910</v>
      </c>
      <c r="D177" s="2892" t="s">
        <v>4032</v>
      </c>
      <c r="E177" s="1257" t="s">
        <v>4033</v>
      </c>
      <c r="F177" s="1258" t="s">
        <v>4034</v>
      </c>
      <c r="G177" s="1259" t="s">
        <v>4035</v>
      </c>
      <c r="H177" s="1832" t="str">
        <f t="shared" ref="H177:H218" si="51">"5-DaHall1-PDU-"&amp;L177&amp;"-"&amp;K177&amp;"-"&amp;M177</f>
        <v>5-DaHall1-PDU-19-30-15</v>
      </c>
      <c r="I177" s="1833" t="str">
        <f t="shared" si="43"/>
        <v>5-DaHall1-PDU-20-30-15</v>
      </c>
      <c r="J177" s="1834">
        <v>220</v>
      </c>
      <c r="K177" s="1835">
        <v>30</v>
      </c>
      <c r="L177" s="2490" t="s">
        <v>6971</v>
      </c>
      <c r="M177" s="1836">
        <v>15</v>
      </c>
      <c r="N177" s="1837">
        <v>220</v>
      </c>
      <c r="O177" s="1838">
        <v>30</v>
      </c>
      <c r="P177" s="2511" t="s">
        <v>6974</v>
      </c>
      <c r="Q177" s="1839">
        <v>15</v>
      </c>
      <c r="R177" s="1275" t="s">
        <v>3897</v>
      </c>
      <c r="S177" s="1276" t="s">
        <v>3898</v>
      </c>
      <c r="T177" s="1277" t="s">
        <v>3899</v>
      </c>
      <c r="U177" s="1278" t="s">
        <v>3900</v>
      </c>
      <c r="V177" s="3389" t="s">
        <v>2820</v>
      </c>
      <c r="W177" s="3390" t="s">
        <v>2821</v>
      </c>
      <c r="X177" s="1264" t="n">
        <f>SUM('5층_부하량(월간_AVG)'!D598:F598)</f>
        <v>0.0</v>
      </c>
      <c r="Y177" s="1264" t="n">
        <f>SUM('5층_부하량(월간_AVG)'!D614:F614)</f>
        <v>0.0</v>
      </c>
      <c r="Z177" s="3391" t="n">
        <f t="shared" ref="Z177" si="52">SUM(X177:Y178)</f>
        <v>0.0</v>
      </c>
      <c r="AA177" s="2893" t="e" cm="1">
        <f t="array" ref="AA177">INDEX('각층분기별_유효전력량(전월)'!F2:F2018,MATCH(1,("5-DaHall 1-PDU-19"='각층분기별_유효전력량(전월)'!D2:D2018)*("2359 [branch#15] [A] KWh last month "='각층분기별_유효전력량(전월)'!E2:E2018),0))</f>
        <v>#N/A</v>
      </c>
      <c r="AB177" s="2855" t="e" cm="1">
        <f t="array" ref="AB177">INDEX('각층분기별_유효전력량(전월)'!F2:F2018,MATCH(1,("5-DaHall 1-PDU-20"='각층분기별_유효전력량(전월)'!D2:D2018)*("2359 [branch#15] [A] KWh last month "='각층분기별_유효전력량(전월)'!E2:E2018),0))</f>
        <v>#N/A</v>
      </c>
      <c r="AC177" s="3392" t="e">
        <f t="shared" ref="AC177" si="53">SUM(AA177:AB178)</f>
        <v>#N/A</v>
      </c>
      <c r="AD177" s="2901"/>
      <c r="AE177"/>
      <c r="AI177" s="2470"/>
    </row>
    <row r="178" spans="1:35" s="356" customFormat="1" ht="49.5" x14ac:dyDescent="0.15">
      <c r="A178" s="3385"/>
      <c r="B178" s="3404"/>
      <c r="C178" s="3373"/>
      <c r="D178" s="2900" t="s">
        <v>4036</v>
      </c>
      <c r="E178" s="2900" t="s">
        <v>4037</v>
      </c>
      <c r="F178" s="1250" t="s">
        <v>4038</v>
      </c>
      <c r="G178" s="1251" t="s">
        <v>4039</v>
      </c>
      <c r="H178" s="1824" t="str">
        <f t="shared" si="51"/>
        <v>5-DaHall1-PDU-21-30-15</v>
      </c>
      <c r="I178" s="1840" t="str">
        <f t="shared" si="43"/>
        <v>5-DaHall1-PDU-22-30-15</v>
      </c>
      <c r="J178" s="1841">
        <v>220</v>
      </c>
      <c r="K178" s="1842">
        <v>30</v>
      </c>
      <c r="L178" s="2489" t="s">
        <v>6972</v>
      </c>
      <c r="M178" s="1828">
        <v>15</v>
      </c>
      <c r="N178" s="1843">
        <v>220</v>
      </c>
      <c r="O178" s="1844">
        <v>30</v>
      </c>
      <c r="P178" s="2508" t="s">
        <v>6973</v>
      </c>
      <c r="Q178" s="1845">
        <v>15</v>
      </c>
      <c r="R178" s="1252" t="s">
        <v>3905</v>
      </c>
      <c r="S178" s="1253" t="s">
        <v>3906</v>
      </c>
      <c r="T178" s="1284" t="s">
        <v>3907</v>
      </c>
      <c r="U178" s="1285" t="s">
        <v>3908</v>
      </c>
      <c r="V178" s="3375"/>
      <c r="W178" s="3377"/>
      <c r="X178" s="1256" t="n">
        <f>SUM('5층_부하량(월간_AVG)'!D630:F630)</f>
        <v>0.0</v>
      </c>
      <c r="Y178" s="1256" t="n">
        <f>SUM('5층_부하량(월간_AVG)'!D646:F646)</f>
        <v>0.0</v>
      </c>
      <c r="Z178" s="3379"/>
      <c r="AA178" s="2893" t="e" cm="1">
        <f t="array" ref="AA178">INDEX('각층분기별_유효전력량(전월)'!F2:F2018,MATCH(1,("5-DaHall 1-PDU-21"='각층분기별_유효전력량(전월)'!D2:D2018)*("2359 [branch#15] [A] KWh last month "='각층분기별_유효전력량(전월)'!E2:E2018),0))</f>
        <v>#N/A</v>
      </c>
      <c r="AB178" s="2855" t="e" cm="1">
        <f t="array" ref="AB178">INDEX('각층분기별_유효전력량(전월)'!F2:F2018,MATCH(1,("5-DaHall 1-PDU-22"='각층분기별_유효전력량(전월)'!D2:D2018)*("2359 [branch#15] [A] KWh last month "='각층분기별_유효전력량(전월)'!E2:E2018),0))</f>
        <v>#N/A</v>
      </c>
      <c r="AC178" s="3393"/>
      <c r="AD178" s="2902"/>
      <c r="AE178"/>
      <c r="AG178" s="901"/>
      <c r="AI178" s="2470"/>
    </row>
    <row r="179" spans="1:35" s="356" customFormat="1" ht="49.5" x14ac:dyDescent="0.15">
      <c r="A179" s="3370" t="s">
        <v>1598</v>
      </c>
      <c r="B179" s="3404" t="s">
        <v>4022</v>
      </c>
      <c r="C179" s="3394" t="s">
        <v>3910</v>
      </c>
      <c r="D179" s="2892" t="s">
        <v>4023</v>
      </c>
      <c r="E179" s="1257" t="s">
        <v>4024</v>
      </c>
      <c r="F179" s="1273" t="s">
        <v>4025</v>
      </c>
      <c r="G179" s="1274" t="s">
        <v>4026</v>
      </c>
      <c r="H179" s="1846" t="str">
        <f t="shared" si="51"/>
        <v>5-DaHall1-PDU-19-30-14</v>
      </c>
      <c r="I179" s="1847" t="str">
        <f t="shared" si="43"/>
        <v>5-DaHall1-PDU-20-30-14</v>
      </c>
      <c r="J179" s="1848">
        <v>220</v>
      </c>
      <c r="K179" s="1849">
        <v>30</v>
      </c>
      <c r="L179" s="2491" t="s">
        <v>6971</v>
      </c>
      <c r="M179" s="1850">
        <v>14</v>
      </c>
      <c r="N179" s="1851">
        <v>220</v>
      </c>
      <c r="O179" s="1852">
        <v>30</v>
      </c>
      <c r="P179" s="2512" t="s">
        <v>6974</v>
      </c>
      <c r="Q179" s="1853">
        <v>14</v>
      </c>
      <c r="R179" s="1275" t="s">
        <v>3897</v>
      </c>
      <c r="S179" s="1276" t="s">
        <v>3898</v>
      </c>
      <c r="T179" s="1262" t="s">
        <v>3899</v>
      </c>
      <c r="U179" s="1263" t="s">
        <v>3900</v>
      </c>
      <c r="V179" s="3395" t="s">
        <v>2820</v>
      </c>
      <c r="W179" s="3397" t="s">
        <v>2821</v>
      </c>
      <c r="X179" s="1264" t="n">
        <f>SUM('5층_부하량(월간_AVG)'!N597:P597)</f>
        <v>0.0</v>
      </c>
      <c r="Y179" s="1264" t="n">
        <f>SUM('5층_부하량(월간_AVG)'!N613:P613)</f>
        <v>0.0</v>
      </c>
      <c r="Z179" s="3391" t="n">
        <f t="shared" ref="Z179" si="54">SUM(X179:Y180)</f>
        <v>0.0</v>
      </c>
      <c r="AA179" s="2893" t="e" cm="1">
        <f t="array" ref="AA179">INDEX('각층분기별_유효전력량(전월)'!F2:F2018,MATCH(1,("5-DaHall 1-PDU-19"='각층분기별_유효전력량(전월)'!D2:D2018)*("2199 [branch#14] [A] KWh last month "='각층분기별_유효전력량(전월)'!E2:E2018),0))</f>
        <v>#N/A</v>
      </c>
      <c r="AB179" s="2855" t="e" cm="1">
        <f t="array" ref="AB179">INDEX('각층분기별_유효전력량(전월)'!F2:F2018,MATCH(1,("5-DaHall 1-PDU-20"='각층분기별_유효전력량(전월)'!D2:D2018)*("2199 [branch#14] [A] KWh last month "='각층분기별_유효전력량(전월)'!E2:E2018),0))</f>
        <v>#N/A</v>
      </c>
      <c r="AC179" s="3392" t="e">
        <f t="shared" ref="AC179" si="55">SUM(AA179:AB180)</f>
        <v>#N/A</v>
      </c>
      <c r="AD179" s="2894"/>
      <c r="AE179"/>
      <c r="AI179" s="2470"/>
    </row>
    <row r="180" spans="1:35" s="356" customFormat="1" ht="49.5" x14ac:dyDescent="0.15">
      <c r="A180" s="3370"/>
      <c r="B180" s="3404"/>
      <c r="C180" s="3373"/>
      <c r="D180" s="2900" t="s">
        <v>4027</v>
      </c>
      <c r="E180" s="2900" t="s">
        <v>4028</v>
      </c>
      <c r="F180" s="1280" t="s">
        <v>4029</v>
      </c>
      <c r="G180" s="1281" t="s">
        <v>4030</v>
      </c>
      <c r="H180" s="1854" t="str">
        <f t="shared" si="51"/>
        <v>5-DaHall1-PDU-21-30-14</v>
      </c>
      <c r="I180" s="1825" t="str">
        <f t="shared" si="43"/>
        <v>5-DaHall1-PDU-22-30-14</v>
      </c>
      <c r="J180" s="1826">
        <v>220</v>
      </c>
      <c r="K180" s="1827">
        <v>30</v>
      </c>
      <c r="L180" s="2492" t="s">
        <v>6972</v>
      </c>
      <c r="M180" s="1855">
        <v>14</v>
      </c>
      <c r="N180" s="1829">
        <v>220</v>
      </c>
      <c r="O180" s="1830">
        <v>30</v>
      </c>
      <c r="P180" s="2507" t="s">
        <v>6973</v>
      </c>
      <c r="Q180" s="1831">
        <v>14</v>
      </c>
      <c r="R180" s="1252" t="s">
        <v>3905</v>
      </c>
      <c r="S180" s="1253" t="s">
        <v>3906</v>
      </c>
      <c r="T180" s="1254" t="s">
        <v>3907</v>
      </c>
      <c r="U180" s="1255" t="s">
        <v>3908</v>
      </c>
      <c r="V180" s="3396"/>
      <c r="W180" s="3398"/>
      <c r="X180" s="1256" t="n">
        <f>SUM('5층_부하량(월간_AVG)'!N629:P629)</f>
        <v>0.0</v>
      </c>
      <c r="Y180" s="1256" t="n">
        <f>SUM('5층_부하량(월간_AVG)'!N645:P645)</f>
        <v>0.0</v>
      </c>
      <c r="Z180" s="3379"/>
      <c r="AA180" s="2893" t="e" cm="1">
        <f t="array" ref="AA180">INDEX('각층분기별_유효전력량(전월)'!F2:F2018,MATCH(1,("5-DaHall 1-PDU-21"='각층분기별_유효전력량(전월)'!D2:D2018)*("2199 [branch#14] [A] KWh last month "='각층분기별_유효전력량(전월)'!E2:E2018),0))</f>
        <v>#N/A</v>
      </c>
      <c r="AB180" s="2855" t="e" cm="1">
        <f t="array" ref="AB180">INDEX('각층분기별_유효전력량(전월)'!F2:F2018,MATCH(1,("5-DaHall 1-PDU-22"='각층분기별_유효전력량(전월)'!D2:D2018)*("2199 [branch#14] [A] KWh last month "='각층분기별_유효전력량(전월)'!E2:E2018),0))</f>
        <v>#N/A</v>
      </c>
      <c r="AC180" s="3393"/>
      <c r="AD180" s="2899"/>
      <c r="AE180"/>
      <c r="AG180" s="901"/>
      <c r="AI180" s="2470"/>
    </row>
    <row r="181" spans="1:35" s="356" customFormat="1" ht="49.5" x14ac:dyDescent="0.15">
      <c r="A181" s="3384" t="s">
        <v>1604</v>
      </c>
      <c r="B181" s="3404" t="s">
        <v>4013</v>
      </c>
      <c r="C181" s="3387" t="s">
        <v>3910</v>
      </c>
      <c r="D181" s="2904" t="s">
        <v>4014</v>
      </c>
      <c r="E181" s="1272" t="s">
        <v>4015</v>
      </c>
      <c r="F181" s="1258" t="s">
        <v>4016</v>
      </c>
      <c r="G181" s="1259" t="s">
        <v>4017</v>
      </c>
      <c r="H181" s="1832" t="str">
        <f t="shared" si="51"/>
        <v>5-DaHall1-PDU-19-30-12</v>
      </c>
      <c r="I181" s="1833" t="str">
        <f t="shared" si="43"/>
        <v>5-DaHall1-PDU-20-30-12</v>
      </c>
      <c r="J181" s="1834">
        <v>220</v>
      </c>
      <c r="K181" s="1835">
        <v>30</v>
      </c>
      <c r="L181" s="2490" t="s">
        <v>6971</v>
      </c>
      <c r="M181" s="1836">
        <v>12</v>
      </c>
      <c r="N181" s="1837">
        <v>220</v>
      </c>
      <c r="O181" s="1838">
        <v>30</v>
      </c>
      <c r="P181" s="2511" t="s">
        <v>6974</v>
      </c>
      <c r="Q181" s="1839">
        <v>12</v>
      </c>
      <c r="R181" s="1275" t="s">
        <v>3897</v>
      </c>
      <c r="S181" s="1276" t="s">
        <v>3898</v>
      </c>
      <c r="T181" s="1277" t="s">
        <v>3899</v>
      </c>
      <c r="U181" s="1278" t="s">
        <v>3900</v>
      </c>
      <c r="V181" s="3389" t="s">
        <v>2820</v>
      </c>
      <c r="W181" s="3390" t="s">
        <v>2821</v>
      </c>
      <c r="X181" s="1264" t="n">
        <f>SUM('5층_부하량(월간_AVG)'!N596:P596)</f>
        <v>0.0</v>
      </c>
      <c r="Y181" s="1279" t="n">
        <f>SUM('5층_부하량(월간_AVG)'!N612:P612)</f>
        <v>0.0</v>
      </c>
      <c r="Z181" s="3391" t="n">
        <f t="shared" ref="Z181" si="56">SUM(X181:Y182)</f>
        <v>0.0</v>
      </c>
      <c r="AA181" s="2893" t="e" cm="1">
        <f t="array" ref="AA181">INDEX('각층분기별_유효전력량(전월)'!F2:F2018,MATCH(1,("5-DaHall 1-PDU-19"='각층분기별_유효전력량(전월)'!D2:D2018)*("1879 [branch#12] [A] KWh last month "='각층분기별_유효전력량(전월)'!E2:E2018),0))</f>
        <v>#N/A</v>
      </c>
      <c r="AB181" s="2855" t="e" cm="1">
        <f t="array" ref="AB181">INDEX('각층분기별_유효전력량(전월)'!F2:F2018,MATCH(1,("5-DaHall 1-PDU-20-12"='각층분기별_유효전력량(전월)'!D2:D2018)*("1879 [branch#12] [A] KWh last month "='각층분기별_유효전력량(전월)'!E2:E2018),0))</f>
        <v>#N/A</v>
      </c>
      <c r="AC181" s="3392" t="e">
        <f t="shared" ref="AC181" si="57">SUM(AA181:AB182)</f>
        <v>#N/A</v>
      </c>
      <c r="AD181" s="2901"/>
      <c r="AE181"/>
      <c r="AI181" s="2470"/>
    </row>
    <row r="182" spans="1:35" s="356" customFormat="1" ht="49.5" x14ac:dyDescent="0.15">
      <c r="A182" s="3385"/>
      <c r="B182" s="3404"/>
      <c r="C182" s="3388"/>
      <c r="D182" s="2905" t="s">
        <v>4018</v>
      </c>
      <c r="E182" s="2905" t="s">
        <v>4019</v>
      </c>
      <c r="F182" s="1250" t="s">
        <v>4020</v>
      </c>
      <c r="G182" s="1251" t="s">
        <v>4021</v>
      </c>
      <c r="H182" s="1824" t="str">
        <f t="shared" si="51"/>
        <v>5-DaHall1-PDU-21-30-12</v>
      </c>
      <c r="I182" s="1840" t="str">
        <f t="shared" si="43"/>
        <v>5-DaHall1-PDU-22-30-12</v>
      </c>
      <c r="J182" s="1841">
        <v>220</v>
      </c>
      <c r="K182" s="1842">
        <v>30</v>
      </c>
      <c r="L182" s="2489" t="s">
        <v>6972</v>
      </c>
      <c r="M182" s="1828">
        <v>12</v>
      </c>
      <c r="N182" s="1843">
        <v>220</v>
      </c>
      <c r="O182" s="1844">
        <v>30</v>
      </c>
      <c r="P182" s="2508" t="s">
        <v>6973</v>
      </c>
      <c r="Q182" s="1845">
        <v>12</v>
      </c>
      <c r="R182" s="1252" t="s">
        <v>3905</v>
      </c>
      <c r="S182" s="1253" t="s">
        <v>3906</v>
      </c>
      <c r="T182" s="1284" t="s">
        <v>3907</v>
      </c>
      <c r="U182" s="1285" t="s">
        <v>3908</v>
      </c>
      <c r="V182" s="3375"/>
      <c r="W182" s="3377"/>
      <c r="X182" s="1256" t="n">
        <f>SUM('5층_부하량(월간_AVG)'!N628:P628)</f>
        <v>0.0</v>
      </c>
      <c r="Y182" s="1286" t="n">
        <f>SUM('5층_부하량(월간_AVG)'!N644:P644)</f>
        <v>0.0</v>
      </c>
      <c r="Z182" s="3379"/>
      <c r="AA182" s="2893" t="e" cm="1">
        <f t="array" ref="AA182">INDEX('각층분기별_유효전력량(전월)'!F2:F2018,MATCH(1,("5-DaHall 1-PDU-21"='각층분기별_유효전력량(전월)'!D2:D2018)*("1879 [branch#12] [A] KWh last month "='각층분기별_유효전력량(전월)'!E2:E2018),0))</f>
        <v>#N/A</v>
      </c>
      <c r="AB182" s="2855" t="e" cm="1">
        <f t="array" ref="AB182">INDEX('각층분기별_유효전력량(전월)'!F2:F2018,MATCH(1,("5-DaHall 1-PDU-22"='각층분기별_유효전력량(전월)'!D2:D2018)*("1879 [branch#12] [A] KWh last month "='각층분기별_유효전력량(전월)'!E2:E2018),0))</f>
        <v>#N/A</v>
      </c>
      <c r="AC182" s="3393"/>
      <c r="AD182" s="2902"/>
      <c r="AE182"/>
      <c r="AG182" s="901"/>
      <c r="AI182" s="2470"/>
    </row>
    <row r="183" spans="1:35" s="356" customFormat="1" ht="33" x14ac:dyDescent="0.15">
      <c r="A183" s="3370" t="s">
        <v>1610</v>
      </c>
      <c r="B183" s="3404" t="s">
        <v>4004</v>
      </c>
      <c r="C183" s="3394" t="s">
        <v>3910</v>
      </c>
      <c r="D183" s="2892" t="s">
        <v>4005</v>
      </c>
      <c r="E183" s="1257" t="s">
        <v>4006</v>
      </c>
      <c r="F183" s="1258" t="s">
        <v>4007</v>
      </c>
      <c r="G183" s="1259" t="s">
        <v>4008</v>
      </c>
      <c r="H183" s="1832" t="str">
        <f t="shared" si="51"/>
        <v>5-DaHall1-PDU-19-50-10</v>
      </c>
      <c r="I183" s="1833" t="str">
        <f t="shared" si="43"/>
        <v>5-DaHall1-PDU-20-50-10</v>
      </c>
      <c r="J183" s="1834">
        <v>220</v>
      </c>
      <c r="K183" s="1835">
        <v>50</v>
      </c>
      <c r="L183" s="2490" t="s">
        <v>6971</v>
      </c>
      <c r="M183" s="1836">
        <v>10</v>
      </c>
      <c r="N183" s="1837">
        <v>220</v>
      </c>
      <c r="O183" s="1838">
        <v>50</v>
      </c>
      <c r="P183" s="2511" t="s">
        <v>6974</v>
      </c>
      <c r="Q183" s="1839">
        <v>10</v>
      </c>
      <c r="R183" s="1260" t="s">
        <v>3897</v>
      </c>
      <c r="S183" s="1261" t="s">
        <v>3898</v>
      </c>
      <c r="T183" s="1262" t="s">
        <v>3899</v>
      </c>
      <c r="U183" s="1263" t="s">
        <v>3900</v>
      </c>
      <c r="V183" s="3395" t="s">
        <v>2820</v>
      </c>
      <c r="W183" s="3397" t="s">
        <v>2821</v>
      </c>
      <c r="X183" s="1264" t="n">
        <f>SUM('5층_부하량(월간_AVG)'!N595:P595)</f>
        <v>0.0</v>
      </c>
      <c r="Y183" s="1264" t="n">
        <f>SUM('5층_부하량(월간_AVG)'!N611:P611)</f>
        <v>0.0</v>
      </c>
      <c r="Z183" s="3391" t="n">
        <f t="shared" ref="Z183" si="58">SUM(X183:Y184)</f>
        <v>0.0</v>
      </c>
      <c r="AA183" s="2893" t="e" cm="1">
        <f t="array" ref="AA183">INDEX('각층분기별_유효전력량(전월)'!F2:F2018,MATCH(1,("5-DaHall 1-PDU-19"='각층분기별_유효전력량(전월)'!D2:D2018)*("1559 [branch#10] [A] KWh last month "='각층분기별_유효전력량(전월)'!E2:E2018),0))</f>
        <v>#N/A</v>
      </c>
      <c r="AB183" s="2855" t="e" cm="1">
        <f t="array" ref="AB183">INDEX('각층분기별_유효전력량(전월)'!F2:F2018,MATCH(1,("5-DaHall 1-PDU-20"='각층분기별_유효전력량(전월)'!D2:D2018)*("1559 [branch#10] [A] KWh last month "='각층분기별_유효전력량(전월)'!E2:E2018),0))</f>
        <v>#N/A</v>
      </c>
      <c r="AC183" s="3392" t="e">
        <f t="shared" ref="AC183" si="59">SUM(AA183:AB184)</f>
        <v>#N/A</v>
      </c>
      <c r="AD183" s="2894"/>
      <c r="AE183"/>
      <c r="AI183" s="2470"/>
    </row>
    <row r="184" spans="1:35" s="356" customFormat="1" ht="33" x14ac:dyDescent="0.15">
      <c r="A184" s="3370"/>
      <c r="B184" s="3404"/>
      <c r="C184" s="3373"/>
      <c r="D184" s="2900" t="s">
        <v>4009</v>
      </c>
      <c r="E184" s="2900" t="s">
        <v>4010</v>
      </c>
      <c r="F184" s="1250" t="s">
        <v>4011</v>
      </c>
      <c r="G184" s="1251" t="s">
        <v>4012</v>
      </c>
      <c r="H184" s="1824" t="str">
        <f t="shared" si="51"/>
        <v>5-DaHall1-PDU-21-50-10</v>
      </c>
      <c r="I184" s="1840" t="str">
        <f t="shared" si="43"/>
        <v>5-DaHall1-PDU-22-50-10</v>
      </c>
      <c r="J184" s="1841">
        <v>220</v>
      </c>
      <c r="K184" s="1842">
        <v>50</v>
      </c>
      <c r="L184" s="2489" t="s">
        <v>6972</v>
      </c>
      <c r="M184" s="1828">
        <v>10</v>
      </c>
      <c r="N184" s="1843">
        <v>220</v>
      </c>
      <c r="O184" s="1844">
        <v>50</v>
      </c>
      <c r="P184" s="2508" t="s">
        <v>6973</v>
      </c>
      <c r="Q184" s="1845">
        <v>10</v>
      </c>
      <c r="R184" s="1252" t="s">
        <v>3905</v>
      </c>
      <c r="S184" s="1253" t="s">
        <v>3906</v>
      </c>
      <c r="T184" s="1254" t="s">
        <v>3907</v>
      </c>
      <c r="U184" s="1255" t="s">
        <v>3908</v>
      </c>
      <c r="V184" s="3396"/>
      <c r="W184" s="3398"/>
      <c r="X184" s="1256" t="n">
        <f>SUM('5층_부하량(월간_AVG)'!N627:P627)</f>
        <v>0.0</v>
      </c>
      <c r="Y184" s="1256" t="n">
        <f>SUM('5층_부하량(월간_AVG)'!N643:P643)</f>
        <v>0.0</v>
      </c>
      <c r="Z184" s="3379"/>
      <c r="AA184" s="2893" t="e" cm="1">
        <f t="array" ref="AA184">INDEX('각층분기별_유효전력량(전월)'!F2:F2018,MATCH(1,("5-DaHall 1-PDU-21"='각층분기별_유효전력량(전월)'!D2:D2018)*("1559 [branch#10] [A] KWh last month "='각층분기별_유효전력량(전월)'!E2:E2018),0))</f>
        <v>#N/A</v>
      </c>
      <c r="AB184" s="2855" t="e" cm="1">
        <f t="array" ref="AB184">INDEX('각층분기별_유효전력량(전월)'!F2:F2018,MATCH(1,("5-DaHall 1-PDU-22"='각층분기별_유효전력량(전월)'!D2:D2018)*("1559 [branch#10] [A] KWh last month "='각층분기별_유효전력량(전월)'!E2:E2018),0))</f>
        <v>#N/A</v>
      </c>
      <c r="AC184" s="3393"/>
      <c r="AD184" s="2899"/>
      <c r="AE184"/>
      <c r="AG184" s="901"/>
      <c r="AI184" s="2470"/>
    </row>
    <row r="185" spans="1:35" s="356" customFormat="1" ht="33" x14ac:dyDescent="0.15">
      <c r="A185" s="3384" t="s">
        <v>1616</v>
      </c>
      <c r="B185" s="3371" t="s">
        <v>3995</v>
      </c>
      <c r="C185" s="3387" t="s">
        <v>3910</v>
      </c>
      <c r="D185" s="2904" t="s">
        <v>3996</v>
      </c>
      <c r="E185" s="1272" t="s">
        <v>3997</v>
      </c>
      <c r="F185" s="1273" t="s">
        <v>3998</v>
      </c>
      <c r="G185" s="1274" t="s">
        <v>3999</v>
      </c>
      <c r="H185" s="1846" t="str">
        <f t="shared" si="51"/>
        <v>5-DaHall1-PDU-19-50-8</v>
      </c>
      <c r="I185" s="1847" t="str">
        <f t="shared" si="43"/>
        <v>5-DaHall1-PDU-20-50-8</v>
      </c>
      <c r="J185" s="1848">
        <v>220</v>
      </c>
      <c r="K185" s="1849">
        <v>50</v>
      </c>
      <c r="L185" s="2491" t="s">
        <v>6971</v>
      </c>
      <c r="M185" s="1850">
        <v>8</v>
      </c>
      <c r="N185" s="1851">
        <v>220</v>
      </c>
      <c r="O185" s="1852">
        <v>50</v>
      </c>
      <c r="P185" s="2512" t="s">
        <v>6974</v>
      </c>
      <c r="Q185" s="1853">
        <v>8</v>
      </c>
      <c r="R185" s="1275" t="s">
        <v>3897</v>
      </c>
      <c r="S185" s="1276" t="s">
        <v>3898</v>
      </c>
      <c r="T185" s="1277" t="s">
        <v>3899</v>
      </c>
      <c r="U185" s="1278" t="s">
        <v>3900</v>
      </c>
      <c r="V185" s="3389" t="s">
        <v>2820</v>
      </c>
      <c r="W185" s="3390" t="s">
        <v>2821</v>
      </c>
      <c r="X185" s="1279" t="n">
        <f>SUM('5층_부하량(월간_AVG)'!N594:P594)</f>
        <v>0.0</v>
      </c>
      <c r="Y185" s="1279" t="n">
        <f>SUM('5층_부하량(월간_AVG)'!N610:P610)</f>
        <v>0.0</v>
      </c>
      <c r="Z185" s="3401" t="n">
        <f t="shared" ref="Z185" si="60">SUM(X185:Y186)</f>
        <v>0.0</v>
      </c>
      <c r="AA185" s="2906" t="e" cm="1">
        <f t="array" ref="AA185">INDEX('각층분기별_유효전력량(전월)'!F2:F2018,MATCH(1,("5-DaHall 1-PDU-19"='각층분기별_유효전력량(전월)'!D2:D2018)*("1239 [branch#08] [A] KWh last month "='각층분기별_유효전력량(전월)'!E2:E2018),0))</f>
        <v>#N/A</v>
      </c>
      <c r="AB185" s="2855" t="e" cm="1">
        <f t="array" ref="AB185">INDEX('각층분기별_유효전력량(전월)'!F2:F2018,MATCH(1,("5-DaHall 1-PDU-20"='각층분기별_유효전력량(전월)'!D2:D2018)*("1239 [branch#08] [A] KWh last month "='각층분기별_유효전력량(전월)'!E2:E2018),0))</f>
        <v>#N/A</v>
      </c>
      <c r="AC185" s="3392" t="e">
        <f t="shared" ref="AC185" si="61">SUM(AA185:AB186)</f>
        <v>#N/A</v>
      </c>
      <c r="AD185" s="2901"/>
      <c r="AE185"/>
      <c r="AI185" s="2470"/>
    </row>
    <row r="186" spans="1:35" s="356" customFormat="1" ht="33" x14ac:dyDescent="0.15">
      <c r="A186" s="3385"/>
      <c r="B186" s="3386"/>
      <c r="C186" s="3388"/>
      <c r="D186" s="2905" t="s">
        <v>4000</v>
      </c>
      <c r="E186" s="2905" t="s">
        <v>4001</v>
      </c>
      <c r="F186" s="1280" t="s">
        <v>4002</v>
      </c>
      <c r="G186" s="1281" t="s">
        <v>4003</v>
      </c>
      <c r="H186" s="1854" t="str">
        <f t="shared" si="51"/>
        <v>5-DaHall1-PDU-21-50-8</v>
      </c>
      <c r="I186" s="1825" t="str">
        <f t="shared" si="43"/>
        <v>5-DaHall1-PDU-22-50-8</v>
      </c>
      <c r="J186" s="1826">
        <v>220</v>
      </c>
      <c r="K186" s="1827">
        <v>50</v>
      </c>
      <c r="L186" s="2492" t="s">
        <v>6972</v>
      </c>
      <c r="M186" s="1855">
        <v>8</v>
      </c>
      <c r="N186" s="1829">
        <v>220</v>
      </c>
      <c r="O186" s="1830">
        <v>50</v>
      </c>
      <c r="P186" s="2507" t="s">
        <v>6973</v>
      </c>
      <c r="Q186" s="1831">
        <v>8</v>
      </c>
      <c r="R186" s="1282" t="s">
        <v>3905</v>
      </c>
      <c r="S186" s="1283" t="s">
        <v>3906</v>
      </c>
      <c r="T186" s="1284" t="s">
        <v>3907</v>
      </c>
      <c r="U186" s="1285" t="s">
        <v>3908</v>
      </c>
      <c r="V186" s="3375"/>
      <c r="W186" s="3377"/>
      <c r="X186" s="1286" t="n">
        <f>SUM('5층_부하량(월간_AVG)'!N626:P626)</f>
        <v>0.0</v>
      </c>
      <c r="Y186" s="1286" t="n">
        <f>SUM('5층_부하량(월간_AVG)'!N642:P642)</f>
        <v>0.0</v>
      </c>
      <c r="Z186" s="3401"/>
      <c r="AA186" s="2893" t="e" cm="1">
        <f t="array" ref="AA186">INDEX('각층분기별_유효전력량(전월)'!F2:F2018,MATCH(1,("5-DaHall 1-PDU-21"='각층분기별_유효전력량(전월)'!D2:D2018)*("1239 [branch#08] [A] KWh last month "='각층분기별_유효전력량(전월)'!E2:E2018),0))</f>
        <v>#N/A</v>
      </c>
      <c r="AB186" s="2855" t="e" cm="1">
        <f t="array" ref="AB186">INDEX('각층분기별_유효전력량(전월)'!F2:F2018,MATCH(1,("5-DaHall 1-PDU-22"='각층분기별_유효전력량(전월)'!D2:D2018)*("1239 [branch#08] [A] KWh last month "='각층분기별_유효전력량(전월)'!E2:E2018),0))</f>
        <v>#N/A</v>
      </c>
      <c r="AC186" s="3393"/>
      <c r="AD186" s="2902"/>
      <c r="AE186"/>
      <c r="AG186" s="901"/>
      <c r="AI186" s="2470"/>
    </row>
    <row r="187" spans="1:35" s="356" customFormat="1" ht="33" x14ac:dyDescent="0.15">
      <c r="A187" s="3370" t="s">
        <v>3295</v>
      </c>
      <c r="B187" s="3386" t="s">
        <v>9154</v>
      </c>
      <c r="C187" s="3394" t="s">
        <v>3910</v>
      </c>
      <c r="D187" s="2907"/>
      <c r="E187" s="2907"/>
      <c r="F187" s="2908"/>
      <c r="G187" s="2909"/>
      <c r="H187" s="1832" t="str">
        <f t="shared" si="51"/>
        <v>5-DaHall1-PDU-19-50-24</v>
      </c>
      <c r="I187" s="1833" t="str">
        <f t="shared" si="43"/>
        <v>5-DaHall1-PDU-20-50-24</v>
      </c>
      <c r="J187" s="1834">
        <v>220</v>
      </c>
      <c r="K187" s="1835">
        <v>50</v>
      </c>
      <c r="L187" s="2490" t="s">
        <v>6971</v>
      </c>
      <c r="M187" s="1836">
        <v>24</v>
      </c>
      <c r="N187" s="1837">
        <v>220</v>
      </c>
      <c r="O187" s="1838">
        <v>50</v>
      </c>
      <c r="P187" s="2511" t="s">
        <v>6974</v>
      </c>
      <c r="Q187" s="1839">
        <v>24</v>
      </c>
      <c r="R187" s="1260" t="s">
        <v>3987</v>
      </c>
      <c r="S187" s="1261" t="s">
        <v>3988</v>
      </c>
      <c r="T187" s="1262" t="s">
        <v>3899</v>
      </c>
      <c r="U187" s="1263" t="s">
        <v>3900</v>
      </c>
      <c r="V187" s="3395" t="s">
        <v>2820</v>
      </c>
      <c r="W187" s="3397" t="s">
        <v>2821</v>
      </c>
      <c r="X187" s="1264" t="n">
        <f>SUM('5층_부하량(월간_AVG)'!N602:P602)</f>
        <v>0.0</v>
      </c>
      <c r="Y187" s="1264" t="n">
        <f>SUM('5층_부하량(월간_AVG)'!N618:P618)</f>
        <v>0.0</v>
      </c>
      <c r="Z187" s="3402" t="n">
        <f t="shared" ref="Z187" si="62">SUM(X187:Y188)</f>
        <v>0.0</v>
      </c>
      <c r="AA187" s="2893" t="e" cm="1">
        <f t="array" ref="AA187">INDEX('각층분기별_유효전력량(전월)'!F2:F2018,MATCH(1,("5-DaHall 1-PDU-19"='각층분기별_유효전력량(전월)'!D2:D2018)*("3799 [branch#24] [A] KWh last month "='각층분기별_유효전력량(전월)'!E2:E2018),0))</f>
        <v>#N/A</v>
      </c>
      <c r="AB187" s="2855" t="e" cm="1">
        <f t="array" ref="AB187">INDEX('각층분기별_유효전력량(전월)'!F2:F2018,MATCH(1,("5-DaHall 1-PDU-20"='각층분기별_유효전력량(전월)'!D2:D2018)*("3799 [branch#24] [A] KWh last month "='각층분기별_유효전력량(전월)'!E2:E2018),0))</f>
        <v>#N/A</v>
      </c>
      <c r="AC187" s="3392" t="e">
        <f t="shared" ref="AC187" si="63">SUM(AA187:AB188)</f>
        <v>#N/A</v>
      </c>
      <c r="AD187" s="3382" t="s">
        <v>9153</v>
      </c>
      <c r="AE187"/>
      <c r="AI187" s="2470"/>
    </row>
    <row r="188" spans="1:35" s="356" customFormat="1" ht="33" x14ac:dyDescent="0.15">
      <c r="A188" s="3370"/>
      <c r="B188" s="3371"/>
      <c r="C188" s="3373"/>
      <c r="D188" s="2910"/>
      <c r="E188" s="2910"/>
      <c r="F188" s="2911"/>
      <c r="G188" s="2912"/>
      <c r="H188" s="1824" t="str">
        <f t="shared" si="51"/>
        <v>5-DaHall1-PDU-21-50-24</v>
      </c>
      <c r="I188" s="1840" t="str">
        <f t="shared" si="43"/>
        <v>5-DaHall1-PDU-22-50-24</v>
      </c>
      <c r="J188" s="1841">
        <v>220</v>
      </c>
      <c r="K188" s="1842">
        <v>50</v>
      </c>
      <c r="L188" s="2489" t="s">
        <v>6972</v>
      </c>
      <c r="M188" s="1828">
        <v>24</v>
      </c>
      <c r="N188" s="1843">
        <v>220</v>
      </c>
      <c r="O188" s="1844">
        <v>50</v>
      </c>
      <c r="P188" s="2508" t="s">
        <v>6973</v>
      </c>
      <c r="Q188" s="1845">
        <v>24</v>
      </c>
      <c r="R188" s="1252" t="s">
        <v>3993</v>
      </c>
      <c r="S188" s="1253" t="s">
        <v>3994</v>
      </c>
      <c r="T188" s="1254" t="s">
        <v>3907</v>
      </c>
      <c r="U188" s="1255" t="s">
        <v>3908</v>
      </c>
      <c r="V188" s="3396"/>
      <c r="W188" s="3398"/>
      <c r="X188" s="1256" t="n">
        <f>SUM('5층_부하량(월간_AVG)'!N634:P634)</f>
        <v>0.0</v>
      </c>
      <c r="Y188" s="1256" t="n">
        <f>SUM('5층_부하량(월간_AVG)'!N650:P650)</f>
        <v>0.0</v>
      </c>
      <c r="Z188" s="3403"/>
      <c r="AA188" s="2893" t="e" cm="1">
        <f t="array" ref="AA188">INDEX('각층분기별_유효전력량(전월)'!F2:F2018,MATCH(1,("5-DaHall 1-PDU-21"='각층분기별_유효전력량(전월)'!D2:D2018)*("3799 [branch#24] [A] KWh last month "='각층분기별_유효전력량(전월)'!E2:E2018),0))</f>
        <v>#N/A</v>
      </c>
      <c r="AB188" s="2855" t="e" cm="1">
        <f t="array" ref="AB188">INDEX('각층분기별_유효전력량(전월)'!F2:F2018,MATCH(1,("5-DaHall 1-PDU-22"='각층분기별_유효전력량(전월)'!D2:D2018)*("3799 [branch#24] [A] KWh last month "='각층분기별_유효전력량(전월)'!E2:E2018),0))</f>
        <v>#N/A</v>
      </c>
      <c r="AC188" s="3393"/>
      <c r="AD188" s="3383"/>
      <c r="AE188"/>
      <c r="AG188" s="901"/>
      <c r="AI188" s="2470"/>
    </row>
    <row r="189" spans="1:35" s="356" customFormat="1" ht="49.5" x14ac:dyDescent="0.15">
      <c r="A189" s="3370" t="s">
        <v>3301</v>
      </c>
      <c r="B189" s="3386" t="s">
        <v>3982</v>
      </c>
      <c r="C189" s="3394" t="s">
        <v>3910</v>
      </c>
      <c r="D189" s="2892" t="s">
        <v>3983</v>
      </c>
      <c r="E189" s="1257" t="s">
        <v>3984</v>
      </c>
      <c r="F189" s="1258" t="s">
        <v>3985</v>
      </c>
      <c r="G189" s="1259" t="s">
        <v>3986</v>
      </c>
      <c r="H189" s="1832" t="str">
        <f t="shared" si="51"/>
        <v>5-DaHall1-PDU-19-30-6</v>
      </c>
      <c r="I189" s="1833" t="str">
        <f t="shared" si="43"/>
        <v>5-DaHall1-PDU-20-30-6</v>
      </c>
      <c r="J189" s="1834">
        <v>220</v>
      </c>
      <c r="K189" s="1835">
        <v>30</v>
      </c>
      <c r="L189" s="2490" t="s">
        <v>6971</v>
      </c>
      <c r="M189" s="1836">
        <v>6</v>
      </c>
      <c r="N189" s="1837">
        <v>220</v>
      </c>
      <c r="O189" s="1838">
        <v>30</v>
      </c>
      <c r="P189" s="2511" t="s">
        <v>6974</v>
      </c>
      <c r="Q189" s="1839">
        <v>6</v>
      </c>
      <c r="R189" s="1260" t="s">
        <v>3987</v>
      </c>
      <c r="S189" s="1261" t="s">
        <v>3988</v>
      </c>
      <c r="T189" s="1262" t="s">
        <v>3899</v>
      </c>
      <c r="U189" s="1263" t="s">
        <v>3900</v>
      </c>
      <c r="V189" s="3395" t="s">
        <v>2820</v>
      </c>
      <c r="W189" s="3397" t="s">
        <v>2821</v>
      </c>
      <c r="X189" s="1264" t="n">
        <f>SUM('5층_부하량(월간_AVG)'!N593:P593)</f>
        <v>0.0</v>
      </c>
      <c r="Y189" s="1264" t="n">
        <f>SUM('5층_부하량(월간_AVG)'!N609:P609)</f>
        <v>0.0</v>
      </c>
      <c r="Z189" s="3391" t="n">
        <f t="shared" ref="Z189" si="64">SUM(X189:Y190)</f>
        <v>0.0</v>
      </c>
      <c r="AA189" s="2893" t="e" cm="1">
        <f t="array" ref="AA189">INDEX('각층분기별_유효전력량(전월)'!F2:F2018,MATCH(1,("5-DaHall 1-PDU-19"='각층분기별_유효전력량(전월)'!D2:D2018)*("0919 [branch#06] [A] KWh last month "='각층분기별_유효전력량(전월)'!E2:E2018),0))</f>
        <v>#N/A</v>
      </c>
      <c r="AB189" s="2855" t="e" cm="1">
        <f t="array" ref="AB189">INDEX('각층분기별_유효전력량(전월)'!F2:F2018,MATCH(1,("5-DaHall 1-PDU-20"='각층분기별_유효전력량(전월)'!D2:D2018)*("0919 [branch#06] [A] KWh last month "='각층분기별_유효전력량(전월)'!E2:E2018),0))</f>
        <v>#N/A</v>
      </c>
      <c r="AC189" s="3392" t="e">
        <f t="shared" ref="AC189" si="65">SUM(AA189:AB190)</f>
        <v>#N/A</v>
      </c>
      <c r="AD189" s="2894"/>
      <c r="AE189"/>
      <c r="AI189" s="2470"/>
    </row>
    <row r="190" spans="1:35" s="356" customFormat="1" ht="49.5" x14ac:dyDescent="0.15">
      <c r="A190" s="3370"/>
      <c r="B190" s="3371"/>
      <c r="C190" s="3373"/>
      <c r="D190" s="2900" t="s">
        <v>3989</v>
      </c>
      <c r="E190" s="2900" t="s">
        <v>3990</v>
      </c>
      <c r="F190" s="1250" t="s">
        <v>3991</v>
      </c>
      <c r="G190" s="1251" t="s">
        <v>3992</v>
      </c>
      <c r="H190" s="1824" t="str">
        <f t="shared" si="51"/>
        <v>5-DaHall1-PDU-21-30-6</v>
      </c>
      <c r="I190" s="1840" t="str">
        <f t="shared" si="43"/>
        <v>5-DaHall1-PDU-22-30-6</v>
      </c>
      <c r="J190" s="1841">
        <v>220</v>
      </c>
      <c r="K190" s="1842">
        <v>30</v>
      </c>
      <c r="L190" s="2489" t="s">
        <v>6972</v>
      </c>
      <c r="M190" s="1828">
        <v>6</v>
      </c>
      <c r="N190" s="1843">
        <v>220</v>
      </c>
      <c r="O190" s="1844">
        <v>30</v>
      </c>
      <c r="P190" s="2508" t="s">
        <v>6973</v>
      </c>
      <c r="Q190" s="1845">
        <v>6</v>
      </c>
      <c r="R190" s="1252" t="s">
        <v>3993</v>
      </c>
      <c r="S190" s="1253" t="s">
        <v>3994</v>
      </c>
      <c r="T190" s="1254" t="s">
        <v>3907</v>
      </c>
      <c r="U190" s="1255" t="s">
        <v>3908</v>
      </c>
      <c r="V190" s="3396"/>
      <c r="W190" s="3398"/>
      <c r="X190" s="1256" t="n">
        <f>SUM('5층_부하량(월간_AVG)'!N625:P625)</f>
        <v>0.0</v>
      </c>
      <c r="Y190" s="1256" t="n">
        <f>SUM('5층_부하량(월간_AVG)'!N641:P641)</f>
        <v>0.0</v>
      </c>
      <c r="Z190" s="3379"/>
      <c r="AA190" s="2893" t="e" cm="1">
        <f t="array" ref="AA190">INDEX('각층분기별_유효전력량(전월)'!F2:F2018,MATCH(1,("5-DaHall 1-PDU-21"='각층분기별_유효전력량(전월)'!D2:D2018)*("0919 [branch#06] [A] KWh last month "='각층분기별_유효전력량(전월)'!E2:E2018),0))</f>
        <v>#N/A</v>
      </c>
      <c r="AB190" s="2855" t="e" cm="1">
        <f t="array" ref="AB190">INDEX('각층분기별_유효전력량(전월)'!F2:F2018,MATCH(1,("5-DaHall 1-PDU-22"='각층분기별_유효전력량(전월)'!D2:D2018)*("0919 [branch#06] [A] KWh last month "='각층분기별_유효전력량(전월)'!E2:E2018),0))</f>
        <v>#N/A</v>
      </c>
      <c r="AC190" s="3393"/>
      <c r="AD190" s="2899"/>
      <c r="AE190"/>
      <c r="AG190" s="901"/>
      <c r="AI190" s="2470"/>
    </row>
    <row r="191" spans="1:35" s="356" customFormat="1" ht="33" x14ac:dyDescent="0.15">
      <c r="A191" s="3370" t="s">
        <v>3307</v>
      </c>
      <c r="B191" s="3386" t="s">
        <v>3973</v>
      </c>
      <c r="C191" s="3394" t="s">
        <v>3910</v>
      </c>
      <c r="D191" s="2892" t="s">
        <v>3974</v>
      </c>
      <c r="E191" s="1257" t="s">
        <v>3975</v>
      </c>
      <c r="F191" s="1273" t="s">
        <v>3976</v>
      </c>
      <c r="G191" s="1274" t="s">
        <v>3977</v>
      </c>
      <c r="H191" s="1846" t="str">
        <f t="shared" si="51"/>
        <v>5-DaHall1-PDU-19-50-4</v>
      </c>
      <c r="I191" s="1847" t="str">
        <f t="shared" si="43"/>
        <v>5-DaHall1-PDU-20-50-4</v>
      </c>
      <c r="J191" s="1848">
        <v>220</v>
      </c>
      <c r="K191" s="1849">
        <v>50</v>
      </c>
      <c r="L191" s="2491" t="s">
        <v>6971</v>
      </c>
      <c r="M191" s="1850">
        <v>4</v>
      </c>
      <c r="N191" s="1851">
        <v>220</v>
      </c>
      <c r="O191" s="1852">
        <v>50</v>
      </c>
      <c r="P191" s="2512" t="s">
        <v>6974</v>
      </c>
      <c r="Q191" s="1853">
        <v>4</v>
      </c>
      <c r="R191" s="1275" t="s">
        <v>3897</v>
      </c>
      <c r="S191" s="1276" t="s">
        <v>3898</v>
      </c>
      <c r="T191" s="1262" t="s">
        <v>3899</v>
      </c>
      <c r="U191" s="1263" t="s">
        <v>3900</v>
      </c>
      <c r="V191" s="3395" t="s">
        <v>2820</v>
      </c>
      <c r="W191" s="3397" t="s">
        <v>2821</v>
      </c>
      <c r="X191" s="1264" t="n">
        <f>SUM('5층_부하량(월간_AVG)'!N592:P592)</f>
        <v>0.0</v>
      </c>
      <c r="Y191" s="1264" t="n">
        <f>SUM('5층_부하량(월간_AVG)'!N608:P608)</f>
        <v>0.0</v>
      </c>
      <c r="Z191" s="3391" t="n">
        <f t="shared" ref="Z191" si="66">SUM(X191:Y192)</f>
        <v>0.0</v>
      </c>
      <c r="AA191" s="2893" t="e" cm="1">
        <f t="array" ref="AA191">INDEX('각층분기별_유효전력량(전월)'!F2:F2018,MATCH(1,("5-DaHall 1-PDU-19"='각층분기별_유효전력량(전월)'!D2:D2018)*("0599 [branch#04] [A] KWh last month "='각층분기별_유효전력량(전월)'!E2:E2018),0))</f>
        <v>#N/A</v>
      </c>
      <c r="AB191" s="2855" t="e" cm="1">
        <f t="array" ref="AB191">INDEX('각층분기별_유효전력량(전월)'!F2:F2018,MATCH(1,("5-DaHall 1-PDU-20"='각층분기별_유효전력량(전월)'!D2:D2018)*("0599 [branch#04] [A] KWh last month "='각층분기별_유효전력량(전월)'!E2:E2018),0))</f>
        <v>#N/A</v>
      </c>
      <c r="AC191" s="3392" t="e">
        <f t="shared" ref="AC191" si="67">SUM(AA191:AB192)</f>
        <v>#N/A</v>
      </c>
      <c r="AD191" s="2894"/>
      <c r="AE191"/>
      <c r="AI191" s="2470"/>
    </row>
    <row r="192" spans="1:35" s="356" customFormat="1" ht="33" x14ac:dyDescent="0.15">
      <c r="A192" s="3370"/>
      <c r="B192" s="3371"/>
      <c r="C192" s="3373"/>
      <c r="D192" s="2900" t="s">
        <v>3978</v>
      </c>
      <c r="E192" s="2900" t="s">
        <v>3979</v>
      </c>
      <c r="F192" s="1280" t="s">
        <v>3980</v>
      </c>
      <c r="G192" s="1281" t="s">
        <v>3981</v>
      </c>
      <c r="H192" s="1854" t="str">
        <f t="shared" si="51"/>
        <v>5-DaHall1-PDU-21-50-4</v>
      </c>
      <c r="I192" s="1825" t="str">
        <f t="shared" si="43"/>
        <v>5-DaHall1-PDU-22-50-4</v>
      </c>
      <c r="J192" s="1826">
        <v>220</v>
      </c>
      <c r="K192" s="1827">
        <v>50</v>
      </c>
      <c r="L192" s="2492" t="s">
        <v>6972</v>
      </c>
      <c r="M192" s="1855">
        <v>4</v>
      </c>
      <c r="N192" s="1829">
        <v>220</v>
      </c>
      <c r="O192" s="1830">
        <v>50</v>
      </c>
      <c r="P192" s="2507" t="s">
        <v>6973</v>
      </c>
      <c r="Q192" s="1831">
        <v>4</v>
      </c>
      <c r="R192" s="1252" t="s">
        <v>3905</v>
      </c>
      <c r="S192" s="1253" t="s">
        <v>3906</v>
      </c>
      <c r="T192" s="1254" t="s">
        <v>3907</v>
      </c>
      <c r="U192" s="1255" t="s">
        <v>3908</v>
      </c>
      <c r="V192" s="3396"/>
      <c r="W192" s="3398"/>
      <c r="X192" s="1256" t="n">
        <f>SUM('5층_부하량(월간_AVG)'!N624:P624)</f>
        <v>0.0</v>
      </c>
      <c r="Y192" s="1256" t="n">
        <f>SUM('5층_부하량(월간_AVG)'!N640:P640)</f>
        <v>0.0</v>
      </c>
      <c r="Z192" s="3379"/>
      <c r="AA192" s="2893" t="e" cm="1">
        <f t="array" ref="AA192">INDEX('각층분기별_유효전력량(전월)'!F2:F2018,MATCH(1,("5-DaHall 1-PDU-21"='각층분기별_유효전력량(전월)'!D2:D2018)*("0599 [branch#04] [A] KWh last month "='각층분기별_유효전력량(전월)'!E2:E2018),0))</f>
        <v>#N/A</v>
      </c>
      <c r="AB192" s="2855" t="e" cm="1">
        <f t="array" ref="AB192">INDEX('각층분기별_유효전력량(전월)'!F2:F2018,MATCH(1,("5-DaHall 1-PDU-22"='각층분기별_유효전력량(전월)'!D2:D2018)*("0599 [branch#04] [A] KWh last month "='각층분기별_유효전력량(전월)'!E2:E2018),0))</f>
        <v>#N/A</v>
      </c>
      <c r="AC192" s="3393"/>
      <c r="AD192" s="2899"/>
      <c r="AE192"/>
      <c r="AG192" s="901"/>
      <c r="AI192" s="2470"/>
    </row>
    <row r="193" spans="1:35" s="356" customFormat="1" ht="33" x14ac:dyDescent="0.15">
      <c r="A193" s="3370" t="s">
        <v>3313</v>
      </c>
      <c r="B193" s="3386" t="s">
        <v>3964</v>
      </c>
      <c r="C193" s="3394" t="s">
        <v>3910</v>
      </c>
      <c r="D193" s="2892" t="s">
        <v>3965</v>
      </c>
      <c r="E193" s="1257" t="s">
        <v>3966</v>
      </c>
      <c r="F193" s="1273" t="s">
        <v>3967</v>
      </c>
      <c r="G193" s="1274" t="s">
        <v>3968</v>
      </c>
      <c r="H193" s="1846" t="str">
        <f t="shared" si="51"/>
        <v>5-DaHall1-PDU-19-50-2</v>
      </c>
      <c r="I193" s="1847" t="str">
        <f t="shared" si="43"/>
        <v>5-DaHall1-PDU-20-50-2</v>
      </c>
      <c r="J193" s="1848">
        <v>220</v>
      </c>
      <c r="K193" s="1849">
        <v>50</v>
      </c>
      <c r="L193" s="2491" t="s">
        <v>6971</v>
      </c>
      <c r="M193" s="1850">
        <v>2</v>
      </c>
      <c r="N193" s="1851">
        <v>220</v>
      </c>
      <c r="O193" s="1852">
        <v>50</v>
      </c>
      <c r="P193" s="2512" t="s">
        <v>6974</v>
      </c>
      <c r="Q193" s="1853">
        <v>2</v>
      </c>
      <c r="R193" s="1275" t="s">
        <v>3897</v>
      </c>
      <c r="S193" s="1276" t="s">
        <v>3898</v>
      </c>
      <c r="T193" s="1262" t="s">
        <v>3899</v>
      </c>
      <c r="U193" s="1263" t="s">
        <v>3900</v>
      </c>
      <c r="V193" s="3395" t="s">
        <v>2820</v>
      </c>
      <c r="W193" s="3397" t="s">
        <v>2821</v>
      </c>
      <c r="X193" s="1264" t="n">
        <f>SUM('5층_부하량(월간_AVG)'!N591:P591)</f>
        <v>0.0</v>
      </c>
      <c r="Y193" s="1264" t="n">
        <f>SUM('5층_부하량(월간_AVG)'!N607:P607)</f>
        <v>0.0</v>
      </c>
      <c r="Z193" s="3391" t="n">
        <f t="shared" ref="Z193" si="68">SUM(X193:Y194)</f>
        <v>0.0</v>
      </c>
      <c r="AA193" s="2893" t="e" cm="1">
        <f t="array" ref="AA193">INDEX('각층분기별_유효전력량(전월)'!F2:F2018,MATCH(1,("5-DaHall 1-PDU-19"='각층분기별_유효전력량(전월)'!D2:D2018)*("0279 [branch#02] [A] KWh last month "='각층분기별_유효전력량(전월)'!E2:E2018),0))</f>
        <v>#N/A</v>
      </c>
      <c r="AB193" s="2855" t="e" cm="1">
        <f t="array" ref="AB193">INDEX('각층분기별_유효전력량(전월)'!F2:F2018,MATCH(1,("5-DaHall 1-PDU-20"='각층분기별_유효전력량(전월)'!D2:D2018)*("0279 [branch#02] [A] KWh last month "='각층분기별_유효전력량(전월)'!E2:E2018),0))</f>
        <v>#N/A</v>
      </c>
      <c r="AC193" s="3392" t="e">
        <f t="shared" ref="AC193" si="69">SUM(AA193:AB194)</f>
        <v>#N/A</v>
      </c>
      <c r="AD193" s="2894"/>
      <c r="AE193"/>
      <c r="AI193" s="2470"/>
    </row>
    <row r="194" spans="1:35" s="356" customFormat="1" ht="33" x14ac:dyDescent="0.15">
      <c r="A194" s="3370"/>
      <c r="B194" s="3371"/>
      <c r="C194" s="3373"/>
      <c r="D194" s="2900" t="s">
        <v>3969</v>
      </c>
      <c r="E194" s="2900" t="s">
        <v>3970</v>
      </c>
      <c r="F194" s="1250" t="s">
        <v>3971</v>
      </c>
      <c r="G194" s="1251" t="s">
        <v>3972</v>
      </c>
      <c r="H194" s="1824" t="str">
        <f t="shared" si="51"/>
        <v>5-DaHall1-PDU-21-50-2</v>
      </c>
      <c r="I194" s="1840" t="str">
        <f t="shared" si="43"/>
        <v>5-DaHall1-PDU-22-50-2</v>
      </c>
      <c r="J194" s="1841">
        <v>220</v>
      </c>
      <c r="K194" s="1842">
        <v>50</v>
      </c>
      <c r="L194" s="2489" t="s">
        <v>6972</v>
      </c>
      <c r="M194" s="1828">
        <v>2</v>
      </c>
      <c r="N194" s="1843">
        <v>220</v>
      </c>
      <c r="O194" s="1844">
        <v>50</v>
      </c>
      <c r="P194" s="2508" t="s">
        <v>6973</v>
      </c>
      <c r="Q194" s="1845">
        <v>2</v>
      </c>
      <c r="R194" s="1252" t="s">
        <v>3905</v>
      </c>
      <c r="S194" s="1253" t="s">
        <v>3906</v>
      </c>
      <c r="T194" s="1254" t="s">
        <v>3907</v>
      </c>
      <c r="U194" s="1255" t="s">
        <v>3908</v>
      </c>
      <c r="V194" s="3396"/>
      <c r="W194" s="3398"/>
      <c r="X194" s="1256" t="n">
        <f>SUM('5층_부하량(월간_AVG)'!N623:P623)</f>
        <v>0.0</v>
      </c>
      <c r="Y194" s="1256" t="n">
        <f>SUM('5층_부하량(월간_AVG)'!N639:P639)</f>
        <v>0.0</v>
      </c>
      <c r="Z194" s="3379"/>
      <c r="AA194" s="2893" t="e" cm="1">
        <f t="array" ref="AA194">INDEX('각층분기별_유효전력량(전월)'!F2:F2018,MATCH(1,("5-DaHall 1-PDU-21"='각층분기별_유효전력량(전월)'!D2:D2018)*("0279 [branch#02] [A] KWh last month "='각층분기별_유효전력량(전월)'!E2:E2018),0))</f>
        <v>#N/A</v>
      </c>
      <c r="AB194" s="2855" t="e" cm="1">
        <f t="array" ref="AB194">INDEX('각층분기별_유효전력량(전월)'!F2:F2018,MATCH(1,("5-DaHall 1-PDU-22"='각층분기별_유효전력량(전월)'!D2:D2018)*("0279 [branch#02] [A] KWh last month "='각층분기별_유효전력량(전월)'!E2:E2018),0))</f>
        <v>#N/A</v>
      </c>
      <c r="AC194" s="3393"/>
      <c r="AD194" s="2899"/>
      <c r="AE194"/>
      <c r="AG194" s="901"/>
      <c r="AI194" s="2470"/>
    </row>
    <row r="195" spans="1:35" s="356" customFormat="1" ht="33" x14ac:dyDescent="0.15">
      <c r="A195" s="3384" t="s">
        <v>3344</v>
      </c>
      <c r="B195" s="3386" t="s">
        <v>3955</v>
      </c>
      <c r="C195" s="3387" t="s">
        <v>3910</v>
      </c>
      <c r="D195" s="2892" t="s">
        <v>3956</v>
      </c>
      <c r="E195" s="1257" t="s">
        <v>3957</v>
      </c>
      <c r="F195" s="1258" t="s">
        <v>3958</v>
      </c>
      <c r="G195" s="1259" t="s">
        <v>3959</v>
      </c>
      <c r="H195" s="1832" t="str">
        <f t="shared" si="51"/>
        <v>5-DaHall1-PDU-19-50-13</v>
      </c>
      <c r="I195" s="1833" t="str">
        <f t="shared" si="43"/>
        <v>5-DaHall1-PDU-20-50-13</v>
      </c>
      <c r="J195" s="1834">
        <v>220</v>
      </c>
      <c r="K195" s="1835">
        <v>50</v>
      </c>
      <c r="L195" s="2490" t="s">
        <v>6971</v>
      </c>
      <c r="M195" s="1836">
        <v>13</v>
      </c>
      <c r="N195" s="1837">
        <v>220</v>
      </c>
      <c r="O195" s="1838">
        <v>50</v>
      </c>
      <c r="P195" s="2511" t="s">
        <v>6974</v>
      </c>
      <c r="Q195" s="1839">
        <v>13</v>
      </c>
      <c r="R195" s="1275" t="s">
        <v>3897</v>
      </c>
      <c r="S195" s="1276" t="s">
        <v>3898</v>
      </c>
      <c r="T195" s="1277" t="s">
        <v>3899</v>
      </c>
      <c r="U195" s="1278" t="s">
        <v>3900</v>
      </c>
      <c r="V195" s="3389" t="s">
        <v>2820</v>
      </c>
      <c r="W195" s="3390" t="s">
        <v>2821</v>
      </c>
      <c r="X195" s="1264" t="n">
        <f>SUM('5층_부하량(월간_AVG)'!D597:F597)</f>
        <v>0.0</v>
      </c>
      <c r="Y195" s="1264" t="n">
        <f>SUM('5층_부하량(월간_AVG)'!D613:F613)</f>
        <v>0.0</v>
      </c>
      <c r="Z195" s="3391" t="n">
        <f>SUM(X195:Y196)</f>
        <v>0.0</v>
      </c>
      <c r="AA195" s="2893" t="e" cm="1">
        <f t="array" ref="AA195">INDEX('각층분기별_유효전력량(전월)'!F2:F2018,MATCH(1,("5-DaHall 1-PDU-19"='각층분기별_유효전력량(전월)'!D2:D2018)*("2039 [branch#13] [A] KWh last month "='각층분기별_유효전력량(전월)'!E2:E2018),0))</f>
        <v>#N/A</v>
      </c>
      <c r="AB195" s="2855" t="e" cm="1">
        <f t="array" ref="AB195">INDEX('각층분기별_유효전력량(전월)'!F2:F2018,MATCH(1,("5-DaHall 1-PDU-20"='각층분기별_유효전력량(전월)'!D2:D2018)*("2039 [branch#13] [A] KWh last month "='각층분기별_유효전력량(전월)'!E2:E2018),0))</f>
        <v>#N/A</v>
      </c>
      <c r="AC195" s="3392" t="e">
        <f t="shared" ref="AC195" si="70">SUM(AA195:AB196)</f>
        <v>#N/A</v>
      </c>
      <c r="AD195" s="2901"/>
      <c r="AE195"/>
      <c r="AI195" s="2470"/>
    </row>
    <row r="196" spans="1:35" s="356" customFormat="1" ht="33" x14ac:dyDescent="0.15">
      <c r="A196" s="3385"/>
      <c r="B196" s="3371"/>
      <c r="C196" s="3388"/>
      <c r="D196" s="2900" t="s">
        <v>3960</v>
      </c>
      <c r="E196" s="2900" t="s">
        <v>3961</v>
      </c>
      <c r="F196" s="1250" t="s">
        <v>3962</v>
      </c>
      <c r="G196" s="1251" t="s">
        <v>3963</v>
      </c>
      <c r="H196" s="1824" t="str">
        <f t="shared" si="51"/>
        <v>5-DaHall1-PDU-21-50-13</v>
      </c>
      <c r="I196" s="1840" t="str">
        <f t="shared" si="43"/>
        <v>5-DaHall1-PDU-22-50-13</v>
      </c>
      <c r="J196" s="1841">
        <v>220</v>
      </c>
      <c r="K196" s="1842">
        <v>50</v>
      </c>
      <c r="L196" s="2489" t="s">
        <v>6972</v>
      </c>
      <c r="M196" s="1828">
        <v>13</v>
      </c>
      <c r="N196" s="1843">
        <v>220</v>
      </c>
      <c r="O196" s="1844">
        <v>50</v>
      </c>
      <c r="P196" s="2508" t="s">
        <v>6973</v>
      </c>
      <c r="Q196" s="1845">
        <v>13</v>
      </c>
      <c r="R196" s="1252" t="s">
        <v>3905</v>
      </c>
      <c r="S196" s="1253" t="s">
        <v>3906</v>
      </c>
      <c r="T196" s="1284" t="s">
        <v>3907</v>
      </c>
      <c r="U196" s="1285" t="s">
        <v>3908</v>
      </c>
      <c r="V196" s="3375"/>
      <c r="W196" s="3377"/>
      <c r="X196" s="1256" t="n">
        <f>SUM('5층_부하량(월간_AVG)'!D629:F629)</f>
        <v>0.0</v>
      </c>
      <c r="Y196" s="1256" t="n">
        <f>SUM('5층_부하량(월간_AVG)'!D645:F645)</f>
        <v>0.0</v>
      </c>
      <c r="Z196" s="3379"/>
      <c r="AA196" s="2893" t="e" cm="1">
        <f t="array" ref="AA196">INDEX('각층분기별_유효전력량(전월)'!F2:F2018,MATCH(1,("5-DaHall 1-PDU-21"='각층분기별_유효전력량(전월)'!D2:D2018)*("2039 [branch#13] [A] KWh last month "='각층분기별_유효전력량(전월)'!E2:E2018),0))</f>
        <v>#N/A</v>
      </c>
      <c r="AB196" s="2855" t="e" cm="1">
        <f t="array" ref="AB196">INDEX('각층분기별_유효전력량(전월)'!F2:F2018,MATCH(1,("5-DaHall 1-PDU-22"='각층분기별_유효전력량(전월)'!D2:D2018)*("2039 [branch#13] [A] KWh last month "='각층분기별_유효전력량(전월)'!E2:E2018),0))</f>
        <v>#N/A</v>
      </c>
      <c r="AC196" s="3393"/>
      <c r="AD196" s="2902"/>
      <c r="AE196"/>
      <c r="AG196" s="901"/>
      <c r="AI196" s="2470"/>
    </row>
    <row r="197" spans="1:35" s="356" customFormat="1" ht="33" x14ac:dyDescent="0.15">
      <c r="A197" s="3370" t="s">
        <v>3350</v>
      </c>
      <c r="B197" s="3386" t="s">
        <v>3946</v>
      </c>
      <c r="C197" s="3394" t="s">
        <v>3910</v>
      </c>
      <c r="D197" s="2892" t="s">
        <v>3947</v>
      </c>
      <c r="E197" s="1257" t="s">
        <v>3948</v>
      </c>
      <c r="F197" s="1273" t="s">
        <v>3949</v>
      </c>
      <c r="G197" s="1274" t="s">
        <v>3950</v>
      </c>
      <c r="H197" s="1846" t="str">
        <f t="shared" si="51"/>
        <v>5-DaHall1-PDU-19-50-11</v>
      </c>
      <c r="I197" s="1847" t="str">
        <f t="shared" si="43"/>
        <v>5-DaHall1-PDU-20-50-11</v>
      </c>
      <c r="J197" s="1848">
        <v>220</v>
      </c>
      <c r="K197" s="1849">
        <v>50</v>
      </c>
      <c r="L197" s="2491" t="s">
        <v>6971</v>
      </c>
      <c r="M197" s="1850">
        <v>11</v>
      </c>
      <c r="N197" s="1851">
        <v>220</v>
      </c>
      <c r="O197" s="1852">
        <v>50</v>
      </c>
      <c r="P197" s="2512" t="s">
        <v>6974</v>
      </c>
      <c r="Q197" s="1853">
        <v>11</v>
      </c>
      <c r="R197" s="1275" t="s">
        <v>3897</v>
      </c>
      <c r="S197" s="1276" t="s">
        <v>3898</v>
      </c>
      <c r="T197" s="1262" t="s">
        <v>3899</v>
      </c>
      <c r="U197" s="1263" t="s">
        <v>3900</v>
      </c>
      <c r="V197" s="3395" t="s">
        <v>2820</v>
      </c>
      <c r="W197" s="3397" t="s">
        <v>2821</v>
      </c>
      <c r="X197" s="1264" t="n">
        <f>SUM('5층_부하량(월간_AVG)'!D596:F596)</f>
        <v>0.0</v>
      </c>
      <c r="Y197" s="1264" t="n">
        <f>SUM('5층_부하량(월간_AVG)'!D612:F612)</f>
        <v>0.0</v>
      </c>
      <c r="Z197" s="3391" t="n">
        <f>SUM(X197:Y198)</f>
        <v>0.0</v>
      </c>
      <c r="AA197" s="2893" t="e" cm="1">
        <f t="array" ref="AA197">INDEX('각층분기별_유효전력량(전월)'!F2:F2018,MATCH(1,("5-DaHall 1-PDU-19"='각층분기별_유효전력량(전월)'!D2:D2018)*("1719 [branch#11] [A] KWh last month "='각층분기별_유효전력량(전월)'!E2:E2018),0))</f>
        <v>#N/A</v>
      </c>
      <c r="AB197" s="2855" t="e" cm="1">
        <f t="array" ref="AB197">INDEX('각층분기별_유효전력량(전월)'!F2:F2018,MATCH(1,("5-DaHall 1-PDU-20"='각층분기별_유효전력량(전월)'!D2:D2018)*("1719 [branch#11] [A] KWh last month "='각층분기별_유효전력량(전월)'!E2:E2018),0))</f>
        <v>#N/A</v>
      </c>
      <c r="AC197" s="3392" t="e">
        <f t="shared" ref="AC197" si="71">SUM(AA197:AB198)</f>
        <v>#N/A</v>
      </c>
      <c r="AD197" s="2894"/>
      <c r="AE197"/>
      <c r="AI197" s="2470"/>
    </row>
    <row r="198" spans="1:35" s="356" customFormat="1" ht="33" x14ac:dyDescent="0.15">
      <c r="A198" s="3370"/>
      <c r="B198" s="3371"/>
      <c r="C198" s="3373"/>
      <c r="D198" s="2900" t="s">
        <v>3951</v>
      </c>
      <c r="E198" s="2900" t="s">
        <v>3952</v>
      </c>
      <c r="F198" s="1280" t="s">
        <v>3953</v>
      </c>
      <c r="G198" s="1281" t="s">
        <v>3954</v>
      </c>
      <c r="H198" s="1854" t="str">
        <f t="shared" si="51"/>
        <v>5-DaHall1-PDU-21-50-11</v>
      </c>
      <c r="I198" s="1825" t="str">
        <f t="shared" si="43"/>
        <v>5-DaHall1-PDU-22-50-11</v>
      </c>
      <c r="J198" s="1826">
        <v>220</v>
      </c>
      <c r="K198" s="1827">
        <v>50</v>
      </c>
      <c r="L198" s="2492" t="s">
        <v>6972</v>
      </c>
      <c r="M198" s="1855">
        <v>11</v>
      </c>
      <c r="N198" s="1829">
        <v>220</v>
      </c>
      <c r="O198" s="1830">
        <v>50</v>
      </c>
      <c r="P198" s="2507" t="s">
        <v>6973</v>
      </c>
      <c r="Q198" s="1831">
        <v>11</v>
      </c>
      <c r="R198" s="1252" t="s">
        <v>3905</v>
      </c>
      <c r="S198" s="1253" t="s">
        <v>3906</v>
      </c>
      <c r="T198" s="1254" t="s">
        <v>3907</v>
      </c>
      <c r="U198" s="1255" t="s">
        <v>3908</v>
      </c>
      <c r="V198" s="3396"/>
      <c r="W198" s="3398"/>
      <c r="X198" s="1256" t="n">
        <f>SUM('5층_부하량(월간_AVG)'!D628:F628)</f>
        <v>0.0</v>
      </c>
      <c r="Y198" s="1256" t="n">
        <f>SUM('5층_부하량(월간_AVG)'!D644:F644)</f>
        <v>0.0</v>
      </c>
      <c r="Z198" s="3379"/>
      <c r="AA198" s="2893" t="e" cm="1">
        <f t="array" ref="AA198">INDEX('각층분기별_유효전력량(전월)'!F2:F2018,MATCH(1,("5-DaHall 1-PDU-21"='각층분기별_유효전력량(전월)'!D2:D2018)*("1719 [branch#11] [A] KWh last month "='각층분기별_유효전력량(전월)'!E2:E2018),0))</f>
        <v>#N/A</v>
      </c>
      <c r="AB198" s="2855" t="e" cm="1">
        <f t="array" ref="AB198">INDEX('각층분기별_유효전력량(전월)'!F2:F2018,MATCH(1,("5-DaHall 1-PDU-22"='각층분기별_유효전력량(전월)'!D2:D2018)*("1719 [branch#11] [A] KWh last month "='각층분기별_유효전력량(전월)'!E2:E2018),0))</f>
        <v>#N/A</v>
      </c>
      <c r="AC198" s="3393"/>
      <c r="AD198" s="2899"/>
      <c r="AE198"/>
      <c r="AG198" s="901"/>
      <c r="AI198" s="2470"/>
    </row>
    <row r="199" spans="1:35" s="356" customFormat="1" ht="33" x14ac:dyDescent="0.15">
      <c r="A199" s="3384" t="s">
        <v>3356</v>
      </c>
      <c r="B199" s="3386" t="s">
        <v>3937</v>
      </c>
      <c r="C199" s="3387" t="s">
        <v>3910</v>
      </c>
      <c r="D199" s="2892" t="s">
        <v>3938</v>
      </c>
      <c r="E199" s="1257" t="s">
        <v>3939</v>
      </c>
      <c r="F199" s="1258" t="s">
        <v>3940</v>
      </c>
      <c r="G199" s="1259" t="s">
        <v>3941</v>
      </c>
      <c r="H199" s="1832" t="str">
        <f t="shared" si="51"/>
        <v>5-DaHall1-PDU-19-50-9</v>
      </c>
      <c r="I199" s="1833" t="str">
        <f t="shared" si="43"/>
        <v>5-DaHall1-PDU-20-50-9</v>
      </c>
      <c r="J199" s="1834">
        <v>220</v>
      </c>
      <c r="K199" s="1835">
        <v>50</v>
      </c>
      <c r="L199" s="2490" t="s">
        <v>6971</v>
      </c>
      <c r="M199" s="1836">
        <v>9</v>
      </c>
      <c r="N199" s="1837">
        <v>220</v>
      </c>
      <c r="O199" s="1838">
        <v>50</v>
      </c>
      <c r="P199" s="2511" t="s">
        <v>6974</v>
      </c>
      <c r="Q199" s="1839">
        <v>9</v>
      </c>
      <c r="R199" s="1275" t="s">
        <v>3897</v>
      </c>
      <c r="S199" s="1276" t="s">
        <v>3898</v>
      </c>
      <c r="T199" s="1277" t="s">
        <v>3899</v>
      </c>
      <c r="U199" s="1278" t="s">
        <v>3900</v>
      </c>
      <c r="V199" s="3389" t="s">
        <v>2820</v>
      </c>
      <c r="W199" s="3390" t="s">
        <v>2821</v>
      </c>
      <c r="X199" s="1264" t="n">
        <f>SUM('5층_부하량(월간_AVG)'!D595:F595)</f>
        <v>0.0</v>
      </c>
      <c r="Y199" s="1264" t="n">
        <f>SUM('5층_부하량(월간_AVG)'!D611:F611)</f>
        <v>0.0</v>
      </c>
      <c r="Z199" s="3391" t="n">
        <f t="shared" ref="Z199" si="72">SUM(X199:Y200)</f>
        <v>0.0</v>
      </c>
      <c r="AA199" s="2893" t="e" cm="1">
        <f t="array" ref="AA199">INDEX('각층분기별_유효전력량(전월)'!F2:F2018,MATCH(1,("5-DaHall 1-PDU-19"='각층분기별_유효전력량(전월)'!D2:D2018)*("1399 [branch#09] [A] KWh last month "='각층분기별_유효전력량(전월)'!E2:E2018),0))</f>
        <v>#N/A</v>
      </c>
      <c r="AB199" s="2855" t="e" cm="1">
        <f t="array" ref="AB199">INDEX('각층분기별_유효전력량(전월)'!F2:F2018,MATCH(1,("5-DaHall 1-PDU-20"='각층분기별_유효전력량(전월)'!D2:D2018)*("1399 [branch#09] [A] KWh last month "='각층분기별_유효전력량(전월)'!E2:E2018),0))</f>
        <v>#N/A</v>
      </c>
      <c r="AC199" s="3392" t="e">
        <f t="shared" ref="AC199" si="73">SUM(AA199:AB200)</f>
        <v>#N/A</v>
      </c>
      <c r="AD199" s="2901"/>
      <c r="AE199"/>
      <c r="AI199" s="2470"/>
    </row>
    <row r="200" spans="1:35" s="356" customFormat="1" ht="33" x14ac:dyDescent="0.15">
      <c r="A200" s="3385"/>
      <c r="B200" s="3371"/>
      <c r="C200" s="3388"/>
      <c r="D200" s="2900" t="s">
        <v>3942</v>
      </c>
      <c r="E200" s="2900" t="s">
        <v>3943</v>
      </c>
      <c r="F200" s="1250" t="s">
        <v>3944</v>
      </c>
      <c r="G200" s="1251" t="s">
        <v>3945</v>
      </c>
      <c r="H200" s="1824" t="str">
        <f t="shared" si="51"/>
        <v>5-DaHall1-PDU-21-50-9</v>
      </c>
      <c r="I200" s="1840" t="str">
        <f t="shared" si="43"/>
        <v>5-DaHall1-PDU-22-50-9</v>
      </c>
      <c r="J200" s="1841">
        <v>220</v>
      </c>
      <c r="K200" s="1842">
        <v>50</v>
      </c>
      <c r="L200" s="2489" t="s">
        <v>6972</v>
      </c>
      <c r="M200" s="1828">
        <v>9</v>
      </c>
      <c r="N200" s="1843">
        <v>220</v>
      </c>
      <c r="O200" s="1844">
        <v>50</v>
      </c>
      <c r="P200" s="2508" t="s">
        <v>6973</v>
      </c>
      <c r="Q200" s="1845">
        <v>9</v>
      </c>
      <c r="R200" s="1252" t="s">
        <v>3905</v>
      </c>
      <c r="S200" s="1253" t="s">
        <v>3906</v>
      </c>
      <c r="T200" s="1284" t="s">
        <v>3907</v>
      </c>
      <c r="U200" s="1285" t="s">
        <v>3908</v>
      </c>
      <c r="V200" s="3375"/>
      <c r="W200" s="3377"/>
      <c r="X200" s="1256" t="n">
        <f>SUM('5층_부하량(월간_AVG)'!D627:F627)</f>
        <v>0.0</v>
      </c>
      <c r="Y200" s="1256" t="n">
        <f>SUM('5층_부하량(월간_AVG)'!D643:F643)</f>
        <v>0.0</v>
      </c>
      <c r="Z200" s="3379"/>
      <c r="AA200" s="2893" t="e" cm="1">
        <f t="array" ref="AA200">INDEX('각층분기별_유효전력량(전월)'!F2:F2018,MATCH(1,("5-DaHall 1-PDU-21"='각층분기별_유효전력량(전월)'!D2:D2018)*("1399 [branch#09] [A] KWh last month "='각층분기별_유효전력량(전월)'!E2:E2018),0))</f>
        <v>#N/A</v>
      </c>
      <c r="AB200" s="2855" t="e" cm="1">
        <f t="array" ref="AB200">INDEX('각층분기별_유효전력량(전월)'!F2:F2018,MATCH(1,("5-DaHall 1-PDU-22"='각층분기별_유효전력량(전월)'!D2:D2018)*("1399 [branch#09] [A] KWh last month "='각층분기별_유효전력량(전월)'!E2:E2018),0))</f>
        <v>#N/A</v>
      </c>
      <c r="AC200" s="3393"/>
      <c r="AD200" s="2902"/>
      <c r="AE200"/>
      <c r="AG200" s="901"/>
      <c r="AI200" s="2470"/>
    </row>
    <row r="201" spans="1:35" s="356" customFormat="1" ht="33" x14ac:dyDescent="0.15">
      <c r="A201" s="3370" t="s">
        <v>3362</v>
      </c>
      <c r="B201" s="3386" t="s">
        <v>3928</v>
      </c>
      <c r="C201" s="3394" t="s">
        <v>3910</v>
      </c>
      <c r="D201" s="2892" t="s">
        <v>3929</v>
      </c>
      <c r="E201" s="1257" t="s">
        <v>3930</v>
      </c>
      <c r="F201" s="1273" t="s">
        <v>3931</v>
      </c>
      <c r="G201" s="1274" t="s">
        <v>3932</v>
      </c>
      <c r="H201" s="1846" t="str">
        <f t="shared" si="51"/>
        <v>5-DaHall1-PDU-19-50-7</v>
      </c>
      <c r="I201" s="1847" t="str">
        <f t="shared" si="43"/>
        <v>5-DaHall1-PDU-20-50-7</v>
      </c>
      <c r="J201" s="1848">
        <v>220</v>
      </c>
      <c r="K201" s="1849">
        <v>50</v>
      </c>
      <c r="L201" s="2491" t="s">
        <v>6971</v>
      </c>
      <c r="M201" s="1850">
        <v>7</v>
      </c>
      <c r="N201" s="1851">
        <v>220</v>
      </c>
      <c r="O201" s="1852">
        <v>50</v>
      </c>
      <c r="P201" s="2512" t="s">
        <v>6974</v>
      </c>
      <c r="Q201" s="1853">
        <v>7</v>
      </c>
      <c r="R201" s="1275" t="s">
        <v>3897</v>
      </c>
      <c r="S201" s="1276" t="s">
        <v>3898</v>
      </c>
      <c r="T201" s="1262" t="s">
        <v>3899</v>
      </c>
      <c r="U201" s="1263" t="s">
        <v>3900</v>
      </c>
      <c r="V201" s="3395" t="s">
        <v>2820</v>
      </c>
      <c r="W201" s="3397" t="s">
        <v>2821</v>
      </c>
      <c r="X201" s="1264" t="n">
        <f>SUM('5층_부하량(월간_AVG)'!D594:F594)</f>
        <v>0.0</v>
      </c>
      <c r="Y201" s="1264" t="n">
        <f>SUM('5층_부하량(월간_AVG)'!D610:F610)</f>
        <v>0.0</v>
      </c>
      <c r="Z201" s="3391" t="n">
        <f t="shared" ref="Z201" si="74">SUM(X201:Y202)</f>
        <v>0.0</v>
      </c>
      <c r="AA201" s="2893" t="e" cm="1">
        <f t="array" ref="AA201">INDEX('각층분기별_유효전력량(전월)'!F2:F2018,MATCH(1,("5-DaHall 1-PDU-19"='각층분기별_유효전력량(전월)'!D2:D2018)*("1079 [branch#07] [A] KWh last month "='각층분기별_유효전력량(전월)'!E2:E2018),0))</f>
        <v>#N/A</v>
      </c>
      <c r="AB201" s="2855" t="e" cm="1">
        <f t="array" ref="AB201">INDEX('각층분기별_유효전력량(전월)'!F2:F2018,MATCH(1,("5-DaHall 1-PDU-20"='각층분기별_유효전력량(전월)'!D2:D2018)*("1079 [branch#07] [A] KWh last month "='각층분기별_유효전력량(전월)'!E2:E2018),0))</f>
        <v>#N/A</v>
      </c>
      <c r="AC201" s="3392" t="e">
        <f t="shared" ref="AC201" si="75">SUM(AA201:AB202)</f>
        <v>#N/A</v>
      </c>
      <c r="AD201" s="2894"/>
      <c r="AE201"/>
      <c r="AI201" s="2470"/>
    </row>
    <row r="202" spans="1:35" s="356" customFormat="1" ht="33" x14ac:dyDescent="0.15">
      <c r="A202" s="3370"/>
      <c r="B202" s="3371"/>
      <c r="C202" s="3373"/>
      <c r="D202" s="2900" t="s">
        <v>3933</v>
      </c>
      <c r="E202" s="2900" t="s">
        <v>3934</v>
      </c>
      <c r="F202" s="1280" t="s">
        <v>3935</v>
      </c>
      <c r="G202" s="1281" t="s">
        <v>3936</v>
      </c>
      <c r="H202" s="1854" t="str">
        <f t="shared" si="51"/>
        <v>5-DaHall1-PDU-21-50-7</v>
      </c>
      <c r="I202" s="1825" t="str">
        <f t="shared" si="43"/>
        <v>5-DaHall1-PDU-22-50-7</v>
      </c>
      <c r="J202" s="1826">
        <v>220</v>
      </c>
      <c r="K202" s="1827">
        <v>50</v>
      </c>
      <c r="L202" s="2492" t="s">
        <v>6972</v>
      </c>
      <c r="M202" s="1855">
        <v>7</v>
      </c>
      <c r="N202" s="1829">
        <v>220</v>
      </c>
      <c r="O202" s="1830">
        <v>50</v>
      </c>
      <c r="P202" s="2507" t="s">
        <v>6973</v>
      </c>
      <c r="Q202" s="1831">
        <v>7</v>
      </c>
      <c r="R202" s="1252" t="s">
        <v>3905</v>
      </c>
      <c r="S202" s="1253" t="s">
        <v>3906</v>
      </c>
      <c r="T202" s="1254" t="s">
        <v>3907</v>
      </c>
      <c r="U202" s="1255" t="s">
        <v>3908</v>
      </c>
      <c r="V202" s="3396"/>
      <c r="W202" s="3398"/>
      <c r="X202" s="1256" t="n">
        <f>SUM('5층_부하량(월간_AVG)'!D626:F626)</f>
        <v>0.0</v>
      </c>
      <c r="Y202" s="1256" t="n">
        <f>SUM('5층_부하량(월간_AVG)'!D642:F642)</f>
        <v>0.0</v>
      </c>
      <c r="Z202" s="3379"/>
      <c r="AA202" s="2893" t="e" cm="1">
        <f t="array" ref="AA202">INDEX('각층분기별_유효전력량(전월)'!F2:F2018,MATCH(1,("5-DaHall 1-PDU-21"='각층분기별_유효전력량(전월)'!D2:D2018)*("1079 [branch#07] [A] KWh last month "='각층분기별_유효전력량(전월)'!E2:E2018),0))</f>
        <v>#N/A</v>
      </c>
      <c r="AB202" s="2855" t="e" cm="1">
        <f t="array" ref="AB202">INDEX('각층분기별_유효전력량(전월)'!F2:F2018,MATCH(1,("5-DaHall 1-PDU-22"='각층분기별_유효전력량(전월)'!D2:D2018)*("1079 [branch#07] [A] KWh last month "='각층분기별_유효전력량(전월)'!E2:E2018),0))</f>
        <v>#N/A</v>
      </c>
      <c r="AC202" s="3393"/>
      <c r="AD202" s="2899"/>
      <c r="AE202"/>
      <c r="AG202" s="901"/>
      <c r="AI202" s="2470"/>
    </row>
    <row r="203" spans="1:35" s="356" customFormat="1" ht="51" customHeight="1" x14ac:dyDescent="0.15">
      <c r="A203" s="3384" t="s">
        <v>3393</v>
      </c>
      <c r="B203" s="3399" t="s">
        <v>9155</v>
      </c>
      <c r="C203" s="3387" t="s">
        <v>3910</v>
      </c>
      <c r="D203" s="2913" t="s">
        <v>9156</v>
      </c>
      <c r="E203" s="2913" t="s">
        <v>9157</v>
      </c>
      <c r="F203" s="2424"/>
      <c r="G203" s="2425"/>
      <c r="H203" s="1832" t="str">
        <f t="shared" si="51"/>
        <v>5-DaHall1-PDU-19-50-23</v>
      </c>
      <c r="I203" s="1833" t="str">
        <f t="shared" si="43"/>
        <v>5-DaHall1-PDU-20-50-23</v>
      </c>
      <c r="J203" s="1834">
        <v>220</v>
      </c>
      <c r="K203" s="1835">
        <v>50</v>
      </c>
      <c r="L203" s="2490" t="s">
        <v>6971</v>
      </c>
      <c r="M203" s="1836">
        <v>23</v>
      </c>
      <c r="N203" s="1837">
        <v>220</v>
      </c>
      <c r="O203" s="1838">
        <v>50</v>
      </c>
      <c r="P203" s="2511" t="s">
        <v>6974</v>
      </c>
      <c r="Q203" s="1839">
        <v>23</v>
      </c>
      <c r="R203" s="1275" t="s">
        <v>3897</v>
      </c>
      <c r="S203" s="1276" t="s">
        <v>3898</v>
      </c>
      <c r="T203" s="1277" t="s">
        <v>3899</v>
      </c>
      <c r="U203" s="1278" t="s">
        <v>3900</v>
      </c>
      <c r="V203" s="3389" t="s">
        <v>2820</v>
      </c>
      <c r="W203" s="3390" t="s">
        <v>2821</v>
      </c>
      <c r="X203" s="1279" t="n">
        <f>SUM('5층_부하량(월간_AVG)'!D602:F602)</f>
        <v>0.0</v>
      </c>
      <c r="Y203" s="1264" t="n">
        <f>SUM('5층_부하량(월간_AVG)'!D618:F618)</f>
        <v>0.0</v>
      </c>
      <c r="Z203" s="3391" t="n">
        <f t="shared" ref="Z203" si="76">SUM(X203:Y204)</f>
        <v>0.0</v>
      </c>
      <c r="AA203" s="2914" t="e" cm="1">
        <f t="array" ref="AA203">INDEX('각층분기별_유효전력량(전월)'!F2:F2018,MATCH(1,("5-DaHall 1-PDU-19"='각층분기별_유효전력량(전월)'!D2:D2018)*("3639 [branch#23] [A] KWh last month "='각층분기별_유효전력량(전월)'!E2:E2018),0))</f>
        <v>#N/A</v>
      </c>
      <c r="AB203" s="2875" t="e" cm="1">
        <f t="array" ref="AB203">INDEX('각층분기별_유효전력량(전월)'!F2:F2018,MATCH(1,("5-DaHall 1-PDU-20"='각층분기별_유효전력량(전월)'!D2:D2018)*("3639 [branch#23] [A] KWh last month "='각층분기별_유효전력량(전월)'!E2:E2018),0))</f>
        <v>#N/A</v>
      </c>
      <c r="AC203" s="3392" t="e">
        <f t="shared" ref="AC203" si="77">SUM(AA203:AB204)</f>
        <v>#N/A</v>
      </c>
      <c r="AD203" s="3382" t="s">
        <v>9158</v>
      </c>
      <c r="AE203"/>
      <c r="AI203" s="2470"/>
    </row>
    <row r="204" spans="1:35" s="356" customFormat="1" ht="51" customHeight="1" x14ac:dyDescent="0.15">
      <c r="A204" s="3385"/>
      <c r="B204" s="3400"/>
      <c r="C204" s="3388"/>
      <c r="D204" s="2913" t="s">
        <v>9159</v>
      </c>
      <c r="E204" s="2913" t="s">
        <v>9160</v>
      </c>
      <c r="F204" s="2424"/>
      <c r="G204" s="2425"/>
      <c r="H204" s="1824" t="str">
        <f t="shared" si="51"/>
        <v>5-DaHall1-PDU-21-50-23</v>
      </c>
      <c r="I204" s="1840" t="str">
        <f t="shared" si="43"/>
        <v>5-DaHall1-PDU-22-50-23</v>
      </c>
      <c r="J204" s="1841">
        <v>220</v>
      </c>
      <c r="K204" s="1842">
        <v>50</v>
      </c>
      <c r="L204" s="2489" t="s">
        <v>6972</v>
      </c>
      <c r="M204" s="1828">
        <v>23</v>
      </c>
      <c r="N204" s="1843">
        <v>220</v>
      </c>
      <c r="O204" s="1844">
        <v>50</v>
      </c>
      <c r="P204" s="2508" t="s">
        <v>6973</v>
      </c>
      <c r="Q204" s="1845">
        <v>23</v>
      </c>
      <c r="R204" s="1252" t="s">
        <v>3905</v>
      </c>
      <c r="S204" s="1253" t="s">
        <v>3906</v>
      </c>
      <c r="T204" s="1284" t="s">
        <v>3907</v>
      </c>
      <c r="U204" s="1285" t="s">
        <v>3908</v>
      </c>
      <c r="V204" s="3375"/>
      <c r="W204" s="3377"/>
      <c r="X204" s="1256" t="n">
        <f>SUM('5층_부하량(월간_AVG)'!D634:F634)</f>
        <v>0.0</v>
      </c>
      <c r="Y204" s="1286" t="n">
        <f>SUM('5층_부하량(월간_AVG)'!D650:F650)</f>
        <v>0.0</v>
      </c>
      <c r="Z204" s="3379"/>
      <c r="AA204" s="2906" t="e" cm="1">
        <f t="array" ref="AA204">INDEX('각층분기별_유효전력량(전월)'!F2:F2018,MATCH(1,("5-DaHall 1-PDU-21"='각층분기별_유효전력량(전월)'!D2:D2018)*("3639 [branch#23] [A] KWh last month "='각층분기별_유효전력량(전월)'!E2:E2018),0))</f>
        <v>#N/A</v>
      </c>
      <c r="AB204" s="2879" t="e" cm="1">
        <f t="array" ref="AB204">INDEX('각층분기별_유효전력량(전월)'!F2:F2018,MATCH(1,("5-DaHall 1-PDU-22"='각층분기별_유효전력량(전월)'!D2:D2018)*("3639 [branch#23] [A] KWh last month "='각층분기별_유효전력량(전월)'!E2:E2018),0))</f>
        <v>#N/A</v>
      </c>
      <c r="AC204" s="3393"/>
      <c r="AD204" s="3383"/>
      <c r="AE204"/>
      <c r="AG204" s="901"/>
      <c r="AI204" s="2470"/>
    </row>
    <row r="205" spans="1:35" s="356" customFormat="1" ht="51" customHeight="1" x14ac:dyDescent="0.15">
      <c r="A205" s="3384" t="s">
        <v>3399</v>
      </c>
      <c r="B205" s="3386" t="s">
        <v>3919</v>
      </c>
      <c r="C205" s="3387" t="s">
        <v>3910</v>
      </c>
      <c r="D205" s="2892" t="s">
        <v>3920</v>
      </c>
      <c r="E205" s="1257" t="s">
        <v>3921</v>
      </c>
      <c r="F205" s="1258" t="s">
        <v>3922</v>
      </c>
      <c r="G205" s="1259" t="s">
        <v>3923</v>
      </c>
      <c r="H205" s="1832" t="str">
        <f t="shared" si="51"/>
        <v>5-DaHall1-PDU-19-50-5</v>
      </c>
      <c r="I205" s="1833" t="str">
        <f t="shared" si="43"/>
        <v>5-DaHall1-PDU-20-50-5</v>
      </c>
      <c r="J205" s="1834">
        <v>220</v>
      </c>
      <c r="K205" s="1835">
        <v>50</v>
      </c>
      <c r="L205" s="2490" t="s">
        <v>6971</v>
      </c>
      <c r="M205" s="1836">
        <v>5</v>
      </c>
      <c r="N205" s="1837">
        <v>220</v>
      </c>
      <c r="O205" s="1838">
        <v>50</v>
      </c>
      <c r="P205" s="2511" t="s">
        <v>6974</v>
      </c>
      <c r="Q205" s="1839">
        <v>5</v>
      </c>
      <c r="R205" s="1275" t="s">
        <v>3897</v>
      </c>
      <c r="S205" s="1276" t="s">
        <v>3898</v>
      </c>
      <c r="T205" s="1277" t="s">
        <v>3899</v>
      </c>
      <c r="U205" s="1278" t="s">
        <v>3900</v>
      </c>
      <c r="V205" s="3389" t="s">
        <v>2820</v>
      </c>
      <c r="W205" s="3390" t="s">
        <v>2821</v>
      </c>
      <c r="X205" s="1279" t="n">
        <f>SUM('5층_부하량(월간_AVG)'!D593:F593)</f>
        <v>0.0</v>
      </c>
      <c r="Y205" s="1264" t="n">
        <f>SUM('5층_부하량(월간_AVG)'!D609:F609)</f>
        <v>0.0</v>
      </c>
      <c r="Z205" s="3391" t="n">
        <f t="shared" ref="Z205" si="78">SUM(X205:Y206)</f>
        <v>0.0</v>
      </c>
      <c r="AA205" s="2914" t="e" cm="1">
        <f t="array" ref="AA205">INDEX('각층분기별_유효전력량(전월)'!F2:F2018,MATCH(1,("5-DaHall 1-PDU-19"='각층분기별_유효전력량(전월)'!D2:D2018)*("0759 [branch#05] [A] KWh last month "='각층분기별_유효전력량(전월)'!E2:E2018),0))</f>
        <v>#N/A</v>
      </c>
      <c r="AB205" s="2875" t="e" cm="1">
        <f t="array" ref="AB205">INDEX('각층분기별_유효전력량(전월)'!F2:F2018,MATCH(1,("5-DaHall 1-PDU-20"='각층분기별_유효전력량(전월)'!D2:D2018)*("0759 [branch#05] [A] KWh last month "='각층분기별_유효전력량(전월)'!E2:E2018),0))</f>
        <v>#N/A</v>
      </c>
      <c r="AC205" s="3392" t="e">
        <f t="shared" ref="AC205" si="79">SUM(AA205:AB206)</f>
        <v>#N/A</v>
      </c>
      <c r="AD205" s="2901"/>
      <c r="AE205"/>
      <c r="AI205" s="2470"/>
    </row>
    <row r="206" spans="1:35" s="356" customFormat="1" ht="51" customHeight="1" x14ac:dyDescent="0.15">
      <c r="A206" s="3385"/>
      <c r="B206" s="3371"/>
      <c r="C206" s="3388"/>
      <c r="D206" s="2900" t="s">
        <v>3924</v>
      </c>
      <c r="E206" s="2900" t="s">
        <v>3925</v>
      </c>
      <c r="F206" s="1250" t="s">
        <v>3926</v>
      </c>
      <c r="G206" s="1251" t="s">
        <v>3927</v>
      </c>
      <c r="H206" s="1824" t="str">
        <f t="shared" si="51"/>
        <v>5-DaHall1-PDU-21-50-5</v>
      </c>
      <c r="I206" s="1840" t="str">
        <f t="shared" si="43"/>
        <v>5-DaHall1-PDU-22-50-5</v>
      </c>
      <c r="J206" s="1841">
        <v>220</v>
      </c>
      <c r="K206" s="1842">
        <v>50</v>
      </c>
      <c r="L206" s="2489" t="s">
        <v>6972</v>
      </c>
      <c r="M206" s="1828">
        <v>5</v>
      </c>
      <c r="N206" s="1843">
        <v>220</v>
      </c>
      <c r="O206" s="1844">
        <v>50</v>
      </c>
      <c r="P206" s="2508" t="s">
        <v>6973</v>
      </c>
      <c r="Q206" s="1845">
        <v>5</v>
      </c>
      <c r="R206" s="1252" t="s">
        <v>3905</v>
      </c>
      <c r="S206" s="1253" t="s">
        <v>3906</v>
      </c>
      <c r="T206" s="1284" t="s">
        <v>3907</v>
      </c>
      <c r="U206" s="1285" t="s">
        <v>3908</v>
      </c>
      <c r="V206" s="3375"/>
      <c r="W206" s="3377"/>
      <c r="X206" s="1256" t="n">
        <f>SUM('5층_부하량(월간_AVG)'!D625:F625)</f>
        <v>0.0</v>
      </c>
      <c r="Y206" s="1286" t="n">
        <f>SUM('5층_부하량(월간_AVG)'!D641:F641)</f>
        <v>0.0</v>
      </c>
      <c r="Z206" s="3379"/>
      <c r="AA206" s="2906" t="e" cm="1">
        <f t="array" ref="AA206">INDEX('각층분기별_유효전력량(전월)'!F2:F2018,MATCH(1,("5-DaHall 1-PDU-21"='각층분기별_유효전력량(전월)'!D2:D2018)*("0759 [branch#05] [A] KWh last month "='각층분기별_유효전력량(전월)'!E2:E2018),0))</f>
        <v>#N/A</v>
      </c>
      <c r="AB206" s="2879" t="e" cm="1">
        <f t="array" ref="AB206">INDEX('각층분기별_유효전력량(전월)'!F2:F2018,MATCH(1,("5-DaHall 1-PDU-22"='각층분기별_유효전력량(전월)'!D2:D2018)*("0759 [branch#05] [A] KWh last month "='각층분기별_유효전력량(전월)'!E2:E2018),0))</f>
        <v>#N/A</v>
      </c>
      <c r="AC206" s="3393"/>
      <c r="AD206" s="2902"/>
      <c r="AE206"/>
      <c r="AG206" s="901"/>
      <c r="AI206" s="2470"/>
    </row>
    <row r="207" spans="1:35" s="356" customFormat="1" ht="51" customHeight="1" x14ac:dyDescent="0.15">
      <c r="A207" s="3370" t="s">
        <v>3405</v>
      </c>
      <c r="B207" s="3386" t="s">
        <v>3909</v>
      </c>
      <c r="C207" s="3394" t="s">
        <v>3910</v>
      </c>
      <c r="D207" s="2892" t="s">
        <v>3911</v>
      </c>
      <c r="E207" s="1257" t="s">
        <v>3912</v>
      </c>
      <c r="F207" s="1258" t="s">
        <v>3913</v>
      </c>
      <c r="G207" s="1259" t="s">
        <v>3914</v>
      </c>
      <c r="H207" s="1832" t="str">
        <f t="shared" si="51"/>
        <v>5-DaHall1-PDU-19-50-3</v>
      </c>
      <c r="I207" s="1833" t="str">
        <f t="shared" si="43"/>
        <v>5-DaHall1-PDU-20-50-3</v>
      </c>
      <c r="J207" s="1834">
        <v>220</v>
      </c>
      <c r="K207" s="1835">
        <v>50</v>
      </c>
      <c r="L207" s="2490" t="s">
        <v>6971</v>
      </c>
      <c r="M207" s="1836">
        <v>3</v>
      </c>
      <c r="N207" s="1837">
        <v>220</v>
      </c>
      <c r="O207" s="1838">
        <v>50</v>
      </c>
      <c r="P207" s="2511" t="s">
        <v>6974</v>
      </c>
      <c r="Q207" s="1839">
        <v>3</v>
      </c>
      <c r="R207" s="1260" t="s">
        <v>3897</v>
      </c>
      <c r="S207" s="1261" t="s">
        <v>3898</v>
      </c>
      <c r="T207" s="1262" t="s">
        <v>3899</v>
      </c>
      <c r="U207" s="1263" t="s">
        <v>3900</v>
      </c>
      <c r="V207" s="3395" t="s">
        <v>2820</v>
      </c>
      <c r="W207" s="3397" t="s">
        <v>2821</v>
      </c>
      <c r="X207" s="1264" t="n">
        <f>SUM('5층_부하량(월간_AVG)'!D592:F592)</f>
        <v>0.0</v>
      </c>
      <c r="Y207" s="1264" t="n">
        <f>SUM('5층_부하량(월간_AVG)'!D608:F608)</f>
        <v>0.0</v>
      </c>
      <c r="Z207" s="3391" t="n">
        <f>SUM(X207:Y208)</f>
        <v>0.0</v>
      </c>
      <c r="AA207" s="2893" t="e" cm="1">
        <f t="array" ref="AA207">INDEX('각층분기별_유효전력량(전월)'!F2:F2018,MATCH(1,("5-DaHall 1-PDU-19"='각층분기별_유효전력량(전월)'!D2:D2018)*("0439 [branch#03] [A] KWh last month "='각층분기별_유효전력량(전월)'!E2:E2018),0))</f>
        <v>#N/A</v>
      </c>
      <c r="AB207" s="2855" t="e" cm="1">
        <f t="array" ref="AB207">INDEX('각층분기별_유효전력량(전월)'!F2:F2018,MATCH(1,("5-DaHall 1-PDU-20"='각층분기별_유효전력량(전월)'!D2:D2018)*("0439 [branch#03] [A] KWh last month "='각층분기별_유효전력량(전월)'!E2:E2018),0))</f>
        <v>#N/A</v>
      </c>
      <c r="AC207" s="3392" t="e">
        <f>SUM(AA207:AB208)</f>
        <v>#N/A</v>
      </c>
      <c r="AD207" s="2894"/>
      <c r="AE207"/>
      <c r="AI207" s="2470"/>
    </row>
    <row r="208" spans="1:35" s="356" customFormat="1" ht="51" customHeight="1" thickBot="1" x14ac:dyDescent="0.2">
      <c r="A208" s="3370"/>
      <c r="B208" s="3371"/>
      <c r="C208" s="3373"/>
      <c r="D208" s="2900" t="s">
        <v>3915</v>
      </c>
      <c r="E208" s="2900" t="s">
        <v>3916</v>
      </c>
      <c r="F208" s="1250" t="s">
        <v>3917</v>
      </c>
      <c r="G208" s="1251" t="s">
        <v>3918</v>
      </c>
      <c r="H208" s="1824" t="str">
        <f t="shared" si="51"/>
        <v>5-DaHall1-PDU-21-50-3</v>
      </c>
      <c r="I208" s="1840" t="str">
        <f t="shared" si="43"/>
        <v>5-DaHall1-PDU-22-50-3</v>
      </c>
      <c r="J208" s="1841">
        <v>220</v>
      </c>
      <c r="K208" s="1842">
        <v>50</v>
      </c>
      <c r="L208" s="2489" t="s">
        <v>6972</v>
      </c>
      <c r="M208" s="1828">
        <v>3</v>
      </c>
      <c r="N208" s="1843">
        <v>220</v>
      </c>
      <c r="O208" s="1844">
        <v>50</v>
      </c>
      <c r="P208" s="2508" t="s">
        <v>6973</v>
      </c>
      <c r="Q208" s="1845">
        <v>3</v>
      </c>
      <c r="R208" s="1252" t="s">
        <v>3905</v>
      </c>
      <c r="S208" s="1253" t="s">
        <v>3906</v>
      </c>
      <c r="T208" s="1254" t="s">
        <v>3907</v>
      </c>
      <c r="U208" s="1255" t="s">
        <v>3908</v>
      </c>
      <c r="V208" s="3396"/>
      <c r="W208" s="3398"/>
      <c r="X208" s="1256" t="n">
        <f>SUM('5층_부하량(월간_AVG)'!D624:F624)</f>
        <v>0.0</v>
      </c>
      <c r="Y208" s="1286" t="n">
        <f>SUM('5층_부하량(월간_AVG)'!D640:F640)</f>
        <v>0.0</v>
      </c>
      <c r="Z208" s="3379"/>
      <c r="AA208" s="2893" t="e" cm="1">
        <f t="array" ref="AA208">INDEX('각층분기별_유효전력량(전월)'!F2:F2018,MATCH(1,("5-DaHall 1-PDU-21"='각층분기별_유효전력량(전월)'!D2:D2018)*("0439 [branch#03] [A] KWh last month "='각층분기별_유효전력량(전월)'!E2:E2018),0))</f>
        <v>#N/A</v>
      </c>
      <c r="AB208" s="2855" t="e" cm="1">
        <f t="array" ref="AB208">INDEX('각층분기별_유효전력량(전월)'!F2:F2018,MATCH(1,("5-DaHall 1-PDU-22"='각층분기별_유효전력량(전월)'!D2:D2018)*("0439 [branch#03] [A] KWh last month "='각층분기별_유효전력량(전월)'!E2:E2018),0))</f>
        <v>#N/A</v>
      </c>
      <c r="AC208" s="3381"/>
      <c r="AD208" s="2899"/>
      <c r="AE208"/>
      <c r="AG208" s="901"/>
      <c r="AI208" s="2470"/>
    </row>
    <row r="209" spans="1:38" s="356" customFormat="1" ht="51" customHeight="1" thickTop="1" x14ac:dyDescent="0.15">
      <c r="A209" s="3369" t="s">
        <v>3411</v>
      </c>
      <c r="B209" s="3314" t="s">
        <v>3891</v>
      </c>
      <c r="C209" s="3372" t="s">
        <v>3892</v>
      </c>
      <c r="D209" s="2915" t="s">
        <v>3893</v>
      </c>
      <c r="E209" s="1242" t="s">
        <v>3894</v>
      </c>
      <c r="F209" s="1243" t="s">
        <v>3895</v>
      </c>
      <c r="G209" s="1244" t="s">
        <v>3896</v>
      </c>
      <c r="H209" s="1816" t="str">
        <f t="shared" si="51"/>
        <v>5-DaHall1-PDU-19-50-1</v>
      </c>
      <c r="I209" s="1817" t="str">
        <f t="shared" si="43"/>
        <v>5-DaHall1-PDU-20-50-1</v>
      </c>
      <c r="J209" s="1818">
        <v>220</v>
      </c>
      <c r="K209" s="1819">
        <v>50</v>
      </c>
      <c r="L209" s="2488" t="s">
        <v>6971</v>
      </c>
      <c r="M209" s="1820">
        <v>1</v>
      </c>
      <c r="N209" s="1821">
        <v>220</v>
      </c>
      <c r="O209" s="1822">
        <v>50</v>
      </c>
      <c r="P209" s="2510" t="s">
        <v>6974</v>
      </c>
      <c r="Q209" s="1823">
        <v>1</v>
      </c>
      <c r="R209" s="1245" t="s">
        <v>3897</v>
      </c>
      <c r="S209" s="1246" t="s">
        <v>3898</v>
      </c>
      <c r="T209" s="1247" t="s">
        <v>3899</v>
      </c>
      <c r="U209" s="1248" t="s">
        <v>3900</v>
      </c>
      <c r="V209" s="3374" t="s">
        <v>2820</v>
      </c>
      <c r="W209" s="3376" t="s">
        <v>2821</v>
      </c>
      <c r="X209" s="1249" t="n">
        <f>SUM('5층_부하량(월간_AVG)'!D591:F591)</f>
        <v>0.0</v>
      </c>
      <c r="Y209" s="1249" t="n">
        <f>SUM('5층_부하량(월간_AVG)'!D607:F607)</f>
        <v>0.0</v>
      </c>
      <c r="Z209" s="3378" t="n">
        <f>SUM(X209:Y210)</f>
        <v>0.0</v>
      </c>
      <c r="AA209" s="2916" t="e" cm="1">
        <f t="array" ref="AA209">INDEX('각층분기별_유효전력량(전월)'!F2:F2018,MATCH(1,("5-DaHall 1-PDU-19"='각층분기별_유효전력량(전월)'!D2:D2018)*("0119 [branch#01] [A] KWh last month "='각층분기별_유효전력량(전월)'!E2:E2018),0))</f>
        <v>#N/A</v>
      </c>
      <c r="AB209" s="2917" t="e" cm="1">
        <f t="array" ref="AB209">INDEX('각층분기별_유효전력량(전월)'!F2:F2018,MATCH(1,("5-DaHall 1-PDU-20"='각층분기별_유효전력량(전월)'!D2:D2018)*("0119 [branch#01] [A] KWh last month "='각층분기별_유효전력량(전월)'!E2:E2018),0))</f>
        <v>#N/A</v>
      </c>
      <c r="AC209" s="3380" t="e">
        <f>SUM(AA209:AB210)</f>
        <v>#N/A</v>
      </c>
      <c r="AD209" s="2895"/>
      <c r="AE209"/>
      <c r="AI209" s="2470"/>
    </row>
    <row r="210" spans="1:38" s="356" customFormat="1" ht="51.6" customHeight="1" thickBot="1" x14ac:dyDescent="0.2">
      <c r="A210" s="3370"/>
      <c r="B210" s="3371"/>
      <c r="C210" s="3373"/>
      <c r="D210" s="2900" t="s">
        <v>3901</v>
      </c>
      <c r="E210" s="2900" t="s">
        <v>3902</v>
      </c>
      <c r="F210" s="1250" t="s">
        <v>3903</v>
      </c>
      <c r="G210" s="1281" t="s">
        <v>3904</v>
      </c>
      <c r="H210" s="1824" t="str">
        <f t="shared" si="51"/>
        <v>5-DaHall1-PDU-21-50-1</v>
      </c>
      <c r="I210" s="1825" t="str">
        <f t="shared" si="43"/>
        <v>5-DaHall1-PDU-22-50-1</v>
      </c>
      <c r="J210" s="1826">
        <v>220</v>
      </c>
      <c r="K210" s="1827">
        <v>50</v>
      </c>
      <c r="L210" s="2489" t="s">
        <v>6972</v>
      </c>
      <c r="M210" s="1828">
        <v>1</v>
      </c>
      <c r="N210" s="1829">
        <v>220</v>
      </c>
      <c r="O210" s="1830">
        <v>50</v>
      </c>
      <c r="P210" s="2507" t="s">
        <v>6973</v>
      </c>
      <c r="Q210" s="1831">
        <v>1</v>
      </c>
      <c r="R210" s="1282" t="s">
        <v>3905</v>
      </c>
      <c r="S210" s="1283" t="s">
        <v>3906</v>
      </c>
      <c r="T210" s="1284" t="s">
        <v>3907</v>
      </c>
      <c r="U210" s="1285" t="s">
        <v>3908</v>
      </c>
      <c r="V210" s="3375"/>
      <c r="W210" s="3377"/>
      <c r="X210" s="1256" t="n">
        <f>SUM('5층_부하량(월간_AVG)'!D623:F623)</f>
        <v>0.0</v>
      </c>
      <c r="Y210" s="1286" t="n">
        <f>SUM('5층_부하량(월간_AVG)'!D639:F639)</f>
        <v>0.0</v>
      </c>
      <c r="Z210" s="3379"/>
      <c r="AA210" s="2893" t="e" cm="1">
        <f t="array" ref="AA210">INDEX('각층분기별_유효전력량(전월)'!F2:F2018,MATCH(1,("5-DaHall 1-PDU-21"='각층분기별_유효전력량(전월)'!D2:D2018)*("0119 [branch#01] [A] KWh last month "='각층분기별_유효전력량(전월)'!E2:E2018),0))</f>
        <v>#N/A</v>
      </c>
      <c r="AB210" s="2855" t="e" cm="1">
        <f t="array" ref="AB210">INDEX('각층분기별_유효전력량(전월)'!F2:F2018,MATCH(1,("5-DaHall 1-PDU-22"='각층분기별_유효전력량(전월)'!D2:D2018)*("0119 [branch#01] [A] KWh last month "='각층분기별_유효전력량(전월)'!E2:E2018),0))</f>
        <v>#N/A</v>
      </c>
      <c r="AC210" s="3381"/>
      <c r="AD210" s="2899"/>
      <c r="AE210"/>
      <c r="AF210" s="901" t="n">
        <f>SUM(Z163:Z210)</f>
        <v>0.0</v>
      </c>
      <c r="AG210" s="901"/>
      <c r="AI210" s="2470"/>
      <c r="AJ210" s="901" t="n">
        <f>SUM(Z163:Z210)</f>
        <v>0.0</v>
      </c>
      <c r="AK210" s="356" t="n">
        <f>SUM(AH163:AH210)</f>
        <v>0.0</v>
      </c>
      <c r="AL210" s="2469" t="n">
        <f>AJ210-AK210</f>
        <v>0.0</v>
      </c>
    </row>
    <row r="211" spans="1:38" ht="27.75" thickTop="1" x14ac:dyDescent="0.15">
      <c r="A211" s="1105" t="s">
        <v>1048</v>
      </c>
      <c r="B211" s="331" t="s">
        <v>3425</v>
      </c>
      <c r="C211" s="991"/>
      <c r="D211" s="331" t="s">
        <v>3426</v>
      </c>
      <c r="E211" s="331" t="s">
        <v>3427</v>
      </c>
      <c r="F211" s="2793" t="s">
        <v>3428</v>
      </c>
      <c r="G211" s="2794" t="s">
        <v>3429</v>
      </c>
      <c r="H211" s="1678" t="str">
        <f t="shared" si="51"/>
        <v>5-DaHall1-PDU-05-30-2</v>
      </c>
      <c r="I211" s="1679" t="str">
        <f t="shared" si="43"/>
        <v>5-DaHall1-PDU-06-30-2</v>
      </c>
      <c r="J211" s="1623">
        <v>220</v>
      </c>
      <c r="K211" s="1624">
        <v>30</v>
      </c>
      <c r="L211" s="2482" t="s">
        <v>6918</v>
      </c>
      <c r="M211" s="1625">
        <v>2</v>
      </c>
      <c r="N211" s="1626">
        <v>220</v>
      </c>
      <c r="O211" s="1627">
        <v>30</v>
      </c>
      <c r="P211" s="2514" t="s">
        <v>6928</v>
      </c>
      <c r="Q211" s="1628">
        <v>2</v>
      </c>
      <c r="R211" s="3367" t="s">
        <v>3279</v>
      </c>
      <c r="S211" s="3368" t="s">
        <v>3280</v>
      </c>
      <c r="T211" s="3230" t="s">
        <v>3281</v>
      </c>
      <c r="U211" s="3232" t="s">
        <v>3282</v>
      </c>
      <c r="V211" s="3230" t="s">
        <v>2820</v>
      </c>
      <c r="W211" s="3232" t="s">
        <v>2821</v>
      </c>
      <c r="X211" s="332" t="n">
        <f>SUM('5층_부하량(월간_AVG)'!N164:P164)</f>
        <v>0.0</v>
      </c>
      <c r="Y211" s="332" t="n">
        <f>SUM('5층_부하량(월간_AVG)'!N195:P195)</f>
        <v>0.0</v>
      </c>
      <c r="Z211" s="2560" t="n">
        <f t="shared" ref="Z211:Z218" si="80">SUM(X211:Y211)</f>
        <v>0.0</v>
      </c>
      <c r="AA211" s="2848" t="n" cm="1">
        <f t="array" ref="AA211">INDEX('각층분기별_유효전력량(전월)'!F2:F2018,MATCH(1,("5-DaHall 1-PDU-05"='각층분기별_유효전력량(전월)'!D2:D2018)*("[branch#002] [A] kWh last month"='각층분기별_유효전력량(전월)'!E2:E2018),0))</f>
        <v>0.0</v>
      </c>
      <c r="AB211" s="2849" t="n" cm="1">
        <f t="array" ref="AB211">INDEX('각층분기별_유효전력량(전월)'!F2:F2018,MATCH(1,("5-DaHall 1-PDU-06"='각층분기별_유효전력량(전월)'!D2:D2018)*("[branch#002] [A] kWh last month"='각층분기별_유효전력량(전월)'!E2:E2018),0))</f>
        <v>0.0</v>
      </c>
      <c r="AC211" s="2589" t="n">
        <f>SUM(AA211:AB211)</f>
        <v>0.0</v>
      </c>
      <c r="AD211" s="2576" t="s">
        <v>3381</v>
      </c>
      <c r="AH211" s="2470"/>
    </row>
    <row r="212" spans="1:38" ht="27" x14ac:dyDescent="0.15">
      <c r="A212" s="2769" t="s">
        <v>3430</v>
      </c>
      <c r="B212" s="2765" t="s">
        <v>3431</v>
      </c>
      <c r="C212" s="2784"/>
      <c r="D212" s="2765" t="s">
        <v>3432</v>
      </c>
      <c r="E212" s="2765" t="s">
        <v>3433</v>
      </c>
      <c r="F212" s="2785" t="s">
        <v>3434</v>
      </c>
      <c r="G212" s="2786" t="s">
        <v>3435</v>
      </c>
      <c r="H212" s="1666" t="str">
        <f t="shared" si="51"/>
        <v>5-DaHall1-PDU-05-30-4</v>
      </c>
      <c r="I212" s="1667" t="str">
        <f t="shared" si="43"/>
        <v>5-DaHall1-PDU-06-30-4</v>
      </c>
      <c r="J212" s="1629">
        <v>220</v>
      </c>
      <c r="K212" s="1630">
        <v>30</v>
      </c>
      <c r="L212" s="2483" t="s">
        <v>6918</v>
      </c>
      <c r="M212" s="1631">
        <v>4</v>
      </c>
      <c r="N212" s="1632">
        <v>220</v>
      </c>
      <c r="O212" s="1633">
        <v>30</v>
      </c>
      <c r="P212" s="2515" t="s">
        <v>6928</v>
      </c>
      <c r="Q212" s="1634">
        <v>4</v>
      </c>
      <c r="R212" s="3363"/>
      <c r="S212" s="3365"/>
      <c r="T212" s="3241"/>
      <c r="U212" s="3242"/>
      <c r="V212" s="3241"/>
      <c r="W212" s="3242"/>
      <c r="X212" s="255" t="n">
        <f>SUM('5층_부하량(월간_AVG)'!N165:P165)</f>
        <v>0.0</v>
      </c>
      <c r="Y212" s="255" t="n">
        <f>SUM('5층_부하량(월간_AVG)'!N196:P196)</f>
        <v>0.0</v>
      </c>
      <c r="Z212" s="2557" t="n">
        <f t="shared" si="80"/>
        <v>0.0</v>
      </c>
      <c r="AA212" s="2850" t="n" cm="1">
        <f t="array" ref="AA212">INDEX('각층분기별_유효전력량(전월)'!F2:F2018,MATCH(1,("5-DaHall 1-PDU-05"='각층분기별_유효전력량(전월)'!D2:D2018)*("[branch#004] [A] kWh last month"='각층분기별_유효전력량(전월)'!E2:E2018),0))</f>
        <v>0.0</v>
      </c>
      <c r="AB212" s="2851" t="n" cm="1">
        <f t="array" ref="AB212">INDEX('각층분기별_유효전력량(전월)'!F2:F2018,MATCH(1,("5-DaHall 1-PDU-06"='각층분기별_유효전력량(전월)'!D2:D2018)*("[branch#004] [A] kWh last month"='각층분기별_유효전력량(전월)'!E2:E2018),0))</f>
        <v>0.0</v>
      </c>
      <c r="AC212" s="2586" t="n">
        <f>SUM(AA212:AB212)</f>
        <v>0.0</v>
      </c>
      <c r="AD212" s="2574" t="s">
        <v>3381</v>
      </c>
      <c r="AH212" s="2470"/>
    </row>
    <row r="213" spans="1:38" ht="27" x14ac:dyDescent="0.15">
      <c r="A213" s="2769" t="s">
        <v>3436</v>
      </c>
      <c r="B213" s="2765" t="s">
        <v>3437</v>
      </c>
      <c r="C213" s="2784"/>
      <c r="D213" s="2765" t="s">
        <v>3438</v>
      </c>
      <c r="E213" s="2765" t="s">
        <v>3439</v>
      </c>
      <c r="F213" s="2785" t="s">
        <v>3440</v>
      </c>
      <c r="G213" s="2786" t="s">
        <v>3441</v>
      </c>
      <c r="H213" s="1666" t="str">
        <f t="shared" si="51"/>
        <v>5-DaHall1-PDU-05-30-6</v>
      </c>
      <c r="I213" s="1667" t="str">
        <f t="shared" si="43"/>
        <v>5-DaHall1-PDU-06-30-6</v>
      </c>
      <c r="J213" s="1629">
        <v>220</v>
      </c>
      <c r="K213" s="1630">
        <v>30</v>
      </c>
      <c r="L213" s="2483" t="s">
        <v>6918</v>
      </c>
      <c r="M213" s="1631">
        <v>6</v>
      </c>
      <c r="N213" s="1632">
        <v>220</v>
      </c>
      <c r="O213" s="1633">
        <v>30</v>
      </c>
      <c r="P213" s="2515" t="s">
        <v>6928</v>
      </c>
      <c r="Q213" s="1634">
        <v>6</v>
      </c>
      <c r="R213" s="3363"/>
      <c r="S213" s="3365"/>
      <c r="T213" s="3241"/>
      <c r="U213" s="3242"/>
      <c r="V213" s="3241"/>
      <c r="W213" s="3242"/>
      <c r="X213" s="255" t="n">
        <f>SUM('5층_부하량(월간_AVG)'!N166:P166)</f>
        <v>0.0</v>
      </c>
      <c r="Y213" s="255" t="n">
        <f>SUM('5층_부하량(월간_AVG)'!N197:P197)</f>
        <v>0.0</v>
      </c>
      <c r="Z213" s="2557" t="n">
        <f t="shared" si="80"/>
        <v>0.0</v>
      </c>
      <c r="AA213" s="2850" t="n" cm="1">
        <f t="array" ref="AA213">INDEX('각층분기별_유효전력량(전월)'!F2:F2018,MATCH(1,("5-DaHall 1-PDU-05"='각층분기별_유효전력량(전월)'!D2:D2018)*("[branch#006] [A] kWh last month"='각층분기별_유효전력량(전월)'!E2:E2018),0))</f>
        <v>0.0</v>
      </c>
      <c r="AB213" s="2851" t="n" cm="1">
        <f t="array" ref="AB213">INDEX('각층분기별_유효전력량(전월)'!F2:F2018,MATCH(1,("5-DaHall 1-PDU-06"='각층분기별_유효전력량(전월)'!D2:D2018)*("[branch#006] [A] kWh last month"='각층분기별_유효전력량(전월)'!E2:E2018),0))</f>
        <v>0.0</v>
      </c>
      <c r="AC213" s="2586" t="n">
        <f t="shared" ref="AC213:AC218" si="81">SUM(AA213:AB213)</f>
        <v>0.0</v>
      </c>
      <c r="AD213" s="2574" t="s">
        <v>3381</v>
      </c>
      <c r="AH213" s="2470"/>
    </row>
    <row r="214" spans="1:38" ht="27" x14ac:dyDescent="0.15">
      <c r="A214" s="2769" t="s">
        <v>3442</v>
      </c>
      <c r="B214" s="2765" t="s">
        <v>3443</v>
      </c>
      <c r="C214" s="2784"/>
      <c r="D214" s="2765" t="s">
        <v>3444</v>
      </c>
      <c r="E214" s="2765" t="s">
        <v>3445</v>
      </c>
      <c r="F214" s="2785" t="s">
        <v>3446</v>
      </c>
      <c r="G214" s="2786" t="s">
        <v>3447</v>
      </c>
      <c r="H214" s="1666" t="str">
        <f t="shared" si="51"/>
        <v>5-DaHall1-PDU-05-30-8</v>
      </c>
      <c r="I214" s="1667" t="str">
        <f t="shared" si="43"/>
        <v>5-DaHall1-PDU-06-30-8</v>
      </c>
      <c r="J214" s="1629">
        <v>220</v>
      </c>
      <c r="K214" s="1630">
        <v>30</v>
      </c>
      <c r="L214" s="2483" t="s">
        <v>6918</v>
      </c>
      <c r="M214" s="1631">
        <v>8</v>
      </c>
      <c r="N214" s="1632">
        <v>220</v>
      </c>
      <c r="O214" s="1633">
        <v>30</v>
      </c>
      <c r="P214" s="2515" t="s">
        <v>6928</v>
      </c>
      <c r="Q214" s="1634">
        <v>8</v>
      </c>
      <c r="R214" s="3363"/>
      <c r="S214" s="3365"/>
      <c r="T214" s="3241"/>
      <c r="U214" s="3242"/>
      <c r="V214" s="3241"/>
      <c r="W214" s="3242"/>
      <c r="X214" s="255" t="n">
        <f>SUM('5층_부하량(월간_AVG)'!N167:P167)</f>
        <v>0.0</v>
      </c>
      <c r="Y214" s="255" t="n">
        <f>SUM('5층_부하량(월간_AVG)'!N198:P198)</f>
        <v>0.0</v>
      </c>
      <c r="Z214" s="2557" t="n">
        <f t="shared" si="80"/>
        <v>0.0</v>
      </c>
      <c r="AA214" s="2850" t="n" cm="1">
        <f t="array" ref="AA214">INDEX('각층분기별_유효전력량(전월)'!F2:F2018,MATCH(1,("5-DaHall 1-PDU-05"='각층분기별_유효전력량(전월)'!D2:D2018)*("[branch#008] [A] kWh last month"='각층분기별_유효전력량(전월)'!E2:E2018),0))</f>
        <v>0.0</v>
      </c>
      <c r="AB214" s="2851" t="n" cm="1">
        <f t="array" ref="AB214">INDEX('각층분기별_유효전력량(전월)'!F2:F2018,MATCH(1,("5-DaHall 1-PDU-06"='각층분기별_유효전력량(전월)'!D2:D2018)*("[branch#008] [A] kWh last month"='각층분기별_유효전력량(전월)'!E2:E2018),0))</f>
        <v>0.0</v>
      </c>
      <c r="AC214" s="2586" t="n">
        <f t="shared" si="81"/>
        <v>0.0</v>
      </c>
      <c r="AD214" s="2574" t="s">
        <v>3381</v>
      </c>
      <c r="AH214" s="2470"/>
    </row>
    <row r="215" spans="1:38" ht="27" x14ac:dyDescent="0.15">
      <c r="A215" s="2769" t="s">
        <v>1072</v>
      </c>
      <c r="B215" s="2765" t="s">
        <v>3448</v>
      </c>
      <c r="C215" s="2784"/>
      <c r="D215" s="2765" t="s">
        <v>3449</v>
      </c>
      <c r="E215" s="2765" t="s">
        <v>3450</v>
      </c>
      <c r="F215" s="2785" t="s">
        <v>3451</v>
      </c>
      <c r="G215" s="2786" t="s">
        <v>3452</v>
      </c>
      <c r="H215" s="1666" t="str">
        <f t="shared" si="51"/>
        <v>5-DaHall1-PDU-05-30-10</v>
      </c>
      <c r="I215" s="1667" t="str">
        <f t="shared" si="43"/>
        <v>5-DaHall1-PDU-06-30-10</v>
      </c>
      <c r="J215" s="1629">
        <v>220</v>
      </c>
      <c r="K215" s="1630">
        <v>30</v>
      </c>
      <c r="L215" s="2483" t="s">
        <v>6918</v>
      </c>
      <c r="M215" s="1631">
        <v>10</v>
      </c>
      <c r="N215" s="1632">
        <v>220</v>
      </c>
      <c r="O215" s="1633">
        <v>30</v>
      </c>
      <c r="P215" s="2515" t="s">
        <v>6928</v>
      </c>
      <c r="Q215" s="1634">
        <v>10</v>
      </c>
      <c r="R215" s="3363"/>
      <c r="S215" s="3365"/>
      <c r="T215" s="3241"/>
      <c r="U215" s="3242"/>
      <c r="V215" s="3241"/>
      <c r="W215" s="3242"/>
      <c r="X215" s="255" t="n">
        <f>SUM('5층_부하량(월간_AVG)'!N168:P168)</f>
        <v>0.0</v>
      </c>
      <c r="Y215" s="255" t="n">
        <f>SUM('5층_부하량(월간_AVG)'!N199:P199)</f>
        <v>0.0</v>
      </c>
      <c r="Z215" s="2557" t="n">
        <f t="shared" si="80"/>
        <v>0.0</v>
      </c>
      <c r="AA215" s="2850" t="n" cm="1">
        <f t="array" ref="AA215">INDEX('각층분기별_유효전력량(전월)'!F2:F2018,MATCH(1,("5-DaHall 1-PDU-05"='각층분기별_유효전력량(전월)'!D2:D2018)*("[branch#010] [A] kWh last month"='각층분기별_유효전력량(전월)'!E2:E2018),0))</f>
        <v>0.0</v>
      </c>
      <c r="AB215" s="2851" t="n" cm="1">
        <f t="array" ref="AB215">INDEX('각층분기별_유효전력량(전월)'!F2:F2018,MATCH(1,("5-DaHall 1-PDU-06"='각층분기별_유효전력량(전월)'!D2:D2018)*("[branch#010] [A] kWh last month"='각층분기별_유효전력량(전월)'!E2:E2018),0))</f>
        <v>0.0</v>
      </c>
      <c r="AC215" s="2586" t="n">
        <f t="shared" si="81"/>
        <v>0.0</v>
      </c>
      <c r="AD215" s="2574" t="s">
        <v>3381</v>
      </c>
      <c r="AH215" s="2470"/>
    </row>
    <row r="216" spans="1:38" ht="27" x14ac:dyDescent="0.15">
      <c r="A216" s="2769" t="s">
        <v>3453</v>
      </c>
      <c r="B216" s="2765" t="s">
        <v>3454</v>
      </c>
      <c r="C216" s="2784"/>
      <c r="D216" s="2765" t="s">
        <v>3455</v>
      </c>
      <c r="E216" s="2765" t="s">
        <v>3456</v>
      </c>
      <c r="F216" s="2785" t="s">
        <v>3457</v>
      </c>
      <c r="G216" s="2786" t="s">
        <v>3458</v>
      </c>
      <c r="H216" s="1666" t="str">
        <f t="shared" si="51"/>
        <v>5-DaHall1-PDU-05-30-12</v>
      </c>
      <c r="I216" s="1667" t="str">
        <f t="shared" si="43"/>
        <v>5-DaHall1-PDU-06-30-12</v>
      </c>
      <c r="J216" s="1629">
        <v>220</v>
      </c>
      <c r="K216" s="1630">
        <v>30</v>
      </c>
      <c r="L216" s="2483" t="s">
        <v>6918</v>
      </c>
      <c r="M216" s="1631">
        <v>12</v>
      </c>
      <c r="N216" s="1632">
        <v>220</v>
      </c>
      <c r="O216" s="1633">
        <v>30</v>
      </c>
      <c r="P216" s="2515" t="s">
        <v>6928</v>
      </c>
      <c r="Q216" s="1634">
        <v>12</v>
      </c>
      <c r="R216" s="3363"/>
      <c r="S216" s="3365"/>
      <c r="T216" s="3241"/>
      <c r="U216" s="3242"/>
      <c r="V216" s="3241"/>
      <c r="W216" s="3242"/>
      <c r="X216" s="270" t="n">
        <f>SUM('5층_부하량(월간_AVG)'!N169:P169)</f>
        <v>0.0</v>
      </c>
      <c r="Y216" s="270" t="n">
        <f>SUM('5층_부하량(월간_AVG)'!N200:P200)</f>
        <v>0.0</v>
      </c>
      <c r="Z216" s="2557" t="n">
        <f t="shared" si="80"/>
        <v>0.0</v>
      </c>
      <c r="AA216" s="2850" t="n" cm="1">
        <f t="array" ref="AA216">INDEX('각층분기별_유효전력량(전월)'!F2:F2018,MATCH(1,("5-DaHall 1-PDU-05"='각층분기별_유효전력량(전월)'!D2:D2018)*("[branch#012] [A] kWh last month"='각층분기별_유효전력량(전월)'!E2:E2018),0))</f>
        <v>0.0</v>
      </c>
      <c r="AB216" s="2851" t="n" cm="1">
        <f t="array" ref="AB216">INDEX('각층분기별_유효전력량(전월)'!F2:F2018,MATCH(1,("5-DaHall 1-PDU-06"='각층분기별_유효전력량(전월)'!D2:D2018)*("[branch#012] [A] kWh last month"='각층분기별_유효전력량(전월)'!E2:E2018),0))</f>
        <v>0.0</v>
      </c>
      <c r="AC216" s="2586" t="n">
        <f t="shared" si="81"/>
        <v>0.0</v>
      </c>
      <c r="AD216" s="2574" t="s">
        <v>3381</v>
      </c>
      <c r="AH216" s="2470"/>
    </row>
    <row r="217" spans="1:38" ht="27" x14ac:dyDescent="0.15">
      <c r="A217" s="2769" t="s">
        <v>3459</v>
      </c>
      <c r="B217" s="2765" t="s">
        <v>3460</v>
      </c>
      <c r="C217" s="2784"/>
      <c r="D217" s="2765" t="s">
        <v>3461</v>
      </c>
      <c r="E217" s="2765" t="s">
        <v>3462</v>
      </c>
      <c r="F217" s="2785" t="s">
        <v>3463</v>
      </c>
      <c r="G217" s="2786" t="s">
        <v>3464</v>
      </c>
      <c r="H217" s="1666" t="str">
        <f t="shared" si="51"/>
        <v>5-DaHall1-PDU-05-30-14</v>
      </c>
      <c r="I217" s="1667" t="str">
        <f t="shared" si="43"/>
        <v>5-DaHall1-PDU-06-30-16</v>
      </c>
      <c r="J217" s="1629">
        <v>220</v>
      </c>
      <c r="K217" s="1630">
        <v>30</v>
      </c>
      <c r="L217" s="2483" t="s">
        <v>6918</v>
      </c>
      <c r="M217" s="1631">
        <v>14</v>
      </c>
      <c r="N217" s="1632">
        <v>220</v>
      </c>
      <c r="O217" s="1633">
        <v>30</v>
      </c>
      <c r="P217" s="2515" t="s">
        <v>6928</v>
      </c>
      <c r="Q217" s="1634">
        <v>16</v>
      </c>
      <c r="R217" s="3363"/>
      <c r="S217" s="3365"/>
      <c r="T217" s="3241"/>
      <c r="U217" s="3242"/>
      <c r="V217" s="3241"/>
      <c r="W217" s="3242"/>
      <c r="X217" s="270" t="n">
        <f>SUM('5층_부하량(월간_AVG)'!N170:P170)</f>
        <v>0.0</v>
      </c>
      <c r="Y217" s="270" t="n">
        <f>SUM('5층_부하량(월간_AVG)'!N202:P202)</f>
        <v>0.0</v>
      </c>
      <c r="Z217" s="2557" t="n">
        <f t="shared" si="80"/>
        <v>0.0</v>
      </c>
      <c r="AA217" s="2850" t="n" cm="1">
        <f t="array" ref="AA217">INDEX('각층분기별_유효전력량(전월)'!F2:F2018,MATCH(1,("5-DaHall 1-PDU-05"='각층분기별_유효전력량(전월)'!D2:D2018)*("[branch#014] [A] kWh last month"='각층분기별_유효전력량(전월)'!E2:E2018),0))</f>
        <v>0.0</v>
      </c>
      <c r="AB217" s="2851" t="n" cm="1">
        <f t="array" ref="AB217">INDEX('각층분기별_유효전력량(전월)'!F2:F2018,MATCH(1,("5-DaHall 1-PDU-06"='각층분기별_유효전력량(전월)'!D2:D2018)*("[branch#016] [A] kWh last month"='각층분기별_유효전력량(전월)'!E2:E2018),0))</f>
        <v>0.0</v>
      </c>
      <c r="AC217" s="2586" t="n">
        <f t="shared" si="81"/>
        <v>0.0</v>
      </c>
      <c r="AD217" s="2574" t="s">
        <v>3381</v>
      </c>
      <c r="AH217" s="2470"/>
    </row>
    <row r="218" spans="1:38" ht="27" x14ac:dyDescent="0.15">
      <c r="A218" s="2769" t="s">
        <v>3465</v>
      </c>
      <c r="B218" s="2765" t="s">
        <v>3466</v>
      </c>
      <c r="C218" s="2784"/>
      <c r="D218" s="2765" t="s">
        <v>3467</v>
      </c>
      <c r="E218" s="2765" t="s">
        <v>3468</v>
      </c>
      <c r="F218" s="2785" t="s">
        <v>3469</v>
      </c>
      <c r="G218" s="2786" t="s">
        <v>3470</v>
      </c>
      <c r="H218" s="1666" t="str">
        <f t="shared" si="51"/>
        <v>5-DaHall1-PDU-05-30-16</v>
      </c>
      <c r="I218" s="1667" t="str">
        <f t="shared" si="43"/>
        <v>5-DaHall1-PDU-06-30-18</v>
      </c>
      <c r="J218" s="1629">
        <v>220</v>
      </c>
      <c r="K218" s="1630">
        <v>30</v>
      </c>
      <c r="L218" s="2483" t="s">
        <v>6918</v>
      </c>
      <c r="M218" s="1631">
        <v>16</v>
      </c>
      <c r="N218" s="1632">
        <v>220</v>
      </c>
      <c r="O218" s="1633">
        <v>30</v>
      </c>
      <c r="P218" s="2515" t="s">
        <v>6928</v>
      </c>
      <c r="Q218" s="1634">
        <v>18</v>
      </c>
      <c r="R218" s="3363"/>
      <c r="S218" s="3365"/>
      <c r="T218" s="3241"/>
      <c r="U218" s="3242"/>
      <c r="V218" s="3241"/>
      <c r="W218" s="3242"/>
      <c r="X218" s="270" t="n">
        <f>SUM('5층_부하량(월간_AVG)'!N171:P171)</f>
        <v>0.0</v>
      </c>
      <c r="Y218" s="270" t="n">
        <f>SUM('5층_부하량(월간_AVG)'!N203:P203)</f>
        <v>0.0</v>
      </c>
      <c r="Z218" s="2557" t="n">
        <f t="shared" si="80"/>
        <v>0.0</v>
      </c>
      <c r="AA218" s="2850" t="n" cm="1">
        <f t="array" ref="AA218">INDEX('각층분기별_유효전력량(전월)'!F2:F2018,MATCH(1,("5-DaHall 1-PDU-05"='각층분기별_유효전력량(전월)'!D2:D2018)*("[branch#016] [A] kWh last month"='각층분기별_유효전력량(전월)'!E2:E2018),0))</f>
        <v>0.0</v>
      </c>
      <c r="AB218" s="2851" t="n" cm="1">
        <f t="array" ref="AB218">INDEX('각층분기별_유효전력량(전월)'!F2:F2018,MATCH(1,("5-DaHall 1-PDU-06"='각층분기별_유효전력량(전월)'!D2:D2018)*("[branch#018] [A] kWh last month"='각층분기별_유효전력량(전월)'!E2:E2018),0))</f>
        <v>0.0</v>
      </c>
      <c r="AC218" s="2586" t="n">
        <f t="shared" si="81"/>
        <v>0.0</v>
      </c>
      <c r="AD218" s="2574" t="s">
        <v>3381</v>
      </c>
      <c r="AH218" s="2470"/>
    </row>
    <row r="219" spans="1:38" x14ac:dyDescent="0.15">
      <c r="A219" s="2769" t="s">
        <v>3471</v>
      </c>
      <c r="B219" s="2834"/>
      <c r="C219" s="904"/>
      <c r="D219" s="2834"/>
      <c r="E219" s="2834"/>
      <c r="F219" s="2831"/>
      <c r="G219" s="2827"/>
      <c r="H219" s="1661"/>
      <c r="I219" s="1653"/>
      <c r="J219" s="1662"/>
      <c r="K219" s="1663"/>
      <c r="L219" s="2831"/>
      <c r="M219" s="1664"/>
      <c r="N219" s="1665"/>
      <c r="O219" s="1655"/>
      <c r="P219" s="2827"/>
      <c r="Q219" s="1656"/>
      <c r="R219" s="2831"/>
      <c r="S219" s="2827"/>
      <c r="T219" s="838"/>
      <c r="U219" s="839"/>
      <c r="V219" s="838"/>
      <c r="W219" s="839"/>
      <c r="X219" s="1013"/>
      <c r="Y219" s="1013"/>
      <c r="Z219" s="2564"/>
      <c r="AA219" s="2868"/>
      <c r="AB219" s="2869"/>
      <c r="AC219" s="2594"/>
      <c r="AD219" s="2636"/>
      <c r="AH219" s="2470"/>
    </row>
    <row r="220" spans="1:38" ht="14.25" thickBot="1" x14ac:dyDescent="0.2">
      <c r="A220" s="2779" t="s">
        <v>3472</v>
      </c>
      <c r="B220" s="847"/>
      <c r="C220" s="993"/>
      <c r="D220" s="847"/>
      <c r="E220" s="847"/>
      <c r="F220" s="2832"/>
      <c r="G220" s="2828"/>
      <c r="H220" s="1680"/>
      <c r="I220" s="1681"/>
      <c r="J220" s="1694"/>
      <c r="K220" s="1695"/>
      <c r="L220" s="2832"/>
      <c r="M220" s="1696"/>
      <c r="N220" s="1697"/>
      <c r="O220" s="1698"/>
      <c r="P220" s="2828"/>
      <c r="Q220" s="1699"/>
      <c r="R220" s="2832"/>
      <c r="S220" s="2828"/>
      <c r="T220" s="848"/>
      <c r="U220" s="867"/>
      <c r="V220" s="848"/>
      <c r="W220" s="867"/>
      <c r="X220" s="1124"/>
      <c r="Y220" s="1124"/>
      <c r="Z220" s="2563"/>
      <c r="AA220" s="2890"/>
      <c r="AB220" s="2891"/>
      <c r="AC220" s="2593"/>
      <c r="AD220" s="2639"/>
      <c r="AH220" s="2470"/>
    </row>
    <row r="221" spans="1:38" ht="27.75" customHeight="1" thickTop="1" x14ac:dyDescent="0.15">
      <c r="A221" s="1105" t="s">
        <v>1097</v>
      </c>
      <c r="B221" s="331" t="s">
        <v>3473</v>
      </c>
      <c r="C221" s="991"/>
      <c r="D221" s="331" t="s">
        <v>3474</v>
      </c>
      <c r="E221" s="331" t="s">
        <v>3475</v>
      </c>
      <c r="F221" s="2793" t="s">
        <v>3476</v>
      </c>
      <c r="G221" s="2794" t="s">
        <v>3477</v>
      </c>
      <c r="H221" s="1678" t="str">
        <f t="shared" ref="H221:H228" si="82">"5-DaHall1-PDU-"&amp;L221&amp;"-"&amp;K221&amp;"-"&amp;M221</f>
        <v>5-DaHall1-PDU-05-30-18</v>
      </c>
      <c r="I221" s="1679" t="str">
        <f t="shared" ref="I221:I228" si="83">"5-DaHall1-PDU-"&amp;P221&amp;"-"&amp;O221&amp;"-"&amp;Q221</f>
        <v>5-DaHall1-PDU-06-30-20</v>
      </c>
      <c r="J221" s="1623">
        <v>220</v>
      </c>
      <c r="K221" s="1624">
        <v>30</v>
      </c>
      <c r="L221" s="2482" t="s">
        <v>6918</v>
      </c>
      <c r="M221" s="1625">
        <v>18</v>
      </c>
      <c r="N221" s="1626">
        <v>220</v>
      </c>
      <c r="O221" s="1627">
        <v>30</v>
      </c>
      <c r="P221" s="2514" t="s">
        <v>6928</v>
      </c>
      <c r="Q221" s="1628">
        <v>20</v>
      </c>
      <c r="R221" s="3367" t="s">
        <v>3279</v>
      </c>
      <c r="S221" s="3368" t="s">
        <v>3280</v>
      </c>
      <c r="T221" s="3230" t="s">
        <v>3281</v>
      </c>
      <c r="U221" s="3232" t="s">
        <v>3282</v>
      </c>
      <c r="V221" s="3230" t="s">
        <v>2820</v>
      </c>
      <c r="W221" s="3232" t="s">
        <v>2821</v>
      </c>
      <c r="X221" s="332" t="n">
        <f>SUM('5층_부하량(월간_AVG)'!N172:P172)</f>
        <v>0.0</v>
      </c>
      <c r="Y221" s="332" t="n">
        <f>SUM('5층_부하량(월간_AVG)'!N204:P204)</f>
        <v>0.0</v>
      </c>
      <c r="Z221" s="2560" t="n">
        <f>SUM(X221:Y221)</f>
        <v>0.0</v>
      </c>
      <c r="AA221" s="2848" t="n" cm="1">
        <f t="array" ref="AA221">INDEX('각층분기별_유효전력량(전월)'!F2:F2018,MATCH(1,("5-DaHall 1-PDU-05"='각층분기별_유효전력량(전월)'!D2:D2018)*("[branch#018] [A] kWh last month"='각층분기별_유효전력량(전월)'!E2:E2018),0))</f>
        <v>0.0</v>
      </c>
      <c r="AB221" s="2849" t="n" cm="1">
        <f t="array" ref="AB221">INDEX('각층분기별_유효전력량(전월)'!F2:F2018,MATCH(1,("5-DaHall 1-PDU-06"='각층분기별_유효전력량(전월)'!D2:D2018)*("[branch#020] [A] kWh last month"='각층분기별_유효전력량(전월)'!E2:E2018),0))</f>
        <v>0.0</v>
      </c>
      <c r="AC221" s="2589" t="n">
        <f>SUM(AA221:AB221)</f>
        <v>0.0</v>
      </c>
      <c r="AD221" s="2576" t="s">
        <v>3381</v>
      </c>
      <c r="AH221" s="2470"/>
    </row>
    <row r="222" spans="1:38" ht="27" x14ac:dyDescent="0.15">
      <c r="A222" s="2769" t="s">
        <v>1098</v>
      </c>
      <c r="B222" s="2765" t="s">
        <v>3478</v>
      </c>
      <c r="C222" s="2784"/>
      <c r="D222" s="2765" t="s">
        <v>3479</v>
      </c>
      <c r="E222" s="2765" t="s">
        <v>3480</v>
      </c>
      <c r="F222" s="2785" t="s">
        <v>3481</v>
      </c>
      <c r="G222" s="2786" t="s">
        <v>3482</v>
      </c>
      <c r="H222" s="1666" t="str">
        <f t="shared" si="82"/>
        <v>5-DaHall1-PDU-05-30-20</v>
      </c>
      <c r="I222" s="1667" t="str">
        <f t="shared" si="83"/>
        <v>5-DaHall1-PDU-06-30-22</v>
      </c>
      <c r="J222" s="1629">
        <v>220</v>
      </c>
      <c r="K222" s="1630">
        <v>30</v>
      </c>
      <c r="L222" s="2483" t="s">
        <v>6918</v>
      </c>
      <c r="M222" s="1631">
        <v>20</v>
      </c>
      <c r="N222" s="1632">
        <v>220</v>
      </c>
      <c r="O222" s="1633">
        <v>30</v>
      </c>
      <c r="P222" s="2515" t="s">
        <v>6928</v>
      </c>
      <c r="Q222" s="1634">
        <v>22</v>
      </c>
      <c r="R222" s="3363"/>
      <c r="S222" s="3365"/>
      <c r="T222" s="3241"/>
      <c r="U222" s="3242"/>
      <c r="V222" s="3241"/>
      <c r="W222" s="3242"/>
      <c r="X222" s="255" t="n">
        <f>SUM('5층_부하량(월간_AVG)'!N175:P175)</f>
        <v>0.0</v>
      </c>
      <c r="Y222" s="255" t="n">
        <f>SUM('5층_부하량(월간_AVG)'!N205:P205)</f>
        <v>0.0</v>
      </c>
      <c r="Z222" s="2557" t="n">
        <f t="shared" ref="Z222:Z228" si="84">SUM(X222:Y222)</f>
        <v>0.0</v>
      </c>
      <c r="AA222" s="2850" t="n" cm="1">
        <f t="array" ref="AA222">INDEX('각층분기별_유효전력량(전월)'!F2:F2018,MATCH(1,("5-DaHall 1-PDU-05"='각층분기별_유효전력량(전월)'!D2:D2018)*("[branch#020] [A] kWh last month"='각층분기별_유효전력량(전월)'!E2:E2018),0))</f>
        <v>0.0</v>
      </c>
      <c r="AB222" s="2851" t="n" cm="1">
        <f t="array" ref="AB222">INDEX('각층분기별_유효전력량(전월)'!F2:F2018,MATCH(1,("5-DaHall 1-PDU-06"='각층분기별_유효전력량(전월)'!D2:D2018)*("[branch#022] [A] kWh last month"='각층분기별_유효전력량(전월)'!E2:E2018),0))</f>
        <v>0.0</v>
      </c>
      <c r="AC222" s="2586" t="n">
        <f>SUM(AA222:AB222)</f>
        <v>0.0</v>
      </c>
      <c r="AD222" s="2574" t="s">
        <v>3381</v>
      </c>
      <c r="AH222" s="2470"/>
    </row>
    <row r="223" spans="1:38" ht="27" x14ac:dyDescent="0.15">
      <c r="A223" s="2769" t="s">
        <v>3483</v>
      </c>
      <c r="B223" s="2765" t="s">
        <v>3484</v>
      </c>
      <c r="C223" s="2784"/>
      <c r="D223" s="2765" t="s">
        <v>3485</v>
      </c>
      <c r="E223" s="2765" t="s">
        <v>3486</v>
      </c>
      <c r="F223" s="2785" t="s">
        <v>3487</v>
      </c>
      <c r="G223" s="2786" t="s">
        <v>3488</v>
      </c>
      <c r="H223" s="1666" t="str">
        <f t="shared" si="82"/>
        <v>5-DaHall1-PDU-05-30-22</v>
      </c>
      <c r="I223" s="1667" t="str">
        <f t="shared" si="83"/>
        <v>5-DaHall1-PDU-06-30-24</v>
      </c>
      <c r="J223" s="1629">
        <v>220</v>
      </c>
      <c r="K223" s="1630">
        <v>30</v>
      </c>
      <c r="L223" s="2483" t="s">
        <v>6918</v>
      </c>
      <c r="M223" s="1631">
        <v>22</v>
      </c>
      <c r="N223" s="1632">
        <v>220</v>
      </c>
      <c r="O223" s="1633">
        <v>30</v>
      </c>
      <c r="P223" s="2515" t="s">
        <v>6928</v>
      </c>
      <c r="Q223" s="1634">
        <v>24</v>
      </c>
      <c r="R223" s="3363"/>
      <c r="S223" s="3365"/>
      <c r="T223" s="3241"/>
      <c r="U223" s="3242"/>
      <c r="V223" s="3241"/>
      <c r="W223" s="3242"/>
      <c r="X223" s="255" t="n">
        <f>SUM('5층_부하량(월간_AVG)'!N176:P176)</f>
        <v>0.0</v>
      </c>
      <c r="Y223" s="255" t="n">
        <f>SUM('5층_부하량(월간_AVG)'!N206:P206)</f>
        <v>0.0</v>
      </c>
      <c r="Z223" s="2557" t="n">
        <f t="shared" si="84"/>
        <v>0.0</v>
      </c>
      <c r="AA223" s="2850" t="n" cm="1">
        <f t="array" ref="AA223">INDEX('각층분기별_유효전력량(전월)'!F2:F2018,MATCH(1,("5-DaHall 1-PDU-05"='각층분기별_유효전력량(전월)'!D2:D2018)*("[branch#022] [A] kWh last month"='각층분기별_유효전력량(전월)'!E2:E2018),0))</f>
        <v>0.0</v>
      </c>
      <c r="AB223" s="2851" t="n" cm="1">
        <f t="array" ref="AB223">INDEX('각층분기별_유효전력량(전월)'!F2:F2018,MATCH(1,("5-DaHall 1-PDU-06"='각층분기별_유효전력량(전월)'!D2:D2018)*("[branch#024] [A] kWh last month"='각층분기별_유효전력량(전월)'!E2:E2018),0))</f>
        <v>0.0</v>
      </c>
      <c r="AC223" s="2586" t="n">
        <f t="shared" ref="AC223:AC228" si="85">SUM(AA223:AB223)</f>
        <v>0.0</v>
      </c>
      <c r="AD223" s="2574" t="s">
        <v>3381</v>
      </c>
      <c r="AH223" s="2470"/>
    </row>
    <row r="224" spans="1:38" ht="27" x14ac:dyDescent="0.15">
      <c r="A224" s="2769" t="s">
        <v>3489</v>
      </c>
      <c r="B224" s="2765" t="s">
        <v>3490</v>
      </c>
      <c r="C224" s="2784"/>
      <c r="D224" s="2765" t="s">
        <v>3491</v>
      </c>
      <c r="E224" s="2765" t="s">
        <v>3492</v>
      </c>
      <c r="F224" s="2785" t="s">
        <v>3493</v>
      </c>
      <c r="G224" s="2786" t="s">
        <v>3494</v>
      </c>
      <c r="H224" s="1666" t="str">
        <f t="shared" si="82"/>
        <v>5-DaHall1-PDU-05-30-24</v>
      </c>
      <c r="I224" s="1667" t="str">
        <f t="shared" si="83"/>
        <v>5-DaHall1-PDU-06-30-26</v>
      </c>
      <c r="J224" s="1629">
        <v>220</v>
      </c>
      <c r="K224" s="1630">
        <v>30</v>
      </c>
      <c r="L224" s="2483" t="s">
        <v>6918</v>
      </c>
      <c r="M224" s="1631">
        <v>24</v>
      </c>
      <c r="N224" s="1632">
        <v>220</v>
      </c>
      <c r="O224" s="1633">
        <v>30</v>
      </c>
      <c r="P224" s="2515" t="s">
        <v>6928</v>
      </c>
      <c r="Q224" s="1634">
        <v>26</v>
      </c>
      <c r="R224" s="3363"/>
      <c r="S224" s="3365"/>
      <c r="T224" s="3241"/>
      <c r="U224" s="3242"/>
      <c r="V224" s="3241"/>
      <c r="W224" s="3242"/>
      <c r="X224" s="255" t="n">
        <f>SUM('5층_부하량(월간_AVG)'!N177:P177)</f>
        <v>0.0</v>
      </c>
      <c r="Y224" s="255" t="n">
        <f>SUM('5층_부하량(월간_AVG)'!N207:P207)</f>
        <v>0.0</v>
      </c>
      <c r="Z224" s="2557" t="n">
        <f t="shared" si="84"/>
        <v>0.0</v>
      </c>
      <c r="AA224" s="2850" t="n" cm="1">
        <f t="array" ref="AA224">INDEX('각층분기별_유효전력량(전월)'!F2:F2018,MATCH(1,("5-DaHall 1-PDU-05"='각층분기별_유효전력량(전월)'!D2:D2018)*("[branch#024] [A] kWh last month"='각층분기별_유효전력량(전월)'!E2:E2018),0))</f>
        <v>0.0</v>
      </c>
      <c r="AB224" s="2851" t="n" cm="1">
        <f t="array" ref="AB224">INDEX('각층분기별_유효전력량(전월)'!F2:F2018,MATCH(1,("5-DaHall 1-PDU-06"='각층분기별_유효전력량(전월)'!D2:D2018)*("[branch#026] [A] kWh last month"='각층분기별_유효전력량(전월)'!E2:E2018),0))</f>
        <v>0.0</v>
      </c>
      <c r="AC224" s="2586" t="n">
        <f t="shared" si="85"/>
        <v>0.0</v>
      </c>
      <c r="AD224" s="2574" t="s">
        <v>3381</v>
      </c>
      <c r="AH224" s="2470"/>
    </row>
    <row r="225" spans="1:34" ht="27" x14ac:dyDescent="0.15">
      <c r="A225" s="2769" t="s">
        <v>3495</v>
      </c>
      <c r="B225" s="2765" t="s">
        <v>3496</v>
      </c>
      <c r="C225" s="2784"/>
      <c r="D225" s="2765" t="s">
        <v>3497</v>
      </c>
      <c r="E225" s="2765" t="s">
        <v>3498</v>
      </c>
      <c r="F225" s="2785" t="s">
        <v>3499</v>
      </c>
      <c r="G225" s="2786" t="s">
        <v>3500</v>
      </c>
      <c r="H225" s="1666" t="str">
        <f t="shared" si="82"/>
        <v>5-DaHall1-PDU-05-30-26</v>
      </c>
      <c r="I225" s="1667" t="str">
        <f t="shared" si="83"/>
        <v>5-DaHall1-PDU-06-30-28</v>
      </c>
      <c r="J225" s="1629">
        <v>220</v>
      </c>
      <c r="K225" s="1630">
        <v>30</v>
      </c>
      <c r="L225" s="2483" t="s">
        <v>6918</v>
      </c>
      <c r="M225" s="1631">
        <v>26</v>
      </c>
      <c r="N225" s="1632">
        <v>220</v>
      </c>
      <c r="O225" s="1633">
        <v>30</v>
      </c>
      <c r="P225" s="2515" t="s">
        <v>6928</v>
      </c>
      <c r="Q225" s="1634">
        <v>28</v>
      </c>
      <c r="R225" s="3363"/>
      <c r="S225" s="3365"/>
      <c r="T225" s="3241"/>
      <c r="U225" s="3242"/>
      <c r="V225" s="3241"/>
      <c r="W225" s="3242"/>
      <c r="X225" s="255" t="n">
        <f>SUM('5층_부하량(월간_AVG)'!N178:P178)</f>
        <v>0.0</v>
      </c>
      <c r="Y225" s="255" t="n">
        <f>SUM('5층_부하량(월간_AVG)'!N208:P208)</f>
        <v>0.0</v>
      </c>
      <c r="Z225" s="2557" t="n">
        <f t="shared" si="84"/>
        <v>0.0</v>
      </c>
      <c r="AA225" s="2850" t="n" cm="1">
        <f t="array" ref="AA225">INDEX('각층분기별_유효전력량(전월)'!F2:F2018,MATCH(1,("5-DaHall 1-PDU-05"='각층분기별_유효전력량(전월)'!D2:D2018)*("[branch#026] [A] kWh last month"='각층분기별_유효전력량(전월)'!E2:E2018),0))</f>
        <v>0.0</v>
      </c>
      <c r="AB225" s="2851" t="n" cm="1">
        <f t="array" ref="AB225">INDEX('각층분기별_유효전력량(전월)'!F2:F2018,MATCH(1,("5-DaHall 1-PDU-06"='각층분기별_유효전력량(전월)'!D2:D2018)*("[branch#028] [A] kWh last month"='각층분기별_유효전력량(전월)'!E2:E2018),0))</f>
        <v>0.0</v>
      </c>
      <c r="AC225" s="2586" t="n">
        <f t="shared" si="85"/>
        <v>0.0</v>
      </c>
      <c r="AD225" s="2574" t="s">
        <v>3381</v>
      </c>
      <c r="AH225" s="2470"/>
    </row>
    <row r="226" spans="1:34" ht="27" x14ac:dyDescent="0.15">
      <c r="A226" s="2769" t="s">
        <v>3501</v>
      </c>
      <c r="B226" s="2765" t="s">
        <v>3502</v>
      </c>
      <c r="C226" s="2784"/>
      <c r="D226" s="2765" t="s">
        <v>3503</v>
      </c>
      <c r="E226" s="2765" t="s">
        <v>3504</v>
      </c>
      <c r="F226" s="2785" t="s">
        <v>3505</v>
      </c>
      <c r="G226" s="2786" t="s">
        <v>3506</v>
      </c>
      <c r="H226" s="1666" t="str">
        <f t="shared" si="82"/>
        <v>5-DaHall1-PDU-05-30-28</v>
      </c>
      <c r="I226" s="1667" t="str">
        <f t="shared" si="83"/>
        <v>5-DaHall1-PDU-06-30-30</v>
      </c>
      <c r="J226" s="1629">
        <v>220</v>
      </c>
      <c r="K226" s="1630">
        <v>30</v>
      </c>
      <c r="L226" s="2483" t="s">
        <v>6918</v>
      </c>
      <c r="M226" s="1631">
        <v>28</v>
      </c>
      <c r="N226" s="1632">
        <v>220</v>
      </c>
      <c r="O226" s="1633">
        <v>30</v>
      </c>
      <c r="P226" s="2515" t="s">
        <v>6928</v>
      </c>
      <c r="Q226" s="1634">
        <v>30</v>
      </c>
      <c r="R226" s="3363"/>
      <c r="S226" s="3365"/>
      <c r="T226" s="3241"/>
      <c r="U226" s="3242"/>
      <c r="V226" s="3241"/>
      <c r="W226" s="3242"/>
      <c r="X226" s="270" t="n">
        <f>SUM('5층_부하량(월간_AVG)'!N179:P179)</f>
        <v>0.0</v>
      </c>
      <c r="Y226" s="270" t="n">
        <f>SUM('5층_부하량(월간_AVG)'!N209:P209)</f>
        <v>0.0</v>
      </c>
      <c r="Z226" s="2557" t="n">
        <f t="shared" si="84"/>
        <v>0.0</v>
      </c>
      <c r="AA226" s="2850" t="n" cm="1">
        <f t="array" ref="AA226">INDEX('각층분기별_유효전력량(전월)'!F2:F2018,MATCH(1,("5-DaHall 1-PDU-05"='각층분기별_유효전력량(전월)'!D2:D2018)*("[branch#028] [A] kWh last month"='각층분기별_유효전력량(전월)'!E2:E2018),0))</f>
        <v>0.0</v>
      </c>
      <c r="AB226" s="2851" t="n" cm="1">
        <f t="array" ref="AB226">INDEX('각층분기별_유효전력량(전월)'!F2:F2018,MATCH(1,("5-DaHall 1-PDU-06"='각층분기별_유효전력량(전월)'!D2:D2018)*("[branch#030] [A] kWh last month"='각층분기별_유효전력량(전월)'!E2:E2018),0))</f>
        <v>0.0</v>
      </c>
      <c r="AC226" s="2586" t="n">
        <f t="shared" si="85"/>
        <v>0.0</v>
      </c>
      <c r="AD226" s="2574" t="s">
        <v>3381</v>
      </c>
      <c r="AH226" s="2470"/>
    </row>
    <row r="227" spans="1:34" ht="27" x14ac:dyDescent="0.15">
      <c r="A227" s="2769" t="s">
        <v>3507</v>
      </c>
      <c r="B227" s="2765" t="s">
        <v>3508</v>
      </c>
      <c r="C227" s="2784"/>
      <c r="D227" s="2765" t="s">
        <v>3509</v>
      </c>
      <c r="E227" s="2765" t="s">
        <v>3510</v>
      </c>
      <c r="F227" s="2785" t="s">
        <v>3511</v>
      </c>
      <c r="G227" s="2786" t="s">
        <v>3512</v>
      </c>
      <c r="H227" s="1666" t="str">
        <f t="shared" si="82"/>
        <v>5-DaHall1-PDU-05-30-30</v>
      </c>
      <c r="I227" s="1667" t="str">
        <f t="shared" si="83"/>
        <v>5-DaHall1-PDU-06-30-34</v>
      </c>
      <c r="J227" s="1629">
        <v>220</v>
      </c>
      <c r="K227" s="1630">
        <v>30</v>
      </c>
      <c r="L227" s="2483" t="s">
        <v>6918</v>
      </c>
      <c r="M227" s="1631">
        <v>30</v>
      </c>
      <c r="N227" s="1632">
        <v>220</v>
      </c>
      <c r="O227" s="1633">
        <v>30</v>
      </c>
      <c r="P227" s="2515" t="s">
        <v>6928</v>
      </c>
      <c r="Q227" s="1634">
        <v>34</v>
      </c>
      <c r="R227" s="3363"/>
      <c r="S227" s="3365"/>
      <c r="T227" s="3241"/>
      <c r="U227" s="3242"/>
      <c r="V227" s="3241"/>
      <c r="W227" s="3242"/>
      <c r="X227" s="270" t="n">
        <f>SUM('5층_부하량(월간_AVG)'!N180:P180)</f>
        <v>0.0</v>
      </c>
      <c r="Y227" s="270" t="n">
        <f>SUM('5층_부하량(월간_AVG)'!N211:P211)</f>
        <v>8.260919939752056E-4</v>
      </c>
      <c r="Z227" s="2557" t="n">
        <f t="shared" si="84"/>
        <v>8.260919939752056E-4</v>
      </c>
      <c r="AA227" s="2850" t="n" cm="1">
        <f t="array" ref="AA227">INDEX('각층분기별_유효전력량(전월)'!F2:F2018,MATCH(1,("5-DaHall 1-PDU-05"='각층분기별_유효전력량(전월)'!D2:D2018)*("[branch#030] [A] kWh last month"='각층분기별_유효전력량(전월)'!E2:E2018),0))</f>
        <v>0.0</v>
      </c>
      <c r="AB227" s="2851" t="n" cm="1">
        <f t="array" ref="AB227">INDEX('각층분기별_유효전력량(전월)'!F2:F2018,MATCH(1,("5-DaHall 1-PDU-06"='각층분기별_유효전력량(전월)'!D2:D2018)*("[branch#034] [A] kWh last month"='각층분기별_유효전력량(전월)'!E2:E2018),0))</f>
        <v>0.0</v>
      </c>
      <c r="AC227" s="2586" t="n">
        <f t="shared" si="85"/>
        <v>0.0</v>
      </c>
      <c r="AD227" s="2574" t="s">
        <v>3381</v>
      </c>
      <c r="AH227" s="2470"/>
    </row>
    <row r="228" spans="1:34" ht="27" x14ac:dyDescent="0.15">
      <c r="A228" s="2769" t="s">
        <v>3513</v>
      </c>
      <c r="B228" s="2765" t="s">
        <v>3514</v>
      </c>
      <c r="C228" s="2784"/>
      <c r="D228" s="2765" t="s">
        <v>3515</v>
      </c>
      <c r="E228" s="2765" t="s">
        <v>3516</v>
      </c>
      <c r="F228" s="2785" t="s">
        <v>3517</v>
      </c>
      <c r="G228" s="2786" t="s">
        <v>3518</v>
      </c>
      <c r="H228" s="1666" t="str">
        <f t="shared" si="82"/>
        <v>5-DaHall1-PDU-05-30-32</v>
      </c>
      <c r="I228" s="1667" t="str">
        <f t="shared" si="83"/>
        <v>5-DaHall1-PDU-06-30-36</v>
      </c>
      <c r="J228" s="1629">
        <v>220</v>
      </c>
      <c r="K228" s="1630">
        <v>30</v>
      </c>
      <c r="L228" s="2483" t="s">
        <v>6918</v>
      </c>
      <c r="M228" s="1631">
        <v>32</v>
      </c>
      <c r="N228" s="1632">
        <v>220</v>
      </c>
      <c r="O228" s="1633">
        <v>30</v>
      </c>
      <c r="P228" s="2515" t="s">
        <v>6928</v>
      </c>
      <c r="Q228" s="1634">
        <v>36</v>
      </c>
      <c r="R228" s="3363"/>
      <c r="S228" s="3365"/>
      <c r="T228" s="3241"/>
      <c r="U228" s="3242"/>
      <c r="V228" s="3241"/>
      <c r="W228" s="3242"/>
      <c r="X228" s="270" t="n">
        <f>SUM('5층_부하량(월간_AVG)'!N181:P181)</f>
        <v>0.0</v>
      </c>
      <c r="Y228" s="270" t="n">
        <f>SUM('5층_부하량(월간_AVG)'!N212:P212)</f>
        <v>4.008805468659483E-4</v>
      </c>
      <c r="Z228" s="2557" t="n">
        <f t="shared" si="84"/>
        <v>4.008805468659483E-4</v>
      </c>
      <c r="AA228" s="2850" t="n" cm="1">
        <f t="array" ref="AA228">INDEX('각층분기별_유효전력량(전월)'!F2:F2018,MATCH(1,("5-DaHall 1-PDU-05"='각층분기별_유효전력량(전월)'!D2:D2018)*("[branch#032] [A] kWh last month"='각층분기별_유효전력량(전월)'!E2:E2018),0))</f>
        <v>0.0</v>
      </c>
      <c r="AB228" s="2851" t="n" cm="1">
        <f t="array" ref="AB228">INDEX('각층분기별_유효전력량(전월)'!F2:F2018,MATCH(1,("5-DaHall 1-PDU-06"='각층분기별_유효전력량(전월)'!D2:D2018)*("[branch#036] [A] kWh last month"='각층분기별_유효전력량(전월)'!E2:E2018),0))</f>
        <v>0.0</v>
      </c>
      <c r="AC228" s="2586" t="n">
        <f t="shared" si="85"/>
        <v>0.0</v>
      </c>
      <c r="AD228" s="2574" t="s">
        <v>3381</v>
      </c>
      <c r="AH228" s="2470"/>
    </row>
    <row r="229" spans="1:34" x14ac:dyDescent="0.15">
      <c r="A229" s="2769" t="s">
        <v>3519</v>
      </c>
      <c r="B229" s="2834"/>
      <c r="C229" s="904"/>
      <c r="D229" s="2834"/>
      <c r="E229" s="2834"/>
      <c r="F229" s="2831"/>
      <c r="G229" s="2827"/>
      <c r="H229" s="1661"/>
      <c r="I229" s="1653"/>
      <c r="J229" s="1662"/>
      <c r="K229" s="1663"/>
      <c r="L229" s="2831"/>
      <c r="M229" s="1664"/>
      <c r="N229" s="1665"/>
      <c r="O229" s="1655"/>
      <c r="P229" s="2827"/>
      <c r="Q229" s="1656"/>
      <c r="R229" s="2831"/>
      <c r="S229" s="2827"/>
      <c r="T229" s="838"/>
      <c r="U229" s="839"/>
      <c r="V229" s="838"/>
      <c r="W229" s="839"/>
      <c r="X229" s="1013"/>
      <c r="Y229" s="1013"/>
      <c r="Z229" s="2564"/>
      <c r="AA229" s="2868"/>
      <c r="AB229" s="2869"/>
      <c r="AC229" s="2594"/>
      <c r="AD229" s="2636"/>
      <c r="AH229" s="2470"/>
    </row>
    <row r="230" spans="1:34" ht="14.25" thickBot="1" x14ac:dyDescent="0.2">
      <c r="A230" s="2779" t="s">
        <v>3520</v>
      </c>
      <c r="B230" s="847"/>
      <c r="C230" s="993"/>
      <c r="D230" s="847"/>
      <c r="E230" s="847"/>
      <c r="F230" s="2832"/>
      <c r="G230" s="2828"/>
      <c r="H230" s="1680"/>
      <c r="I230" s="1681"/>
      <c r="J230" s="1694"/>
      <c r="K230" s="1695"/>
      <c r="L230" s="2832"/>
      <c r="M230" s="1696"/>
      <c r="N230" s="1697"/>
      <c r="O230" s="1698"/>
      <c r="P230" s="2828"/>
      <c r="Q230" s="1699"/>
      <c r="R230" s="2832"/>
      <c r="S230" s="2828"/>
      <c r="T230" s="848"/>
      <c r="U230" s="867"/>
      <c r="V230" s="848"/>
      <c r="W230" s="867"/>
      <c r="X230" s="1124"/>
      <c r="Y230" s="1124"/>
      <c r="Z230" s="2563"/>
      <c r="AA230" s="2890"/>
      <c r="AB230" s="2891"/>
      <c r="AC230" s="2593"/>
      <c r="AD230" s="2639"/>
      <c r="AH230" s="2470"/>
    </row>
    <row r="231" spans="1:34" ht="27.75" thickTop="1" x14ac:dyDescent="0.15">
      <c r="A231" s="1105"/>
      <c r="B231" s="331"/>
      <c r="C231" s="991" t="s">
        <v>3521</v>
      </c>
      <c r="D231" s="331" t="s">
        <v>2812</v>
      </c>
      <c r="E231" s="331" t="s">
        <v>3522</v>
      </c>
      <c r="F231" s="2793" t="s">
        <v>3523</v>
      </c>
      <c r="G231" s="2794" t="s">
        <v>3524</v>
      </c>
      <c r="H231" s="1678" t="str">
        <f t="shared" ref="H231:H257" si="86">"5-DaHall1-PDU-"&amp;L231&amp;"-"&amp;K231&amp;"-"&amp;M231</f>
        <v>5-DaHall1-PDU-01-30-1</v>
      </c>
      <c r="I231" s="1679" t="str">
        <f t="shared" ref="I231:I252" si="87">"5-DaHall1-PDU-"&amp;P231&amp;"-"&amp;O231&amp;"-"&amp;Q231</f>
        <v>5-DaHall1-PDU-02-30-1</v>
      </c>
      <c r="J231" s="1623">
        <v>220</v>
      </c>
      <c r="K231" s="1624">
        <v>30</v>
      </c>
      <c r="L231" s="2482" t="s">
        <v>6924</v>
      </c>
      <c r="M231" s="1625">
        <v>1</v>
      </c>
      <c r="N231" s="1626">
        <v>220</v>
      </c>
      <c r="O231" s="1627">
        <v>30</v>
      </c>
      <c r="P231" s="2514" t="s">
        <v>6920</v>
      </c>
      <c r="Q231" s="1628">
        <v>1</v>
      </c>
      <c r="R231" s="3367" t="s">
        <v>3181</v>
      </c>
      <c r="S231" s="3368" t="s">
        <v>3182</v>
      </c>
      <c r="T231" s="3230" t="s">
        <v>3183</v>
      </c>
      <c r="U231" s="3232" t="s">
        <v>3184</v>
      </c>
      <c r="V231" s="3230" t="s">
        <v>2820</v>
      </c>
      <c r="W231" s="3232" t="s">
        <v>2821</v>
      </c>
      <c r="X231" s="255" t="n">
        <f>SUM('5층_부하량(월간_AVG)'!D28:F28)</f>
        <v>0.0</v>
      </c>
      <c r="Y231" s="255" t="n">
        <f>SUM('5층_부하량(월간_AVG)'!D58:F58)</f>
        <v>0.0</v>
      </c>
      <c r="Z231" s="2557" t="n">
        <f t="shared" ref="Z231" si="88">SUM(X231:Y231)</f>
        <v>0.0</v>
      </c>
      <c r="AA231" s="2850" t="n" cm="1">
        <f t="array" ref="AA231">INDEX('각층분기별_유효전력량(전월)'!F2:F2018,MATCH(1,("5-DaHall 1-PDU-01"='각층분기별_유효전력량(전월)'!D2:D2018)*("[branch#002] [A] kWh last month"='각층분기별_유효전력량(전월)'!E2:E2018),0))</f>
        <v>0.0</v>
      </c>
      <c r="AB231" s="2851" t="n" cm="1">
        <f t="array" ref="AB231">INDEX('각층분기별_유효전력량(전월)'!F2:F2018,MATCH(1,("5-DaHall 1-PDU-02"='각층분기별_유효전력량(전월)'!D2:D2018)*("[branch#002] [A] kWh last month"='각층분기별_유효전력량(전월)'!E2:E2018),0))</f>
        <v>0.0</v>
      </c>
      <c r="AC231" s="2595" t="n">
        <f>SUM(AA231:AB231)</f>
        <v>0.0</v>
      </c>
      <c r="AD231" s="2576"/>
      <c r="AF231" s="2460"/>
      <c r="AH231" s="2470"/>
    </row>
    <row r="232" spans="1:34" ht="27" x14ac:dyDescent="0.15">
      <c r="A232" s="2769"/>
      <c r="B232" s="2765" t="s">
        <v>3525</v>
      </c>
      <c r="C232" s="2784" t="s">
        <v>3526</v>
      </c>
      <c r="D232" s="2765" t="s">
        <v>2825</v>
      </c>
      <c r="E232" s="2765" t="s">
        <v>2826</v>
      </c>
      <c r="F232" s="2785" t="s">
        <v>3527</v>
      </c>
      <c r="G232" s="2786" t="s">
        <v>3528</v>
      </c>
      <c r="H232" s="1666" t="str">
        <f t="shared" si="86"/>
        <v>5-DaHall1-PDU-01-30-3</v>
      </c>
      <c r="I232" s="1667" t="str">
        <f t="shared" si="87"/>
        <v>5-DaHall1-PDU-02-30-3</v>
      </c>
      <c r="J232" s="1629">
        <v>220</v>
      </c>
      <c r="K232" s="1630">
        <v>30</v>
      </c>
      <c r="L232" s="2483" t="s">
        <v>6924</v>
      </c>
      <c r="M232" s="1631">
        <v>3</v>
      </c>
      <c r="N232" s="1632">
        <v>220</v>
      </c>
      <c r="O232" s="1633">
        <v>30</v>
      </c>
      <c r="P232" s="2515" t="s">
        <v>6920</v>
      </c>
      <c r="Q232" s="1634">
        <v>3</v>
      </c>
      <c r="R232" s="3363"/>
      <c r="S232" s="3365"/>
      <c r="T232" s="3231"/>
      <c r="U232" s="3223"/>
      <c r="V232" s="3231"/>
      <c r="W232" s="3223"/>
      <c r="X232" s="255" t="n">
        <f>SUM('5층_부하량(월간_AVG)'!D29:F29)</f>
        <v>0.0</v>
      </c>
      <c r="Y232" s="255" t="n">
        <f>SUM('5층_부하량(월간_AVG)'!D59:F59)</f>
        <v>0.0</v>
      </c>
      <c r="Z232" s="2557" t="n">
        <f t="shared" ref="Z232:Z258" si="89">SUM(X232:Y232)</f>
        <v>0.0</v>
      </c>
      <c r="AA232" s="2850" t="n" cm="1">
        <f t="array" ref="AA232">INDEX('각층분기별_유효전력량(전월)'!F2:F2018,MATCH(1,("5-DaHall 1-PDU-01"='각층분기별_유효전력량(전월)'!D2:D2018)*("[branch#003] [A] kWh last month"='각층분기별_유효전력량(전월)'!E2:E2018),0))</f>
        <v>0.0</v>
      </c>
      <c r="AB232" s="2851" t="n" cm="1">
        <f t="array" ref="AB232">INDEX('각층분기별_유효전력량(전월)'!F2:F2018,MATCH(1,("5-DaHall 1-PDU-02"='각층분기별_유효전력량(전월)'!D2:D2018)*("[branch#003] [A] kWh last month"='각층분기별_유효전력량(전월)'!E2:E2018),0))</f>
        <v>0.0</v>
      </c>
      <c r="AC232" s="2586" t="n">
        <f>SUM(AA232:AB232)</f>
        <v>0.0</v>
      </c>
      <c r="AD232" s="2574"/>
      <c r="AH232" s="2470"/>
    </row>
    <row r="233" spans="1:34" ht="27" x14ac:dyDescent="0.15">
      <c r="A233" s="2769"/>
      <c r="B233" s="2765" t="s">
        <v>3529</v>
      </c>
      <c r="C233" s="2784" t="s">
        <v>3526</v>
      </c>
      <c r="D233" s="2765" t="s">
        <v>2831</v>
      </c>
      <c r="E233" s="2765" t="s">
        <v>2832</v>
      </c>
      <c r="F233" s="2785" t="s">
        <v>3530</v>
      </c>
      <c r="G233" s="2786" t="s">
        <v>3531</v>
      </c>
      <c r="H233" s="1666" t="str">
        <f t="shared" si="86"/>
        <v>5-DaHall1-PDU-01-30-5</v>
      </c>
      <c r="I233" s="1667" t="str">
        <f t="shared" si="87"/>
        <v>5-DaHall1-PDU-02-30-5</v>
      </c>
      <c r="J233" s="1629">
        <v>220</v>
      </c>
      <c r="K233" s="1630">
        <v>30</v>
      </c>
      <c r="L233" s="2483" t="s">
        <v>6924</v>
      </c>
      <c r="M233" s="1631">
        <v>5</v>
      </c>
      <c r="N233" s="1632">
        <v>220</v>
      </c>
      <c r="O233" s="1633">
        <v>30</v>
      </c>
      <c r="P233" s="2515" t="s">
        <v>6920</v>
      </c>
      <c r="Q233" s="1634">
        <v>5</v>
      </c>
      <c r="R233" s="3363"/>
      <c r="S233" s="3365"/>
      <c r="T233" s="3231"/>
      <c r="U233" s="3223"/>
      <c r="V233" s="3231"/>
      <c r="W233" s="3223"/>
      <c r="X233" s="255" t="n">
        <f>SUM('5층_부하량(월간_AVG)'!D30:F30)</f>
        <v>0.0</v>
      </c>
      <c r="Y233" s="255" t="n">
        <f>SUM('5층_부하량(월간_AVG)'!D60:F60)</f>
        <v>0.0</v>
      </c>
      <c r="Z233" s="2557" t="n">
        <f t="shared" si="89"/>
        <v>0.0</v>
      </c>
      <c r="AA233" s="2850" t="n" cm="1">
        <f t="array" ref="AA233">INDEX('각층분기별_유효전력량(전월)'!F2:F2018,MATCH(1,("5-DaHall 1-PDU-01"='각층분기별_유효전력량(전월)'!D2:D2018)*("[branch#004] [A] kWh last month"='각층분기별_유효전력량(전월)'!E2:E2018),0))</f>
        <v>0.0</v>
      </c>
      <c r="AB233" s="2851" t="n" cm="1">
        <f t="array" ref="AB233">INDEX('각층분기별_유효전력량(전월)'!F2:F2018,MATCH(1,("5-DaHall 1-PDU-02"='각층분기별_유효전력량(전월)'!D2:D2018)*("[branch#004] [A] kWh last month"='각층분기별_유효전력량(전월)'!E2:E2018),0))</f>
        <v>0.0</v>
      </c>
      <c r="AC233" s="2586" t="n">
        <f t="shared" ref="AC233:AC238" si="90">SUM(AA233:AB233)</f>
        <v>0.0</v>
      </c>
      <c r="AD233" s="2574"/>
      <c r="AH233" s="2470"/>
    </row>
    <row r="234" spans="1:34" ht="27" x14ac:dyDescent="0.15">
      <c r="A234" s="2769"/>
      <c r="B234" s="2765" t="s">
        <v>3532</v>
      </c>
      <c r="C234" s="2784" t="s">
        <v>3526</v>
      </c>
      <c r="D234" s="2765" t="s">
        <v>2840</v>
      </c>
      <c r="E234" s="2765" t="s">
        <v>2841</v>
      </c>
      <c r="F234" s="2785" t="s">
        <v>3533</v>
      </c>
      <c r="G234" s="2786" t="s">
        <v>3534</v>
      </c>
      <c r="H234" s="1666" t="str">
        <f t="shared" si="86"/>
        <v>5-DaHall1-PDU-01-30-7</v>
      </c>
      <c r="I234" s="1667" t="str">
        <f t="shared" si="87"/>
        <v>5-DaHall1-PDU-02-30-7</v>
      </c>
      <c r="J234" s="1629">
        <v>220</v>
      </c>
      <c r="K234" s="1630">
        <v>30</v>
      </c>
      <c r="L234" s="2483" t="s">
        <v>6924</v>
      </c>
      <c r="M234" s="1631">
        <v>7</v>
      </c>
      <c r="N234" s="1632">
        <v>220</v>
      </c>
      <c r="O234" s="1633">
        <v>30</v>
      </c>
      <c r="P234" s="2515" t="s">
        <v>6920</v>
      </c>
      <c r="Q234" s="1634">
        <v>7</v>
      </c>
      <c r="R234" s="3363"/>
      <c r="S234" s="3365"/>
      <c r="T234" s="3231"/>
      <c r="U234" s="3223"/>
      <c r="V234" s="3231"/>
      <c r="W234" s="3223"/>
      <c r="X234" s="255" t="n">
        <f>SUM('5층_부하량(월간_AVG)'!D31:F31)</f>
        <v>0.0</v>
      </c>
      <c r="Y234" s="255" t="n">
        <f>SUM('5층_부하량(월간_AVG)'!D61:F61)</f>
        <v>0.0</v>
      </c>
      <c r="Z234" s="2557" t="n">
        <f t="shared" si="89"/>
        <v>0.0</v>
      </c>
      <c r="AA234" s="2850" t="n" cm="1">
        <f t="array" ref="AA234">INDEX('각층분기별_유효전력량(전월)'!F2:F2018,MATCH(1,("5-DaHall 1-PDU-01"='각층분기별_유효전력량(전월)'!D2:D2018)*("[branch#005] [A] kWh last month"='각층분기별_유효전력량(전월)'!E2:E2018),0))</f>
        <v>0.0</v>
      </c>
      <c r="AB234" s="2851" t="n" cm="1">
        <f t="array" ref="AB234">INDEX('각층분기별_유효전력량(전월)'!F2:F2018,MATCH(1,("5-DaHall 1-PDU-02"='각층분기별_유효전력량(전월)'!D2:D2018)*("[branch#005] [A] kWh last month"='각층분기별_유효전력량(전월)'!E2:E2018),0))</f>
        <v>0.0</v>
      </c>
      <c r="AC234" s="2586" t="n">
        <f t="shared" si="90"/>
        <v>0.0</v>
      </c>
      <c r="AD234" s="2574"/>
      <c r="AH234" s="2470"/>
    </row>
    <row r="235" spans="1:34" ht="27" x14ac:dyDescent="0.15">
      <c r="A235" s="2769" t="s">
        <v>2704</v>
      </c>
      <c r="B235" s="2771" t="s">
        <v>3535</v>
      </c>
      <c r="C235" s="2784" t="s">
        <v>3536</v>
      </c>
      <c r="D235" s="2107" t="s">
        <v>3537</v>
      </c>
      <c r="E235" s="2107" t="s">
        <v>3538</v>
      </c>
      <c r="F235" s="2785" t="s">
        <v>3539</v>
      </c>
      <c r="G235" s="2786" t="s">
        <v>3540</v>
      </c>
      <c r="H235" s="1666" t="str">
        <f t="shared" si="86"/>
        <v>5-DaHall1-PDU-01-30-9</v>
      </c>
      <c r="I235" s="1667" t="str">
        <f t="shared" si="87"/>
        <v>5-DaHall1-PDU-02-30-9</v>
      </c>
      <c r="J235" s="1629">
        <v>220</v>
      </c>
      <c r="K235" s="1630">
        <v>30</v>
      </c>
      <c r="L235" s="2483" t="s">
        <v>6924</v>
      </c>
      <c r="M235" s="1631">
        <v>9</v>
      </c>
      <c r="N235" s="1632">
        <v>220</v>
      </c>
      <c r="O235" s="1633">
        <v>30</v>
      </c>
      <c r="P235" s="2515" t="s">
        <v>6920</v>
      </c>
      <c r="Q235" s="1634">
        <v>9</v>
      </c>
      <c r="R235" s="3363"/>
      <c r="S235" s="3365"/>
      <c r="T235" s="3231"/>
      <c r="U235" s="3223"/>
      <c r="V235" s="3231"/>
      <c r="W235" s="3223"/>
      <c r="X235" s="255" t="n">
        <f>SUM('5층_부하량(월간_AVG)'!D32:F32)</f>
        <v>13.89762255167221</v>
      </c>
      <c r="Y235" s="255" t="n">
        <f>SUM('5층_부하량(월간_AVG)'!D62:F62)</f>
        <v>11.658936882355096</v>
      </c>
      <c r="Z235" s="2557" t="n">
        <f t="shared" si="89"/>
        <v>25.556559434027307</v>
      </c>
      <c r="AA235" s="2850" t="n" cm="1">
        <f t="array" ref="AA235">INDEX('각층분기별_유효전력량(전월)'!F2:F2018,MATCH(1,("5-DaHall 1-PDU-01"='각층분기별_유효전력량(전월)'!D2:D2018)*("[branch#006] [A] kWh last month"='각층분기별_유효전력량(전월)'!E2:E2018),0))</f>
        <v>2243.5</v>
      </c>
      <c r="AB235" s="2851" t="n" cm="1">
        <f t="array" ref="AB235">INDEX('각층분기별_유효전력량(전월)'!F2:F2018,MATCH(1,("5-DaHall 1-PDU-02"='각층분기별_유효전력량(전월)'!D2:D2018)*("[branch#006] [A] kWh last month"='각층분기별_유효전력량(전월)'!E2:E2018),0))</f>
        <v>1875.4</v>
      </c>
      <c r="AC235" s="2586" t="n">
        <f t="shared" si="90"/>
        <v>4118.9</v>
      </c>
      <c r="AD235" s="2574"/>
      <c r="AH235" s="2470"/>
    </row>
    <row r="236" spans="1:34" ht="27" x14ac:dyDescent="0.15">
      <c r="A236" s="2769" t="s">
        <v>2712</v>
      </c>
      <c r="B236" s="2771" t="s">
        <v>3541</v>
      </c>
      <c r="C236" s="2784" t="s">
        <v>3542</v>
      </c>
      <c r="D236" s="2107" t="s">
        <v>3543</v>
      </c>
      <c r="E236" s="2107" t="s">
        <v>3544</v>
      </c>
      <c r="F236" s="2785" t="s">
        <v>3545</v>
      </c>
      <c r="G236" s="2786" t="s">
        <v>3546</v>
      </c>
      <c r="H236" s="1666" t="str">
        <f t="shared" si="86"/>
        <v>5-DaHall1-PDU-01-30-11</v>
      </c>
      <c r="I236" s="1667" t="str">
        <f t="shared" si="87"/>
        <v>5-DaHall1-PDU-02-30-11</v>
      </c>
      <c r="J236" s="1629">
        <v>220</v>
      </c>
      <c r="K236" s="1630">
        <v>30</v>
      </c>
      <c r="L236" s="2483" t="s">
        <v>6924</v>
      </c>
      <c r="M236" s="1631">
        <v>11</v>
      </c>
      <c r="N236" s="1632">
        <v>220</v>
      </c>
      <c r="O236" s="1633">
        <v>30</v>
      </c>
      <c r="P236" s="2515" t="s">
        <v>6920</v>
      </c>
      <c r="Q236" s="1634">
        <v>11</v>
      </c>
      <c r="R236" s="3363"/>
      <c r="S236" s="3365"/>
      <c r="T236" s="3231"/>
      <c r="U236" s="3223"/>
      <c r="V236" s="3231"/>
      <c r="W236" s="3223"/>
      <c r="X236" s="255" t="n">
        <f>SUM('5층_부하량(월간_AVG)'!D33:F33)</f>
        <v>11.314896565673099</v>
      </c>
      <c r="Y236" s="255" t="n">
        <f>SUM('5층_부하량(월간_AVG)'!D63:F63)</f>
        <v>12.873675877430891</v>
      </c>
      <c r="Z236" s="2557" t="n">
        <f t="shared" si="89"/>
        <v>24.18857244310399</v>
      </c>
      <c r="AA236" s="2850" t="n" cm="1">
        <f t="array" ref="AA236">INDEX('각층분기별_유효전력량(전월)'!F2:F2018,MATCH(1,("5-DaHall 1-PDU-01"='각층분기별_유효전력량(전월)'!D2:D2018)*("[branch#007] [A] kWh last month"='각층분기별_유효전력량(전월)'!E2:E2018),0))</f>
        <v>1739.2</v>
      </c>
      <c r="AB236" s="2851" t="n" cm="1">
        <f t="array" ref="AB236">INDEX('각층분기별_유효전력량(전월)'!F2:F2018,MATCH(1,("5-DaHall 1-PDU-02"='각층분기별_유효전력량(전월)'!D2:D2018)*("[branch#007] [A] kWh last month"='각층분기별_유효전력량(전월)'!E2:E2018),0))</f>
        <v>1995.8</v>
      </c>
      <c r="AC236" s="2586" t="n">
        <f t="shared" si="90"/>
        <v>3735.0</v>
      </c>
      <c r="AD236" s="2574"/>
      <c r="AH236" s="2470"/>
    </row>
    <row r="237" spans="1:34" ht="27" x14ac:dyDescent="0.15">
      <c r="A237" s="2769" t="s">
        <v>2725</v>
      </c>
      <c r="B237" s="2771" t="s">
        <v>3547</v>
      </c>
      <c r="C237" s="2784" t="s">
        <v>3542</v>
      </c>
      <c r="D237" s="2107" t="s">
        <v>3548</v>
      </c>
      <c r="E237" s="2107" t="s">
        <v>3549</v>
      </c>
      <c r="F237" s="2785" t="s">
        <v>3550</v>
      </c>
      <c r="G237" s="2786" t="s">
        <v>3551</v>
      </c>
      <c r="H237" s="1666" t="str">
        <f t="shared" si="86"/>
        <v>5-DaHall1-PDU-01-30-13</v>
      </c>
      <c r="I237" s="1667" t="str">
        <f t="shared" si="87"/>
        <v>5-DaHall1-PDU-02-30-13</v>
      </c>
      <c r="J237" s="1629">
        <v>220</v>
      </c>
      <c r="K237" s="1630">
        <v>30</v>
      </c>
      <c r="L237" s="2483" t="s">
        <v>6924</v>
      </c>
      <c r="M237" s="1631">
        <v>13</v>
      </c>
      <c r="N237" s="1632">
        <v>220</v>
      </c>
      <c r="O237" s="1633">
        <v>30</v>
      </c>
      <c r="P237" s="2515" t="s">
        <v>6920</v>
      </c>
      <c r="Q237" s="1634">
        <v>13</v>
      </c>
      <c r="R237" s="3363"/>
      <c r="S237" s="3365"/>
      <c r="T237" s="3231"/>
      <c r="U237" s="3223"/>
      <c r="V237" s="3231"/>
      <c r="W237" s="3223"/>
      <c r="X237" s="255" t="n">
        <f>SUM('5층_부하량(월간_AVG)'!D34:F34)</f>
        <v>13.768634480551226</v>
      </c>
      <c r="Y237" s="255" t="n">
        <f>SUM('5층_부하량(월간_AVG)'!D64:F64)</f>
        <v>11.448344923623207</v>
      </c>
      <c r="Z237" s="2557" t="n">
        <f t="shared" si="89"/>
        <v>25.21697940417443</v>
      </c>
      <c r="AA237" s="2850" t="n" cm="1">
        <f t="array" ref="AA237">INDEX('각층분기별_유효전력량(전월)'!F2:F2018,MATCH(1,("5-DaHall 1-PDU-01"='각층분기별_유효전력량(전월)'!D2:D2018)*("[branch#008] [A] kWh last month"='각층분기별_유효전력량(전월)'!E2:E2018),0))</f>
        <v>2087.6</v>
      </c>
      <c r="AB237" s="2851" t="n" cm="1">
        <f t="array" ref="AB237">INDEX('각층분기별_유효전력량(전월)'!F2:F2018,MATCH(1,("5-DaHall 1-PDU-02"='각층분기별_유효전력량(전월)'!D2:D2018)*("[branch#008] [A] kWh last month"='각층분기별_유효전력량(전월)'!E2:E2018),0))</f>
        <v>1717.2</v>
      </c>
      <c r="AC237" s="2586" t="n">
        <f t="shared" si="90"/>
        <v>3804.8</v>
      </c>
      <c r="AD237" s="2574"/>
      <c r="AH237" s="2470"/>
    </row>
    <row r="238" spans="1:34" ht="27" x14ac:dyDescent="0.15">
      <c r="A238" s="2769" t="s">
        <v>3552</v>
      </c>
      <c r="B238" s="2765" t="s">
        <v>3553</v>
      </c>
      <c r="C238" s="2784" t="s">
        <v>3542</v>
      </c>
      <c r="D238" s="2107" t="s">
        <v>3554</v>
      </c>
      <c r="E238" s="2107" t="s">
        <v>3555</v>
      </c>
      <c r="F238" s="2785" t="s">
        <v>3556</v>
      </c>
      <c r="G238" s="2786" t="s">
        <v>3557</v>
      </c>
      <c r="H238" s="1666" t="str">
        <f t="shared" si="86"/>
        <v>5-DaHall1-PDU-01-30-15</v>
      </c>
      <c r="I238" s="1667" t="str">
        <f t="shared" si="87"/>
        <v>5-DaHall1-PDU-02-30-15</v>
      </c>
      <c r="J238" s="1629">
        <v>220</v>
      </c>
      <c r="K238" s="1630">
        <v>30</v>
      </c>
      <c r="L238" s="2483" t="s">
        <v>6924</v>
      </c>
      <c r="M238" s="1631">
        <v>15</v>
      </c>
      <c r="N238" s="1632">
        <v>220</v>
      </c>
      <c r="O238" s="1633">
        <v>30</v>
      </c>
      <c r="P238" s="2515" t="s">
        <v>6920</v>
      </c>
      <c r="Q238" s="1634">
        <v>15</v>
      </c>
      <c r="R238" s="3363"/>
      <c r="S238" s="3365"/>
      <c r="T238" s="3231"/>
      <c r="U238" s="3223"/>
      <c r="V238" s="3231"/>
      <c r="W238" s="3223"/>
      <c r="X238" s="255" t="n">
        <f>SUM('5층_부하량(월간_AVG)'!D35:F35)</f>
        <v>0.0</v>
      </c>
      <c r="Y238" s="255" t="n">
        <f>SUM('5층_부하량(월간_AVG)'!D65:F65)</f>
        <v>0.0</v>
      </c>
      <c r="Z238" s="2557" t="n">
        <f t="shared" si="89"/>
        <v>0.0</v>
      </c>
      <c r="AA238" s="2850" t="n" cm="1">
        <f t="array" ref="AA238">INDEX('각층분기별_유효전력량(전월)'!F2:F2018,MATCH(1,("5-DaHall 1-PDU-01"='각층분기별_유효전력량(전월)'!D2:D2018)*("[branch#009] [A] kWh last month"='각층분기별_유효전력량(전월)'!E2:E2018),0))</f>
        <v>0.0</v>
      </c>
      <c r="AB238" s="2851" t="n" cm="1">
        <f t="array" ref="AB238">INDEX('각층분기별_유효전력량(전월)'!F2:F2018,MATCH(1,("5-DaHall 1-PDU-02"='각층분기별_유효전력량(전월)'!D2:D2018)*("[branch#009] [A] kWh last month"='각층분기별_유효전력량(전월)'!E2:E2018),0))</f>
        <v>0.0</v>
      </c>
      <c r="AC238" s="2586" t="n">
        <f t="shared" si="90"/>
        <v>0.0</v>
      </c>
      <c r="AD238" s="2574"/>
      <c r="AH238" s="2470"/>
    </row>
    <row r="239" spans="1:34" ht="27.75" thickBot="1" x14ac:dyDescent="0.2">
      <c r="A239" s="2779" t="s">
        <v>3558</v>
      </c>
      <c r="B239" s="2780" t="s">
        <v>3559</v>
      </c>
      <c r="C239" s="2809" t="s">
        <v>3542</v>
      </c>
      <c r="D239" s="2108" t="s">
        <v>3560</v>
      </c>
      <c r="E239" s="2108" t="s">
        <v>3561</v>
      </c>
      <c r="F239" s="2796" t="s">
        <v>3562</v>
      </c>
      <c r="G239" s="2797" t="s">
        <v>3563</v>
      </c>
      <c r="H239" s="1668" t="str">
        <f t="shared" si="86"/>
        <v>5-DaHall1-PDU-01-30-17</v>
      </c>
      <c r="I239" s="1669" t="str">
        <f t="shared" si="87"/>
        <v>5-DaHall1-PDU-02-30-17</v>
      </c>
      <c r="J239" s="1639">
        <v>220</v>
      </c>
      <c r="K239" s="1640">
        <v>30</v>
      </c>
      <c r="L239" s="2484" t="s">
        <v>6924</v>
      </c>
      <c r="M239" s="1641">
        <v>17</v>
      </c>
      <c r="N239" s="1642">
        <v>220</v>
      </c>
      <c r="O239" s="1643">
        <v>30</v>
      </c>
      <c r="P239" s="2516" t="s">
        <v>6920</v>
      </c>
      <c r="Q239" s="1644">
        <v>17</v>
      </c>
      <c r="R239" s="3364"/>
      <c r="S239" s="3366"/>
      <c r="T239" s="3235"/>
      <c r="U239" s="3224"/>
      <c r="V239" s="3235"/>
      <c r="W239" s="3224"/>
      <c r="X239" s="333" t="n">
        <f>SUM('5층_부하량(월간_AVG)'!D36:F36)</f>
        <v>0.0</v>
      </c>
      <c r="Y239" s="333" t="n">
        <f>SUM('5층_부하량(월간_AVG)'!D66:F66)</f>
        <v>0.0</v>
      </c>
      <c r="Z239" s="2558" t="n">
        <f t="shared" si="89"/>
        <v>0.0</v>
      </c>
      <c r="AA239" s="2856" t="n" cm="1">
        <f t="array" ref="AA239">INDEX('각층분기별_유효전력량(전월)'!F2:F2018,MATCH(1,("5-DaHall 1-PDU-01"='각층분기별_유효전력량(전월)'!D2:D2018)*("[branch#010] [A] kWh last month"='각층분기별_유효전력량(전월)'!E2:E2018),0))</f>
        <v>0.0</v>
      </c>
      <c r="AB239" s="2857" t="n" cm="1">
        <f t="array" ref="AB239">INDEX('각층분기별_유효전력량(전월)'!F2:F2018,MATCH(1,("5-DaHall 1-PDU-02"='각층분기별_유효전력량(전월)'!D2:D2018)*("[branch#010] [A] kWh last month"='각층분기별_유효전력량(전월)'!E2:E2018),0))</f>
        <v>0.0</v>
      </c>
      <c r="AC239" s="2587" t="n">
        <f>SUM(AA239:AB239)</f>
        <v>0.0</v>
      </c>
      <c r="AD239" s="2575"/>
      <c r="AH239" s="2470"/>
    </row>
    <row r="240" spans="1:34" ht="27.75" thickTop="1" x14ac:dyDescent="0.15">
      <c r="A240" s="1105" t="s">
        <v>3564</v>
      </c>
      <c r="B240" s="1015" t="s">
        <v>3565</v>
      </c>
      <c r="C240" s="991" t="s">
        <v>3542</v>
      </c>
      <c r="D240" s="2109" t="s">
        <v>3566</v>
      </c>
      <c r="E240" s="2109" t="s">
        <v>3567</v>
      </c>
      <c r="F240" s="2810" t="s">
        <v>3568</v>
      </c>
      <c r="G240" s="2811" t="s">
        <v>3569</v>
      </c>
      <c r="H240" s="1678" t="str">
        <f t="shared" si="86"/>
        <v>5-DaHall1-PDU-01-30-31</v>
      </c>
      <c r="I240" s="1679" t="str">
        <f t="shared" si="87"/>
        <v>5-DaHall1-PDU-02-30-31</v>
      </c>
      <c r="J240" s="1700">
        <v>220</v>
      </c>
      <c r="K240" s="1701">
        <v>30</v>
      </c>
      <c r="L240" s="2485" t="s">
        <v>6924</v>
      </c>
      <c r="M240" s="1702">
        <v>31</v>
      </c>
      <c r="N240" s="1703">
        <v>220</v>
      </c>
      <c r="O240" s="1704">
        <v>30</v>
      </c>
      <c r="P240" s="2517" t="s">
        <v>6920</v>
      </c>
      <c r="Q240" s="1705">
        <v>31</v>
      </c>
      <c r="R240" s="3486" t="s">
        <v>3181</v>
      </c>
      <c r="S240" s="3489" t="s">
        <v>3182</v>
      </c>
      <c r="T240" s="3492" t="s">
        <v>3183</v>
      </c>
      <c r="U240" s="3495" t="s">
        <v>3184</v>
      </c>
      <c r="V240" s="3492" t="s">
        <v>2820</v>
      </c>
      <c r="W240" s="3498"/>
      <c r="X240" s="332" t="n">
        <f>SUM('5층_부하량(월간_AVG)'!D43:F43)</f>
        <v>11.099794491504518</v>
      </c>
      <c r="Y240" s="332" t="n">
        <f>SUM('5층_부하량(월간_AVG)'!D73:F73)</f>
        <v>11.464220573325287</v>
      </c>
      <c r="Z240" s="2560" t="n">
        <f t="shared" si="89"/>
        <v>22.564015064829803</v>
      </c>
      <c r="AA240" s="2848" t="n" cm="1">
        <f t="array" ref="AA240">INDEX('각층분기별_유효전력량(전월)'!F2:F2018,MATCH(1,("5-DaHall 1-PDU-01"='각층분기별_유효전력량(전월)'!D2:D2018)*("[branch#017] [A] kWh last month"='각층분기별_유효전력량(전월)'!E2:E2018),0))</f>
        <v>1784.3</v>
      </c>
      <c r="AB240" s="2849" t="n" cm="1">
        <f t="array" ref="AB240">INDEX('각층분기별_유효전력량(전월)'!F2:F2018,MATCH(1,("5-DaHall 1-PDU-02"='각층분기별_유효전력량(전월)'!D2:D2018)*("[branch#017] [A] kWh last month"='각층분기별_유효전력량(전월)'!E2:E2018),0))</f>
        <v>1859.5</v>
      </c>
      <c r="AC240" s="2595" t="n">
        <f>SUM(AA240:AB240)</f>
        <v>3643.8</v>
      </c>
      <c r="AD240" s="2576"/>
      <c r="AH240" s="2470"/>
    </row>
    <row r="241" spans="1:35" ht="27" x14ac:dyDescent="0.15">
      <c r="A241" s="2769" t="s">
        <v>3570</v>
      </c>
      <c r="B241" s="2771" t="s">
        <v>3571</v>
      </c>
      <c r="C241" s="2784" t="s">
        <v>3542</v>
      </c>
      <c r="D241" s="2107" t="s">
        <v>3572</v>
      </c>
      <c r="E241" s="2107" t="s">
        <v>3573</v>
      </c>
      <c r="F241" s="896" t="s">
        <v>3574</v>
      </c>
      <c r="G241" s="897" t="s">
        <v>3575</v>
      </c>
      <c r="H241" s="1666" t="str">
        <f t="shared" si="86"/>
        <v>5-DaHall1-PDU-01-30-33</v>
      </c>
      <c r="I241" s="1667" t="str">
        <f t="shared" si="87"/>
        <v>5-DaHall1-PDU-02-30-33</v>
      </c>
      <c r="J241" s="1706">
        <v>220</v>
      </c>
      <c r="K241" s="1707">
        <v>30</v>
      </c>
      <c r="L241" s="2486" t="s">
        <v>6924</v>
      </c>
      <c r="M241" s="1708">
        <v>33</v>
      </c>
      <c r="N241" s="1709">
        <v>220</v>
      </c>
      <c r="O241" s="1710">
        <v>30</v>
      </c>
      <c r="P241" s="2518" t="s">
        <v>6920</v>
      </c>
      <c r="Q241" s="1711">
        <v>33</v>
      </c>
      <c r="R241" s="3487"/>
      <c r="S241" s="3490"/>
      <c r="T241" s="3493"/>
      <c r="U241" s="3496"/>
      <c r="V241" s="3493"/>
      <c r="W241" s="3496"/>
      <c r="X241" s="255" t="n">
        <f>SUM('5층_부하량(월간_AVG)'!D44:F44)</f>
        <v>9.94545336251787</v>
      </c>
      <c r="Y241" s="255" t="n">
        <f>SUM('5층_부하량(월간_AVG)'!D74:F74)</f>
        <v>11.570942756767701</v>
      </c>
      <c r="Z241" s="2557" t="n">
        <f t="shared" si="89"/>
        <v>21.516396119285574</v>
      </c>
      <c r="AA241" s="2850" t="n" cm="1">
        <f t="array" ref="AA241">INDEX('각층분기별_유효전력량(전월)'!F2:F2018,MATCH(1,("5-DaHall 1-PDU-01"='각층분기별_유효전력량(전월)'!D2:D2018)*("[branch#018] [A] kWh last month"='각층분기별_유효전력량(전월)'!E2:E2018),0))</f>
        <v>1580.4</v>
      </c>
      <c r="AB241" s="2851" t="n" cm="1">
        <f t="array" ref="AB241">INDEX('각층분기별_유효전력량(전월)'!F2:F2018,MATCH(1,("5-DaHall 1-PDU-02"='각층분기별_유효전력량(전월)'!D2:D2018)*("[branch#018] [A] kWh last month"='각층분기별_유효전력량(전월)'!E2:E2018),0))</f>
        <v>1856.8</v>
      </c>
      <c r="AC241" s="2586" t="n">
        <f>SUM(AA241:AB241)</f>
        <v>3437.2</v>
      </c>
      <c r="AD241" s="2574"/>
      <c r="AH241" s="2470"/>
    </row>
    <row r="242" spans="1:35" ht="27" x14ac:dyDescent="0.15">
      <c r="A242" s="2769" t="s">
        <v>3576</v>
      </c>
      <c r="B242" s="2771" t="s">
        <v>3577</v>
      </c>
      <c r="C242" s="2784" t="s">
        <v>3542</v>
      </c>
      <c r="D242" s="2107" t="s">
        <v>3578</v>
      </c>
      <c r="E242" s="2107" t="s">
        <v>3579</v>
      </c>
      <c r="F242" s="896" t="s">
        <v>3580</v>
      </c>
      <c r="G242" s="897" t="s">
        <v>3581</v>
      </c>
      <c r="H242" s="1666" t="str">
        <f t="shared" si="86"/>
        <v>5-DaHall1-PDU-01-30-35</v>
      </c>
      <c r="I242" s="1667" t="str">
        <f t="shared" si="87"/>
        <v>5-DaHall1-PDU-02-30-35</v>
      </c>
      <c r="J242" s="1706">
        <v>220</v>
      </c>
      <c r="K242" s="1707">
        <v>30</v>
      </c>
      <c r="L242" s="2486" t="s">
        <v>6924</v>
      </c>
      <c r="M242" s="1708">
        <v>35</v>
      </c>
      <c r="N242" s="1709">
        <v>220</v>
      </c>
      <c r="O242" s="1710">
        <v>30</v>
      </c>
      <c r="P242" s="2518" t="s">
        <v>6920</v>
      </c>
      <c r="Q242" s="1711">
        <v>35</v>
      </c>
      <c r="R242" s="3487"/>
      <c r="S242" s="3490"/>
      <c r="T242" s="3493"/>
      <c r="U242" s="3496"/>
      <c r="V242" s="3493"/>
      <c r="W242" s="3496"/>
      <c r="X242" s="255" t="n">
        <f>SUM('5층_부하량(월간_AVG)'!D45:F45)</f>
        <v>11.698172648853305</v>
      </c>
      <c r="Y242" s="255" t="n">
        <f>SUM('5층_부하량(월간_AVG)'!D75:F75)</f>
        <v>9.730126795892065</v>
      </c>
      <c r="Z242" s="2557" t="n">
        <f t="shared" si="89"/>
        <v>21.42829944474537</v>
      </c>
      <c r="AA242" s="2850" t="n" cm="1">
        <f t="array" ref="AA242">INDEX('각층분기별_유효전력량(전월)'!F2:F2018,MATCH(1,("5-DaHall 1-PDU-01"='각층분기별_유효전력량(전월)'!D2:D2018)*("[branch#019] [A] kWh last month"='각층분기별_유효전력량(전월)'!E2:E2018),0))</f>
        <v>1865.3</v>
      </c>
      <c r="AB242" s="2851" t="n" cm="1">
        <f t="array" ref="AB242">INDEX('각층분기별_유효전력량(전월)'!F2:F2018,MATCH(1,("5-DaHall 1-PDU-02"='각층분기별_유효전력량(전월)'!D2:D2018)*("[branch#019] [A] kWh last month"='각층분기별_유효전력량(전월)'!E2:E2018),0))</f>
        <v>1554.8</v>
      </c>
      <c r="AC242" s="2586" t="n">
        <f t="shared" ref="AC242:AC257" si="91">SUM(AA242:AB242)</f>
        <v>3420.1</v>
      </c>
      <c r="AD242" s="2574"/>
      <c r="AH242" s="2470"/>
    </row>
    <row r="243" spans="1:35" ht="27" x14ac:dyDescent="0.15">
      <c r="A243" s="2769" t="s">
        <v>3582</v>
      </c>
      <c r="B243" s="2771" t="s">
        <v>3583</v>
      </c>
      <c r="C243" s="2784" t="s">
        <v>3542</v>
      </c>
      <c r="D243" s="2107" t="s">
        <v>3584</v>
      </c>
      <c r="E243" s="2107" t="s">
        <v>3585</v>
      </c>
      <c r="F243" s="896" t="s">
        <v>3586</v>
      </c>
      <c r="G243" s="897" t="s">
        <v>3587</v>
      </c>
      <c r="H243" s="1666" t="str">
        <f t="shared" si="86"/>
        <v>5-DaHall1-PDU-01-30-37</v>
      </c>
      <c r="I243" s="1667" t="str">
        <f t="shared" si="87"/>
        <v>5-DaHall1-PDU-02-30-37</v>
      </c>
      <c r="J243" s="1706">
        <v>220</v>
      </c>
      <c r="K243" s="1707">
        <v>30</v>
      </c>
      <c r="L243" s="2486" t="s">
        <v>6924</v>
      </c>
      <c r="M243" s="1708">
        <v>37</v>
      </c>
      <c r="N243" s="1709">
        <v>220</v>
      </c>
      <c r="O243" s="1710">
        <v>30</v>
      </c>
      <c r="P243" s="2518" t="s">
        <v>6920</v>
      </c>
      <c r="Q243" s="1711">
        <v>37</v>
      </c>
      <c r="R243" s="3487"/>
      <c r="S243" s="3490"/>
      <c r="T243" s="3493"/>
      <c r="U243" s="3496"/>
      <c r="V243" s="3493"/>
      <c r="W243" s="3496"/>
      <c r="X243" s="255" t="n">
        <f>SUM('5층_부하량(월간_AVG)'!D46:F46)</f>
        <v>9.505542768936456</v>
      </c>
      <c r="Y243" s="255" t="n">
        <f>SUM('5층_부하량(월간_AVG)'!D76:F76)</f>
        <v>11.347981538483833</v>
      </c>
      <c r="Z243" s="2557" t="n">
        <f t="shared" si="89"/>
        <v>20.853524307420287</v>
      </c>
      <c r="AA243" s="2850" t="n" cm="1">
        <f t="array" ref="AA243">INDEX('각층분기별_유효전력량(전월)'!F2:F2018,MATCH(1,("5-DaHall 1-PDU-01"='각층분기별_유효전력량(전월)'!D2:D2018)*("[branch#020] [A] kWh last month"='각층분기별_유효전력량(전월)'!E2:E2018),0))</f>
        <v>1520.8</v>
      </c>
      <c r="AB243" s="2851" t="n" cm="1">
        <f t="array" ref="AB243">INDEX('각층분기별_유효전력량(전월)'!F2:F2018,MATCH(1,("5-DaHall 1-PDU-02"='각층분기별_유효전력량(전월)'!D2:D2018)*("[branch#020] [A] kWh last month"='각층분기별_유효전력량(전월)'!E2:E2018),0))</f>
        <v>1829.9</v>
      </c>
      <c r="AC243" s="2586" t="n">
        <f t="shared" si="91"/>
        <v>3350.7</v>
      </c>
      <c r="AD243" s="2574"/>
      <c r="AH243" s="2470"/>
    </row>
    <row r="244" spans="1:35" ht="27" x14ac:dyDescent="0.15">
      <c r="A244" s="2769" t="s">
        <v>3588</v>
      </c>
      <c r="B244" s="2771" t="s">
        <v>3589</v>
      </c>
      <c r="C244" s="2784" t="s">
        <v>3542</v>
      </c>
      <c r="D244" s="2107" t="s">
        <v>3590</v>
      </c>
      <c r="E244" s="2107" t="s">
        <v>3591</v>
      </c>
      <c r="F244" s="896" t="s">
        <v>3592</v>
      </c>
      <c r="G244" s="897" t="s">
        <v>3593</v>
      </c>
      <c r="H244" s="1666" t="str">
        <f t="shared" si="86"/>
        <v>5-DaHall1-PDU-01-30-39</v>
      </c>
      <c r="I244" s="1667" t="str">
        <f t="shared" si="87"/>
        <v>5-DaHall1-PDU-02-30-39</v>
      </c>
      <c r="J244" s="1706">
        <v>220</v>
      </c>
      <c r="K244" s="1707">
        <v>30</v>
      </c>
      <c r="L244" s="2486" t="s">
        <v>6924</v>
      </c>
      <c r="M244" s="1708">
        <v>39</v>
      </c>
      <c r="N244" s="1709">
        <v>220</v>
      </c>
      <c r="O244" s="1710">
        <v>30</v>
      </c>
      <c r="P244" s="2518" t="s">
        <v>6920</v>
      </c>
      <c r="Q244" s="1711">
        <v>39</v>
      </c>
      <c r="R244" s="3487"/>
      <c r="S244" s="3490"/>
      <c r="T244" s="3493"/>
      <c r="U244" s="3496"/>
      <c r="V244" s="3493"/>
      <c r="W244" s="3496"/>
      <c r="X244" s="255" t="n">
        <f>SUM('5층_부하량(월간_AVG)'!D47:F47)</f>
        <v>11.831716838274795</v>
      </c>
      <c r="Y244" s="255" t="n">
        <f>SUM('5층_부하량(월간_AVG)'!D77:F77)</f>
        <v>9.51549084765681</v>
      </c>
      <c r="Z244" s="2557" t="n">
        <f t="shared" si="89"/>
        <v>21.347207685931608</v>
      </c>
      <c r="AA244" s="2850" t="n" cm="1">
        <f t="array" ref="AA244">INDEX('각층분기별_유효전력량(전월)'!F2:F2018,MATCH(1,("5-DaHall 1-PDU-01"='각층분기별_유효전력량(전월)'!D2:D2018)*("[branch#021] [A] kWh last month"='각층분기별_유효전력량(전월)'!E2:E2018),0))</f>
        <v>1840.1</v>
      </c>
      <c r="AB244" s="2851" t="n" cm="1">
        <f t="array" ref="AB244">INDEX('각층분기별_유효전력량(전월)'!F2:F2018,MATCH(1,("5-DaHall 1-PDU-02"='각층분기별_유효전력량(전월)'!D2:D2018)*("[branch#021] [A] kWh last month"='각층분기별_유효전력량(전월)'!E2:E2018),0))</f>
        <v>1462.3</v>
      </c>
      <c r="AC244" s="2586" t="n">
        <f t="shared" si="91"/>
        <v>3302.3999999999996</v>
      </c>
      <c r="AD244" s="2574"/>
      <c r="AF244" s="1402" t="n">
        <f>SUM(AA235:AA244)/1000</f>
        <v>14.6612</v>
      </c>
      <c r="AH244" s="2470"/>
      <c r="AI244" s="2470"/>
    </row>
    <row r="245" spans="1:35" ht="27" x14ac:dyDescent="0.15">
      <c r="A245" s="2769"/>
      <c r="B245" s="2765" t="s">
        <v>3594</v>
      </c>
      <c r="C245" s="2784" t="s">
        <v>3526</v>
      </c>
      <c r="D245" s="2765" t="s">
        <v>3595</v>
      </c>
      <c r="E245" s="2765" t="s">
        <v>3596</v>
      </c>
      <c r="F245" s="896" t="s">
        <v>3597</v>
      </c>
      <c r="G245" s="897" t="s">
        <v>3598</v>
      </c>
      <c r="H245" s="1666" t="str">
        <f t="shared" si="86"/>
        <v>5-DaHall1-PDU-01-30-41</v>
      </c>
      <c r="I245" s="1667" t="str">
        <f t="shared" si="87"/>
        <v>5-DaHall1-PDU-02-30-41</v>
      </c>
      <c r="J245" s="1706">
        <v>220</v>
      </c>
      <c r="K245" s="1707">
        <v>30</v>
      </c>
      <c r="L245" s="2486" t="s">
        <v>6924</v>
      </c>
      <c r="M245" s="1708">
        <v>41</v>
      </c>
      <c r="N245" s="1709">
        <v>220</v>
      </c>
      <c r="O245" s="1710">
        <v>30</v>
      </c>
      <c r="P245" s="2518" t="s">
        <v>6920</v>
      </c>
      <c r="Q245" s="1711">
        <v>41</v>
      </c>
      <c r="R245" s="3487"/>
      <c r="S245" s="3490"/>
      <c r="T245" s="3493"/>
      <c r="U245" s="3496"/>
      <c r="V245" s="3493"/>
      <c r="W245" s="3496"/>
      <c r="X245" s="255" t="n">
        <f>SUM('5층_부하량(월간_AVG)'!D48:F48)</f>
        <v>0.0</v>
      </c>
      <c r="Y245" s="255" t="n">
        <f>SUM('5층_부하량(월간_AVG)'!D78:F78)</f>
        <v>0.0</v>
      </c>
      <c r="Z245" s="2557" t="n">
        <f t="shared" si="89"/>
        <v>0.0</v>
      </c>
      <c r="AA245" s="2850" t="n" cm="1">
        <f t="array" ref="AA245">INDEX('각층분기별_유효전력량(전월)'!F2:F2018,MATCH(1,("5-DaHall 1-PDU-01"='각층분기별_유효전력량(전월)'!D2:D2018)*("[branch#022] [A] kWh last month"='각층분기별_유효전력량(전월)'!E2:E2018),0))</f>
        <v>0.0</v>
      </c>
      <c r="AB245" s="2851" t="n" cm="1">
        <f t="array" ref="AB245">INDEX('각층분기별_유효전력량(전월)'!F2:F2018,MATCH(1,("5-DaHall 1-PDU-02"='각층분기별_유효전력량(전월)'!D2:D2018)*("[branch#022] [A] kWh last month"='각층분기별_유효전력량(전월)'!E2:E2018),0))</f>
        <v>0.0</v>
      </c>
      <c r="AC245" s="2586" t="n">
        <f t="shared" si="91"/>
        <v>0.0</v>
      </c>
      <c r="AD245" s="2574"/>
      <c r="AH245" s="2470"/>
    </row>
    <row r="246" spans="1:35" ht="27" x14ac:dyDescent="0.15">
      <c r="A246" s="2769"/>
      <c r="B246" s="2765" t="s">
        <v>3599</v>
      </c>
      <c r="C246" s="2784" t="s">
        <v>3526</v>
      </c>
      <c r="D246" s="2765" t="s">
        <v>3600</v>
      </c>
      <c r="E246" s="2765" t="s">
        <v>3601</v>
      </c>
      <c r="F246" s="896" t="s">
        <v>3602</v>
      </c>
      <c r="G246" s="897" t="s">
        <v>3603</v>
      </c>
      <c r="H246" s="1666" t="str">
        <f t="shared" si="86"/>
        <v>5-DaHall1-PDU-01-30-43</v>
      </c>
      <c r="I246" s="1667" t="str">
        <f t="shared" si="87"/>
        <v>5-DaHall1-PDU-02-30-43</v>
      </c>
      <c r="J246" s="1706">
        <v>220</v>
      </c>
      <c r="K246" s="1707">
        <v>30</v>
      </c>
      <c r="L246" s="2486" t="s">
        <v>6924</v>
      </c>
      <c r="M246" s="1708">
        <v>43</v>
      </c>
      <c r="N246" s="1709">
        <v>220</v>
      </c>
      <c r="O246" s="1710">
        <v>30</v>
      </c>
      <c r="P246" s="2518" t="s">
        <v>6920</v>
      </c>
      <c r="Q246" s="1711">
        <v>43</v>
      </c>
      <c r="R246" s="3487"/>
      <c r="S246" s="3490"/>
      <c r="T246" s="3493"/>
      <c r="U246" s="3496"/>
      <c r="V246" s="3493"/>
      <c r="W246" s="3496"/>
      <c r="X246" s="255" t="n">
        <f>SUM('5층_부하량(월간_AVG)'!D49:F49)</f>
        <v>0.0</v>
      </c>
      <c r="Y246" s="255" t="n">
        <f>SUM('5층_부하량(월간_AVG)'!D79:F79)</f>
        <v>0.0</v>
      </c>
      <c r="Z246" s="2557" t="n">
        <f t="shared" si="89"/>
        <v>0.0</v>
      </c>
      <c r="AA246" s="2850" t="n" cm="1">
        <f t="array" ref="AA246">INDEX('각층분기별_유효전력량(전월)'!F2:F2018,MATCH(1,("5-DaHall 1-PDU-01"='각층분기별_유효전력량(전월)'!D2:D2018)*("[branch#023] [A] kWh last month"='각층분기별_유효전력량(전월)'!E2:E2018),0))</f>
        <v>0.0</v>
      </c>
      <c r="AB246" s="2851" t="n" cm="1">
        <f t="array" ref="AB246">INDEX('각층분기별_유효전력량(전월)'!F2:F2018,MATCH(1,("5-DaHall 1-PDU-02"='각층분기별_유효전력량(전월)'!D2:D2018)*("[branch#023] [A] kWh last month"='각층분기별_유효전력량(전월)'!E2:E2018),0))</f>
        <v>0.0</v>
      </c>
      <c r="AC246" s="2586" t="n">
        <f t="shared" si="91"/>
        <v>0.0</v>
      </c>
      <c r="AD246" s="2574"/>
      <c r="AH246" s="2470"/>
    </row>
    <row r="247" spans="1:35" ht="27" x14ac:dyDescent="0.15">
      <c r="A247" s="2769"/>
      <c r="B247" s="2765" t="s">
        <v>3604</v>
      </c>
      <c r="C247" s="2784" t="s">
        <v>3526</v>
      </c>
      <c r="D247" s="2765" t="s">
        <v>3605</v>
      </c>
      <c r="E247" s="2765" t="s">
        <v>3606</v>
      </c>
      <c r="F247" s="896" t="s">
        <v>3607</v>
      </c>
      <c r="G247" s="897" t="s">
        <v>3608</v>
      </c>
      <c r="H247" s="1666" t="str">
        <f t="shared" si="86"/>
        <v>5-DaHall1-PDU-01-30-45</v>
      </c>
      <c r="I247" s="1667" t="str">
        <f t="shared" si="87"/>
        <v>5-DaHall1-PDU-02-30-45</v>
      </c>
      <c r="J247" s="1706">
        <v>220</v>
      </c>
      <c r="K247" s="1707">
        <v>30</v>
      </c>
      <c r="L247" s="2486" t="s">
        <v>6924</v>
      </c>
      <c r="M247" s="1708">
        <v>45</v>
      </c>
      <c r="N247" s="1709">
        <v>220</v>
      </c>
      <c r="O247" s="1710">
        <v>30</v>
      </c>
      <c r="P247" s="2518" t="s">
        <v>6920</v>
      </c>
      <c r="Q247" s="1711">
        <v>45</v>
      </c>
      <c r="R247" s="3487"/>
      <c r="S247" s="3490"/>
      <c r="T247" s="3493"/>
      <c r="U247" s="3496"/>
      <c r="V247" s="3493"/>
      <c r="W247" s="3496"/>
      <c r="X247" s="255" t="n">
        <f>SUM('5층_부하량(월간_AVG)'!D50:F50)</f>
        <v>0.0</v>
      </c>
      <c r="Y247" s="255" t="n">
        <f>SUM('5층_부하량(월간_AVG)'!D80:F80)</f>
        <v>0.0</v>
      </c>
      <c r="Z247" s="2557" t="n">
        <f t="shared" si="89"/>
        <v>0.0</v>
      </c>
      <c r="AA247" s="2850" t="n" cm="1">
        <f t="array" ref="AA247">INDEX('각층분기별_유효전력량(전월)'!F2:F2018,MATCH(1,("5-DaHall 1-PDU-01"='각층분기별_유효전력량(전월)'!D2:D2018)*("[branch#024] [A] kWh last month"='각층분기별_유효전력량(전월)'!E2:E2018),0))</f>
        <v>0.0</v>
      </c>
      <c r="AB247" s="2851" t="n" cm="1">
        <f t="array" ref="AB247">INDEX('각층분기별_유효전력량(전월)'!F2:F2018,MATCH(1,("5-DaHall 1-PDU-02"='각층분기별_유효전력량(전월)'!D2:D2018)*("[branch#024] [A] kWh last month"='각층분기별_유효전력량(전월)'!E2:E2018),0))</f>
        <v>0.0</v>
      </c>
      <c r="AC247" s="2586" t="n">
        <f t="shared" si="91"/>
        <v>0.0</v>
      </c>
      <c r="AD247" s="2574"/>
      <c r="AH247" s="2470"/>
    </row>
    <row r="248" spans="1:35" ht="27.75" thickBot="1" x14ac:dyDescent="0.2">
      <c r="A248" s="2779"/>
      <c r="B248" s="2780" t="s">
        <v>3609</v>
      </c>
      <c r="C248" s="2809" t="s">
        <v>3526</v>
      </c>
      <c r="D248" s="2780" t="s">
        <v>3610</v>
      </c>
      <c r="E248" s="2780" t="s">
        <v>3611</v>
      </c>
      <c r="F248" s="1134" t="s">
        <v>3612</v>
      </c>
      <c r="G248" s="1135" t="s">
        <v>3613</v>
      </c>
      <c r="H248" s="1668" t="str">
        <f t="shared" si="86"/>
        <v>5-DaHall1-PDU-01-30-47</v>
      </c>
      <c r="I248" s="1669" t="str">
        <f t="shared" si="87"/>
        <v>5-DaHall1-PDU-02-30-47</v>
      </c>
      <c r="J248" s="1712">
        <v>220</v>
      </c>
      <c r="K248" s="1713">
        <v>30</v>
      </c>
      <c r="L248" s="2487" t="s">
        <v>6924</v>
      </c>
      <c r="M248" s="1714">
        <v>47</v>
      </c>
      <c r="N248" s="1715">
        <v>220</v>
      </c>
      <c r="O248" s="1716">
        <v>30</v>
      </c>
      <c r="P248" s="2519" t="s">
        <v>6920</v>
      </c>
      <c r="Q248" s="1717">
        <v>47</v>
      </c>
      <c r="R248" s="3488"/>
      <c r="S248" s="3491"/>
      <c r="T248" s="3494"/>
      <c r="U248" s="3497"/>
      <c r="V248" s="3494"/>
      <c r="W248" s="3497"/>
      <c r="X248" s="333" t="n">
        <f>SUM('5층_부하량(월간_AVG)'!D51:F51)</f>
        <v>0.0</v>
      </c>
      <c r="Y248" s="333" t="n">
        <f>SUM('5층_부하량(월간_AVG)'!D81:F81)</f>
        <v>0.0</v>
      </c>
      <c r="Z248" s="2558" t="n">
        <f t="shared" si="89"/>
        <v>0.0</v>
      </c>
      <c r="AA248" s="2856" t="n" cm="1">
        <f t="array" ref="AA248">INDEX('각층분기별_유효전력량(전월)'!F2:F2018,MATCH(1,("5-DaHall 1-PDU-01"='각층분기별_유효전력량(전월)'!D2:D2018)*("[branch#025] [A] kWh last month"='각층분기별_유효전력량(전월)'!E2:E2018),0))</f>
        <v>0.0</v>
      </c>
      <c r="AB248" s="2857" t="n" cm="1">
        <f t="array" ref="AB248">INDEX('각층분기별_유효전력량(전월)'!F2:F2018,MATCH(1,("5-DaHall 1-PDU-02"='각층분기별_유효전력량(전월)'!D2:D2018)*("[branch#025] [A] kWh last month"='각층분기별_유효전력량(전월)'!E2:E2018),0))</f>
        <v>0.0</v>
      </c>
      <c r="AC248" s="2587" t="n">
        <f t="shared" si="91"/>
        <v>0.0</v>
      </c>
      <c r="AD248" s="2575"/>
      <c r="AH248" s="2470"/>
    </row>
    <row r="249" spans="1:35" ht="27.75" thickTop="1" x14ac:dyDescent="0.15">
      <c r="A249" s="1105" t="s">
        <v>2732</v>
      </c>
      <c r="B249" s="849" t="s">
        <v>3614</v>
      </c>
      <c r="C249" s="991" t="s">
        <v>3615</v>
      </c>
      <c r="D249" s="331" t="s">
        <v>3616</v>
      </c>
      <c r="E249" s="331" t="s">
        <v>3617</v>
      </c>
      <c r="F249" s="2793" t="s">
        <v>3618</v>
      </c>
      <c r="G249" s="2794" t="s">
        <v>3619</v>
      </c>
      <c r="H249" s="1678" t="str">
        <f t="shared" si="86"/>
        <v>5-DaHall1-PDU-01-30-19</v>
      </c>
      <c r="I249" s="1679" t="str">
        <f t="shared" si="87"/>
        <v>5-DaHall1-PDU-02-30-19</v>
      </c>
      <c r="J249" s="1718">
        <v>220</v>
      </c>
      <c r="K249" s="1719">
        <v>30</v>
      </c>
      <c r="L249" s="2482" t="s">
        <v>6924</v>
      </c>
      <c r="M249" s="1625">
        <v>19</v>
      </c>
      <c r="N249" s="1720">
        <v>220</v>
      </c>
      <c r="O249" s="1721">
        <v>30</v>
      </c>
      <c r="P249" s="2514" t="s">
        <v>6920</v>
      </c>
      <c r="Q249" s="1628">
        <v>19</v>
      </c>
      <c r="R249" s="3367" t="s">
        <v>3181</v>
      </c>
      <c r="S249" s="3368" t="s">
        <v>3182</v>
      </c>
      <c r="T249" s="3230" t="s">
        <v>3183</v>
      </c>
      <c r="U249" s="3232" t="s">
        <v>3184</v>
      </c>
      <c r="V249" s="3230" t="s">
        <v>2820</v>
      </c>
      <c r="W249" s="3232" t="s">
        <v>2821</v>
      </c>
      <c r="X249" s="842" t="n">
        <f>SUM('5층_부하량(월간_AVG)'!D37:F37)</f>
        <v>1.0404592106780213</v>
      </c>
      <c r="Y249" s="842" t="n">
        <f>SUM('5층_부하량(월간_AVG)'!D67:F67)</f>
        <v>0.0</v>
      </c>
      <c r="Z249" s="2601" t="n">
        <f t="shared" si="89"/>
        <v>1.0404592106780213</v>
      </c>
      <c r="AA249" s="2918" t="n" cm="1">
        <f t="array" ref="AA249">INDEX('각층분기별_유효전력량(전월)'!F2:F2018,MATCH(1,("5-DaHall 1-PDU-01"='각층분기별_유효전력량(전월)'!D2:D2018)*("[branch#011] [A] kWh last month"='각층분기별_유효전력량(전월)'!E2:E2018),0))</f>
        <v>127.3</v>
      </c>
      <c r="AB249" s="2919" t="n" cm="1">
        <f t="array" ref="AB249">INDEX('각층분기별_유효전력량(전월)'!F2:F2018,MATCH(1,("5-DaHall 1-PDU-02"='각층분기별_유효전력량(전월)'!D2:D2018)*("[branch#011] [A] kWh last month"='각층분기별_유효전력량(전월)'!E2:E2018),0))</f>
        <v>0.0</v>
      </c>
      <c r="AC249" s="2589" t="n">
        <f t="shared" si="91"/>
        <v>127.3</v>
      </c>
      <c r="AD249" s="2576" t="s">
        <v>3620</v>
      </c>
      <c r="AH249" s="2470"/>
    </row>
    <row r="250" spans="1:35" ht="27" x14ac:dyDescent="0.15">
      <c r="A250" s="2769" t="s">
        <v>2739</v>
      </c>
      <c r="B250" s="2807" t="s">
        <v>3621</v>
      </c>
      <c r="C250" s="2784" t="s">
        <v>3615</v>
      </c>
      <c r="D250" s="2765" t="s">
        <v>3622</v>
      </c>
      <c r="E250" s="2765" t="s">
        <v>3623</v>
      </c>
      <c r="F250" s="2785" t="s">
        <v>3624</v>
      </c>
      <c r="G250" s="2786" t="s">
        <v>3625</v>
      </c>
      <c r="H250" s="1666" t="str">
        <f t="shared" si="86"/>
        <v>5-DaHall1-PDU-01-30-21</v>
      </c>
      <c r="I250" s="1667" t="str">
        <f t="shared" si="87"/>
        <v>5-DaHall1-PDU-02-30-21</v>
      </c>
      <c r="J250" s="1635">
        <v>220</v>
      </c>
      <c r="K250" s="1636">
        <v>30</v>
      </c>
      <c r="L250" s="2483" t="s">
        <v>6924</v>
      </c>
      <c r="M250" s="1631">
        <v>21</v>
      </c>
      <c r="N250" s="1637">
        <v>220</v>
      </c>
      <c r="O250" s="1638">
        <v>30</v>
      </c>
      <c r="P250" s="2515" t="s">
        <v>6920</v>
      </c>
      <c r="Q250" s="1634">
        <v>21</v>
      </c>
      <c r="R250" s="3363"/>
      <c r="S250" s="3365"/>
      <c r="T250" s="3241"/>
      <c r="U250" s="3242"/>
      <c r="V250" s="3231"/>
      <c r="W250" s="3242"/>
      <c r="X250" s="270" t="n">
        <f>SUM('5층_부하량(월간_AVG)'!D38:F38)</f>
        <v>1.4766390512409004</v>
      </c>
      <c r="Y250" s="270" t="n">
        <f>SUM('5층_부하량(월간_AVG)'!D68:F68)</f>
        <v>1.6313262212672612</v>
      </c>
      <c r="Z250" s="2566" t="n">
        <f t="shared" si="89"/>
        <v>3.107965272508162</v>
      </c>
      <c r="AA250" s="2866" t="n" cm="1">
        <f t="array" ref="AA250">INDEX('각층분기별_유효전력량(전월)'!F2:F2018,MATCH(1,("5-DaHall 1-PDU-01"='각층분기별_유효전력량(전월)'!D2:D2018)*("[branch#012] [A] kWh last month"='각층분기별_유효전력량(전월)'!E2:E2018),0))</f>
        <v>192.4</v>
      </c>
      <c r="AB250" s="2867" t="n" cm="1">
        <f t="array" ref="AB250">INDEX('각층분기별_유효전력량(전월)'!F2:F2018,MATCH(1,("5-DaHall 1-PDU-02"='각층분기별_유효전력량(전월)'!D2:D2018)*("[branch#012] [A] kWh last month"='각층분기별_유효전력량(전월)'!E2:E2018),0))</f>
        <v>226.9</v>
      </c>
      <c r="AC250" s="2586" t="n">
        <f t="shared" si="91"/>
        <v>419.3</v>
      </c>
      <c r="AD250" s="2574" t="s">
        <v>3626</v>
      </c>
      <c r="AH250" s="2470"/>
    </row>
    <row r="251" spans="1:35" ht="27" x14ac:dyDescent="0.15">
      <c r="A251" s="2769" t="s">
        <v>2746</v>
      </c>
      <c r="B251" s="2807" t="s">
        <v>3627</v>
      </c>
      <c r="C251" s="2784" t="s">
        <v>3615</v>
      </c>
      <c r="D251" s="2765" t="s">
        <v>3628</v>
      </c>
      <c r="E251" s="2765" t="s">
        <v>3629</v>
      </c>
      <c r="F251" s="2785" t="s">
        <v>3630</v>
      </c>
      <c r="G251" s="2786" t="s">
        <v>3631</v>
      </c>
      <c r="H251" s="1666" t="str">
        <f t="shared" si="86"/>
        <v>5-DaHall1-PDU-01-30-23</v>
      </c>
      <c r="I251" s="1667" t="str">
        <f t="shared" si="87"/>
        <v>5-DaHall1-PDU-02-30-23</v>
      </c>
      <c r="J251" s="1635">
        <v>220</v>
      </c>
      <c r="K251" s="1636">
        <v>30</v>
      </c>
      <c r="L251" s="2483" t="s">
        <v>6924</v>
      </c>
      <c r="M251" s="1631">
        <v>23</v>
      </c>
      <c r="N251" s="1637">
        <v>220</v>
      </c>
      <c r="O251" s="1638">
        <v>30</v>
      </c>
      <c r="P251" s="2515" t="s">
        <v>6920</v>
      </c>
      <c r="Q251" s="1634">
        <v>23</v>
      </c>
      <c r="R251" s="3363"/>
      <c r="S251" s="3365"/>
      <c r="T251" s="3241"/>
      <c r="U251" s="3242"/>
      <c r="V251" s="3231"/>
      <c r="W251" s="3242"/>
      <c r="X251" s="270" t="n">
        <f>SUM('5층_부하량(월간_AVG)'!D39:F39)</f>
        <v>1.5397821950671495</v>
      </c>
      <c r="Y251" s="270" t="n">
        <f>SUM('5층_부하량(월간_AVG)'!D69:F69)</f>
        <v>1.3209485905405873</v>
      </c>
      <c r="Z251" s="2566" t="n">
        <f t="shared" si="89"/>
        <v>2.860730785607737</v>
      </c>
      <c r="AA251" s="2866" t="n" cm="1">
        <f t="array" ref="AA251">INDEX('각층분기별_유효전력량(전월)'!F2:F2018,MATCH(1,("5-DaHall 1-PDU-01"='각층분기별_유효전력량(전월)'!D2:D2018)*("[branch#013] [A] kWh last month"='각층분기별_유효전력량(전월)'!E2:E2018),0))</f>
        <v>234.0</v>
      </c>
      <c r="AB251" s="2867" t="n" cm="1">
        <f t="array" ref="AB251">INDEX('각층분기별_유효전력량(전월)'!F2:F2018,MATCH(1,("5-DaHall 1-PDU-02"='각층분기별_유효전력량(전월)'!D2:D2018)*("[branch#013] [A] kWh last month"='각층분기별_유효전력량(전월)'!E2:E2018),0))</f>
        <v>199.3</v>
      </c>
      <c r="AC251" s="2586" t="n">
        <f t="shared" si="91"/>
        <v>433.3</v>
      </c>
      <c r="AD251" s="2574" t="s">
        <v>3632</v>
      </c>
      <c r="AH251" s="2470"/>
    </row>
    <row r="252" spans="1:35" ht="27.75" thickBot="1" x14ac:dyDescent="0.2">
      <c r="A252" s="2779" t="s">
        <v>2752</v>
      </c>
      <c r="B252" s="2808" t="s">
        <v>3633</v>
      </c>
      <c r="C252" s="2809" t="s">
        <v>3615</v>
      </c>
      <c r="D252" s="2780" t="s">
        <v>3634</v>
      </c>
      <c r="E252" s="2780" t="s">
        <v>3635</v>
      </c>
      <c r="F252" s="2796" t="s">
        <v>3636</v>
      </c>
      <c r="G252" s="2797" t="s">
        <v>3637</v>
      </c>
      <c r="H252" s="1668" t="str">
        <f t="shared" si="86"/>
        <v>5-DaHall1-PDU-01-30-25</v>
      </c>
      <c r="I252" s="1669" t="str">
        <f t="shared" si="87"/>
        <v>5-DaHall1-PDU-02-30-25</v>
      </c>
      <c r="J252" s="1722">
        <v>220</v>
      </c>
      <c r="K252" s="1723">
        <v>30</v>
      </c>
      <c r="L252" s="2484" t="s">
        <v>6924</v>
      </c>
      <c r="M252" s="1641">
        <v>25</v>
      </c>
      <c r="N252" s="1724">
        <v>220</v>
      </c>
      <c r="O252" s="1725">
        <v>30</v>
      </c>
      <c r="P252" s="2516" t="s">
        <v>6920</v>
      </c>
      <c r="Q252" s="1644">
        <v>25</v>
      </c>
      <c r="R252" s="3364"/>
      <c r="S252" s="3366"/>
      <c r="T252" s="3247"/>
      <c r="U252" s="3248"/>
      <c r="V252" s="3235"/>
      <c r="W252" s="3248"/>
      <c r="X252" s="335" t="n">
        <f>SUM('5층_부하량(월간_AVG)'!D40:F40)</f>
        <v>0.0</v>
      </c>
      <c r="Y252" s="335" t="n">
        <f>SUM('5층_부하량(월간_AVG)'!D70:F70)</f>
        <v>0.0</v>
      </c>
      <c r="Z252" s="2567" t="n">
        <f t="shared" si="89"/>
        <v>0.0</v>
      </c>
      <c r="AA252" s="2920" t="n" cm="1">
        <f t="array" ref="AA252">INDEX('각층분기별_유효전력량(전월)'!F2:F2018,MATCH(1,("5-DaHall 1-PDU-01"='각층분기별_유효전력량(전월)'!D2:D2018)*("[branch#014] [A] kWh last month"='각층분기별_유효전력량(전월)'!E2:E2018),0))</f>
        <v>0.0</v>
      </c>
      <c r="AB252" s="2921" t="n" cm="1">
        <f t="array" ref="AB252">INDEX('각층분기별_유효전력량(전월)'!F2:F2018,MATCH(1,("5-DaHall 1-PDU-02"='각층분기별_유효전력량(전월)'!D2:D2018)*("[branch#014] [A] kWh last month"='각층분기별_유효전력량(전월)'!E2:E2018),0))</f>
        <v>0.0</v>
      </c>
      <c r="AC252" s="2587" t="n">
        <f t="shared" si="91"/>
        <v>0.0</v>
      </c>
      <c r="AD252" s="2575" t="s">
        <v>3638</v>
      </c>
      <c r="AH252" s="2470"/>
    </row>
    <row r="253" spans="1:35" ht="27.75" thickTop="1" x14ac:dyDescent="0.15">
      <c r="A253" s="1105"/>
      <c r="B253" s="336" t="s">
        <v>3565</v>
      </c>
      <c r="C253" s="994"/>
      <c r="D253" s="331" t="s">
        <v>3639</v>
      </c>
      <c r="E253" s="834"/>
      <c r="F253" s="2793" t="s">
        <v>3640</v>
      </c>
      <c r="G253" s="834"/>
      <c r="H253" s="1678" t="str">
        <f t="shared" si="86"/>
        <v>5-DaHall1-PDU-01-30-42</v>
      </c>
      <c r="I253" s="1726"/>
      <c r="J253" s="1727">
        <v>220</v>
      </c>
      <c r="K253" s="1728">
        <v>30</v>
      </c>
      <c r="L253" s="2482" t="s">
        <v>6924</v>
      </c>
      <c r="M253" s="1625">
        <v>42</v>
      </c>
      <c r="N253" s="1729"/>
      <c r="O253" s="1730"/>
      <c r="P253" s="834"/>
      <c r="Q253" s="1731"/>
      <c r="R253" s="2793" t="s">
        <v>3181</v>
      </c>
      <c r="S253" s="834"/>
      <c r="T253" s="2756" t="s">
        <v>3183</v>
      </c>
      <c r="U253" s="834"/>
      <c r="V253" s="2756" t="s">
        <v>2820</v>
      </c>
      <c r="W253" s="834"/>
      <c r="X253" s="337" t="n">
        <f>SUM('5층_부하량(월간_AVG)'!N48:P48)</f>
        <v>0.0</v>
      </c>
      <c r="Y253" s="834"/>
      <c r="Z253" s="2602" t="n">
        <f t="shared" si="89"/>
        <v>0.0</v>
      </c>
      <c r="AA253" s="2918" t="n" cm="1">
        <f t="array" ref="AA253">INDEX('각층분기별_유효전력량(전월)'!F2:F2018,MATCH(1,("5-DaHall 1-PDU-01"='각층분기별_유효전력량(전월)'!D2:D2018)*("[branch#076] [A] kWh last month"='각층분기별_유효전력량(전월)'!E2:E2018),0))</f>
        <v>0.0</v>
      </c>
      <c r="AB253" s="2919"/>
      <c r="AC253" s="2589" t="n">
        <f t="shared" si="91"/>
        <v>0.0</v>
      </c>
      <c r="AD253" s="2640"/>
      <c r="AH253" s="2470"/>
    </row>
    <row r="254" spans="1:35" ht="27" x14ac:dyDescent="0.15">
      <c r="A254" s="1107"/>
      <c r="B254" s="2765" t="s">
        <v>3641</v>
      </c>
      <c r="C254" s="2784"/>
      <c r="D254" s="2765" t="s">
        <v>3642</v>
      </c>
      <c r="E254" s="2765" t="s">
        <v>3643</v>
      </c>
      <c r="F254" s="2785" t="s">
        <v>3644</v>
      </c>
      <c r="G254" s="2786" t="s">
        <v>3645</v>
      </c>
      <c r="H254" s="1666" t="str">
        <f t="shared" si="86"/>
        <v>5-DaHall1-PDU-01-30-44</v>
      </c>
      <c r="I254" s="1667" t="str">
        <f>"5-DaHall1-PDU-"&amp;P254&amp;"-"&amp;O254&amp;"-"&amp;Q254</f>
        <v>5-DaHall1-PDU-02-30-44</v>
      </c>
      <c r="J254" s="1629">
        <v>220</v>
      </c>
      <c r="K254" s="1630">
        <v>30</v>
      </c>
      <c r="L254" s="2483" t="s">
        <v>6924</v>
      </c>
      <c r="M254" s="1631">
        <v>44</v>
      </c>
      <c r="N254" s="1632">
        <v>220</v>
      </c>
      <c r="O254" s="1633">
        <v>30</v>
      </c>
      <c r="P254" s="2515" t="s">
        <v>6920</v>
      </c>
      <c r="Q254" s="1634">
        <v>44</v>
      </c>
      <c r="R254" s="3363" t="s">
        <v>3181</v>
      </c>
      <c r="S254" s="3365" t="s">
        <v>3182</v>
      </c>
      <c r="T254" s="3231" t="s">
        <v>3183</v>
      </c>
      <c r="U254" s="3223" t="s">
        <v>3184</v>
      </c>
      <c r="V254" s="3231" t="s">
        <v>2820</v>
      </c>
      <c r="W254" s="3223" t="s">
        <v>2821</v>
      </c>
      <c r="X254" s="270" t="n">
        <f>SUM('5층_부하량(월간_AVG)'!N49:P49)</f>
        <v>0.0</v>
      </c>
      <c r="Y254" s="270" t="n">
        <f>SUM('5층_부하량(월간_AVG)'!N79:P79)</f>
        <v>0.0</v>
      </c>
      <c r="Z254" s="2566" t="n">
        <f t="shared" si="89"/>
        <v>0.0</v>
      </c>
      <c r="AA254" s="2866" t="n" cm="1">
        <f t="array" ref="AA254">INDEX('각층분기별_유효전력량(전월)'!F2:F2018,MATCH(1,("5-DaHall 1-PDU-01"='각층분기별_유효전력량(전월)'!D2:D2018)*("[branch#077] [A] kWh last month"='각층분기별_유효전력량(전월)'!E2:E2018),0))</f>
        <v>0.0</v>
      </c>
      <c r="AB254" s="2867" t="n" cm="1">
        <f t="array" ref="AB254">INDEX('각층분기별_유효전력량(전월)'!F2:F2018,MATCH(1,("5-DaHall 1-PDU-02"='각층분기별_유효전력량(전월)'!D2:D2018)*("[branch#077] [A] kWh last month"='각층분기별_유효전력량(전월)'!E2:E2018),0))</f>
        <v>0.0</v>
      </c>
      <c r="AC254" s="2586" t="n">
        <f t="shared" si="91"/>
        <v>0.0</v>
      </c>
      <c r="AD254" s="2641"/>
      <c r="AH254" s="2470"/>
    </row>
    <row r="255" spans="1:35" ht="27" x14ac:dyDescent="0.15">
      <c r="A255" s="2769" t="s">
        <v>3646</v>
      </c>
      <c r="B255" s="2784" t="s">
        <v>3647</v>
      </c>
      <c r="C255" s="2784" t="s">
        <v>3615</v>
      </c>
      <c r="D255" s="2765" t="s">
        <v>3648</v>
      </c>
      <c r="E255" s="2765" t="s">
        <v>3649</v>
      </c>
      <c r="F255" s="2785" t="s">
        <v>3650</v>
      </c>
      <c r="G255" s="2786" t="s">
        <v>3651</v>
      </c>
      <c r="H255" s="1666" t="str">
        <f t="shared" si="86"/>
        <v>5-DaHall1-PDU-01-30-4</v>
      </c>
      <c r="I255" s="1667" t="str">
        <f>"5-DaHall1-PDU-"&amp;P255&amp;"-"&amp;O255&amp;"-"&amp;Q255</f>
        <v>5-DaHall1-PDU-02-30-4</v>
      </c>
      <c r="J255" s="1635">
        <v>220</v>
      </c>
      <c r="K255" s="1636">
        <v>30</v>
      </c>
      <c r="L255" s="2483" t="s">
        <v>6924</v>
      </c>
      <c r="M255" s="1631">
        <v>4</v>
      </c>
      <c r="N255" s="1637">
        <v>220</v>
      </c>
      <c r="O255" s="1638">
        <v>30</v>
      </c>
      <c r="P255" s="2515" t="s">
        <v>6920</v>
      </c>
      <c r="Q255" s="1634">
        <v>4</v>
      </c>
      <c r="R255" s="3363"/>
      <c r="S255" s="3365"/>
      <c r="T255" s="3231"/>
      <c r="U255" s="3242"/>
      <c r="V255" s="3231"/>
      <c r="W255" s="3242"/>
      <c r="X255" s="270" t="n">
        <f>SUM('5층_부하량(월간_AVG)'!N29:P29)</f>
        <v>0.0</v>
      </c>
      <c r="Y255" s="270" t="n">
        <f>SUM('5층_부하량(월간_AVG)'!N59:P59)</f>
        <v>0.0</v>
      </c>
      <c r="Z255" s="2566" t="n">
        <f t="shared" si="89"/>
        <v>0.0</v>
      </c>
      <c r="AA255" s="2866" t="n" cm="1">
        <f t="array" ref="AA255">INDEX('각층분기별_유효전력량(전월)'!F2:F2018,MATCH(1,("5-DaHall 1-PDU-01"='각층분기별_유효전력량(전월)'!D2:D2018)*("[branch#057] [A] kWh last month"='각층분기별_유효전력량(전월)'!E2:E2018),0))</f>
        <v>0.0</v>
      </c>
      <c r="AB255" s="2867" t="n" cm="1">
        <f t="array" ref="AB255">INDEX('각층분기별_유효전력량(전월)'!F2:F2018,MATCH(1,("5-DaHall 1-PDU-02"='각층분기별_유효전력량(전월)'!D2:D2018)*("[branch#057] [A] kWh last month"='각층분기별_유효전력량(전월)'!E2:E2018),0))</f>
        <v>0.0</v>
      </c>
      <c r="AC255" s="2586" t="n">
        <f t="shared" si="91"/>
        <v>0.0</v>
      </c>
      <c r="AD255" s="2574" t="s">
        <v>3652</v>
      </c>
      <c r="AH255" s="2470"/>
    </row>
    <row r="256" spans="1:35" ht="27" x14ac:dyDescent="0.15">
      <c r="A256" s="2769" t="s">
        <v>3653</v>
      </c>
      <c r="B256" s="2807" t="s">
        <v>3654</v>
      </c>
      <c r="C256" s="2784" t="s">
        <v>3615</v>
      </c>
      <c r="D256" s="2765" t="s">
        <v>3655</v>
      </c>
      <c r="E256" s="2765" t="s">
        <v>3656</v>
      </c>
      <c r="F256" s="2785" t="s">
        <v>3657</v>
      </c>
      <c r="G256" s="2786" t="s">
        <v>3658</v>
      </c>
      <c r="H256" s="1666" t="str">
        <f t="shared" si="86"/>
        <v>5-DaHall1-PDU-01-30-6</v>
      </c>
      <c r="I256" s="1667" t="str">
        <f>"5-DaHall1-PDU-"&amp;P256&amp;"-"&amp;O256&amp;"-"&amp;Q256</f>
        <v>5-DaHall1-PDU-02-30-6</v>
      </c>
      <c r="J256" s="1635">
        <v>220</v>
      </c>
      <c r="K256" s="1636">
        <v>30</v>
      </c>
      <c r="L256" s="2483" t="s">
        <v>6924</v>
      </c>
      <c r="M256" s="1631">
        <v>6</v>
      </c>
      <c r="N256" s="1637">
        <v>220</v>
      </c>
      <c r="O256" s="1638">
        <v>30</v>
      </c>
      <c r="P256" s="2515" t="s">
        <v>6920</v>
      </c>
      <c r="Q256" s="1634">
        <v>6</v>
      </c>
      <c r="R256" s="3363"/>
      <c r="S256" s="3365"/>
      <c r="T256" s="3231"/>
      <c r="U256" s="3242"/>
      <c r="V256" s="3231"/>
      <c r="W256" s="3242"/>
      <c r="X256" s="270" t="n">
        <f>SUM('5층_부하량(월간_AVG)'!N30:P30)</f>
        <v>1.5294429921063941</v>
      </c>
      <c r="Y256" s="270" t="n">
        <f>SUM('5층_부하량(월간_AVG)'!N60:P60)</f>
        <v>1.2520298467496198</v>
      </c>
      <c r="Z256" s="2566" t="n">
        <f t="shared" si="89"/>
        <v>2.781472838856014</v>
      </c>
      <c r="AA256" s="2866" t="n" cm="1">
        <f t="array" ref="AA256">INDEX('각층분기별_유효전력량(전월)'!F2:F2018,MATCH(1,("5-DaHall 1-PDU-01"='각층분기별_유효전력량(전월)'!D2:D2018)*("[branch#058] [A] kWh last month"='각층분기별_유효전력량(전월)'!E2:E2018),0))</f>
        <v>224.1</v>
      </c>
      <c r="AB256" s="2867" t="n" cm="1">
        <f t="array" ref="AB256">INDEX('각층분기별_유효전력량(전월)'!F2:F2018,MATCH(1,("5-DaHall 1-PDU-02"='각층분기별_유효전력량(전월)'!D2:D2018)*("[branch#058] [A] kWh last month"='각층분기별_유효전력량(전월)'!E2:E2018),0))</f>
        <v>186.3</v>
      </c>
      <c r="AC256" s="2586" t="n">
        <f t="shared" si="91"/>
        <v>410.4</v>
      </c>
      <c r="AD256" s="2574" t="s">
        <v>3659</v>
      </c>
      <c r="AH256" s="2470"/>
    </row>
    <row r="257" spans="1:34" ht="27" x14ac:dyDescent="0.15">
      <c r="A257" s="1107"/>
      <c r="B257" s="2771" t="s">
        <v>3660</v>
      </c>
      <c r="C257" s="2784" t="s">
        <v>3615</v>
      </c>
      <c r="D257" s="2765" t="s">
        <v>3661</v>
      </c>
      <c r="E257" s="2834"/>
      <c r="F257" s="2785" t="s">
        <v>3662</v>
      </c>
      <c r="G257" s="2834"/>
      <c r="H257" s="1666" t="str">
        <f t="shared" si="86"/>
        <v>5-DaHall1-PDU-01-30-10</v>
      </c>
      <c r="I257" s="1732"/>
      <c r="J257" s="1733">
        <v>220</v>
      </c>
      <c r="K257" s="1734">
        <v>30</v>
      </c>
      <c r="L257" s="2483" t="s">
        <v>6924</v>
      </c>
      <c r="M257" s="1631">
        <v>10</v>
      </c>
      <c r="N257" s="1735"/>
      <c r="O257" s="1736"/>
      <c r="P257" s="2834"/>
      <c r="Q257" s="1737"/>
      <c r="R257" s="3363"/>
      <c r="S257" s="2834"/>
      <c r="T257" s="3231"/>
      <c r="U257" s="2834"/>
      <c r="V257" s="3231"/>
      <c r="W257" s="2834"/>
      <c r="X257" s="270" t="n">
        <f>SUM('5층_부하량(월간_AVG)'!N32:P32)</f>
        <v>0.0</v>
      </c>
      <c r="Y257" s="838"/>
      <c r="Z257" s="2566" t="n">
        <f t="shared" si="89"/>
        <v>0.0</v>
      </c>
      <c r="AA257" s="2866" t="n" cm="1">
        <f t="array" ref="AA257">INDEX('각층분기별_유효전력량(전월)'!F2:F2018,MATCH(1,("5-DaHall 1-PDU-01"='각층분기별_유효전력량(전월)'!D2:D2018)*("[branch#060] [A] kWh last month"='각층분기별_유효전력량(전월)'!E2:E2018),0))</f>
        <v>0.0</v>
      </c>
      <c r="AB257" s="2867"/>
      <c r="AC257" s="2586" t="n">
        <f t="shared" si="91"/>
        <v>0.0</v>
      </c>
      <c r="AD257" s="2574" t="s">
        <v>3615</v>
      </c>
      <c r="AH257" s="2470"/>
    </row>
    <row r="258" spans="1:34" ht="27.75" thickBot="1" x14ac:dyDescent="0.2">
      <c r="A258" s="1108"/>
      <c r="B258" s="2792" t="s">
        <v>3663</v>
      </c>
      <c r="C258" s="2809" t="s">
        <v>3615</v>
      </c>
      <c r="D258" s="847"/>
      <c r="E258" s="2780" t="s">
        <v>3664</v>
      </c>
      <c r="F258" s="898"/>
      <c r="G258" s="2797" t="s">
        <v>3665</v>
      </c>
      <c r="H258" s="1738"/>
      <c r="I258" s="1669" t="str">
        <f>"5-DaHall1-PDU-"&amp;P258&amp;"-"&amp;O258&amp;"-"&amp;Q258</f>
        <v>5-DaHall1-PDU-02-30-10</v>
      </c>
      <c r="J258" s="1739"/>
      <c r="K258" s="1740"/>
      <c r="L258" s="898"/>
      <c r="M258" s="1741"/>
      <c r="N258" s="1742">
        <v>220</v>
      </c>
      <c r="O258" s="1743">
        <v>30</v>
      </c>
      <c r="P258" s="2516" t="s">
        <v>6920</v>
      </c>
      <c r="Q258" s="1644">
        <v>10</v>
      </c>
      <c r="R258" s="898"/>
      <c r="S258" s="2797" t="s">
        <v>3182</v>
      </c>
      <c r="T258" s="898"/>
      <c r="U258" s="2753" t="s">
        <v>3184</v>
      </c>
      <c r="V258" s="898"/>
      <c r="W258" s="2767"/>
      <c r="X258" s="848"/>
      <c r="Y258" s="335" t="n">
        <f>SUM('5층_부하량(월간_AVG)'!N62:P62)</f>
        <v>0.0</v>
      </c>
      <c r="Z258" s="2567" t="n">
        <f t="shared" si="89"/>
        <v>0.0</v>
      </c>
      <c r="AA258" s="2920"/>
      <c r="AB258" s="2921" t="n" cm="1">
        <f t="array" ref="AB258">INDEX('각층분기별_유효전력량(전월)'!F2:F2018,MATCH(1,("5-DaHall 1-PDU-02"='각층분기별_유효전력량(전월)'!D2:D2018)*("[branch#060] [A] kWh last month"='각층분기별_유효전력량(전월)'!E2:E2018),0))</f>
        <v>0.0</v>
      </c>
      <c r="AC258" s="2587" t="n">
        <f>SUM(AA258:AB258)</f>
        <v>0.0</v>
      </c>
      <c r="AD258" s="2575" t="s">
        <v>3615</v>
      </c>
      <c r="AF258" s="1402" t="n">
        <f>SUM(AA249:AA258)/1000</f>
        <v>0.7778</v>
      </c>
      <c r="AH258" s="2470"/>
    </row>
    <row r="259" spans="1:34" ht="14.25" thickTop="1" x14ac:dyDescent="0.15">
      <c r="A259" s="1105" t="s">
        <v>3666</v>
      </c>
      <c r="B259" s="331" t="s">
        <v>3667</v>
      </c>
      <c r="C259" s="991"/>
      <c r="D259" s="835"/>
      <c r="E259" s="835"/>
      <c r="F259" s="892"/>
      <c r="G259" s="893"/>
      <c r="H259" s="1645"/>
      <c r="I259" s="1646"/>
      <c r="J259" s="1647"/>
      <c r="K259" s="1648"/>
      <c r="L259" s="892"/>
      <c r="M259" s="1649"/>
      <c r="N259" s="1650"/>
      <c r="O259" s="1651"/>
      <c r="P259" s="893"/>
      <c r="Q259" s="1652"/>
      <c r="R259" s="886"/>
      <c r="S259" s="887"/>
      <c r="T259" s="835"/>
      <c r="U259" s="836"/>
      <c r="V259" s="835"/>
      <c r="W259" s="836"/>
      <c r="X259" s="841"/>
      <c r="Y259" s="841"/>
      <c r="Z259" s="2601" t="n">
        <f>SUM(X259:Y259)</f>
        <v>0.0</v>
      </c>
      <c r="AA259" s="2918"/>
      <c r="AB259" s="2919"/>
      <c r="AC259" s="2589"/>
      <c r="AD259" s="2576" t="s">
        <v>3668</v>
      </c>
      <c r="AH259" s="2470"/>
    </row>
    <row r="260" spans="1:34" ht="27" x14ac:dyDescent="0.15">
      <c r="A260" s="2769" t="s">
        <v>3669</v>
      </c>
      <c r="B260" s="2771" t="s">
        <v>3670</v>
      </c>
      <c r="C260" s="2807" t="s">
        <v>3671</v>
      </c>
      <c r="D260" s="2763" t="s">
        <v>3083</v>
      </c>
      <c r="E260" s="2763" t="s">
        <v>3083</v>
      </c>
      <c r="F260" s="2785" t="s">
        <v>3672</v>
      </c>
      <c r="G260" s="2786" t="s">
        <v>3673</v>
      </c>
      <c r="H260" s="1666" t="str">
        <f t="shared" ref="H260:H285" si="92">"5-DaHall1-PDU-"&amp;L260&amp;"-"&amp;K260&amp;"-"&amp;M260</f>
        <v>5-DaHall1-PDU-01-30-50</v>
      </c>
      <c r="I260" s="1667" t="str">
        <f t="shared" ref="I260:I292" si="93">"5-DaHall1-PDU-"&amp;P260&amp;"-"&amp;O260&amp;"-"&amp;Q260</f>
        <v>5-DaHall1-PDU-02-30-50</v>
      </c>
      <c r="J260" s="1635">
        <v>220</v>
      </c>
      <c r="K260" s="1636">
        <v>30</v>
      </c>
      <c r="L260" s="2483" t="s">
        <v>6924</v>
      </c>
      <c r="M260" s="1631">
        <v>50</v>
      </c>
      <c r="N260" s="1637">
        <v>220</v>
      </c>
      <c r="O260" s="1638">
        <v>30</v>
      </c>
      <c r="P260" s="2515" t="s">
        <v>6920</v>
      </c>
      <c r="Q260" s="1634">
        <v>50</v>
      </c>
      <c r="R260" s="3363" t="s">
        <v>3181</v>
      </c>
      <c r="S260" s="3365" t="s">
        <v>3182</v>
      </c>
      <c r="T260" s="3231" t="s">
        <v>3183</v>
      </c>
      <c r="U260" s="3223" t="s">
        <v>3184</v>
      </c>
      <c r="V260" s="3231" t="s">
        <v>2820</v>
      </c>
      <c r="W260" s="3223" t="s">
        <v>2821</v>
      </c>
      <c r="X260" s="270" t="n">
        <f>SUM('5층_부하량(월간_AVG)'!N52:P52)</f>
        <v>0.0</v>
      </c>
      <c r="Y260" s="270" t="n">
        <f>SUM('5층_부하량(월간_AVG)'!N82:P82)</f>
        <v>0.0</v>
      </c>
      <c r="Z260" s="2566" t="n">
        <f>SUM(X260:Y260)</f>
        <v>0.0</v>
      </c>
      <c r="AA260" s="2866" t="n" cm="1">
        <f t="array" ref="AA260">INDEX('각층분기별_유효전력량(전월)'!F2:F2018,MATCH(1,("5-DaHall 1-PDU-01"='각층분기별_유효전력량(전월)'!D2:D2018)*("[branch#080] [A] kWh last month"='각층분기별_유효전력량(전월)'!E2:E2018),0))</f>
        <v>0.0</v>
      </c>
      <c r="AB260" s="2867" t="n" cm="1">
        <f t="array" ref="AB260">INDEX('각층분기별_유효전력량(전월)'!F2:F2018,MATCH(1,("5-DaHall 1-PDU-02"='각층분기별_유효전력량(전월)'!D2:D2018)*("[branch#080] [A] kWh last month"='각층분기별_유효전력량(전월)'!E2:E2018),0))</f>
        <v>0.0</v>
      </c>
      <c r="AC260" s="2586" t="n">
        <f t="shared" ref="AC260:AC290" si="94">SUM(AA260:AB260)</f>
        <v>0.0</v>
      </c>
      <c r="AD260" s="2611" t="s">
        <v>3674</v>
      </c>
      <c r="AE260" t="s">
        <v>3675</v>
      </c>
      <c r="AF260" t="s">
        <v>3676</v>
      </c>
      <c r="AH260" s="2470"/>
    </row>
    <row r="261" spans="1:34" ht="27" customHeight="1" x14ac:dyDescent="0.15">
      <c r="A261" s="3279" t="s">
        <v>3677</v>
      </c>
      <c r="B261" s="3287" t="s">
        <v>3678</v>
      </c>
      <c r="C261" s="3499" t="s">
        <v>3671</v>
      </c>
      <c r="D261" s="2763" t="s">
        <v>3083</v>
      </c>
      <c r="E261" s="2763" t="s">
        <v>3083</v>
      </c>
      <c r="F261" s="2785" t="s">
        <v>3679</v>
      </c>
      <c r="G261" s="2786" t="s">
        <v>3680</v>
      </c>
      <c r="H261" s="1666" t="str">
        <f t="shared" si="92"/>
        <v>5-DaHall1-PDU-01-60-2</v>
      </c>
      <c r="I261" s="1667" t="str">
        <f t="shared" si="93"/>
        <v>5-DaHall1-PDU-02-60-2</v>
      </c>
      <c r="J261" s="1744">
        <v>380</v>
      </c>
      <c r="K261" s="1636">
        <v>60</v>
      </c>
      <c r="L261" s="2483" t="s">
        <v>6924</v>
      </c>
      <c r="M261" s="1631">
        <v>2</v>
      </c>
      <c r="N261" s="1745">
        <v>380</v>
      </c>
      <c r="O261" s="1638">
        <v>60</v>
      </c>
      <c r="P261" s="2515" t="s">
        <v>6920</v>
      </c>
      <c r="Q261" s="1634">
        <v>2</v>
      </c>
      <c r="R261" s="3363"/>
      <c r="S261" s="3365"/>
      <c r="T261" s="3231"/>
      <c r="U261" s="3223"/>
      <c r="V261" s="3231"/>
      <c r="W261" s="3223"/>
      <c r="X261" s="270" t="n">
        <f>SUM('5층_부하량(월간_AVG)'!N27:P27)</f>
        <v>1.333665648268862</v>
      </c>
      <c r="Y261" s="270" t="n">
        <f>SUM('5층_부하량(월간_AVG)'!N57:P57)</f>
        <v>1.4057814788758847</v>
      </c>
      <c r="Z261" s="3431" t="n">
        <f>SUM(X261:Y262)</f>
        <v>5.583604521982258</v>
      </c>
      <c r="AA261" s="2860" t="n" cm="1">
        <f t="array" ref="AA261">INDEX('각층분기별_유효전력량(전월)'!F2:F2018,MATCH(1,("5-DaHall 1-PDU-01"='각층분기별_유효전력량(전월)'!D2:D2018)*("[branch#055] [A] kWh last month"='각층분기별_유효전력량(전월)'!E2:E2018),0))</f>
        <v>33.7</v>
      </c>
      <c r="AB261" s="2922" t="n" cm="1">
        <f t="array" ref="AB261">INDEX('각층분기별_유효전력량(전월)'!F2:F2018,MATCH(1,("5-DaHall 1-PDU-02"='각층분기별_유효전력량(전월)'!D2:D2018)*("[branch#055] [A] kWh last month"='각층분기별_유효전력량(전월)'!E2:E2018),0))</f>
        <v>33.6</v>
      </c>
      <c r="AC261" s="2592" t="n">
        <f t="shared" si="94"/>
        <v>67.30000000000001</v>
      </c>
      <c r="AD261" s="2611" t="s">
        <v>3681</v>
      </c>
      <c r="AH261" s="2470"/>
    </row>
    <row r="262" spans="1:34" ht="27.75" customHeight="1" thickBot="1" x14ac:dyDescent="0.2">
      <c r="A262" s="3307"/>
      <c r="B262" s="3454"/>
      <c r="C262" s="3500"/>
      <c r="D262" s="2766" t="s">
        <v>3083</v>
      </c>
      <c r="E262" s="2766" t="s">
        <v>3083</v>
      </c>
      <c r="F262" s="2796" t="s">
        <v>3682</v>
      </c>
      <c r="G262" s="2797" t="s">
        <v>3683</v>
      </c>
      <c r="H262" s="1668" t="str">
        <f t="shared" si="92"/>
        <v>5-DaHall1-PDU-01-30-48</v>
      </c>
      <c r="I262" s="1669" t="str">
        <f t="shared" si="93"/>
        <v>5-DaHall1-PDU-02-30-48</v>
      </c>
      <c r="J262" s="1722">
        <v>220</v>
      </c>
      <c r="K262" s="1723">
        <v>30</v>
      </c>
      <c r="L262" s="2484" t="s">
        <v>6924</v>
      </c>
      <c r="M262" s="1641">
        <v>48</v>
      </c>
      <c r="N262" s="1724">
        <v>220</v>
      </c>
      <c r="O262" s="1725">
        <v>30</v>
      </c>
      <c r="P262" s="2516" t="s">
        <v>6920</v>
      </c>
      <c r="Q262" s="1644">
        <v>48</v>
      </c>
      <c r="R262" s="3364"/>
      <c r="S262" s="3366"/>
      <c r="T262" s="3235"/>
      <c r="U262" s="3224"/>
      <c r="V262" s="3235"/>
      <c r="W262" s="3224"/>
      <c r="X262" s="335" t="n">
        <f>SUM('5층_부하량(월간_AVG)'!N51:P51)</f>
        <v>1.739229251584358</v>
      </c>
      <c r="Y262" s="335" t="n">
        <f>SUM('5층_부하량(월간_AVG)'!N81:P81)</f>
        <v>1.1049281432531535</v>
      </c>
      <c r="Z262" s="3443"/>
      <c r="AA262" s="2923" t="n" cm="1">
        <f t="array" ref="AA262">INDEX('각층분기별_유효전력량(전월)'!F2:F2018,MATCH(1,("5-DaHall 1-PDU-01"='각층분기별_유효전력량(전월)'!D2:D2018)*("[branch#079] [A] kWh last month"='각층분기별_유효전력량(전월)'!E2:E2018),0))</f>
        <v>277.0</v>
      </c>
      <c r="AB262" s="2924" t="n" cm="1">
        <f t="array" ref="AB262">INDEX('각층분기별_유효전력량(전월)'!F2:F2018,MATCH(1,("5-DaHall 1-PDU-02"='각층분기별_유효전력량(전월)'!D2:D2018)*("[branch#079] [A] kWh last month"='각층분기별_유효전력량(전월)'!E2:E2018),0))</f>
        <v>182.3</v>
      </c>
      <c r="AC262" s="2596" t="n">
        <f t="shared" si="94"/>
        <v>459.3</v>
      </c>
      <c r="AD262" s="2612" t="s">
        <v>3684</v>
      </c>
      <c r="AE262" t="s">
        <v>3685</v>
      </c>
      <c r="AF262" t="s">
        <v>3686</v>
      </c>
      <c r="AH262" s="2470"/>
    </row>
    <row r="263" spans="1:34" ht="27.75" thickTop="1" x14ac:dyDescent="0.15">
      <c r="A263" s="1105"/>
      <c r="B263" s="834" t="s">
        <v>3565</v>
      </c>
      <c r="C263" s="992"/>
      <c r="D263" s="834" t="s">
        <v>3687</v>
      </c>
      <c r="E263" s="834" t="s">
        <v>3688</v>
      </c>
      <c r="F263" s="892" t="s">
        <v>3689</v>
      </c>
      <c r="G263" s="893" t="s">
        <v>3690</v>
      </c>
      <c r="H263" s="1678" t="str">
        <f t="shared" si="92"/>
        <v>5-DaHall1-PDU-03-30-21</v>
      </c>
      <c r="I263" s="1679" t="str">
        <f t="shared" si="93"/>
        <v>5-DaHall1-PDU-04-30-21</v>
      </c>
      <c r="J263" s="1718">
        <v>220</v>
      </c>
      <c r="K263" s="1719">
        <v>30</v>
      </c>
      <c r="L263" s="2482" t="s">
        <v>6926</v>
      </c>
      <c r="M263" s="1625">
        <v>21</v>
      </c>
      <c r="N263" s="1720">
        <v>220</v>
      </c>
      <c r="O263" s="1721">
        <v>30</v>
      </c>
      <c r="P263" s="2514" t="s">
        <v>6922</v>
      </c>
      <c r="Q263" s="1628">
        <v>21</v>
      </c>
      <c r="R263" s="3501" t="s">
        <v>3221</v>
      </c>
      <c r="S263" s="3502" t="s">
        <v>3222</v>
      </c>
      <c r="T263" s="3503" t="s">
        <v>3223</v>
      </c>
      <c r="U263" s="3504" t="s">
        <v>3224</v>
      </c>
      <c r="V263" s="3503" t="s">
        <v>2820</v>
      </c>
      <c r="W263" s="3504" t="s">
        <v>2821</v>
      </c>
      <c r="X263" s="837" t="n">
        <f>SUM('5층_부하량(월간_AVG)'!D98:F98)</f>
        <v>0.0</v>
      </c>
      <c r="Y263" s="837" t="n">
        <f>SUM('5층_부하량(월간_AVG)'!D128:F128)</f>
        <v>0.0</v>
      </c>
      <c r="Z263" s="2562" t="n">
        <f t="shared" ref="Z263:Z287" si="95">SUM(X263:Y263)</f>
        <v>0.0</v>
      </c>
      <c r="AA263" s="2864" t="n" cm="1">
        <f t="array" ref="AA263">INDEX('각층분기별_유효전력량(전월)'!F2:F2018,MATCH(1,("5-DaHall 1-PDU-03"='각층분기별_유효전력량(전월)'!D2:D2018)*("[branch#012] [A] kWh last month"='각층분기별_유효전력량(전월)'!E2:E2018),0))</f>
        <v>0.0</v>
      </c>
      <c r="AB263" s="2865" t="n" cm="1">
        <f t="array" ref="AB263">INDEX('각층분기별_유효전력량(전월)'!F2:F2018,MATCH(1,("5-DaHall 1-PDU-04"='각층분기별_유효전력량(전월)'!D2:D2018)*("[branch#012] [A] kWh last month"='각층분기별_유효전력량(전월)'!E2:E2018),0))</f>
        <v>0.0</v>
      </c>
      <c r="AC263" s="2591" t="n">
        <f t="shared" si="94"/>
        <v>0.0</v>
      </c>
      <c r="AD263" s="2642" t="s">
        <v>3381</v>
      </c>
      <c r="AH263" s="2470"/>
    </row>
    <row r="264" spans="1:34" ht="27" x14ac:dyDescent="0.15">
      <c r="A264" s="2769"/>
      <c r="B264" s="2834" t="s">
        <v>3691</v>
      </c>
      <c r="C264" s="904"/>
      <c r="D264" s="2834" t="s">
        <v>3692</v>
      </c>
      <c r="E264" s="2834" t="s">
        <v>3693</v>
      </c>
      <c r="F264" s="2831" t="s">
        <v>3694</v>
      </c>
      <c r="G264" s="2827" t="s">
        <v>3695</v>
      </c>
      <c r="H264" s="1666" t="str">
        <f t="shared" si="92"/>
        <v>5-DaHall1-PDU-03-30-23</v>
      </c>
      <c r="I264" s="1667" t="str">
        <f t="shared" si="93"/>
        <v>5-DaHall1-PDU-04-30-23</v>
      </c>
      <c r="J264" s="1635">
        <v>220</v>
      </c>
      <c r="K264" s="1636">
        <v>30</v>
      </c>
      <c r="L264" s="2483" t="s">
        <v>6926</v>
      </c>
      <c r="M264" s="1631">
        <v>23</v>
      </c>
      <c r="N264" s="1637">
        <v>220</v>
      </c>
      <c r="O264" s="1638">
        <v>30</v>
      </c>
      <c r="P264" s="2515" t="s">
        <v>6922</v>
      </c>
      <c r="Q264" s="1634">
        <v>23</v>
      </c>
      <c r="R264" s="3361"/>
      <c r="S264" s="3352"/>
      <c r="T264" s="3355"/>
      <c r="U264" s="3358"/>
      <c r="V264" s="3355"/>
      <c r="W264" s="3358"/>
      <c r="X264" s="840" t="n">
        <f>SUM('5층_부하량(월간_AVG)'!D99:F99)</f>
        <v>0.0</v>
      </c>
      <c r="Y264" s="840" t="n">
        <f>SUM('5층_부하량(월간_AVG)'!D129:F129)</f>
        <v>0.0</v>
      </c>
      <c r="Z264" s="2564" t="n">
        <f t="shared" si="95"/>
        <v>0.0</v>
      </c>
      <c r="AA264" s="2868" t="n" cm="1">
        <f t="array" ref="AA264">INDEX('각층분기별_유효전력량(전월)'!F2:F2018,MATCH(1,("5-DaHall 1-PDU-03"='각층분기별_유효전력량(전월)'!D2:D2018)*("[branch#013] [A] kWh last month"='각층분기별_유효전력량(전월)'!E2:E2018),0))</f>
        <v>0.0</v>
      </c>
      <c r="AB264" s="2869" t="n" cm="1">
        <f t="array" ref="AB264">INDEX('각층분기별_유효전력량(전월)'!F2:F2018,MATCH(1,("5-DaHall 1-PDU-04"='각층분기별_유효전력량(전월)'!D2:D2018)*("[branch#013] [A] kWh last month"='각층분기별_유효전력량(전월)'!E2:E2018),0))</f>
        <v>0.0</v>
      </c>
      <c r="AC264" s="2594" t="n">
        <f t="shared" si="94"/>
        <v>0.0</v>
      </c>
      <c r="AD264" s="2636"/>
      <c r="AH264" s="2470"/>
    </row>
    <row r="265" spans="1:34" ht="27" x14ac:dyDescent="0.15">
      <c r="A265" s="2769"/>
      <c r="B265" s="2834" t="s">
        <v>3696</v>
      </c>
      <c r="C265" s="904"/>
      <c r="D265" s="2834" t="s">
        <v>3697</v>
      </c>
      <c r="E265" s="2834" t="s">
        <v>3698</v>
      </c>
      <c r="F265" s="2831" t="s">
        <v>3699</v>
      </c>
      <c r="G265" s="2827" t="s">
        <v>3700</v>
      </c>
      <c r="H265" s="1666" t="str">
        <f t="shared" si="92"/>
        <v>5-DaHall1-PDU-03-30-25</v>
      </c>
      <c r="I265" s="1667" t="str">
        <f t="shared" si="93"/>
        <v>5-DaHall1-PDU-04-30-25</v>
      </c>
      <c r="J265" s="1635">
        <v>220</v>
      </c>
      <c r="K265" s="1636">
        <v>30</v>
      </c>
      <c r="L265" s="2483" t="s">
        <v>6926</v>
      </c>
      <c r="M265" s="1631">
        <v>25</v>
      </c>
      <c r="N265" s="1637">
        <v>220</v>
      </c>
      <c r="O265" s="1638">
        <v>30</v>
      </c>
      <c r="P265" s="2515" t="s">
        <v>6922</v>
      </c>
      <c r="Q265" s="1634">
        <v>25</v>
      </c>
      <c r="R265" s="3361"/>
      <c r="S265" s="3352"/>
      <c r="T265" s="3355"/>
      <c r="U265" s="3358"/>
      <c r="V265" s="3355"/>
      <c r="W265" s="3358"/>
      <c r="X265" s="840" t="n">
        <f>SUM('5층_부하량(월간_AVG)'!D100:F100)</f>
        <v>0.0</v>
      </c>
      <c r="Y265" s="840" t="n">
        <f>SUM('5층_부하량(월간_AVG)'!D130:F130)</f>
        <v>0.0</v>
      </c>
      <c r="Z265" s="2564" t="n">
        <f t="shared" si="95"/>
        <v>0.0</v>
      </c>
      <c r="AA265" s="2868" t="n" cm="1">
        <f t="array" ref="AA265">INDEX('각층분기별_유효전력량(전월)'!F2:F2018,MATCH(1,("5-DaHall 1-PDU-03"='각층분기별_유효전력량(전월)'!D2:D2018)*("[branch#014] [A] kWh last month"='각층분기별_유효전력량(전월)'!E2:E2018),0))</f>
        <v>0.0</v>
      </c>
      <c r="AB265" s="2869" t="n" cm="1">
        <f t="array" ref="AB265">INDEX('각층분기별_유효전력량(전월)'!F2:F2018,MATCH(1,("5-DaHall 1-PDU-04"='각층분기별_유효전력량(전월)'!D2:D2018)*("[branch#014] [A] kWh last month"='각층분기별_유효전력량(전월)'!E2:E2018),0))</f>
        <v>0.0</v>
      </c>
      <c r="AC265" s="2594" t="n">
        <f t="shared" si="94"/>
        <v>0.0</v>
      </c>
      <c r="AD265" s="2636"/>
      <c r="AH265" s="2470"/>
    </row>
    <row r="266" spans="1:34" ht="27" x14ac:dyDescent="0.15">
      <c r="A266" s="2769"/>
      <c r="B266" s="2834" t="s">
        <v>3701</v>
      </c>
      <c r="C266" s="904"/>
      <c r="D266" s="2834" t="s">
        <v>3702</v>
      </c>
      <c r="E266" s="2834" t="s">
        <v>3703</v>
      </c>
      <c r="F266" s="2831" t="s">
        <v>3704</v>
      </c>
      <c r="G266" s="2827" t="s">
        <v>3705</v>
      </c>
      <c r="H266" s="1666" t="str">
        <f t="shared" si="92"/>
        <v>5-DaHall1-PDU-03-30-27</v>
      </c>
      <c r="I266" s="1667" t="str">
        <f t="shared" si="93"/>
        <v>5-DaHall1-PDU-04-30-27</v>
      </c>
      <c r="J266" s="1635">
        <v>220</v>
      </c>
      <c r="K266" s="1636">
        <v>30</v>
      </c>
      <c r="L266" s="2483" t="s">
        <v>6926</v>
      </c>
      <c r="M266" s="1631">
        <v>27</v>
      </c>
      <c r="N266" s="1637">
        <v>220</v>
      </c>
      <c r="O266" s="1638">
        <v>30</v>
      </c>
      <c r="P266" s="2515" t="s">
        <v>6922</v>
      </c>
      <c r="Q266" s="1634">
        <v>27</v>
      </c>
      <c r="R266" s="3361"/>
      <c r="S266" s="3352"/>
      <c r="T266" s="3355"/>
      <c r="U266" s="3358"/>
      <c r="V266" s="3355"/>
      <c r="W266" s="3358"/>
      <c r="X266" s="840" t="n">
        <f>SUM('5층_부하량(월간_AVG)'!D101:F101)</f>
        <v>0.0</v>
      </c>
      <c r="Y266" s="840" t="n">
        <f>SUM('5층_부하량(월간_AVG)'!D131:F131)</f>
        <v>0.0</v>
      </c>
      <c r="Z266" s="2564" t="n">
        <f t="shared" si="95"/>
        <v>0.0</v>
      </c>
      <c r="AA266" s="2868" t="n" cm="1">
        <f t="array" ref="AA266">INDEX('각층분기별_유효전력량(전월)'!F2:F2018,MATCH(1,("5-DaHall 1-PDU-03"='각층분기별_유효전력량(전월)'!D2:D2018)*("[branch#015] [A] kWh last month"='각층분기별_유효전력량(전월)'!E2:E2018),0))</f>
        <v>0.0</v>
      </c>
      <c r="AB266" s="2869" t="n" cm="1">
        <f t="array" ref="AB266">INDEX('각층분기별_유효전력량(전월)'!F2:F2018,MATCH(1,("5-DaHall 1-PDU-04"='각층분기별_유효전력량(전월)'!D2:D2018)*("[branch#015] [A] kWh last month"='각층분기별_유효전력량(전월)'!E2:E2018),0))</f>
        <v>0.0</v>
      </c>
      <c r="AC266" s="2594" t="n">
        <f t="shared" si="94"/>
        <v>0.0</v>
      </c>
      <c r="AD266" s="2636"/>
      <c r="AH266" s="2470"/>
    </row>
    <row r="267" spans="1:34" ht="27" x14ac:dyDescent="0.15">
      <c r="A267" s="2769"/>
      <c r="B267" s="2834" t="s">
        <v>3706</v>
      </c>
      <c r="C267" s="904"/>
      <c r="D267" s="2834" t="s">
        <v>3707</v>
      </c>
      <c r="E267" s="2834" t="s">
        <v>3708</v>
      </c>
      <c r="F267" s="2831" t="s">
        <v>3709</v>
      </c>
      <c r="G267" s="2827" t="s">
        <v>3710</v>
      </c>
      <c r="H267" s="1666" t="str">
        <f t="shared" si="92"/>
        <v>5-DaHall1-PDU-03-30-29</v>
      </c>
      <c r="I267" s="1667" t="str">
        <f t="shared" si="93"/>
        <v>5-DaHall1-PDU-04-30-29</v>
      </c>
      <c r="J267" s="1635">
        <v>220</v>
      </c>
      <c r="K267" s="1636">
        <v>30</v>
      </c>
      <c r="L267" s="2483" t="s">
        <v>6926</v>
      </c>
      <c r="M267" s="1631">
        <v>29</v>
      </c>
      <c r="N267" s="1637">
        <v>220</v>
      </c>
      <c r="O267" s="1638">
        <v>30</v>
      </c>
      <c r="P267" s="2515" t="s">
        <v>6922</v>
      </c>
      <c r="Q267" s="1634">
        <v>29</v>
      </c>
      <c r="R267" s="3361"/>
      <c r="S267" s="3352"/>
      <c r="T267" s="3355"/>
      <c r="U267" s="3358"/>
      <c r="V267" s="3355"/>
      <c r="W267" s="3358"/>
      <c r="X267" s="840" t="n">
        <f>SUM('5층_부하량(월간_AVG)'!D102:F102)</f>
        <v>0.0</v>
      </c>
      <c r="Y267" s="840" t="n">
        <f>SUM('5층_부하량(월간_AVG)'!D132:F132)</f>
        <v>0.0</v>
      </c>
      <c r="Z267" s="2564" t="n">
        <f t="shared" si="95"/>
        <v>0.0</v>
      </c>
      <c r="AA267" s="2868" t="n" cm="1">
        <f t="array" ref="AA267">INDEX('각층분기별_유효전력량(전월)'!F2:F2018,MATCH(1,("5-DaHall 1-PDU-03"='각층분기별_유효전력량(전월)'!D2:D2018)*("[branch#016] [A] kWh last month"='각층분기별_유효전력량(전월)'!E2:E2018),0))</f>
        <v>0.0</v>
      </c>
      <c r="AB267" s="2869" t="n" cm="1">
        <f t="array" ref="AB267">INDEX('각층분기별_유효전력량(전월)'!F2:F2018,MATCH(1,("5-DaHall 1-PDU-04"='각층분기별_유효전력량(전월)'!D2:D2018)*("[branch#016] [A] kWh last month"='각층분기별_유효전력량(전월)'!E2:E2018),0))</f>
        <v>0.0</v>
      </c>
      <c r="AC267" s="2594" t="n">
        <f t="shared" si="94"/>
        <v>0.0</v>
      </c>
      <c r="AD267" s="2636"/>
      <c r="AH267" s="2470"/>
    </row>
    <row r="268" spans="1:34" ht="27" x14ac:dyDescent="0.15">
      <c r="A268" s="2769"/>
      <c r="B268" s="2834" t="s">
        <v>3711</v>
      </c>
      <c r="C268" s="904"/>
      <c r="D268" s="2834" t="s">
        <v>3712</v>
      </c>
      <c r="E268" s="2834" t="s">
        <v>3713</v>
      </c>
      <c r="F268" s="2831" t="s">
        <v>3714</v>
      </c>
      <c r="G268" s="2827" t="s">
        <v>3715</v>
      </c>
      <c r="H268" s="1666" t="str">
        <f t="shared" si="92"/>
        <v>5-DaHall1-PDU-03-30-31</v>
      </c>
      <c r="I268" s="1667" t="str">
        <f t="shared" si="93"/>
        <v>5-DaHall1-PDU-04-30-31</v>
      </c>
      <c r="J268" s="1635">
        <v>220</v>
      </c>
      <c r="K268" s="1636">
        <v>30</v>
      </c>
      <c r="L268" s="2483" t="s">
        <v>6926</v>
      </c>
      <c r="M268" s="1631">
        <v>31</v>
      </c>
      <c r="N268" s="1637">
        <v>220</v>
      </c>
      <c r="O268" s="1638">
        <v>30</v>
      </c>
      <c r="P268" s="2515" t="s">
        <v>6922</v>
      </c>
      <c r="Q268" s="1634">
        <v>31</v>
      </c>
      <c r="R268" s="3361"/>
      <c r="S268" s="3352"/>
      <c r="T268" s="3355"/>
      <c r="U268" s="3358"/>
      <c r="V268" s="3355"/>
      <c r="W268" s="3358"/>
      <c r="X268" s="840" t="n">
        <f>SUM('5층_부하량(월간_AVG)'!D103:F103)</f>
        <v>0.0</v>
      </c>
      <c r="Y268" s="840" t="n">
        <f>SUM('5층_부하량(월간_AVG)'!D133:F133)</f>
        <v>0.0</v>
      </c>
      <c r="Z268" s="2564" t="n">
        <f t="shared" si="95"/>
        <v>0.0</v>
      </c>
      <c r="AA268" s="2868" t="n" cm="1">
        <f t="array" ref="AA268">INDEX('각층분기별_유효전력량(전월)'!F2:F2018,MATCH(1,("5-DaHall 1-PDU-03"='각층분기별_유효전력량(전월)'!D2:D2018)*("[branch#017] [A] kWh last month"='각층분기별_유효전력량(전월)'!E2:E2018),0))</f>
        <v>0.0</v>
      </c>
      <c r="AB268" s="2869" t="n" cm="1">
        <f t="array" ref="AB268">INDEX('각층분기별_유효전력량(전월)'!F2:F2018,MATCH(1,("5-DaHall 1-PDU-04"='각층분기별_유효전력량(전월)'!D2:D2018)*("[branch#017] [A] kWh last month"='각층분기별_유효전력량(전월)'!E2:E2018),0))</f>
        <v>0.0</v>
      </c>
      <c r="AC268" s="2594" t="n">
        <f t="shared" si="94"/>
        <v>0.0</v>
      </c>
      <c r="AD268" s="2636"/>
      <c r="AH268" s="2470"/>
    </row>
    <row r="269" spans="1:34" ht="27" x14ac:dyDescent="0.15">
      <c r="A269" s="2769"/>
      <c r="B269" s="2834" t="s">
        <v>3716</v>
      </c>
      <c r="C269" s="904"/>
      <c r="D269" s="2834" t="s">
        <v>3717</v>
      </c>
      <c r="E269" s="2834" t="s">
        <v>3718</v>
      </c>
      <c r="F269" s="2831" t="s">
        <v>3719</v>
      </c>
      <c r="G269" s="2827" t="s">
        <v>3720</v>
      </c>
      <c r="H269" s="1666" t="str">
        <f t="shared" si="92"/>
        <v>5-DaHall1-PDU-03-30-33</v>
      </c>
      <c r="I269" s="1667" t="str">
        <f t="shared" si="93"/>
        <v>5-DaHall1-PDU-04-30-33</v>
      </c>
      <c r="J269" s="1629">
        <v>220</v>
      </c>
      <c r="K269" s="1630">
        <v>30</v>
      </c>
      <c r="L269" s="2483" t="s">
        <v>6926</v>
      </c>
      <c r="M269" s="1631">
        <v>33</v>
      </c>
      <c r="N269" s="1632">
        <v>220</v>
      </c>
      <c r="O269" s="1633">
        <v>30</v>
      </c>
      <c r="P269" s="2515" t="s">
        <v>6922</v>
      </c>
      <c r="Q269" s="1634">
        <v>33</v>
      </c>
      <c r="R269" s="3361"/>
      <c r="S269" s="3352"/>
      <c r="T269" s="3355"/>
      <c r="U269" s="3358"/>
      <c r="V269" s="3355"/>
      <c r="W269" s="3358"/>
      <c r="X269" s="840" t="n">
        <f>SUM('5층_부하량(월간_AVG)'!D104:F104)</f>
        <v>0.0</v>
      </c>
      <c r="Y269" s="840" t="n">
        <f>SUM('5층_부하량(월간_AVG)'!D134:F134)</f>
        <v>0.0</v>
      </c>
      <c r="Z269" s="2564" t="n">
        <f t="shared" si="95"/>
        <v>0.0</v>
      </c>
      <c r="AA269" s="2868" t="n" cm="1">
        <f t="array" ref="AA269">INDEX('각층분기별_유효전력량(전월)'!F2:F2018,MATCH(1,("5-DaHall 1-PDU-03"='각층분기별_유효전력량(전월)'!D2:D2018)*("[branch#018] [A] kWh last month"='각층분기별_유효전력량(전월)'!E2:E2018),0))</f>
        <v>0.0</v>
      </c>
      <c r="AB269" s="2869" t="n" cm="1">
        <f t="array" ref="AB269">INDEX('각층분기별_유효전력량(전월)'!F2:F2018,MATCH(1,("5-DaHall 1-PDU-04"='각층분기별_유효전력량(전월)'!D2:D2018)*("[branch#018] [A] kWh last month"='각층분기별_유효전력량(전월)'!E2:E2018),0))</f>
        <v>0.0</v>
      </c>
      <c r="AC269" s="2594" t="n">
        <f t="shared" si="94"/>
        <v>0.0</v>
      </c>
      <c r="AD269" s="2636"/>
      <c r="AH269" s="2470"/>
    </row>
    <row r="270" spans="1:34" ht="27" x14ac:dyDescent="0.15">
      <c r="A270" s="2769"/>
      <c r="B270" s="2834" t="s">
        <v>3721</v>
      </c>
      <c r="C270" s="904"/>
      <c r="D270" s="2834" t="s">
        <v>3722</v>
      </c>
      <c r="E270" s="2834" t="s">
        <v>3723</v>
      </c>
      <c r="F270" s="2831" t="s">
        <v>3724</v>
      </c>
      <c r="G270" s="2827" t="s">
        <v>3725</v>
      </c>
      <c r="H270" s="1666" t="str">
        <f t="shared" si="92"/>
        <v>5-DaHall1-PDU-03-30-1</v>
      </c>
      <c r="I270" s="1667" t="str">
        <f t="shared" si="93"/>
        <v>5-DaHall1-PDU-04-30-1</v>
      </c>
      <c r="J270" s="1629">
        <v>220</v>
      </c>
      <c r="K270" s="1630">
        <v>30</v>
      </c>
      <c r="L270" s="2483" t="s">
        <v>6926</v>
      </c>
      <c r="M270" s="1631">
        <v>1</v>
      </c>
      <c r="N270" s="1632">
        <v>220</v>
      </c>
      <c r="O270" s="1633">
        <v>30</v>
      </c>
      <c r="P270" s="2515" t="s">
        <v>6922</v>
      </c>
      <c r="Q270" s="1634">
        <v>1</v>
      </c>
      <c r="R270" s="3361"/>
      <c r="S270" s="3352"/>
      <c r="T270" s="3355"/>
      <c r="U270" s="3358"/>
      <c r="V270" s="3355"/>
      <c r="W270" s="3358"/>
      <c r="X270" s="1013" t="n">
        <f>SUM('5층_부하량(월간_AVG)'!D88:F88)</f>
        <v>0.0</v>
      </c>
      <c r="Y270" s="1013" t="n">
        <f>SUM('5층_부하량(월간_AVG)'!D118:F118)</f>
        <v>0.0</v>
      </c>
      <c r="Z270" s="2568" t="n">
        <f t="shared" si="95"/>
        <v>0.0</v>
      </c>
      <c r="AA270" s="2925" t="n" cm="1">
        <f t="array" ref="AA270">INDEX('각층분기별_유효전력량(전월)'!F2:F2018,MATCH(1,("5-DaHall 1-PDU-03"='각층분기별_유효전력량(전월)'!D2:D2018)*("[branch#002] [A] kWh last month"='각층분기별_유효전력량(전월)'!E2:E2018),0))</f>
        <v>0.0</v>
      </c>
      <c r="AB270" s="2926" t="n" cm="1">
        <f t="array" ref="AB270">INDEX('각층분기별_유효전력량(전월)'!F2:F2018,MATCH(1,("5-DaHall 1-PDU-04"='각층분기별_유효전력량(전월)'!D2:D2018)*("[branch#002] [A] kWh last month"='각층분기별_유효전력량(전월)'!E2:E2018),0))</f>
        <v>0.0</v>
      </c>
      <c r="AC270" s="2594" t="n">
        <f t="shared" si="94"/>
        <v>0.0</v>
      </c>
      <c r="AD270" s="2643"/>
      <c r="AH270" s="2470"/>
    </row>
    <row r="271" spans="1:34" ht="27" x14ac:dyDescent="0.15">
      <c r="A271" s="2769"/>
      <c r="B271" s="2834" t="s">
        <v>3726</v>
      </c>
      <c r="C271" s="904"/>
      <c r="D271" s="2834" t="s">
        <v>3727</v>
      </c>
      <c r="E271" s="2834" t="s">
        <v>3728</v>
      </c>
      <c r="F271" s="2831" t="s">
        <v>3729</v>
      </c>
      <c r="G271" s="2827" t="s">
        <v>3730</v>
      </c>
      <c r="H271" s="1666" t="str">
        <f t="shared" si="92"/>
        <v>5-DaHall1-PDU-03-30-3</v>
      </c>
      <c r="I271" s="1667" t="str">
        <f t="shared" si="93"/>
        <v>5-DaHall1-PDU-04-30-3</v>
      </c>
      <c r="J271" s="1629">
        <v>220</v>
      </c>
      <c r="K271" s="1630">
        <v>30</v>
      </c>
      <c r="L271" s="2483" t="s">
        <v>6926</v>
      </c>
      <c r="M271" s="1631">
        <v>3</v>
      </c>
      <c r="N271" s="1632">
        <v>220</v>
      </c>
      <c r="O271" s="1633">
        <v>30</v>
      </c>
      <c r="P271" s="2515" t="s">
        <v>6922</v>
      </c>
      <c r="Q271" s="1634">
        <v>3</v>
      </c>
      <c r="R271" s="3362"/>
      <c r="S271" s="3353"/>
      <c r="T271" s="3356"/>
      <c r="U271" s="3359"/>
      <c r="V271" s="3356"/>
      <c r="W271" s="3359"/>
      <c r="X271" s="840" t="n">
        <f>SUM('5층_부하량(월간_AVG)'!D89:F89)</f>
        <v>0.0</v>
      </c>
      <c r="Y271" s="840" t="n">
        <f>SUM('5층_부하량(월간_AVG)'!D119:F119)</f>
        <v>0.0</v>
      </c>
      <c r="Z271" s="2564" t="n">
        <f t="shared" si="95"/>
        <v>0.0</v>
      </c>
      <c r="AA271" s="2868" t="n" cm="1">
        <f t="array" ref="AA271">INDEX('각층분기별_유효전력량(전월)'!F2:F2018,MATCH(1,("5-DaHall 1-PDU-03"='각층분기별_유효전력량(전월)'!D2:D2018)*("[branch#003] [A] kWh last month"='각층분기별_유효전력량(전월)'!E2:E2018),0))</f>
        <v>0.0</v>
      </c>
      <c r="AB271" s="2869" t="n" cm="1">
        <f t="array" ref="AB271">INDEX('각층분기별_유효전력량(전월)'!F2:F2018,MATCH(1,("5-DaHall 1-PDU-04"='각층분기별_유효전력량(전월)'!D2:D2018)*("[branch#003] [A] kWh last month"='각층분기별_유효전력량(전월)'!E2:E2018),0))</f>
        <v>0.0</v>
      </c>
      <c r="AC271" s="2594" t="n">
        <f t="shared" si="94"/>
        <v>0.0</v>
      </c>
      <c r="AD271" s="2636"/>
      <c r="AH271" s="2470"/>
    </row>
    <row r="272" spans="1:34" ht="27" x14ac:dyDescent="0.15">
      <c r="A272" s="2769"/>
      <c r="B272" s="2834" t="s">
        <v>3565</v>
      </c>
      <c r="C272" s="904"/>
      <c r="D272" s="2834" t="s">
        <v>3731</v>
      </c>
      <c r="E272" s="2834" t="s">
        <v>3732</v>
      </c>
      <c r="F272" s="2831" t="s">
        <v>3733</v>
      </c>
      <c r="G272" s="2827" t="s">
        <v>3734</v>
      </c>
      <c r="H272" s="1666" t="str">
        <f t="shared" si="92"/>
        <v>5-DaHall1-PDU-01-30-12</v>
      </c>
      <c r="I272" s="1667" t="str">
        <f t="shared" si="93"/>
        <v>5-DaHall1-PDU-02-30-12</v>
      </c>
      <c r="J272" s="1635">
        <v>220</v>
      </c>
      <c r="K272" s="1636">
        <v>30</v>
      </c>
      <c r="L272" s="2483" t="s">
        <v>6924</v>
      </c>
      <c r="M272" s="1631">
        <v>12</v>
      </c>
      <c r="N272" s="1637">
        <v>220</v>
      </c>
      <c r="O272" s="1638">
        <v>30</v>
      </c>
      <c r="P272" s="2515" t="s">
        <v>6920</v>
      </c>
      <c r="Q272" s="1634">
        <v>12</v>
      </c>
      <c r="R272" s="3360" t="s">
        <v>3181</v>
      </c>
      <c r="S272" s="3351" t="s">
        <v>3182</v>
      </c>
      <c r="T272" s="3354" t="s">
        <v>3183</v>
      </c>
      <c r="U272" s="3357" t="s">
        <v>3184</v>
      </c>
      <c r="V272" s="3354" t="s">
        <v>2820</v>
      </c>
      <c r="W272" s="3357" t="s">
        <v>2821</v>
      </c>
      <c r="X272" s="840" t="n">
        <f>SUM('5층_부하량(월간_AVG)'!N33:P33)</f>
        <v>0.0</v>
      </c>
      <c r="Y272" s="840" t="n">
        <f>SUM('5층_부하량(월간_AVG)'!N63:P63)</f>
        <v>0.0</v>
      </c>
      <c r="Z272" s="2564" t="n">
        <f t="shared" si="95"/>
        <v>0.0</v>
      </c>
      <c r="AA272" s="2868" t="n" cm="1">
        <f t="array" ref="AA272">INDEX('각층분기별_유효전력량(전월)'!F2:F2018,MATCH(1,("5-DaHall 1-PDU-01"='각층분기별_유효전력량(전월)'!D2:D2018)*("[branch#061] [A] kWh last month"='각층분기별_유효전력량(전월)'!E2:E2018),0))</f>
        <v>0.0</v>
      </c>
      <c r="AB272" s="2869" t="n" cm="1">
        <f t="array" ref="AB272">INDEX('각층분기별_유효전력량(전월)'!F2:F2018,MATCH(1,("5-DaHall 1-PDU-02"='각층분기별_유효전력량(전월)'!D2:D2018)*("[branch#061] [A] kWh last month"='각층분기별_유효전력량(전월)'!E2:E2018),0))</f>
        <v>0.0</v>
      </c>
      <c r="AC272" s="2594" t="n">
        <f t="shared" si="94"/>
        <v>0.0</v>
      </c>
      <c r="AD272" s="2636" t="s">
        <v>3381</v>
      </c>
      <c r="AH272" s="2470"/>
    </row>
    <row r="273" spans="1:34" ht="27" x14ac:dyDescent="0.15">
      <c r="A273" s="2769"/>
      <c r="B273" s="2834" t="s">
        <v>3735</v>
      </c>
      <c r="C273" s="904"/>
      <c r="D273" s="2834" t="s">
        <v>3736</v>
      </c>
      <c r="E273" s="2834" t="s">
        <v>3737</v>
      </c>
      <c r="F273" s="2831" t="s">
        <v>3738</v>
      </c>
      <c r="G273" s="2827" t="s">
        <v>3739</v>
      </c>
      <c r="H273" s="1666" t="str">
        <f t="shared" si="92"/>
        <v>5-DaHall1-PDU-01-30-14</v>
      </c>
      <c r="I273" s="1667" t="str">
        <f t="shared" si="93"/>
        <v>5-DaHall1-PDU-02-30-14</v>
      </c>
      <c r="J273" s="1635">
        <v>220</v>
      </c>
      <c r="K273" s="1636">
        <v>30</v>
      </c>
      <c r="L273" s="2483" t="s">
        <v>6924</v>
      </c>
      <c r="M273" s="1631">
        <v>14</v>
      </c>
      <c r="N273" s="1637">
        <v>220</v>
      </c>
      <c r="O273" s="1638">
        <v>30</v>
      </c>
      <c r="P273" s="2515" t="s">
        <v>6920</v>
      </c>
      <c r="Q273" s="1634">
        <v>14</v>
      </c>
      <c r="R273" s="3361"/>
      <c r="S273" s="3352"/>
      <c r="T273" s="3355"/>
      <c r="U273" s="3358"/>
      <c r="V273" s="3355"/>
      <c r="W273" s="3358"/>
      <c r="X273" s="840" t="n">
        <f>SUM('5층_부하량(월간_AVG)'!N34:P34)</f>
        <v>0.0</v>
      </c>
      <c r="Y273" s="840" t="n">
        <f>SUM('5층_부하량(월간_AVG)'!N64:P64)</f>
        <v>0.0</v>
      </c>
      <c r="Z273" s="2564" t="n">
        <f t="shared" si="95"/>
        <v>0.0</v>
      </c>
      <c r="AA273" s="2868" t="n" cm="1">
        <f t="array" ref="AA273">INDEX('각층분기별_유효전력량(전월)'!F2:F2018,MATCH(1,("5-DaHall 1-PDU-01"='각층분기별_유효전력량(전월)'!D2:D2018)*("[branch#062] [A] kWh last month"='각층분기별_유효전력량(전월)'!E2:E2018),0))</f>
        <v>0.0</v>
      </c>
      <c r="AB273" s="2869" t="n" cm="1">
        <f t="array" ref="AB273">INDEX('각층분기별_유효전력량(전월)'!F2:F2018,MATCH(1,("5-DaHall 1-PDU-02"='각층분기별_유효전력량(전월)'!D2:D2018)*("[branch#062] [A] kWh last month"='각층분기별_유효전력량(전월)'!E2:E2018),0))</f>
        <v>0.0</v>
      </c>
      <c r="AC273" s="2594" t="n">
        <f t="shared" si="94"/>
        <v>0.0</v>
      </c>
      <c r="AD273" s="2636"/>
      <c r="AH273" s="2470"/>
    </row>
    <row r="274" spans="1:34" ht="27" x14ac:dyDescent="0.15">
      <c r="A274" s="2769"/>
      <c r="B274" s="2834" t="s">
        <v>3740</v>
      </c>
      <c r="C274" s="904"/>
      <c r="D274" s="2834" t="s">
        <v>3741</v>
      </c>
      <c r="E274" s="2834" t="s">
        <v>3742</v>
      </c>
      <c r="F274" s="2831" t="s">
        <v>3743</v>
      </c>
      <c r="G274" s="2827" t="s">
        <v>3744</v>
      </c>
      <c r="H274" s="1666" t="str">
        <f t="shared" si="92"/>
        <v>5-DaHall1-PDU-01-30-16</v>
      </c>
      <c r="I274" s="1667" t="str">
        <f t="shared" si="93"/>
        <v>5-DaHall1-PDU-02-30-16</v>
      </c>
      <c r="J274" s="1635">
        <v>220</v>
      </c>
      <c r="K274" s="1636">
        <v>30</v>
      </c>
      <c r="L274" s="2483" t="s">
        <v>6924</v>
      </c>
      <c r="M274" s="1631">
        <v>16</v>
      </c>
      <c r="N274" s="1637">
        <v>220</v>
      </c>
      <c r="O274" s="1638">
        <v>30</v>
      </c>
      <c r="P274" s="2515" t="s">
        <v>6920</v>
      </c>
      <c r="Q274" s="1634">
        <v>16</v>
      </c>
      <c r="R274" s="3361"/>
      <c r="S274" s="3352"/>
      <c r="T274" s="3355"/>
      <c r="U274" s="3358"/>
      <c r="V274" s="3355"/>
      <c r="W274" s="3358"/>
      <c r="X274" s="840" t="n">
        <f>SUM('5층_부하량(월간_AVG)'!N35:P35)</f>
        <v>0.0</v>
      </c>
      <c r="Y274" s="840" t="n">
        <f>SUM('5층_부하량(월간_AVG)'!N65:P65)</f>
        <v>0.0</v>
      </c>
      <c r="Z274" s="2564" t="n">
        <f t="shared" si="95"/>
        <v>0.0</v>
      </c>
      <c r="AA274" s="2868" t="n" cm="1">
        <f t="array" ref="AA274">INDEX('각층분기별_유효전력량(전월)'!F2:F2018,MATCH(1,("5-DaHall 1-PDU-01"='각층분기별_유효전력량(전월)'!D2:D2018)*("[branch#063] [A] kWh last month"='각층분기별_유효전력량(전월)'!E2:E2018),0))</f>
        <v>0.0</v>
      </c>
      <c r="AB274" s="2869" t="n" cm="1">
        <f t="array" ref="AB274">INDEX('각층분기별_유효전력량(전월)'!F2:F2018,MATCH(1,("5-DaHall 1-PDU-02"='각층분기별_유효전력량(전월)'!D2:D2018)*("[branch#063] [A] kWh last month"='각층분기별_유효전력량(전월)'!E2:E2018),0))</f>
        <v>0.0</v>
      </c>
      <c r="AC274" s="2594" t="n">
        <f t="shared" si="94"/>
        <v>0.0</v>
      </c>
      <c r="AD274" s="2636"/>
      <c r="AH274" s="2470"/>
    </row>
    <row r="275" spans="1:34" ht="27" x14ac:dyDescent="0.15">
      <c r="A275" s="2769"/>
      <c r="B275" s="2834" t="s">
        <v>3745</v>
      </c>
      <c r="C275" s="904"/>
      <c r="D275" s="2834" t="s">
        <v>3746</v>
      </c>
      <c r="E275" s="2834" t="s">
        <v>3747</v>
      </c>
      <c r="F275" s="2831" t="s">
        <v>3748</v>
      </c>
      <c r="G275" s="2827" t="s">
        <v>3749</v>
      </c>
      <c r="H275" s="1666" t="str">
        <f t="shared" si="92"/>
        <v>5-DaHall1-PDU-01-30-18</v>
      </c>
      <c r="I275" s="1667" t="str">
        <f t="shared" si="93"/>
        <v>5-DaHall1-PDU-02-30-18</v>
      </c>
      <c r="J275" s="1635">
        <v>220</v>
      </c>
      <c r="K275" s="1636">
        <v>30</v>
      </c>
      <c r="L275" s="2483" t="s">
        <v>6924</v>
      </c>
      <c r="M275" s="1631">
        <v>18</v>
      </c>
      <c r="N275" s="1637">
        <v>220</v>
      </c>
      <c r="O275" s="1638">
        <v>30</v>
      </c>
      <c r="P275" s="2515" t="s">
        <v>6920</v>
      </c>
      <c r="Q275" s="1634">
        <v>18</v>
      </c>
      <c r="R275" s="3361"/>
      <c r="S275" s="3352"/>
      <c r="T275" s="3355"/>
      <c r="U275" s="3358"/>
      <c r="V275" s="3355"/>
      <c r="W275" s="3358"/>
      <c r="X275" s="840" t="n">
        <f>SUM('5층_부하량(월간_AVG)'!N36:P36)</f>
        <v>0.0</v>
      </c>
      <c r="Y275" s="840" t="n">
        <f>SUM('5층_부하량(월간_AVG)'!N66:P66)</f>
        <v>0.0</v>
      </c>
      <c r="Z275" s="2564" t="n">
        <f t="shared" si="95"/>
        <v>0.0</v>
      </c>
      <c r="AA275" s="2868" t="n" cm="1">
        <f t="array" ref="AA275">INDEX('각층분기별_유효전력량(전월)'!F2:F2018,MATCH(1,("5-DaHall 1-PDU-01"='각층분기별_유효전력량(전월)'!D2:D2018)*("[branch#064] [A] kWh last month"='각층분기별_유효전력량(전월)'!E2:E2018),0))</f>
        <v>0.0</v>
      </c>
      <c r="AB275" s="2869" t="n" cm="1">
        <f t="array" ref="AB275">INDEX('각층분기별_유효전력량(전월)'!F2:F2018,MATCH(1,("5-DaHall 1-PDU-02"='각층분기별_유효전력량(전월)'!D2:D2018)*("[branch#064] [A] kWh last month"='각층분기별_유효전력량(전월)'!E2:E2018),0))</f>
        <v>0.0</v>
      </c>
      <c r="AC275" s="2594" t="n">
        <f t="shared" si="94"/>
        <v>0.0</v>
      </c>
      <c r="AD275" s="2636"/>
      <c r="AH275" s="2470"/>
    </row>
    <row r="276" spans="1:34" ht="27" x14ac:dyDescent="0.15">
      <c r="A276" s="2769"/>
      <c r="B276" s="2834" t="s">
        <v>3750</v>
      </c>
      <c r="C276" s="904"/>
      <c r="D276" s="2834" t="s">
        <v>3751</v>
      </c>
      <c r="E276" s="2834" t="s">
        <v>3752</v>
      </c>
      <c r="F276" s="2831" t="s">
        <v>3753</v>
      </c>
      <c r="G276" s="2827" t="s">
        <v>3754</v>
      </c>
      <c r="H276" s="1666" t="str">
        <f t="shared" si="92"/>
        <v>5-DaHall1-PDU-01-30-20</v>
      </c>
      <c r="I276" s="1667" t="str">
        <f t="shared" si="93"/>
        <v>5-DaHall1-PDU-02-30-20</v>
      </c>
      <c r="J276" s="1635">
        <v>220</v>
      </c>
      <c r="K276" s="1636">
        <v>30</v>
      </c>
      <c r="L276" s="2483" t="s">
        <v>6924</v>
      </c>
      <c r="M276" s="1631">
        <v>20</v>
      </c>
      <c r="N276" s="1637">
        <v>220</v>
      </c>
      <c r="O276" s="1638">
        <v>30</v>
      </c>
      <c r="P276" s="2515" t="s">
        <v>6920</v>
      </c>
      <c r="Q276" s="1634">
        <v>20</v>
      </c>
      <c r="R276" s="3361"/>
      <c r="S276" s="3352"/>
      <c r="T276" s="3355"/>
      <c r="U276" s="3358"/>
      <c r="V276" s="3355"/>
      <c r="W276" s="3358"/>
      <c r="X276" s="840" t="n">
        <f>SUM('5층_부하량(월간_AVG)'!N37:P37)</f>
        <v>0.0</v>
      </c>
      <c r="Y276" s="840" t="n">
        <f>SUM('5층_부하량(월간_AVG)'!N67:P67)</f>
        <v>0.0</v>
      </c>
      <c r="Z276" s="2564" t="n">
        <f t="shared" si="95"/>
        <v>0.0</v>
      </c>
      <c r="AA276" s="2868" t="n" cm="1">
        <f t="array" ref="AA276">INDEX('각층분기별_유효전력량(전월)'!F2:F2018,MATCH(1,("5-DaHall 1-PDU-01"='각층분기별_유효전력량(전월)'!D2:D2018)*("[branch#065] [A] kWh last month"='각층분기별_유효전력량(전월)'!E2:E2018),0))</f>
        <v>0.0</v>
      </c>
      <c r="AB276" s="2869" t="n" cm="1">
        <f t="array" ref="AB276">INDEX('각층분기별_유효전력량(전월)'!F2:F2018,MATCH(1,("5-DaHall 1-PDU-02"='각층분기별_유효전력량(전월)'!D2:D2018)*("[branch#065] [A] kWh last month"='각층분기별_유효전력량(전월)'!E2:E2018),0))</f>
        <v>0.0</v>
      </c>
      <c r="AC276" s="2594" t="n">
        <f t="shared" si="94"/>
        <v>0.0</v>
      </c>
      <c r="AD276" s="2636"/>
      <c r="AH276" s="2470"/>
    </row>
    <row r="277" spans="1:34" ht="27" x14ac:dyDescent="0.15">
      <c r="A277" s="2769"/>
      <c r="B277" s="2834" t="s">
        <v>3755</v>
      </c>
      <c r="C277" s="904"/>
      <c r="D277" s="2834" t="s">
        <v>3756</v>
      </c>
      <c r="E277" s="2834" t="s">
        <v>3757</v>
      </c>
      <c r="F277" s="2831" t="s">
        <v>3758</v>
      </c>
      <c r="G277" s="2827" t="s">
        <v>3759</v>
      </c>
      <c r="H277" s="1666" t="str">
        <f t="shared" si="92"/>
        <v>5-DaHall1-PDU-01-30-22</v>
      </c>
      <c r="I277" s="1667" t="str">
        <f t="shared" si="93"/>
        <v>5-DaHall1-PDU-02-30-22</v>
      </c>
      <c r="J277" s="1635">
        <v>220</v>
      </c>
      <c r="K277" s="1636">
        <v>30</v>
      </c>
      <c r="L277" s="2483" t="s">
        <v>6924</v>
      </c>
      <c r="M277" s="1631">
        <v>22</v>
      </c>
      <c r="N277" s="1637">
        <v>220</v>
      </c>
      <c r="O277" s="1638">
        <v>30</v>
      </c>
      <c r="P277" s="2515" t="s">
        <v>6920</v>
      </c>
      <c r="Q277" s="1634">
        <v>22</v>
      </c>
      <c r="R277" s="3361"/>
      <c r="S277" s="3352"/>
      <c r="T277" s="3355"/>
      <c r="U277" s="3358"/>
      <c r="V277" s="3355"/>
      <c r="W277" s="3358"/>
      <c r="X277" s="840" t="n">
        <f>SUM('5층_부하량(월간_AVG)'!N38:P38)</f>
        <v>0.0</v>
      </c>
      <c r="Y277" s="840" t="n">
        <f>SUM('5층_부하량(월간_AVG)'!N68:P68)</f>
        <v>0.0</v>
      </c>
      <c r="Z277" s="2564" t="n">
        <f t="shared" si="95"/>
        <v>0.0</v>
      </c>
      <c r="AA277" s="2868" t="n" cm="1">
        <f t="array" ref="AA277">INDEX('각층분기별_유효전력량(전월)'!F2:F2018,MATCH(1,("5-DaHall 1-PDU-01"='각층분기별_유효전력량(전월)'!D2:D2018)*("[branch#066] [A] kWh last month"='각층분기별_유효전력량(전월)'!E2:E2018),0))</f>
        <v>0.0</v>
      </c>
      <c r="AB277" s="2869" t="n" cm="1">
        <f t="array" ref="AB277">INDEX('각층분기별_유효전력량(전월)'!F2:F2018,MATCH(1,("5-DaHall 1-PDU-02"='각층분기별_유효전력량(전월)'!D2:D2018)*("[branch#066] [A] kWh last month"='각층분기별_유효전력량(전월)'!E2:E2018),0))</f>
        <v>0.0</v>
      </c>
      <c r="AC277" s="2594" t="n">
        <f t="shared" si="94"/>
        <v>0.0</v>
      </c>
      <c r="AD277" s="2636"/>
      <c r="AH277" s="2470"/>
    </row>
    <row r="278" spans="1:34" ht="27" x14ac:dyDescent="0.15">
      <c r="A278" s="2769"/>
      <c r="B278" s="2834" t="s">
        <v>3760</v>
      </c>
      <c r="C278" s="904"/>
      <c r="D278" s="2834" t="s">
        <v>3761</v>
      </c>
      <c r="E278" s="2834" t="s">
        <v>3762</v>
      </c>
      <c r="F278" s="2831" t="s">
        <v>3763</v>
      </c>
      <c r="G278" s="2827" t="s">
        <v>3764</v>
      </c>
      <c r="H278" s="1666" t="str">
        <f t="shared" si="92"/>
        <v>5-DaHall1-PDU-01-30-24</v>
      </c>
      <c r="I278" s="1667" t="str">
        <f t="shared" si="93"/>
        <v>5-DaHall1-PDU-02-30-24</v>
      </c>
      <c r="J278" s="1629">
        <v>220</v>
      </c>
      <c r="K278" s="1630">
        <v>30</v>
      </c>
      <c r="L278" s="2483" t="s">
        <v>6924</v>
      </c>
      <c r="M278" s="1631">
        <v>24</v>
      </c>
      <c r="N278" s="1632">
        <v>220</v>
      </c>
      <c r="O278" s="1633">
        <v>30</v>
      </c>
      <c r="P278" s="2515" t="s">
        <v>6920</v>
      </c>
      <c r="Q278" s="1634">
        <v>24</v>
      </c>
      <c r="R278" s="3361"/>
      <c r="S278" s="3352"/>
      <c r="T278" s="3355"/>
      <c r="U278" s="3358"/>
      <c r="V278" s="3355"/>
      <c r="W278" s="3358"/>
      <c r="X278" s="840" t="n">
        <f>SUM('5층_부하량(월간_AVG)'!N39:P39)</f>
        <v>0.0</v>
      </c>
      <c r="Y278" s="840" t="n">
        <f>SUM('5층_부하량(월간_AVG)'!N69:P69)</f>
        <v>0.0</v>
      </c>
      <c r="Z278" s="2564" t="n">
        <f t="shared" si="95"/>
        <v>0.0</v>
      </c>
      <c r="AA278" s="2868" t="n" cm="1">
        <f t="array" ref="AA278">INDEX('각층분기별_유효전력량(전월)'!F2:F2018,MATCH(1,("5-DaHall 1-PDU-01"='각층분기별_유효전력량(전월)'!D2:D2018)*("[branch#067] [A] kWh last month"='각층분기별_유효전력량(전월)'!E2:E2018),0))</f>
        <v>0.0</v>
      </c>
      <c r="AB278" s="2869" t="n" cm="1">
        <f t="array" ref="AB278">INDEX('각층분기별_유효전력량(전월)'!F2:F2018,MATCH(1,("5-DaHall 1-PDU-02"='각층분기별_유효전력량(전월)'!D2:D2018)*("[branch#067] [A] kWh last month"='각층분기별_유효전력량(전월)'!E2:E2018),0))</f>
        <v>0.0</v>
      </c>
      <c r="AC278" s="2594" t="n">
        <f t="shared" si="94"/>
        <v>0.0</v>
      </c>
      <c r="AD278" s="2636"/>
      <c r="AH278" s="2470"/>
    </row>
    <row r="279" spans="1:34" ht="27" x14ac:dyDescent="0.15">
      <c r="A279" s="2769"/>
      <c r="B279" s="2834" t="s">
        <v>3765</v>
      </c>
      <c r="C279" s="904"/>
      <c r="D279" s="2834" t="s">
        <v>3766</v>
      </c>
      <c r="E279" s="2834" t="s">
        <v>3767</v>
      </c>
      <c r="F279" s="2831" t="s">
        <v>3768</v>
      </c>
      <c r="G279" s="2827" t="s">
        <v>3769</v>
      </c>
      <c r="H279" s="1666" t="str">
        <f t="shared" si="92"/>
        <v>5-DaHall1-PDU-01-30-26</v>
      </c>
      <c r="I279" s="1667" t="str">
        <f t="shared" si="93"/>
        <v>5-DaHall1-PDU-02-30-26</v>
      </c>
      <c r="J279" s="1629">
        <v>220</v>
      </c>
      <c r="K279" s="1630">
        <v>30</v>
      </c>
      <c r="L279" s="2483" t="s">
        <v>6924</v>
      </c>
      <c r="M279" s="1631">
        <v>26</v>
      </c>
      <c r="N279" s="1632">
        <v>220</v>
      </c>
      <c r="O279" s="1633">
        <v>30</v>
      </c>
      <c r="P279" s="2515" t="s">
        <v>6920</v>
      </c>
      <c r="Q279" s="1634">
        <v>26</v>
      </c>
      <c r="R279" s="3361"/>
      <c r="S279" s="3352"/>
      <c r="T279" s="3355"/>
      <c r="U279" s="3358"/>
      <c r="V279" s="3355"/>
      <c r="W279" s="3358"/>
      <c r="X279" s="840" t="n">
        <f>SUM('5층_부하량(월간_AVG)'!N40:P40)</f>
        <v>0.0</v>
      </c>
      <c r="Y279" s="840" t="n">
        <f>SUM('5층_부하량(월간_AVG)'!N70:P70)</f>
        <v>0.0</v>
      </c>
      <c r="Z279" s="2564" t="n">
        <f t="shared" si="95"/>
        <v>0.0</v>
      </c>
      <c r="AA279" s="2868" t="n" cm="1">
        <f t="array" ref="AA279">INDEX('각층분기별_유효전력량(전월)'!F2:F2018,MATCH(1,("5-DaHall 1-PDU-01"='각층분기별_유효전력량(전월)'!D2:D2018)*("[branch#068] [A] kWh last month"='각층분기별_유효전력량(전월)'!E2:E2018),0))</f>
        <v>0.0</v>
      </c>
      <c r="AB279" s="2869" t="n" cm="1">
        <f t="array" ref="AB279">INDEX('각층분기별_유효전력량(전월)'!F2:F2018,MATCH(1,("5-DaHall 1-PDU-02"='각층분기별_유효전력량(전월)'!D2:D2018)*("[branch#068] [A] kWh last month"='각층분기별_유효전력량(전월)'!E2:E2018),0))</f>
        <v>0.0</v>
      </c>
      <c r="AC279" s="2594" t="n">
        <f t="shared" si="94"/>
        <v>0.0</v>
      </c>
      <c r="AD279" s="2636"/>
      <c r="AH279" s="2470"/>
    </row>
    <row r="280" spans="1:34" ht="27" x14ac:dyDescent="0.15">
      <c r="A280" s="2769"/>
      <c r="B280" s="2834" t="s">
        <v>3770</v>
      </c>
      <c r="C280" s="904"/>
      <c r="D280" s="2834" t="s">
        <v>3771</v>
      </c>
      <c r="E280" s="2834" t="s">
        <v>3772</v>
      </c>
      <c r="F280" s="2831" t="s">
        <v>3773</v>
      </c>
      <c r="G280" s="2827" t="s">
        <v>3774</v>
      </c>
      <c r="H280" s="1666" t="str">
        <f t="shared" si="92"/>
        <v>5-DaHall1-PDU-01-30-28</v>
      </c>
      <c r="I280" s="1667" t="str">
        <f t="shared" si="93"/>
        <v>5-DaHall1-PDU-02-30-28</v>
      </c>
      <c r="J280" s="1629">
        <v>220</v>
      </c>
      <c r="K280" s="1630">
        <v>30</v>
      </c>
      <c r="L280" s="2483" t="s">
        <v>6924</v>
      </c>
      <c r="M280" s="1631">
        <v>28</v>
      </c>
      <c r="N280" s="1632">
        <v>220</v>
      </c>
      <c r="O280" s="1633">
        <v>30</v>
      </c>
      <c r="P280" s="2515" t="s">
        <v>6920</v>
      </c>
      <c r="Q280" s="1634">
        <v>28</v>
      </c>
      <c r="R280" s="3361"/>
      <c r="S280" s="3352"/>
      <c r="T280" s="3355"/>
      <c r="U280" s="3358"/>
      <c r="V280" s="3355"/>
      <c r="W280" s="3358"/>
      <c r="X280" s="840" t="n">
        <f>SUM('5층_부하량(월간_AVG)'!N41:P41)</f>
        <v>0.0</v>
      </c>
      <c r="Y280" s="840" t="n">
        <f>SUM('5층_부하량(월간_AVG)'!N71:P71)</f>
        <v>0.0</v>
      </c>
      <c r="Z280" s="2564" t="n">
        <f t="shared" si="95"/>
        <v>0.0</v>
      </c>
      <c r="AA280" s="2868" t="n" cm="1">
        <f t="array" ref="AA280">INDEX('각층분기별_유효전력량(전월)'!F2:F2018,MATCH(1,("5-DaHall 1-PDU-01"='각층분기별_유효전력량(전월)'!D2:D2018)*("[branch#069] [A] kWh last month"='각층분기별_유효전력량(전월)'!E2:E2018),0))</f>
        <v>0.0</v>
      </c>
      <c r="AB280" s="2869" t="n" cm="1">
        <f t="array" ref="AB280">INDEX('각층분기별_유효전력량(전월)'!F2:F2018,MATCH(1,("5-DaHall 1-PDU-02"='각층분기별_유효전력량(전월)'!D2:D2018)*("[branch#069] [A] kWh last month"='각층분기별_유효전력량(전월)'!E2:E2018),0))</f>
        <v>0.0</v>
      </c>
      <c r="AC280" s="2594" t="n">
        <f t="shared" si="94"/>
        <v>0.0</v>
      </c>
      <c r="AD280" s="2636"/>
      <c r="AH280" s="2470"/>
    </row>
    <row r="281" spans="1:34" ht="27" x14ac:dyDescent="0.15">
      <c r="A281" s="2769"/>
      <c r="B281" s="2834" t="s">
        <v>3775</v>
      </c>
      <c r="C281" s="904"/>
      <c r="D281" s="2834" t="s">
        <v>3776</v>
      </c>
      <c r="E281" s="2834" t="s">
        <v>3777</v>
      </c>
      <c r="F281" s="2831" t="s">
        <v>3778</v>
      </c>
      <c r="G281" s="2827" t="s">
        <v>3779</v>
      </c>
      <c r="H281" s="1666" t="str">
        <f t="shared" si="92"/>
        <v>5-DaHall1-PDU-01-30-30</v>
      </c>
      <c r="I281" s="1667" t="str">
        <f t="shared" si="93"/>
        <v>5-DaHall1-PDU-02-30-30</v>
      </c>
      <c r="J281" s="1629">
        <v>220</v>
      </c>
      <c r="K281" s="1630">
        <v>30</v>
      </c>
      <c r="L281" s="2483" t="s">
        <v>6924</v>
      </c>
      <c r="M281" s="1631">
        <v>30</v>
      </c>
      <c r="N281" s="1632">
        <v>220</v>
      </c>
      <c r="O281" s="1633">
        <v>30</v>
      </c>
      <c r="P281" s="2515" t="s">
        <v>6920</v>
      </c>
      <c r="Q281" s="1634">
        <v>30</v>
      </c>
      <c r="R281" s="3361"/>
      <c r="S281" s="3352"/>
      <c r="T281" s="3355"/>
      <c r="U281" s="3358"/>
      <c r="V281" s="3355"/>
      <c r="W281" s="3358"/>
      <c r="X281" s="840" t="n">
        <f>SUM('5층_부하량(월간_AVG)'!N42:P42)</f>
        <v>0.0</v>
      </c>
      <c r="Y281" s="840" t="n">
        <f>SUM('5층_부하량(월간_AVG)'!N72:P72)</f>
        <v>0.0</v>
      </c>
      <c r="Z281" s="2564" t="n">
        <f t="shared" si="95"/>
        <v>0.0</v>
      </c>
      <c r="AA281" s="2868" t="n" cm="1">
        <f t="array" ref="AA281">INDEX('각층분기별_유효전력량(전월)'!F2:F2018,MATCH(1,("5-DaHall 1-PDU-01"='각층분기별_유효전력량(전월)'!D2:D2018)*("[branch#070] [A] kWh last month"='각층분기별_유효전력량(전월)'!E2:E2018),0))</f>
        <v>0.0</v>
      </c>
      <c r="AB281" s="2869" t="n" cm="1">
        <f t="array" ref="AB281">INDEX('각층분기별_유효전력량(전월)'!F2:F2018,MATCH(1,("5-DaHall 1-PDU-02"='각층분기별_유효전력량(전월)'!D2:D2018)*("[branch#070] [A] kWh last month"='각층분기별_유효전력량(전월)'!E2:E2018),0))</f>
        <v>0.0</v>
      </c>
      <c r="AC281" s="2594" t="n">
        <f t="shared" si="94"/>
        <v>0.0</v>
      </c>
      <c r="AD281" s="2636"/>
      <c r="AH281" s="2470"/>
    </row>
    <row r="282" spans="1:34" ht="27" x14ac:dyDescent="0.15">
      <c r="A282" s="2769"/>
      <c r="B282" s="2834" t="s">
        <v>3780</v>
      </c>
      <c r="C282" s="904"/>
      <c r="D282" s="2834" t="s">
        <v>3781</v>
      </c>
      <c r="E282" s="2834" t="s">
        <v>3782</v>
      </c>
      <c r="F282" s="2831" t="s">
        <v>3783</v>
      </c>
      <c r="G282" s="2827" t="s">
        <v>3784</v>
      </c>
      <c r="H282" s="1666" t="str">
        <f t="shared" si="92"/>
        <v>5-DaHall1-PDU-01-30-32</v>
      </c>
      <c r="I282" s="1667" t="str">
        <f t="shared" si="93"/>
        <v>5-DaHall1-PDU-02-30-32</v>
      </c>
      <c r="J282" s="1629">
        <v>220</v>
      </c>
      <c r="K282" s="1630">
        <v>30</v>
      </c>
      <c r="L282" s="2483" t="s">
        <v>6924</v>
      </c>
      <c r="M282" s="1631">
        <v>32</v>
      </c>
      <c r="N282" s="1632">
        <v>220</v>
      </c>
      <c r="O282" s="1633">
        <v>30</v>
      </c>
      <c r="P282" s="2515" t="s">
        <v>6920</v>
      </c>
      <c r="Q282" s="1634">
        <v>32</v>
      </c>
      <c r="R282" s="3361"/>
      <c r="S282" s="3352"/>
      <c r="T282" s="3355"/>
      <c r="U282" s="3358"/>
      <c r="V282" s="3355"/>
      <c r="W282" s="3358"/>
      <c r="X282" s="840" t="n">
        <f>SUM('5층_부하량(월간_AVG)'!N43:P43)</f>
        <v>0.0</v>
      </c>
      <c r="Y282" s="840" t="n">
        <f>SUM('5층_부하량(월간_AVG)'!N73:P73)</f>
        <v>0.0</v>
      </c>
      <c r="Z282" s="2564" t="n">
        <f t="shared" si="95"/>
        <v>0.0</v>
      </c>
      <c r="AA282" s="2868" t="n" cm="1">
        <f t="array" ref="AA282">INDEX('각층분기별_유효전력량(전월)'!F2:F2018,MATCH(1,("5-DaHall 1-PDU-01"='각층분기별_유효전력량(전월)'!D2:D2018)*("[branch#071] [A] kWh last month"='각층분기별_유효전력량(전월)'!E2:E2018),0))</f>
        <v>0.0</v>
      </c>
      <c r="AB282" s="2869" t="n" cm="1">
        <f t="array" ref="AB282">INDEX('각층분기별_유효전력량(전월)'!F2:F2018,MATCH(1,("5-DaHall 1-PDU-02"='각층분기별_유효전력량(전월)'!D2:D2018)*("[branch#071] [A] kWh last month"='각층분기별_유효전력량(전월)'!E2:E2018),0))</f>
        <v>0.0</v>
      </c>
      <c r="AC282" s="2594" t="n">
        <f t="shared" si="94"/>
        <v>0.0</v>
      </c>
      <c r="AD282" s="2636"/>
      <c r="AH282" s="2470"/>
    </row>
    <row r="283" spans="1:34" ht="27" x14ac:dyDescent="0.15">
      <c r="A283" s="2769"/>
      <c r="B283" s="2834" t="s">
        <v>3785</v>
      </c>
      <c r="C283" s="904"/>
      <c r="D283" s="2834" t="s">
        <v>3786</v>
      </c>
      <c r="E283" s="2834" t="s">
        <v>3787</v>
      </c>
      <c r="F283" s="2831" t="s">
        <v>3788</v>
      </c>
      <c r="G283" s="2827" t="s">
        <v>3789</v>
      </c>
      <c r="H283" s="1666" t="str">
        <f t="shared" si="92"/>
        <v>5-DaHall1-PDU-01-30-34</v>
      </c>
      <c r="I283" s="1667" t="str">
        <f t="shared" si="93"/>
        <v>5-DaHall1-PDU-02-30-34</v>
      </c>
      <c r="J283" s="1629">
        <v>220</v>
      </c>
      <c r="K283" s="1630">
        <v>30</v>
      </c>
      <c r="L283" s="2483" t="s">
        <v>6924</v>
      </c>
      <c r="M283" s="1631">
        <v>34</v>
      </c>
      <c r="N283" s="1632">
        <v>220</v>
      </c>
      <c r="O283" s="1633">
        <v>30</v>
      </c>
      <c r="P283" s="2515" t="s">
        <v>6920</v>
      </c>
      <c r="Q283" s="1634">
        <v>34</v>
      </c>
      <c r="R283" s="3361"/>
      <c r="S283" s="3352"/>
      <c r="T283" s="3355"/>
      <c r="U283" s="3358"/>
      <c r="V283" s="3355"/>
      <c r="W283" s="3358"/>
      <c r="X283" s="840" t="n">
        <f>SUM('5층_부하량(월간_AVG)'!N44:P44)</f>
        <v>0.0</v>
      </c>
      <c r="Y283" s="840" t="n">
        <f>SUM('5층_부하량(월간_AVG)'!N74:P74)</f>
        <v>0.0</v>
      </c>
      <c r="Z283" s="2564" t="n">
        <f t="shared" si="95"/>
        <v>0.0</v>
      </c>
      <c r="AA283" s="2868" t="n" cm="1">
        <f t="array" ref="AA283">INDEX('각층분기별_유효전력량(전월)'!F2:F2018,MATCH(1,("5-DaHall 1-PDU-01"='각층분기별_유효전력량(전월)'!D2:D2018)*("[branch#072] [A] kWh last month"='각층분기별_유효전력량(전월)'!E2:E2018),0))</f>
        <v>0.0</v>
      </c>
      <c r="AB283" s="2869" t="n" cm="1">
        <f t="array" ref="AB283">INDEX('각층분기별_유효전력량(전월)'!F2:F2018,MATCH(1,("5-DaHall 1-PDU-02"='각층분기별_유효전력량(전월)'!D2:D2018)*("[branch#072] [A] kWh last month"='각층분기별_유효전력량(전월)'!E2:E2018),0))</f>
        <v>0.0</v>
      </c>
      <c r="AC283" s="2594" t="n">
        <f t="shared" si="94"/>
        <v>0.0</v>
      </c>
      <c r="AD283" s="2636"/>
      <c r="AH283" s="2470"/>
    </row>
    <row r="284" spans="1:34" ht="27" x14ac:dyDescent="0.15">
      <c r="A284" s="2769"/>
      <c r="B284" s="2834" t="s">
        <v>3790</v>
      </c>
      <c r="C284" s="904"/>
      <c r="D284" s="2834" t="s">
        <v>3791</v>
      </c>
      <c r="E284" s="2834" t="s">
        <v>3792</v>
      </c>
      <c r="F284" s="2831" t="s">
        <v>3793</v>
      </c>
      <c r="G284" s="2827" t="s">
        <v>3794</v>
      </c>
      <c r="H284" s="1666" t="str">
        <f t="shared" si="92"/>
        <v>5-DaHall1-PDU-01-30-36</v>
      </c>
      <c r="I284" s="1667" t="str">
        <f t="shared" si="93"/>
        <v>5-DaHall1-PDU-02-30-36</v>
      </c>
      <c r="J284" s="1629">
        <v>220</v>
      </c>
      <c r="K284" s="1630">
        <v>30</v>
      </c>
      <c r="L284" s="2483" t="s">
        <v>6924</v>
      </c>
      <c r="M284" s="1631">
        <v>36</v>
      </c>
      <c r="N284" s="1632">
        <v>220</v>
      </c>
      <c r="O284" s="1633">
        <v>30</v>
      </c>
      <c r="P284" s="2515" t="s">
        <v>6920</v>
      </c>
      <c r="Q284" s="1634">
        <v>36</v>
      </c>
      <c r="R284" s="3361"/>
      <c r="S284" s="3352"/>
      <c r="T284" s="3355"/>
      <c r="U284" s="3358"/>
      <c r="V284" s="3355"/>
      <c r="W284" s="3358"/>
      <c r="X284" s="840" t="n">
        <f>SUM('5층_부하량(월간_AVG)'!N45:P45)</f>
        <v>0.0</v>
      </c>
      <c r="Y284" s="840" t="n">
        <f>SUM('5층_부하량(월간_AVG)'!N75:P75)</f>
        <v>0.0</v>
      </c>
      <c r="Z284" s="2564" t="n">
        <f t="shared" si="95"/>
        <v>0.0</v>
      </c>
      <c r="AA284" s="2868" t="n" cm="1">
        <f t="array" ref="AA284">INDEX('각층분기별_유효전력량(전월)'!F2:F2018,MATCH(1,("5-DaHall 1-PDU-01"='각층분기별_유효전력량(전월)'!D2:D2018)*("[branch#073] [A] kWh last month"='각층분기별_유효전력량(전월)'!E2:E2018),0))</f>
        <v>0.0</v>
      </c>
      <c r="AB284" s="2869" t="n" cm="1">
        <f t="array" ref="AB284">INDEX('각층분기별_유효전력량(전월)'!F2:F2018,MATCH(1,("5-DaHall 1-PDU-02"='각층분기별_유효전력량(전월)'!D2:D2018)*("[branch#073] [A] kWh last month"='각층분기별_유효전력량(전월)'!E2:E2018),0))</f>
        <v>0.0</v>
      </c>
      <c r="AC284" s="2594" t="n">
        <f t="shared" si="94"/>
        <v>0.0</v>
      </c>
      <c r="AD284" s="2636"/>
      <c r="AH284" s="2470"/>
    </row>
    <row r="285" spans="1:34" ht="27" x14ac:dyDescent="0.15">
      <c r="A285" s="2769"/>
      <c r="B285" s="2834" t="s">
        <v>3795</v>
      </c>
      <c r="C285" s="904"/>
      <c r="D285" s="2834" t="s">
        <v>3796</v>
      </c>
      <c r="E285" s="2834" t="s">
        <v>3797</v>
      </c>
      <c r="F285" s="2831" t="s">
        <v>3798</v>
      </c>
      <c r="G285" s="2827" t="s">
        <v>3799</v>
      </c>
      <c r="H285" s="1666" t="str">
        <f t="shared" si="92"/>
        <v>5-DaHall1-PDU-01-30-38</v>
      </c>
      <c r="I285" s="1667" t="str">
        <f t="shared" si="93"/>
        <v>5-DaHall1-PDU-02-30-38</v>
      </c>
      <c r="J285" s="1629">
        <v>220</v>
      </c>
      <c r="K285" s="1630">
        <v>30</v>
      </c>
      <c r="L285" s="2483" t="s">
        <v>6924</v>
      </c>
      <c r="M285" s="1631">
        <v>38</v>
      </c>
      <c r="N285" s="1632">
        <v>220</v>
      </c>
      <c r="O285" s="1633">
        <v>30</v>
      </c>
      <c r="P285" s="2515" t="s">
        <v>6920</v>
      </c>
      <c r="Q285" s="1634">
        <v>38</v>
      </c>
      <c r="R285" s="3361"/>
      <c r="S285" s="3352"/>
      <c r="T285" s="3355"/>
      <c r="U285" s="3358"/>
      <c r="V285" s="3355"/>
      <c r="W285" s="3358"/>
      <c r="X285" s="840" t="n">
        <f>SUM('5층_부하량(월간_AVG)'!N46:P46)</f>
        <v>0.0</v>
      </c>
      <c r="Y285" s="840" t="n">
        <f>SUM('5층_부하량(월간_AVG)'!N76:P76)</f>
        <v>0.0</v>
      </c>
      <c r="Z285" s="2564" t="n">
        <f t="shared" si="95"/>
        <v>0.0</v>
      </c>
      <c r="AA285" s="2868" t="n" cm="1">
        <f t="array" ref="AA285">INDEX('각층분기별_유효전력량(전월)'!F2:F2018,MATCH(1,("5-DaHall 1-PDU-01"='각층분기별_유효전력량(전월)'!D2:D2018)*("[branch#074] [A] kWh last month"='각층분기별_유효전력량(전월)'!E2:E2018),0))</f>
        <v>0.0</v>
      </c>
      <c r="AB285" s="2869" t="n" cm="1">
        <f t="array" ref="AB285">INDEX('각층분기별_유효전력량(전월)'!F2:F2018,MATCH(1,("5-DaHall 1-PDU-02"='각층분기별_유효전력량(전월)'!D2:D2018)*("[branch#074] [A] kWh last month"='각층분기별_유효전력량(전월)'!E2:E2018),0))</f>
        <v>0.0</v>
      </c>
      <c r="AC285" s="2594" t="n">
        <f t="shared" si="94"/>
        <v>0.0</v>
      </c>
      <c r="AD285" s="2636"/>
      <c r="AH285" s="2470"/>
    </row>
    <row r="286" spans="1:34" ht="27" x14ac:dyDescent="0.15">
      <c r="A286" s="2769"/>
      <c r="B286" s="1125" t="s">
        <v>3565</v>
      </c>
      <c r="C286" s="1126"/>
      <c r="D286" s="1125"/>
      <c r="E286" s="1125" t="s">
        <v>3800</v>
      </c>
      <c r="F286" s="1127"/>
      <c r="G286" s="1128" t="s">
        <v>3801</v>
      </c>
      <c r="H286" s="1661"/>
      <c r="I286" s="1667" t="str">
        <f t="shared" si="93"/>
        <v>5-DaHall1-PDU-02-30-40</v>
      </c>
      <c r="J286" s="1688"/>
      <c r="K286" s="1689"/>
      <c r="L286" s="1127"/>
      <c r="M286" s="1690"/>
      <c r="N286" s="1746">
        <v>220</v>
      </c>
      <c r="O286" s="1710">
        <v>30</v>
      </c>
      <c r="P286" s="2518" t="s">
        <v>6920</v>
      </c>
      <c r="Q286" s="1711">
        <v>40</v>
      </c>
      <c r="R286" s="3362"/>
      <c r="S286" s="3353"/>
      <c r="T286" s="3356"/>
      <c r="U286" s="3359"/>
      <c r="V286" s="3356"/>
      <c r="W286" s="3359"/>
      <c r="X286" s="1133"/>
      <c r="Y286" s="840" t="n">
        <f>SUM('5층_부하량(월간_AVG)'!N77:P77)</f>
        <v>0.0</v>
      </c>
      <c r="Z286" s="2564" t="n">
        <f t="shared" si="95"/>
        <v>0.0</v>
      </c>
      <c r="AA286" s="2868"/>
      <c r="AB286" s="2869" t="n" cm="1">
        <f t="array" ref="AB286">INDEX('각층분기별_유효전력량(전월)'!F2:F2018,MATCH(1,("5-DaHall 1-PDU-02"='각층분기별_유효전력량(전월)'!D2:D2018)*("[branch#075] [A] kWh last month"='각층분기별_유효전력량(전월)'!E2:E2018),0))</f>
        <v>0.0</v>
      </c>
      <c r="AC286" s="2594" t="n">
        <f t="shared" si="94"/>
        <v>0.0</v>
      </c>
      <c r="AD286" s="2638" t="s">
        <v>3802</v>
      </c>
      <c r="AH286" s="2470"/>
    </row>
    <row r="287" spans="1:34" ht="27" x14ac:dyDescent="0.15">
      <c r="A287" s="2769"/>
      <c r="B287" s="2834" t="s">
        <v>3803</v>
      </c>
      <c r="C287" s="904"/>
      <c r="D287" s="2834" t="s">
        <v>3804</v>
      </c>
      <c r="E287" s="2834" t="s">
        <v>3805</v>
      </c>
      <c r="F287" s="1127" t="s">
        <v>3806</v>
      </c>
      <c r="G287" s="1128" t="s">
        <v>3807</v>
      </c>
      <c r="H287" s="1666" t="str">
        <f>"5-DaHall1-PDU-"&amp;L287&amp;"-"&amp;K287&amp;"-"&amp;M287</f>
        <v>5-DaHall1-PDU-01-30-49</v>
      </c>
      <c r="I287" s="1667" t="str">
        <f t="shared" si="93"/>
        <v>5-DaHall1-PDU-02-30-49</v>
      </c>
      <c r="J287" s="1706">
        <v>220</v>
      </c>
      <c r="K287" s="1707">
        <v>30</v>
      </c>
      <c r="L287" s="2486" t="s">
        <v>6924</v>
      </c>
      <c r="M287" s="1708">
        <v>49</v>
      </c>
      <c r="N287" s="1709">
        <v>220</v>
      </c>
      <c r="O287" s="1710">
        <v>30</v>
      </c>
      <c r="P287" s="2518" t="s">
        <v>6920</v>
      </c>
      <c r="Q287" s="1711">
        <v>49</v>
      </c>
      <c r="R287" s="3360" t="s">
        <v>3181</v>
      </c>
      <c r="S287" s="3351" t="s">
        <v>3182</v>
      </c>
      <c r="T287" s="3354" t="s">
        <v>3183</v>
      </c>
      <c r="U287" s="3357" t="s">
        <v>3184</v>
      </c>
      <c r="V287" s="3354" t="s">
        <v>2820</v>
      </c>
      <c r="W287" s="3357" t="s">
        <v>2821</v>
      </c>
      <c r="X287" s="840" t="n">
        <f>SUM('5층_부하량(월간_AVG)'!D52:F52)</f>
        <v>0.0</v>
      </c>
      <c r="Y287" s="840" t="n">
        <f>SUM('5층_부하량(월간_AVG)'!D82:F82)</f>
        <v>0.0</v>
      </c>
      <c r="Z287" s="2564" t="n">
        <f t="shared" si="95"/>
        <v>0.0</v>
      </c>
      <c r="AA287" s="2868" t="n" cm="1">
        <f t="array" ref="AA287">INDEX('각층분기별_유효전력량(전월)'!F2:F2018,MATCH(1,("5-DaHall 1-PDU-01"='각층분기별_유효전력량(전월)'!D2:D2018)*("[branch#026] [A] kWh last month"='각층분기별_유효전력량(전월)'!E2:E2018),0))</f>
        <v>0.0</v>
      </c>
      <c r="AB287" s="2869" t="n" cm="1">
        <f t="array" ref="AB287">INDEX('각층분기별_유효전력량(전월)'!F2:F2018,MATCH(1,("5-DaHall 1-PDU-02"='각층분기별_유효전력량(전월)'!D2:D2018)*("[branch#026] [A] kWh last month"='각층분기별_유효전력량(전월)'!E2:E2018),0))</f>
        <v>0.0</v>
      </c>
      <c r="AC287" s="2594" t="n">
        <f t="shared" si="94"/>
        <v>0.0</v>
      </c>
      <c r="AD287" s="2636"/>
      <c r="AH287" s="2470"/>
    </row>
    <row r="288" spans="1:34" ht="27" x14ac:dyDescent="0.15">
      <c r="A288" s="2769"/>
      <c r="B288" s="2834" t="s">
        <v>3808</v>
      </c>
      <c r="C288" s="904"/>
      <c r="D288" s="2834" t="s">
        <v>3809</v>
      </c>
      <c r="E288" s="2834" t="s">
        <v>3810</v>
      </c>
      <c r="F288" s="1127" t="s">
        <v>3811</v>
      </c>
      <c r="G288" s="1128" t="s">
        <v>3812</v>
      </c>
      <c r="H288" s="1666" t="str">
        <f>"5-DaHall1-PDU-"&amp;L288&amp;"-"&amp;K288&amp;"-"&amp;M288</f>
        <v>5-DaHall1-PDU-01-30-2</v>
      </c>
      <c r="I288" s="1667" t="str">
        <f t="shared" si="93"/>
        <v>5-DaHall1-PDU-02-30-2</v>
      </c>
      <c r="J288" s="1706">
        <v>220</v>
      </c>
      <c r="K288" s="1707">
        <v>30</v>
      </c>
      <c r="L288" s="2486" t="s">
        <v>6924</v>
      </c>
      <c r="M288" s="1708">
        <v>2</v>
      </c>
      <c r="N288" s="1709">
        <v>220</v>
      </c>
      <c r="O288" s="1710">
        <v>30</v>
      </c>
      <c r="P288" s="2518" t="s">
        <v>6920</v>
      </c>
      <c r="Q288" s="1711">
        <v>2</v>
      </c>
      <c r="R288" s="3361"/>
      <c r="S288" s="3352"/>
      <c r="T288" s="3355"/>
      <c r="U288" s="3358"/>
      <c r="V288" s="3355"/>
      <c r="W288" s="3358"/>
      <c r="X288" s="840" t="n">
        <f>SUM('5층_부하량(월간_AVG)'!N28:P28)</f>
        <v>0.0</v>
      </c>
      <c r="Y288" s="840" t="n">
        <f>SUM('5층_부하량(월간_AVG)'!N58:P58)</f>
        <v>0.0</v>
      </c>
      <c r="Z288" s="2564" t="n">
        <f>SUM(X288:Y288)</f>
        <v>0.0</v>
      </c>
      <c r="AA288" s="2868" t="n" cm="1">
        <f t="array" ref="AA288">INDEX('각층분기별_유효전력량(전월)'!F2:F2018,MATCH(1,("5-DaHall 1-PDU-01"='각층분기별_유효전력량(전월)'!D2:D2018)*("[branch#056] [A] kWh last month"='각층분기별_유효전력량(전월)'!E2:E2018),0))</f>
        <v>0.0</v>
      </c>
      <c r="AB288" s="2869" t="n" cm="1">
        <f t="array" ref="AB288">INDEX('각층분기별_유효전력량(전월)'!F2:F2018,MATCH(1,("5-DaHall 1-PDU-02"='각층분기별_유효전력량(전월)'!D2:D2018)*("[branch#056] [A] kWh last month"='각층분기별_유효전력량(전월)'!E2:E2018),0))</f>
        <v>0.0</v>
      </c>
      <c r="AC288" s="2594" t="n">
        <f t="shared" si="94"/>
        <v>0.0</v>
      </c>
      <c r="AD288" s="2636"/>
      <c r="AH288" s="2470"/>
    </row>
    <row r="289" spans="1:34" ht="27" x14ac:dyDescent="0.15">
      <c r="A289" s="2769"/>
      <c r="B289" s="2834" t="s">
        <v>3813</v>
      </c>
      <c r="C289" s="904"/>
      <c r="D289" s="2834" t="s">
        <v>3814</v>
      </c>
      <c r="E289" s="2834" t="s">
        <v>3815</v>
      </c>
      <c r="F289" s="1127" t="s">
        <v>3816</v>
      </c>
      <c r="G289" s="1128" t="s">
        <v>3817</v>
      </c>
      <c r="H289" s="1666" t="str">
        <f>"5-DaHall1-PDU-"&amp;L289&amp;"-"&amp;K289&amp;"-"&amp;M289</f>
        <v>5-DaHall1-PDU-01-30-8</v>
      </c>
      <c r="I289" s="1667" t="str">
        <f t="shared" si="93"/>
        <v>5-DaHall1-PDU-02-30-8</v>
      </c>
      <c r="J289" s="1706">
        <v>220</v>
      </c>
      <c r="K289" s="1707">
        <v>30</v>
      </c>
      <c r="L289" s="2486" t="s">
        <v>6924</v>
      </c>
      <c r="M289" s="1708">
        <v>8</v>
      </c>
      <c r="N289" s="1709">
        <v>220</v>
      </c>
      <c r="O289" s="1710">
        <v>30</v>
      </c>
      <c r="P289" s="2518" t="s">
        <v>6920</v>
      </c>
      <c r="Q289" s="1711">
        <v>8</v>
      </c>
      <c r="R289" s="3362"/>
      <c r="S289" s="3353"/>
      <c r="T289" s="3356"/>
      <c r="U289" s="3359"/>
      <c r="V289" s="3356"/>
      <c r="W289" s="3359"/>
      <c r="X289" s="840" t="n">
        <f>SUM('5층_부하량(월간_AVG)'!N31:P31)</f>
        <v>0.0</v>
      </c>
      <c r="Y289" s="840" t="n">
        <f>SUM('5층_부하량(월간_AVG)'!N61:P61)</f>
        <v>0.0</v>
      </c>
      <c r="Z289" s="2564" t="n">
        <f>SUM(X289:Y289)</f>
        <v>0.0</v>
      </c>
      <c r="AA289" s="2868" t="n" cm="1">
        <f t="array" ref="AA289">INDEX('각층분기별_유효전력량(전월)'!F2:F2018,MATCH(1,("5-DaHall 1-PDU-01"='각층분기별_유효전력량(전월)'!D2:D2018)*("[branch#059] [A] kWh last month"='각층분기별_유효전력량(전월)'!E2:E2018),0))</f>
        <v>0.0</v>
      </c>
      <c r="AB289" s="2869" t="n" cm="1">
        <f t="array" ref="AB289">INDEX('각층분기별_유효전력량(전월)'!F2:F2018,MATCH(1,("5-DaHall 1-PDU-02"='각층분기별_유효전력량(전월)'!D2:D2018)*("[branch#059] [A] kWh last month"='각층분기별_유효전력량(전월)'!E2:E2018),0))</f>
        <v>0.0</v>
      </c>
      <c r="AC289" s="2594" t="n">
        <f t="shared" si="94"/>
        <v>0.0</v>
      </c>
      <c r="AD289" s="2636"/>
      <c r="AH289" s="2470"/>
    </row>
    <row r="290" spans="1:34" ht="27" x14ac:dyDescent="0.15">
      <c r="A290" s="1107"/>
      <c r="B290" s="2834" t="s">
        <v>3818</v>
      </c>
      <c r="C290" s="904"/>
      <c r="D290" s="2834" t="s">
        <v>3819</v>
      </c>
      <c r="E290" s="2834" t="s">
        <v>3820</v>
      </c>
      <c r="F290" s="2831" t="s">
        <v>3821</v>
      </c>
      <c r="G290" s="2827" t="s">
        <v>3822</v>
      </c>
      <c r="H290" s="1666" t="str">
        <f>"5-DaHall1-PDU-"&amp;L290&amp;"-"&amp;K290&amp;"-"&amp;M290</f>
        <v>5-DaHall1-PDU-01-30-27</v>
      </c>
      <c r="I290" s="1667" t="str">
        <f t="shared" si="93"/>
        <v>5-DaHall1-PDU-02-30-27</v>
      </c>
      <c r="J290" s="1629">
        <v>220</v>
      </c>
      <c r="K290" s="1630">
        <v>30</v>
      </c>
      <c r="L290" s="2483" t="s">
        <v>6924</v>
      </c>
      <c r="M290" s="1631">
        <v>27</v>
      </c>
      <c r="N290" s="1632">
        <v>220</v>
      </c>
      <c r="O290" s="1633">
        <v>30</v>
      </c>
      <c r="P290" s="2515" t="s">
        <v>6920</v>
      </c>
      <c r="Q290" s="1634">
        <v>27</v>
      </c>
      <c r="R290" s="3332" t="s">
        <v>3181</v>
      </c>
      <c r="S290" s="3334" t="s">
        <v>3182</v>
      </c>
      <c r="T290" s="3336" t="s">
        <v>3183</v>
      </c>
      <c r="U290" s="3338" t="s">
        <v>3184</v>
      </c>
      <c r="V290" s="3336" t="s">
        <v>2820</v>
      </c>
      <c r="W290" s="3338" t="s">
        <v>2821</v>
      </c>
      <c r="X290" s="840" t="n">
        <f>SUM('5층_부하량(월간_AVG)'!D41:F41)</f>
        <v>0.0</v>
      </c>
      <c r="Y290" s="840" t="n">
        <f>SUM('5층_부하량(월간_AVG)'!D71:F71)</f>
        <v>0.0</v>
      </c>
      <c r="Z290" s="2564" t="n">
        <f t="shared" ref="Z290:Z308" si="96">SUM(X290:Y290)</f>
        <v>0.0</v>
      </c>
      <c r="AA290" s="2868" t="n" cm="1">
        <f t="array" ref="AA290">INDEX('각층분기별_유효전력량(전월)'!F2:F2018,MATCH(1,("5-DaHall 1-PDU-01"='각층분기별_유효전력량(전월)'!D2:D2018)*("[branch#015] [A] kWh last month"='각층분기별_유효전력량(전월)'!E2:E2018),0))</f>
        <v>0.0</v>
      </c>
      <c r="AB290" s="2869" t="n" cm="1">
        <f t="array" ref="AB290">INDEX('각층분기별_유효전력량(전월)'!F2:F2018,MATCH(1,("5-DaHall 1-PDU-02"='각층분기별_유효전력량(전월)'!D2:D2018)*("[branch#015] [A] kWh last month"='각층분기별_유효전력량(전월)'!E2:E2018),0))</f>
        <v>0.0</v>
      </c>
      <c r="AC290" s="2594" t="n">
        <f t="shared" si="94"/>
        <v>0.0</v>
      </c>
      <c r="AD290" s="2636"/>
      <c r="AH290" s="2470"/>
    </row>
    <row r="291" spans="1:34" ht="27.75" thickBot="1" x14ac:dyDescent="0.2">
      <c r="A291" s="1108"/>
      <c r="B291" s="847" t="s">
        <v>3565</v>
      </c>
      <c r="C291" s="993"/>
      <c r="D291" s="847" t="s">
        <v>3823</v>
      </c>
      <c r="E291" s="847" t="s">
        <v>3824</v>
      </c>
      <c r="F291" s="2832" t="s">
        <v>3825</v>
      </c>
      <c r="G291" s="2828" t="s">
        <v>3826</v>
      </c>
      <c r="H291" s="1668" t="str">
        <f>"5-DaHall1-PDU-"&amp;L291&amp;"-"&amp;K291&amp;"-"&amp;M291</f>
        <v>5-DaHall1-PDU-01-30-29</v>
      </c>
      <c r="I291" s="1669" t="str">
        <f t="shared" si="93"/>
        <v>5-DaHall1-PDU-02-30-29</v>
      </c>
      <c r="J291" s="1639">
        <v>220</v>
      </c>
      <c r="K291" s="1640">
        <v>30</v>
      </c>
      <c r="L291" s="2484" t="s">
        <v>6924</v>
      </c>
      <c r="M291" s="1641">
        <v>29</v>
      </c>
      <c r="N291" s="1642">
        <v>220</v>
      </c>
      <c r="O291" s="1643">
        <v>30</v>
      </c>
      <c r="P291" s="2516" t="s">
        <v>6920</v>
      </c>
      <c r="Q291" s="1644">
        <v>29</v>
      </c>
      <c r="R291" s="3333"/>
      <c r="S291" s="3335"/>
      <c r="T291" s="3337"/>
      <c r="U291" s="3339"/>
      <c r="V291" s="3337"/>
      <c r="W291" s="3339"/>
      <c r="X291" s="868" t="n">
        <f>SUM('5층_부하량(월간_AVG)'!D42:F42)</f>
        <v>0.0</v>
      </c>
      <c r="Y291" s="868" t="n">
        <f>SUM('5층_부하량(월간_AVG)'!D72:F72)</f>
        <v>0.0</v>
      </c>
      <c r="Z291" s="2563" t="n">
        <f t="shared" si="96"/>
        <v>0.0</v>
      </c>
      <c r="AA291" s="2890" t="n" cm="1">
        <f t="array" ref="AA291">INDEX('각층분기별_유효전력량(전월)'!F2:F2018,MATCH(1,("5-DaHall 1-PDU-01"='각층분기별_유효전력량(전월)'!D2:D2018)*("[branch#016] [A] kWh last month"='각층분기별_유효전력량(전월)'!E2:E2018),0))</f>
        <v>0.0</v>
      </c>
      <c r="AB291" s="2891" t="n" cm="1">
        <f t="array" ref="AB291">INDEX('각층분기별_유효전력량(전월)'!F2:F2018,MATCH(1,("5-DaHall 1-PDU-02"='각층분기별_유효전력량(전월)'!D2:D2018)*("[branch#016] [A] kWh last month"='각층분기별_유효전력량(전월)'!E2:E2018),0))</f>
        <v>0.0</v>
      </c>
      <c r="AC291" s="2593" t="n">
        <f>SUM(AA291:AB291)</f>
        <v>0.0</v>
      </c>
      <c r="AD291" s="2639" t="s">
        <v>3381</v>
      </c>
      <c r="AH291" s="2470"/>
    </row>
    <row r="292" spans="1:34" ht="55.5" thickTop="1" thickBot="1" x14ac:dyDescent="0.2">
      <c r="A292" s="1143"/>
      <c r="B292" s="1120" t="s">
        <v>3827</v>
      </c>
      <c r="C292" s="1144"/>
      <c r="D292" s="1145"/>
      <c r="E292" s="1121"/>
      <c r="F292" s="1145"/>
      <c r="G292" s="1122" t="s">
        <v>3828</v>
      </c>
      <c r="H292" s="1747"/>
      <c r="I292" s="1748" t="str">
        <f t="shared" si="93"/>
        <v>5-DaHall1-PDU-14-20-32</v>
      </c>
      <c r="J292" s="1749"/>
      <c r="K292" s="1750"/>
      <c r="L292" s="1145"/>
      <c r="M292" s="1751"/>
      <c r="N292" s="1752">
        <v>220</v>
      </c>
      <c r="O292" s="1753">
        <v>20</v>
      </c>
      <c r="P292" s="2531" t="s">
        <v>6976</v>
      </c>
      <c r="Q292" s="1754">
        <v>32</v>
      </c>
      <c r="R292" s="1145"/>
      <c r="S292" s="1122" t="s">
        <v>2984</v>
      </c>
      <c r="T292" s="1145"/>
      <c r="U292" s="1146" t="s">
        <v>2985</v>
      </c>
      <c r="V292" s="1145"/>
      <c r="W292" s="1146" t="s">
        <v>2821</v>
      </c>
      <c r="X292" s="1145"/>
      <c r="Y292" s="1147" t="n">
        <f>SUM('5층_부하량(월간_AVG)'!N410:P410)</f>
        <v>2.0997816227112385E-4</v>
      </c>
      <c r="Z292" s="2572" t="n">
        <f t="shared" si="96"/>
        <v>2.0997816227112385E-4</v>
      </c>
      <c r="AA292" s="2927"/>
      <c r="AB292" s="2928" t="n" cm="1">
        <f t="array" ref="AB292">INDEX('각층분기별_유효전력량(전월)'!F2:F2018,MATCH(1,("5-DaHall 1-PDU-14"='각층분기별_유효전력량(전월)'!D2:D2018)*("[branch#032] [A] kWh last month"='각층분기별_유효전력량(전월)'!E2:E2018),0))</f>
        <v>25.5</v>
      </c>
      <c r="AC292" s="2648" t="n">
        <f>SUM(AA292:AB292)</f>
        <v>25.5</v>
      </c>
      <c r="AD292" s="2644"/>
      <c r="AH292" s="2470"/>
    </row>
    <row r="293" spans="1:34" s="356" customFormat="1" ht="66.75" thickTop="1" x14ac:dyDescent="0.15">
      <c r="A293" s="3311"/>
      <c r="B293" s="3340" t="s">
        <v>3829</v>
      </c>
      <c r="C293" s="1413" t="s">
        <v>3830</v>
      </c>
      <c r="D293" s="1414" t="s">
        <v>3083</v>
      </c>
      <c r="E293" s="1414" t="s">
        <v>3083</v>
      </c>
      <c r="F293" s="1240" t="s">
        <v>3083</v>
      </c>
      <c r="G293" s="1415" t="s">
        <v>3083</v>
      </c>
      <c r="H293" s="1755"/>
      <c r="I293" s="1756"/>
      <c r="J293" s="1757"/>
      <c r="K293" s="1758"/>
      <c r="L293" s="1240" t="s">
        <v>3083</v>
      </c>
      <c r="M293" s="1759" t="s">
        <v>3083</v>
      </c>
      <c r="N293" s="1760"/>
      <c r="O293" s="1761"/>
      <c r="P293" s="1415" t="s">
        <v>3083</v>
      </c>
      <c r="Q293" s="1762" t="s">
        <v>3083</v>
      </c>
      <c r="R293" s="1240" t="s">
        <v>3831</v>
      </c>
      <c r="S293" s="1416"/>
      <c r="T293" s="1240" t="s">
        <v>3832</v>
      </c>
      <c r="U293" s="1416"/>
      <c r="V293" s="1240" t="s">
        <v>2820</v>
      </c>
      <c r="W293" s="1416"/>
      <c r="X293" s="1136" t="n">
        <f>SUM('5층_부하량(월간_AVG)'!N463:P463)</f>
        <v>26.602128177072444</v>
      </c>
      <c r="Y293" s="892"/>
      <c r="Z293" s="2603" t="n">
        <f t="shared" si="96"/>
        <v>26.602128177072444</v>
      </c>
      <c r="AA293" s="2848"/>
      <c r="AB293" s="2849"/>
      <c r="AC293" s="2589"/>
      <c r="AD293" s="3342" t="s">
        <v>3833</v>
      </c>
      <c r="AH293" s="2470"/>
    </row>
    <row r="294" spans="1:34" s="356" customFormat="1" ht="66" x14ac:dyDescent="0.15">
      <c r="A294" s="3312"/>
      <c r="B294" s="3341"/>
      <c r="C294" s="1417" t="s">
        <v>3834</v>
      </c>
      <c r="D294" s="1418" t="s">
        <v>3083</v>
      </c>
      <c r="E294" s="1418" t="s">
        <v>3083</v>
      </c>
      <c r="F294" s="2820" t="s">
        <v>3083</v>
      </c>
      <c r="G294" s="2823" t="s">
        <v>3083</v>
      </c>
      <c r="H294" s="1763"/>
      <c r="I294" s="1764"/>
      <c r="J294" s="1765"/>
      <c r="K294" s="1766"/>
      <c r="L294" s="2820" t="s">
        <v>3083</v>
      </c>
      <c r="M294" s="1767" t="s">
        <v>3083</v>
      </c>
      <c r="N294" s="1768"/>
      <c r="O294" s="1769"/>
      <c r="P294" s="2823" t="s">
        <v>3083</v>
      </c>
      <c r="Q294" s="1770" t="s">
        <v>3083</v>
      </c>
      <c r="R294" s="1419"/>
      <c r="S294" s="2823" t="s">
        <v>3835</v>
      </c>
      <c r="T294" s="1419"/>
      <c r="U294" s="2823" t="s">
        <v>3836</v>
      </c>
      <c r="V294" s="1419"/>
      <c r="W294" s="1420" t="s">
        <v>3837</v>
      </c>
      <c r="X294" s="2795"/>
      <c r="Y294" s="1404" t="n">
        <f>SUM('5층_부하량(월간_AVG)'!N484:P484)</f>
        <v>20.758713459334825</v>
      </c>
      <c r="Z294" s="2604" t="n">
        <f t="shared" si="96"/>
        <v>20.758713459334825</v>
      </c>
      <c r="AA294" s="2929"/>
      <c r="AB294" s="2930"/>
      <c r="AC294" s="2590"/>
      <c r="AD294" s="3343"/>
      <c r="AH294" s="2470"/>
    </row>
    <row r="295" spans="1:34" s="356" customFormat="1" ht="54.75" customHeight="1" x14ac:dyDescent="0.15">
      <c r="A295" s="2824"/>
      <c r="B295" s="3344" t="s">
        <v>3838</v>
      </c>
      <c r="C295" s="1421" t="s">
        <v>3839</v>
      </c>
      <c r="D295" s="1422" t="s">
        <v>3840</v>
      </c>
      <c r="E295" s="1422" t="s">
        <v>3841</v>
      </c>
      <c r="F295" s="1423" t="s">
        <v>3842</v>
      </c>
      <c r="G295" s="2814" t="s">
        <v>3843</v>
      </c>
      <c r="H295" s="1771" t="str">
        <f>"5-DaHall1-PDU-"&amp;L295&amp;"-"&amp;K295&amp;"-"&amp;M295</f>
        <v>5-DaHall1-PDU-15-30-13</v>
      </c>
      <c r="I295" s="1772" t="str">
        <f>"5-DaHall1-PDU-"&amp;P295&amp;"-"&amp;O295&amp;"-"&amp;Q295</f>
        <v>5-DaHall1-PDU-16-30-13</v>
      </c>
      <c r="J295" s="1773">
        <v>220</v>
      </c>
      <c r="K295" s="1774">
        <v>30</v>
      </c>
      <c r="L295" s="2505" t="s">
        <v>6970</v>
      </c>
      <c r="M295" s="1775">
        <v>13</v>
      </c>
      <c r="N295" s="1776">
        <v>220</v>
      </c>
      <c r="O295" s="1777">
        <v>30</v>
      </c>
      <c r="P295" s="2532" t="s">
        <v>6977</v>
      </c>
      <c r="Q295" s="1778">
        <v>13</v>
      </c>
      <c r="R295" s="3346" t="s">
        <v>2908</v>
      </c>
      <c r="S295" s="2814" t="s">
        <v>2909</v>
      </c>
      <c r="T295" s="3346" t="s">
        <v>2910</v>
      </c>
      <c r="U295" s="2814" t="s">
        <v>3844</v>
      </c>
      <c r="V295" s="3346" t="s">
        <v>3845</v>
      </c>
      <c r="W295" s="2816" t="s">
        <v>3837</v>
      </c>
      <c r="X295" s="1405" t="n">
        <f>SUM('5층_부하량(월간_AVG)'!D362:F362)</f>
        <v>0.6539775702726592</v>
      </c>
      <c r="Y295" s="255" t="n">
        <f>SUM('5층_부하량(월간_AVG)'!D421:F421)</f>
        <v>1.340443327773376</v>
      </c>
      <c r="Z295" s="2605" t="n">
        <f t="shared" si="96"/>
        <v>1.9944208980460352</v>
      </c>
      <c r="AA295" s="2850" t="n" cm="1">
        <f t="array" ref="AA295">INDEX('각층분기별_유효전력량(전월)'!F2:F2018,MATCH(1,("5-DaHall 1-PDU-15"='각층분기별_유효전력량(전월)'!D2:D2018)*("[branch#013] [A] kWh last month"='각층분기별_유효전력량(전월)'!E2:E2018),0))</f>
        <v>98.4</v>
      </c>
      <c r="AB295" s="2851" t="n" cm="1">
        <f t="array" ref="AB295">INDEX('각층분기별_유효전력량(전월)'!F2:F2018,MATCH(1,("5-DaHall 1-PDU-16"='각층분기별_유효전력량(전월)'!D2:D2018)*("[branch#013] [A] kWh last month"='각층분기별_유효전력량(전월)'!E2:E2018),0))</f>
        <v>258.3</v>
      </c>
      <c r="AC295" s="2586" t="n">
        <f t="shared" ref="AC295:AC304" si="97">SUM(AA295:AB295)</f>
        <v>356.70000000000005</v>
      </c>
      <c r="AD295" s="2645"/>
      <c r="AH295" s="2470"/>
    </row>
    <row r="296" spans="1:34" s="356" customFormat="1" ht="33" x14ac:dyDescent="0.15">
      <c r="A296" s="2824"/>
      <c r="B296" s="3344"/>
      <c r="C296" s="1421" t="s">
        <v>3846</v>
      </c>
      <c r="D296" s="1422" t="s">
        <v>3847</v>
      </c>
      <c r="E296" s="1424"/>
      <c r="F296" s="2338" t="s">
        <v>3848</v>
      </c>
      <c r="G296" s="1424"/>
      <c r="H296" s="1771" t="str">
        <f>"5-DaHall1-PDU-"&amp;L296&amp;"-"&amp;K296&amp;"-"&amp;M296</f>
        <v>5-DaHall1-PDU-15-20-23</v>
      </c>
      <c r="I296" s="1779"/>
      <c r="J296" s="1773">
        <v>220</v>
      </c>
      <c r="K296" s="1774">
        <v>20</v>
      </c>
      <c r="L296" s="2505" t="s">
        <v>6970</v>
      </c>
      <c r="M296" s="1775">
        <v>23</v>
      </c>
      <c r="N296" s="1780"/>
      <c r="O296" s="1781"/>
      <c r="P296" s="1424"/>
      <c r="Q296" s="1782"/>
      <c r="R296" s="3346"/>
      <c r="S296" s="1424"/>
      <c r="T296" s="3346"/>
      <c r="U296" s="1424"/>
      <c r="V296" s="3346"/>
      <c r="W296" s="1424"/>
      <c r="X296" s="1405" t="n">
        <f>SUM('5층_부하량(월간_AVG)'!D367:F367)</f>
        <v>2.2460133023568316</v>
      </c>
      <c r="Y296" s="255"/>
      <c r="Z296" s="2605" t="n">
        <f t="shared" si="96"/>
        <v>2.2460133023568316</v>
      </c>
      <c r="AA296" s="2850" t="n" cm="1">
        <f t="array" ref="AA296">INDEX('각층분기별_유효전력량(전월)'!F2:F2018,MATCH(1,("5-DaHall 1-PDU-15"='각층분기별_유효전력량(전월)'!D2:D2018)*("[branch#023] [A] kWh last month"='각층분기별_유효전력량(전월)'!E2:E2018),0))</f>
        <v>363.1</v>
      </c>
      <c r="AB296" s="2851"/>
      <c r="AC296" s="2586" t="n">
        <f t="shared" si="97"/>
        <v>363.1</v>
      </c>
      <c r="AD296" s="2645"/>
      <c r="AH296" s="2470"/>
    </row>
    <row r="297" spans="1:34" s="356" customFormat="1" ht="33" x14ac:dyDescent="0.15">
      <c r="A297" s="2824"/>
      <c r="B297" s="3344"/>
      <c r="C297" s="1421" t="s">
        <v>3849</v>
      </c>
      <c r="D297" s="1422" t="s">
        <v>3850</v>
      </c>
      <c r="E297" s="1424"/>
      <c r="F297" s="2339" t="s">
        <v>3851</v>
      </c>
      <c r="G297" s="1424"/>
      <c r="H297" s="1771" t="str">
        <f>"5-DaHall1-PDU-"&amp;L297&amp;"-"&amp;K297&amp;"-"&amp;M297</f>
        <v>5-DaHall1-PDU-15-20-29</v>
      </c>
      <c r="I297" s="1779"/>
      <c r="J297" s="1773">
        <v>220</v>
      </c>
      <c r="K297" s="1774">
        <v>20</v>
      </c>
      <c r="L297" s="2505" t="s">
        <v>6970</v>
      </c>
      <c r="M297" s="1775">
        <v>29</v>
      </c>
      <c r="N297" s="1780"/>
      <c r="O297" s="1781"/>
      <c r="P297" s="1424"/>
      <c r="Q297" s="1782"/>
      <c r="R297" s="3346"/>
      <c r="S297" s="1424"/>
      <c r="T297" s="3346"/>
      <c r="U297" s="1424"/>
      <c r="V297" s="3346"/>
      <c r="W297" s="1424"/>
      <c r="X297" s="1405" t="n">
        <f>SUM('5층_부하량(월간_AVG)'!D370:F370)</f>
        <v>0.4429375537556649</v>
      </c>
      <c r="Y297" s="255"/>
      <c r="Z297" s="2605" t="n">
        <f t="shared" si="96"/>
        <v>0.4429375537556649</v>
      </c>
      <c r="AA297" s="2850" t="n" cm="1">
        <f t="array" ref="AA297">INDEX('각층분기별_유효전력량(전월)'!F2:F2018,MATCH(1,("5-DaHall 1-PDU-15"='각층분기별_유효전력량(전월)'!D2:D2018)*("[branch#029] [A] kWh last month"='각층분기별_유효전력량(전월)'!E2:E2018),0))</f>
        <v>78.4</v>
      </c>
      <c r="AB297" s="2851"/>
      <c r="AC297" s="2586" t="n">
        <f t="shared" si="97"/>
        <v>78.4</v>
      </c>
      <c r="AD297" s="2645"/>
      <c r="AH297" s="2470"/>
    </row>
    <row r="298" spans="1:34" s="356" customFormat="1" ht="49.5" x14ac:dyDescent="0.15">
      <c r="A298" s="2824"/>
      <c r="B298" s="3344"/>
      <c r="C298" s="1421" t="s">
        <v>3852</v>
      </c>
      <c r="D298" s="1425"/>
      <c r="E298" s="1422" t="s">
        <v>3853</v>
      </c>
      <c r="F298" s="1425"/>
      <c r="G298" s="2814" t="s">
        <v>3854</v>
      </c>
      <c r="H298" s="1783"/>
      <c r="I298" s="1772" t="str">
        <f t="shared" ref="I298:I306" si="98">"5-DaHall1-PDU-"&amp;P298&amp;"-"&amp;O298&amp;"-"&amp;Q298</f>
        <v>5-DaHall1-PDU-16-20-15</v>
      </c>
      <c r="J298" s="1784"/>
      <c r="K298" s="1785"/>
      <c r="L298" s="1425"/>
      <c r="M298" s="1786"/>
      <c r="N298" s="1776">
        <v>220</v>
      </c>
      <c r="O298" s="1777">
        <v>20</v>
      </c>
      <c r="P298" s="2532" t="s">
        <v>6977</v>
      </c>
      <c r="Q298" s="1778">
        <v>15</v>
      </c>
      <c r="R298" s="1425"/>
      <c r="S298" s="3347" t="s">
        <v>3855</v>
      </c>
      <c r="T298" s="1425"/>
      <c r="U298" s="3347" t="s">
        <v>2911</v>
      </c>
      <c r="V298" s="1425"/>
      <c r="W298" s="3349" t="s">
        <v>3837</v>
      </c>
      <c r="X298" s="1405"/>
      <c r="Y298" s="255" t="n">
        <f>SUM('5층_부하량(월간_AVG)'!D422:F422)</f>
        <v>2.3944737967553915</v>
      </c>
      <c r="Z298" s="2605" t="n">
        <f t="shared" si="96"/>
        <v>2.3944737967553915</v>
      </c>
      <c r="AA298" s="2850"/>
      <c r="AB298" s="2851" t="n" cm="1">
        <f t="array" ref="AB298">INDEX('각층분기별_유효전력량(전월)'!F2:F2018,MATCH(1,("5-DaHall 1-PDU-16"='각층분기별_유효전력량(전월)'!D2:D2018)*("[branch#015] [A] kWh last month"='각층분기별_유효전력량(전월)'!E2:E2018),0))</f>
        <v>392.5</v>
      </c>
      <c r="AC298" s="2586" t="n">
        <f t="shared" si="97"/>
        <v>392.5</v>
      </c>
      <c r="AD298" s="2645"/>
      <c r="AH298" s="2470"/>
    </row>
    <row r="299" spans="1:34" s="356" customFormat="1" ht="49.5" x14ac:dyDescent="0.15">
      <c r="A299" s="2824"/>
      <c r="B299" s="3344"/>
      <c r="C299" s="1421" t="s">
        <v>3856</v>
      </c>
      <c r="D299" s="1425"/>
      <c r="E299" s="1422" t="s">
        <v>3856</v>
      </c>
      <c r="F299" s="1425"/>
      <c r="G299" s="2814" t="s">
        <v>3857</v>
      </c>
      <c r="H299" s="1783"/>
      <c r="I299" s="1772" t="str">
        <f t="shared" si="98"/>
        <v>5-DaHall1-PDU-16-20-17</v>
      </c>
      <c r="J299" s="1784"/>
      <c r="K299" s="1785"/>
      <c r="L299" s="1425"/>
      <c r="M299" s="1786"/>
      <c r="N299" s="1776">
        <v>220</v>
      </c>
      <c r="O299" s="1777">
        <v>20</v>
      </c>
      <c r="P299" s="2532" t="s">
        <v>6977</v>
      </c>
      <c r="Q299" s="1778">
        <v>17</v>
      </c>
      <c r="R299" s="1425"/>
      <c r="S299" s="3347"/>
      <c r="T299" s="1425"/>
      <c r="U299" s="3347"/>
      <c r="V299" s="1425"/>
      <c r="W299" s="3349"/>
      <c r="X299" s="1405"/>
      <c r="Y299" s="255" t="n">
        <f>SUM('5층_부하량(월간_AVG)'!D423:F423)</f>
        <v>1.5462103163456886</v>
      </c>
      <c r="Z299" s="2605" t="n">
        <f t="shared" si="96"/>
        <v>1.5462103163456886</v>
      </c>
      <c r="AA299" s="2850"/>
      <c r="AB299" s="2851" t="n" cm="1">
        <f t="array" ref="AB299">INDEX('각층분기별_유효전력량(전월)'!F2:F2018,MATCH(1,("5-DaHall 1-PDU-16"='각층분기별_유효전력량(전월)'!D2:D2018)*("[branch#017] [A] kWh last month"='각층분기별_유효전력량(전월)'!E2:E2018),0))</f>
        <v>249.6</v>
      </c>
      <c r="AC299" s="2586" t="n">
        <f t="shared" si="97"/>
        <v>249.6</v>
      </c>
      <c r="AD299" s="2645"/>
      <c r="AH299" s="2470"/>
    </row>
    <row r="300" spans="1:34" s="356" customFormat="1" ht="49.5" x14ac:dyDescent="0.15">
      <c r="A300" s="2824"/>
      <c r="B300" s="3344"/>
      <c r="C300" s="1421" t="s">
        <v>3858</v>
      </c>
      <c r="D300" s="1425"/>
      <c r="E300" s="1422" t="s">
        <v>3858</v>
      </c>
      <c r="F300" s="1425"/>
      <c r="G300" s="2814" t="s">
        <v>3859</v>
      </c>
      <c r="H300" s="1783"/>
      <c r="I300" s="1772" t="str">
        <f t="shared" si="98"/>
        <v>5-DaHall1-PDU-16-20-19</v>
      </c>
      <c r="J300" s="1784"/>
      <c r="K300" s="1785"/>
      <c r="L300" s="1425"/>
      <c r="M300" s="1786"/>
      <c r="N300" s="1776">
        <v>220</v>
      </c>
      <c r="O300" s="1777">
        <v>20</v>
      </c>
      <c r="P300" s="2532" t="s">
        <v>6977</v>
      </c>
      <c r="Q300" s="1778">
        <v>19</v>
      </c>
      <c r="R300" s="1425"/>
      <c r="S300" s="3347"/>
      <c r="T300" s="1425"/>
      <c r="U300" s="3347"/>
      <c r="V300" s="1425"/>
      <c r="W300" s="3349"/>
      <c r="X300" s="1405"/>
      <c r="Y300" s="255" t="n">
        <f>SUM('5층_부하량(월간_AVG)'!D424:F424)</f>
        <v>4.520009968117057</v>
      </c>
      <c r="Z300" s="2605" t="n">
        <f t="shared" si="96"/>
        <v>4.520009968117057</v>
      </c>
      <c r="AA300" s="2850"/>
      <c r="AB300" s="2851" t="n" cm="1">
        <f t="array" ref="AB300">INDEX('각층분기별_유효전력량(전월)'!F2:F2018,MATCH(1,("5-DaHall 1-PDU-16"='각층분기별_유효전력량(전월)'!D2:D2018)*("[branch#019] [A] kWh last month"='각층분기별_유효전력량(전월)'!E2:E2018),0))</f>
        <v>669.9</v>
      </c>
      <c r="AC300" s="2586" t="n">
        <f t="shared" si="97"/>
        <v>669.9</v>
      </c>
      <c r="AD300" s="2645"/>
      <c r="AH300" s="2470"/>
    </row>
    <row r="301" spans="1:34" s="356" customFormat="1" ht="33" x14ac:dyDescent="0.15">
      <c r="A301" s="2824"/>
      <c r="B301" s="3344"/>
      <c r="C301" s="1421" t="s">
        <v>3849</v>
      </c>
      <c r="D301" s="1425"/>
      <c r="E301" s="1422" t="s">
        <v>3860</v>
      </c>
      <c r="F301" s="1425"/>
      <c r="G301" s="2814" t="s">
        <v>3861</v>
      </c>
      <c r="H301" s="1783"/>
      <c r="I301" s="1772" t="str">
        <f t="shared" si="98"/>
        <v>5-DaHall1-PDU-16-20-23</v>
      </c>
      <c r="J301" s="1784"/>
      <c r="K301" s="1785"/>
      <c r="L301" s="1425"/>
      <c r="M301" s="1786"/>
      <c r="N301" s="1776">
        <v>220</v>
      </c>
      <c r="O301" s="1777">
        <v>20</v>
      </c>
      <c r="P301" s="2532" t="s">
        <v>6977</v>
      </c>
      <c r="Q301" s="1778">
        <v>23</v>
      </c>
      <c r="R301" s="1425"/>
      <c r="S301" s="3347"/>
      <c r="T301" s="1425"/>
      <c r="U301" s="3347"/>
      <c r="V301" s="1425"/>
      <c r="W301" s="3349"/>
      <c r="X301" s="1405"/>
      <c r="Y301" s="255" t="n">
        <f>SUM('5층_부하량(월간_AVG)'!D426:F426)</f>
        <v>0.0</v>
      </c>
      <c r="Z301" s="2605" t="n">
        <f t="shared" si="96"/>
        <v>0.0</v>
      </c>
      <c r="AA301" s="2850"/>
      <c r="AB301" s="2851" t="n" cm="1">
        <f t="array" ref="AB301">INDEX('각층분기별_유효전력량(전월)'!F2:F2018,MATCH(1,("5-DaHall 1-PDU-16"='각층분기별_유효전력량(전월)'!D2:D2018)*("[branch#023] [A] kWh last month"='각층분기별_유효전력량(전월)'!E2:E2018),0))</f>
        <v>0.0</v>
      </c>
      <c r="AC301" s="2586" t="n">
        <f t="shared" si="97"/>
        <v>0.0</v>
      </c>
      <c r="AD301" s="2645"/>
      <c r="AH301" s="2470"/>
    </row>
    <row r="302" spans="1:34" s="356" customFormat="1" ht="33" x14ac:dyDescent="0.15">
      <c r="A302" s="2824"/>
      <c r="B302" s="3344"/>
      <c r="C302" s="1421" t="s">
        <v>3846</v>
      </c>
      <c r="D302" s="1425"/>
      <c r="E302" s="1422"/>
      <c r="F302" s="1425"/>
      <c r="G302" s="2814" t="s">
        <v>3862</v>
      </c>
      <c r="H302" s="1783"/>
      <c r="I302" s="1772" t="str">
        <f t="shared" si="98"/>
        <v>5-DaHall1-PDU-16-20-25</v>
      </c>
      <c r="J302" s="1784"/>
      <c r="K302" s="1785"/>
      <c r="L302" s="1425"/>
      <c r="M302" s="1786"/>
      <c r="N302" s="1776">
        <v>220</v>
      </c>
      <c r="O302" s="1777">
        <v>20</v>
      </c>
      <c r="P302" s="2532" t="s">
        <v>6977</v>
      </c>
      <c r="Q302" s="1778">
        <v>25</v>
      </c>
      <c r="R302" s="1425"/>
      <c r="S302" s="3347"/>
      <c r="T302" s="1425"/>
      <c r="U302" s="3347"/>
      <c r="V302" s="1425"/>
      <c r="W302" s="3349"/>
      <c r="X302" s="1405"/>
      <c r="Y302" s="255" t="n">
        <f>SUM('5층_부하량(월간_AVG)'!D427:F427)</f>
        <v>0.4635084016805546</v>
      </c>
      <c r="Z302" s="2605" t="n">
        <f t="shared" si="96"/>
        <v>0.4635084016805546</v>
      </c>
      <c r="AA302" s="2850"/>
      <c r="AB302" s="2851" t="n" cm="1">
        <f t="array" ref="AB302">INDEX('각층분기별_유효전력량(전월)'!F2:F2018,MATCH(1,("5-DaHall 1-PDU-16"='각층분기별_유효전력량(전월)'!D2:D2018)*("[branch#025] [A] kWh last month"='각층분기별_유효전력량(전월)'!E2:E2018),0))</f>
        <v>80.1</v>
      </c>
      <c r="AC302" s="2586" t="n">
        <f t="shared" si="97"/>
        <v>80.1</v>
      </c>
      <c r="AD302" s="2645"/>
      <c r="AH302" s="2470"/>
    </row>
    <row r="303" spans="1:34" s="356" customFormat="1" ht="49.5" x14ac:dyDescent="0.15">
      <c r="A303" s="2824"/>
      <c r="B303" s="3344"/>
      <c r="C303" s="1421" t="s">
        <v>3846</v>
      </c>
      <c r="D303" s="1425"/>
      <c r="E303" s="1422" t="s">
        <v>3863</v>
      </c>
      <c r="F303" s="1425"/>
      <c r="G303" s="2814" t="s">
        <v>3864</v>
      </c>
      <c r="H303" s="1783"/>
      <c r="I303" s="1772" t="str">
        <f t="shared" si="98"/>
        <v>5-DaHall1-PDU-16-20-27</v>
      </c>
      <c r="J303" s="1784"/>
      <c r="K303" s="1785"/>
      <c r="L303" s="1425"/>
      <c r="M303" s="1786"/>
      <c r="N303" s="1776">
        <v>220</v>
      </c>
      <c r="O303" s="1777">
        <v>20</v>
      </c>
      <c r="P303" s="2532" t="s">
        <v>6977</v>
      </c>
      <c r="Q303" s="1778">
        <v>27</v>
      </c>
      <c r="R303" s="1425"/>
      <c r="S303" s="3347"/>
      <c r="T303" s="1425"/>
      <c r="U303" s="3347"/>
      <c r="V303" s="1425"/>
      <c r="W303" s="3349"/>
      <c r="X303" s="1405"/>
      <c r="Y303" s="255" t="n">
        <f>SUM('5층_부하량(월간_AVG)'!D428:F428)</f>
        <v>1.4892922341349681</v>
      </c>
      <c r="Z303" s="2605" t="n">
        <f t="shared" si="96"/>
        <v>1.4892922341349681</v>
      </c>
      <c r="AA303" s="2850"/>
      <c r="AB303" s="2851" t="n" cm="1">
        <f t="array" ref="AB303">INDEX('각층분기별_유효전력량(전월)'!F2:F2018,MATCH(1,("5-DaHall 1-PDU-16"='각층분기별_유효전력량(전월)'!D2:D2018)*("[branch#027] [A] kWh last month"='각층분기별_유효전력량(전월)'!E2:E2018),0))</f>
        <v>232.9</v>
      </c>
      <c r="AC303" s="2586" t="n">
        <f t="shared" si="97"/>
        <v>232.9</v>
      </c>
      <c r="AD303" s="2645"/>
      <c r="AH303" s="2470"/>
    </row>
    <row r="304" spans="1:34" s="356" customFormat="1" ht="33" x14ac:dyDescent="0.15">
      <c r="A304" s="2824"/>
      <c r="B304" s="3344"/>
      <c r="C304" s="1421" t="s">
        <v>3846</v>
      </c>
      <c r="D304" s="1425"/>
      <c r="E304" s="1422" t="s">
        <v>3865</v>
      </c>
      <c r="F304" s="1425"/>
      <c r="G304" s="2814" t="s">
        <v>3866</v>
      </c>
      <c r="H304" s="1783"/>
      <c r="I304" s="1772" t="str">
        <f t="shared" si="98"/>
        <v>5-DaHall1-PDU-16-20-29</v>
      </c>
      <c r="J304" s="1784"/>
      <c r="K304" s="1785"/>
      <c r="L304" s="1425"/>
      <c r="M304" s="1786"/>
      <c r="N304" s="1776">
        <v>220</v>
      </c>
      <c r="O304" s="1777">
        <v>20</v>
      </c>
      <c r="P304" s="2532" t="s">
        <v>6977</v>
      </c>
      <c r="Q304" s="1778">
        <v>29</v>
      </c>
      <c r="R304" s="1425"/>
      <c r="S304" s="3347"/>
      <c r="T304" s="1425"/>
      <c r="U304" s="3347"/>
      <c r="V304" s="1425"/>
      <c r="W304" s="3349"/>
      <c r="X304" s="1405"/>
      <c r="Y304" s="255" t="n">
        <f>SUM('5층_부하량(월간_AVG)'!D429:F429)</f>
        <v>1.7926571483400484</v>
      </c>
      <c r="Z304" s="2605" t="n">
        <f t="shared" si="96"/>
        <v>1.7926571483400484</v>
      </c>
      <c r="AA304" s="2850"/>
      <c r="AB304" s="2851" t="n" cm="1">
        <f t="array" ref="AB304">INDEX('각층분기별_유효전력량(전월)'!F2:F2018,MATCH(1,("5-DaHall 1-PDU-16"='각층분기별_유효전력량(전월)'!D2:D2018)*("[branch#029] [A] kWh last month"='각층분기별_유효전력량(전월)'!E2:E2018),0))</f>
        <v>349.4</v>
      </c>
      <c r="AC304" s="2586" t="n">
        <f t="shared" si="97"/>
        <v>349.4</v>
      </c>
      <c r="AD304" s="2645"/>
      <c r="AH304" s="2470"/>
    </row>
    <row r="305" spans="1:34" s="356" customFormat="1" ht="33" x14ac:dyDescent="0.15">
      <c r="A305" s="2824"/>
      <c r="B305" s="3344"/>
      <c r="C305" s="1421" t="s">
        <v>3846</v>
      </c>
      <c r="D305" s="1425"/>
      <c r="E305" s="1422" t="s">
        <v>3867</v>
      </c>
      <c r="F305" s="1425"/>
      <c r="G305" s="2814" t="s">
        <v>3868</v>
      </c>
      <c r="H305" s="1783"/>
      <c r="I305" s="1772" t="str">
        <f t="shared" si="98"/>
        <v>5-DaHall1-PDU-16-20-24</v>
      </c>
      <c r="J305" s="1784"/>
      <c r="K305" s="1785"/>
      <c r="L305" s="1425"/>
      <c r="M305" s="1786"/>
      <c r="N305" s="1776">
        <v>220</v>
      </c>
      <c r="O305" s="1777">
        <v>20</v>
      </c>
      <c r="P305" s="2532" t="s">
        <v>6977</v>
      </c>
      <c r="Q305" s="1778">
        <v>24</v>
      </c>
      <c r="R305" s="1425"/>
      <c r="S305" s="3347"/>
      <c r="T305" s="1425"/>
      <c r="U305" s="3347"/>
      <c r="V305" s="1425"/>
      <c r="W305" s="3349"/>
      <c r="X305" s="1405"/>
      <c r="Y305" s="255" t="n">
        <f>SUM('5층_부하량(월간_AVG)'!N426:P426)</f>
        <v>1.4455054348998286</v>
      </c>
      <c r="Z305" s="2605" t="n">
        <f t="shared" si="96"/>
        <v>1.4455054348998286</v>
      </c>
      <c r="AA305" s="2850"/>
      <c r="AB305" s="2851" t="n" cm="1">
        <f t="array" ref="AB305">INDEX('각층분기별_유효전력량(전월)'!F2:F2018,MATCH(1,("5-DaHall 1-PDU-16"='각층분기별_유효전력량(전월)'!D2:D2018)*("[branch#024] [A] kWh last month"='각층분기별_유효전력량(전월)'!E2:E2018),0))</f>
        <v>219.9</v>
      </c>
      <c r="AC305" s="2586" t="n">
        <f>SUM(AA305:AB305)</f>
        <v>219.9</v>
      </c>
      <c r="AD305" s="2645"/>
      <c r="AH305" s="2470"/>
    </row>
    <row r="306" spans="1:34" s="356" customFormat="1" ht="33.75" thickBot="1" x14ac:dyDescent="0.2">
      <c r="A306" s="2824"/>
      <c r="B306" s="3345"/>
      <c r="C306" s="1426" t="s">
        <v>3846</v>
      </c>
      <c r="D306" s="1427"/>
      <c r="E306" s="1428" t="s">
        <v>3869</v>
      </c>
      <c r="F306" s="1427"/>
      <c r="G306" s="2815" t="s">
        <v>3870</v>
      </c>
      <c r="H306" s="1787"/>
      <c r="I306" s="1788" t="str">
        <f t="shared" si="98"/>
        <v>5-DaHall1-PDU-16-20-30</v>
      </c>
      <c r="J306" s="1789"/>
      <c r="K306" s="1790"/>
      <c r="L306" s="1427"/>
      <c r="M306" s="1791"/>
      <c r="N306" s="1792">
        <v>220</v>
      </c>
      <c r="O306" s="1793">
        <v>20</v>
      </c>
      <c r="P306" s="2533" t="s">
        <v>6977</v>
      </c>
      <c r="Q306" s="1794">
        <v>30</v>
      </c>
      <c r="R306" s="1427"/>
      <c r="S306" s="3348"/>
      <c r="T306" s="1427"/>
      <c r="U306" s="3348"/>
      <c r="V306" s="1427"/>
      <c r="W306" s="3350"/>
      <c r="X306" s="1406"/>
      <c r="Y306" s="333" t="n">
        <f>SUM('5층_부하량(월간_AVG)'!N429:P429)</f>
        <v>0.49895223638757213</v>
      </c>
      <c r="Z306" s="2606" t="n">
        <f t="shared" si="96"/>
        <v>0.49895223638757213</v>
      </c>
      <c r="AA306" s="2856"/>
      <c r="AB306" s="2857" t="n" cm="1">
        <f t="array" ref="AB306">INDEX('각층분기별_유효전력량(전월)'!F2:F2018,MATCH(1,("5-DaHall 1-PDU-16"='각층분기별_유효전력량(전월)'!D2:D2018)*("[branch#030] [A] kWh last month"='각층분기별_유효전력량(전월)'!E2:E2018),0))</f>
        <v>42.2</v>
      </c>
      <c r="AC306" s="2587" t="n">
        <f>SUM(AA306:AB306)</f>
        <v>42.2</v>
      </c>
      <c r="AD306" s="2646"/>
      <c r="AF306" s="2469" t="n">
        <f>SUM(AA293:AA306)/1000</f>
        <v>0.5398999999999999</v>
      </c>
      <c r="AH306" s="2470"/>
    </row>
    <row r="307" spans="1:34" s="356" customFormat="1" ht="55.9" customHeight="1" thickTop="1" x14ac:dyDescent="0.15">
      <c r="A307" s="3311"/>
      <c r="B307" s="3314" t="s">
        <v>3871</v>
      </c>
      <c r="C307" s="2931" t="s">
        <v>3872</v>
      </c>
      <c r="D307" s="1139" t="s">
        <v>3873</v>
      </c>
      <c r="E307" s="1140" t="s">
        <v>3874</v>
      </c>
      <c r="F307" s="1287" t="s">
        <v>3083</v>
      </c>
      <c r="G307" s="1288" t="s">
        <v>3083</v>
      </c>
      <c r="H307" s="1795"/>
      <c r="I307" s="1796"/>
      <c r="J307" s="1623"/>
      <c r="K307" s="1624"/>
      <c r="L307" s="1287" t="s">
        <v>3083</v>
      </c>
      <c r="M307" s="1797" t="s">
        <v>3083</v>
      </c>
      <c r="N307" s="1798">
        <v>380</v>
      </c>
      <c r="O307" s="1627"/>
      <c r="P307" s="1288" t="s">
        <v>3083</v>
      </c>
      <c r="Q307" s="1799" t="s">
        <v>3083</v>
      </c>
      <c r="R307" s="1141" t="s">
        <v>3083</v>
      </c>
      <c r="S307" s="1142" t="s">
        <v>3083</v>
      </c>
      <c r="T307" s="1240" t="s">
        <v>3875</v>
      </c>
      <c r="U307" s="1241" t="s">
        <v>3876</v>
      </c>
      <c r="V307" s="3317" t="s">
        <v>2820</v>
      </c>
      <c r="W307" s="3320" t="s">
        <v>2821</v>
      </c>
      <c r="X307" s="1136" t="n">
        <f>SUM('5층_부하량(월간_AVG)'!N553:P553)</f>
        <v>26.0</v>
      </c>
      <c r="Y307" s="1136" t="n">
        <f>SUM('5층_부하량(월간_AVG)'!D553:F553)</f>
        <v>36.8</v>
      </c>
      <c r="Z307" s="2603" t="n">
        <f t="shared" si="96"/>
        <v>62.8</v>
      </c>
      <c r="AA307" s="2848"/>
      <c r="AB307" s="2849"/>
      <c r="AC307" s="2589"/>
      <c r="AD307" s="2932" t="s">
        <v>9161</v>
      </c>
      <c r="AH307" s="2470"/>
    </row>
    <row r="308" spans="1:34" s="356" customFormat="1" ht="55.15" customHeight="1" x14ac:dyDescent="0.15">
      <c r="A308" s="3312"/>
      <c r="B308" s="3315"/>
      <c r="C308" s="2933" t="s">
        <v>3878</v>
      </c>
      <c r="D308" s="2934" t="s">
        <v>3879</v>
      </c>
      <c r="E308" s="1429" t="s">
        <v>3880</v>
      </c>
      <c r="F308" s="2819" t="s">
        <v>3083</v>
      </c>
      <c r="G308" s="2821" t="s">
        <v>3083</v>
      </c>
      <c r="H308" s="1800"/>
      <c r="I308" s="1801"/>
      <c r="J308" s="1629"/>
      <c r="K308" s="1630"/>
      <c r="L308" s="2819" t="s">
        <v>3083</v>
      </c>
      <c r="M308" s="1802" t="s">
        <v>3083</v>
      </c>
      <c r="N308" s="1745">
        <v>380</v>
      </c>
      <c r="O308" s="1633"/>
      <c r="P308" s="2821" t="s">
        <v>3083</v>
      </c>
      <c r="Q308" s="1803" t="s">
        <v>3083</v>
      </c>
      <c r="R308" s="1430" t="s">
        <v>3083</v>
      </c>
      <c r="S308" s="1431" t="s">
        <v>3083</v>
      </c>
      <c r="T308" s="1423" t="s">
        <v>3881</v>
      </c>
      <c r="U308" s="2814" t="s">
        <v>3882</v>
      </c>
      <c r="V308" s="3318"/>
      <c r="W308" s="3321"/>
      <c r="X308" s="1407" t="n">
        <f>SUM('5층_부하량(월간_AVG)'!N554:P554)</f>
        <v>34.7</v>
      </c>
      <c r="Y308" s="1407" t="n">
        <f>SUM('5층_부하량(월간_AVG)'!D554:F554)</f>
        <v>30.799999999999997</v>
      </c>
      <c r="Z308" s="2605" t="n">
        <f t="shared" si="96"/>
        <v>65.5</v>
      </c>
      <c r="AA308" s="2850"/>
      <c r="AB308" s="2851"/>
      <c r="AC308" s="2586"/>
      <c r="AD308" s="2935" t="s">
        <v>9162</v>
      </c>
      <c r="AF308" s="901"/>
      <c r="AH308" s="2470"/>
    </row>
    <row r="309" spans="1:34" s="356" customFormat="1" ht="66" customHeight="1" x14ac:dyDescent="0.15">
      <c r="A309" s="3312"/>
      <c r="B309" s="3315"/>
      <c r="C309" s="2933" t="s">
        <v>3878</v>
      </c>
      <c r="D309" s="2934" t="s">
        <v>3883</v>
      </c>
      <c r="E309" s="2936"/>
      <c r="F309" s="2819" t="s">
        <v>3884</v>
      </c>
      <c r="G309" s="1432"/>
      <c r="H309" s="1800" t="str">
        <f>"5-DaHall1-PDU-"&amp;L309&amp;"-"&amp;K309&amp;"-"&amp;M309</f>
        <v>5-DaHall1-PDU-15-50-1</v>
      </c>
      <c r="I309" s="1804"/>
      <c r="J309" s="1744">
        <v>380</v>
      </c>
      <c r="K309" s="1630">
        <v>50</v>
      </c>
      <c r="L309" s="2506" t="s">
        <v>6970</v>
      </c>
      <c r="M309" s="1802">
        <v>1</v>
      </c>
      <c r="N309" s="1805"/>
      <c r="O309" s="1655"/>
      <c r="P309" s="1432"/>
      <c r="Q309" s="1806"/>
      <c r="R309" s="3323" t="s">
        <v>2908</v>
      </c>
      <c r="S309" s="1433"/>
      <c r="T309" s="3324" t="s">
        <v>2910</v>
      </c>
      <c r="U309" s="1433"/>
      <c r="V309" s="3318"/>
      <c r="W309" s="3321"/>
      <c r="X309" s="1407" t="n">
        <f>SUM('5층_부하량(월간_AVG)'!D356:F356)</f>
        <v>15.253720332932723</v>
      </c>
      <c r="Y309" s="1408"/>
      <c r="Z309" s="2937" t="n">
        <f>SUM(X309:Y310)</f>
        <v>23.25864580611397</v>
      </c>
      <c r="AA309" s="2854" t="n" cm="1">
        <f t="array" ref="AA309">INDEX('각층분기별_유효전력량(전월)'!F2:F2018,MATCH(1,("5-DaHall 1-PDU-15"='각층분기별_유효전력량(전월)'!D2:D2018)*("[branch#001] [A] kWh last month"='각층분기별_유효전력량(전월)'!E2:E2018),0))</f>
        <v>2228.2</v>
      </c>
      <c r="AB309" s="2855"/>
      <c r="AC309" s="2592" t="n">
        <f>SUM(AA309:AB309)</f>
        <v>2228.2</v>
      </c>
      <c r="AD309" s="2935"/>
      <c r="AF309" s="901"/>
      <c r="AH309" s="2470"/>
    </row>
    <row r="310" spans="1:34" s="356" customFormat="1" ht="43.15" customHeight="1" x14ac:dyDescent="0.15">
      <c r="A310" s="3312"/>
      <c r="B310" s="3315"/>
      <c r="C310" s="2933" t="s">
        <v>3878</v>
      </c>
      <c r="D310" s="2934" t="s">
        <v>3885</v>
      </c>
      <c r="E310" s="1434"/>
      <c r="F310" s="2819" t="s">
        <v>3886</v>
      </c>
      <c r="G310" s="1432"/>
      <c r="H310" s="1800" t="str">
        <f>"5-DaHall1-PDU-"&amp;L310&amp;"-"&amp;K310&amp;"-"&amp;M310</f>
        <v>5-DaHall1-PDU-15-50-2</v>
      </c>
      <c r="I310" s="1804"/>
      <c r="J310" s="1744">
        <v>380</v>
      </c>
      <c r="K310" s="1630">
        <v>50</v>
      </c>
      <c r="L310" s="2506" t="s">
        <v>6970</v>
      </c>
      <c r="M310" s="1802">
        <v>2</v>
      </c>
      <c r="N310" s="1805"/>
      <c r="O310" s="1655"/>
      <c r="P310" s="1432"/>
      <c r="Q310" s="1806"/>
      <c r="R310" s="3323"/>
      <c r="S310" s="1433"/>
      <c r="T310" s="3325"/>
      <c r="U310" s="1433"/>
      <c r="V310" s="3318"/>
      <c r="W310" s="3321"/>
      <c r="X310" s="1407" t="n">
        <f>SUM('5층_부하량(월간_AVG)'!N356:P356)</f>
        <v>8.004925473181249</v>
      </c>
      <c r="Y310" s="1408"/>
      <c r="Z310" s="2938"/>
      <c r="AA310" s="2854" t="n" cm="1">
        <f t="array" ref="AA310">INDEX('각층분기별_유효전력량(전월)'!F2:F2018,MATCH(1,("5-DaHall 1-PDU-15"='각층분기별_유효전력량(전월)'!D2:D2018)*("[branch#002] [A] kWh last month"='각층분기별_유효전력량(전월)'!E2:E2018),0))</f>
        <v>1305.1</v>
      </c>
      <c r="AB310" s="2855"/>
      <c r="AC310" s="2592" t="n">
        <f t="shared" ref="AC310:AC311" si="99">SUM(AA310:AB310)</f>
        <v>1305.1</v>
      </c>
      <c r="AD310" s="2935"/>
      <c r="AF310" s="901"/>
      <c r="AH310" s="2470"/>
    </row>
    <row r="311" spans="1:34" s="356" customFormat="1" ht="43.15" customHeight="1" x14ac:dyDescent="0.15">
      <c r="A311" s="3312"/>
      <c r="B311" s="3315"/>
      <c r="C311" s="2933" t="s">
        <v>3878</v>
      </c>
      <c r="D311" s="2936"/>
      <c r="E311" s="2934" t="s">
        <v>3887</v>
      </c>
      <c r="F311" s="1435"/>
      <c r="G311" s="2821" t="s">
        <v>3888</v>
      </c>
      <c r="H311" s="1807"/>
      <c r="I311" s="1801" t="str">
        <f t="shared" ref="I311:I315" si="100">"5-DaHall1-PDU-"&amp;P311&amp;"-"&amp;O311&amp;"-"&amp;Q311</f>
        <v>5-DaHall1-PDU-16-50-1</v>
      </c>
      <c r="J311" s="1808"/>
      <c r="K311" s="1663"/>
      <c r="L311" s="1435"/>
      <c r="M311" s="1809"/>
      <c r="N311" s="1745">
        <v>380</v>
      </c>
      <c r="O311" s="1633">
        <v>50</v>
      </c>
      <c r="P311" s="2534" t="s">
        <v>6977</v>
      </c>
      <c r="Q311" s="1803">
        <v>1</v>
      </c>
      <c r="R311" s="1436"/>
      <c r="S311" s="3326" t="s">
        <v>2909</v>
      </c>
      <c r="T311" s="1436"/>
      <c r="U311" s="3328" t="s">
        <v>2911</v>
      </c>
      <c r="V311" s="3318"/>
      <c r="W311" s="3321"/>
      <c r="X311" s="1408"/>
      <c r="Y311" s="1407" t="n">
        <f>SUM('5층_부하량(월간_AVG)'!D415:F415)</f>
        <v>12.148815889107926</v>
      </c>
      <c r="Z311" s="2937" t="n">
        <f>SUM(X311:Y312)</f>
        <v>20.077748027848518</v>
      </c>
      <c r="AA311" s="2854"/>
      <c r="AB311" s="2855" t="n" cm="1">
        <f t="array" ref="AB311">INDEX('각층분기별_유효전력량(전월)'!F2:F2018,MATCH(1,("5-DaHall 1-PDU-16"='각층분기별_유효전력량(전월)'!D2:D2018)*("[branch#001] [A] kWh last month"='각층분기별_유효전력량(전월)'!E2:E2018),0))</f>
        <v>1683.1</v>
      </c>
      <c r="AC311" s="2592" t="n">
        <f t="shared" si="99"/>
        <v>1683.1</v>
      </c>
      <c r="AD311" s="2935"/>
      <c r="AF311" s="901"/>
      <c r="AH311" s="2470"/>
    </row>
    <row r="312" spans="1:34" s="356" customFormat="1" ht="43.9" customHeight="1" thickBot="1" x14ac:dyDescent="0.2">
      <c r="A312" s="3312"/>
      <c r="B312" s="3315"/>
      <c r="C312" s="2933" t="s">
        <v>3878</v>
      </c>
      <c r="D312" s="2939"/>
      <c r="E312" s="2940" t="s">
        <v>3889</v>
      </c>
      <c r="F312" s="1437"/>
      <c r="G312" s="1137" t="s">
        <v>3890</v>
      </c>
      <c r="H312" s="1810"/>
      <c r="I312" s="1811" t="str">
        <f t="shared" si="100"/>
        <v>5-DaHall1-PDU-16-50-2</v>
      </c>
      <c r="J312" s="1812"/>
      <c r="K312" s="1695"/>
      <c r="L312" s="1437"/>
      <c r="M312" s="1813"/>
      <c r="N312" s="1814">
        <v>380</v>
      </c>
      <c r="O312" s="1643">
        <v>50</v>
      </c>
      <c r="P312" s="2535" t="s">
        <v>6977</v>
      </c>
      <c r="Q312" s="1815">
        <v>2</v>
      </c>
      <c r="R312" s="1438"/>
      <c r="S312" s="3327"/>
      <c r="T312" s="1438"/>
      <c r="U312" s="3329"/>
      <c r="V312" s="3319"/>
      <c r="W312" s="3322"/>
      <c r="X312" s="1409"/>
      <c r="Y312" s="1138" t="n">
        <f>SUM('5층_부하량(월간_AVG)'!N415:P415)</f>
        <v>7.928932138740593</v>
      </c>
      <c r="Z312" s="2941"/>
      <c r="AA312" s="2870"/>
      <c r="AB312" s="2871" t="n" cm="1">
        <f t="array" ref="AB312">INDEX('각층분기별_유효전력량(전월)'!F2:F2018,MATCH(1,("5-DaHall 1-PDU-16"='각층분기별_유효전력량(전월)'!D2:D2018)*("[branch#002] [A] kWh last month"='각층분기별_유효전력량(전월)'!E2:E2018),0))</f>
        <v>1289.6</v>
      </c>
      <c r="AC312" s="2596" t="n">
        <f>SUM(AA312:AB312)</f>
        <v>1289.6</v>
      </c>
      <c r="AD312" s="2942"/>
      <c r="AF312" s="901"/>
      <c r="AH312" s="2470"/>
    </row>
    <row r="313" spans="1:34" s="356" customFormat="1" ht="18" thickTop="1" thickBot="1" x14ac:dyDescent="0.2">
      <c r="A313" s="3313"/>
      <c r="B313" s="3316"/>
      <c r="C313" s="2933" t="s">
        <v>3878</v>
      </c>
      <c r="D313" s="2943"/>
      <c r="E313" s="2943"/>
      <c r="F313" s="2424"/>
      <c r="G313" s="2425"/>
      <c r="H313" s="2426"/>
      <c r="I313" s="1811" t="str">
        <f t="shared" si="100"/>
        <v>5-DaHall1-PDU-16-20-21</v>
      </c>
      <c r="J313" s="2427"/>
      <c r="K313" s="2428"/>
      <c r="L313" s="2424"/>
      <c r="M313" s="2429"/>
      <c r="N313" s="2430">
        <v>220</v>
      </c>
      <c r="O313" s="2431">
        <v>20</v>
      </c>
      <c r="P313" s="2536" t="s">
        <v>6977</v>
      </c>
      <c r="Q313" s="2432">
        <v>21</v>
      </c>
      <c r="R313" s="2433"/>
      <c r="S313" s="2434"/>
      <c r="T313" s="2433"/>
      <c r="U313" s="2435"/>
      <c r="V313" s="2436"/>
      <c r="W313" s="2437"/>
      <c r="X313" s="2438"/>
      <c r="Y313" s="2438" t="n">
        <f>SUM('5층_부하량(월간_AVG)'!D425:F425)</f>
        <v>0.9669129497413516</v>
      </c>
      <c r="Z313" s="2605" t="n">
        <f t="shared" ref="Z313" si="101">SUM(X313:Y313)</f>
        <v>0.9669129497413516</v>
      </c>
      <c r="AA313" s="2850"/>
      <c r="AB313" s="2851" t="n" cm="1">
        <f t="array" ref="AB313">INDEX('각층분기별_유효전력량(전월)'!F2:F2018,MATCH(1,("5-DaHall 1-PDU-16"='각층분기별_유효전력량(전월)'!D2:D2018)*("[branch#021] [A] kWh last month"='각층분기별_유효전력량(전월)'!E2:E2018),0))</f>
        <v>319.2</v>
      </c>
      <c r="AC313" s="2649"/>
      <c r="AD313" s="2903"/>
      <c r="AF313" s="901" t="n">
        <f>SUM(AA307:AA313)/1000</f>
        <v>3.5332999999999997</v>
      </c>
      <c r="AH313" s="2470"/>
    </row>
    <row r="314" spans="1:34" s="356" customFormat="1" ht="51.6" customHeight="1" thickTop="1" x14ac:dyDescent="0.15">
      <c r="A314" s="2790"/>
      <c r="B314" s="3330" t="s">
        <v>4094</v>
      </c>
      <c r="C314" s="3331"/>
      <c r="D314" s="2934"/>
      <c r="E314" s="2934"/>
      <c r="F314" s="2819"/>
      <c r="G314" s="2821"/>
      <c r="H314" s="1854"/>
      <c r="I314" s="1825" t="str">
        <f t="shared" si="100"/>
        <v>5-DaHall1-PDU-16-50-20</v>
      </c>
      <c r="J314" s="1826">
        <v>220</v>
      </c>
      <c r="K314" s="1827"/>
      <c r="L314" s="1280"/>
      <c r="M314" s="1855"/>
      <c r="N314" s="1829">
        <v>220</v>
      </c>
      <c r="O314" s="1830">
        <v>50</v>
      </c>
      <c r="P314" s="2507" t="s">
        <v>6977</v>
      </c>
      <c r="Q314" s="1831">
        <v>20</v>
      </c>
      <c r="R314" s="1430"/>
      <c r="S314" s="1431"/>
      <c r="T314" s="1423"/>
      <c r="U314" s="2814"/>
      <c r="V314" s="2825"/>
      <c r="W314" s="2817"/>
      <c r="X314" s="1407"/>
      <c r="Y314" s="255" t="n">
        <f>SUM('5층_부하량(월간_AVG)'!N424:P424)</f>
        <v>0.6892507604925012</v>
      </c>
      <c r="Z314" s="2605" t="n">
        <f t="shared" ref="Z314:Z315" si="102">SUM(X314:Y314)</f>
        <v>0.6892507604925012</v>
      </c>
      <c r="AA314" s="2850"/>
      <c r="AB314" s="2851" t="n" cm="1">
        <f t="array" ref="AB314">INDEX('각층분기별_유효전력량(전월)'!F2:F2018,MATCH(1,("5-DaHall 1-PDU-16"='각층분기별_유효전력량(전월)'!D2:D2018)*("[branch#020] [A] kWh last month"='각층분기별_유효전력량(전월)'!E2:E2018),0))</f>
        <v>80.1</v>
      </c>
      <c r="AC314" s="2586" t="n">
        <f>SUM(AA314:AB314)</f>
        <v>80.1</v>
      </c>
      <c r="AD314" s="2645"/>
      <c r="AF314" s="901"/>
      <c r="AH314" s="2470"/>
    </row>
    <row r="315" spans="1:34" s="356" customFormat="1" ht="51.6" customHeight="1" thickBot="1" x14ac:dyDescent="0.2">
      <c r="A315" s="2791"/>
      <c r="B315" s="3309" t="s">
        <v>4095</v>
      </c>
      <c r="C315" s="3310"/>
      <c r="D315" s="2940"/>
      <c r="E315" s="2940"/>
      <c r="F315" s="2398"/>
      <c r="G315" s="1137"/>
      <c r="H315" s="2399"/>
      <c r="I315" s="2400" t="str">
        <f t="shared" si="100"/>
        <v>5-DaHall1-PDU-16-50-22</v>
      </c>
      <c r="J315" s="2285">
        <v>220</v>
      </c>
      <c r="K315" s="2286"/>
      <c r="L315" s="1265"/>
      <c r="M315" s="2401"/>
      <c r="N315" s="2288">
        <v>220</v>
      </c>
      <c r="O315" s="2289">
        <v>50</v>
      </c>
      <c r="P315" s="2537" t="s">
        <v>6977</v>
      </c>
      <c r="Q315" s="2402">
        <v>22</v>
      </c>
      <c r="R315" s="2403"/>
      <c r="S315" s="2822"/>
      <c r="T315" s="2404"/>
      <c r="U315" s="2815"/>
      <c r="V315" s="2826"/>
      <c r="W315" s="2818"/>
      <c r="X315" s="1138"/>
      <c r="Y315" s="255" t="n">
        <f>SUM('5층_부하량(월간_AVG)'!N425:P425)</f>
        <v>0.8419348565677044</v>
      </c>
      <c r="Z315" s="2606" t="n">
        <f t="shared" si="102"/>
        <v>0.8419348565677044</v>
      </c>
      <c r="AA315" s="2856"/>
      <c r="AB315" s="2857" t="n" cm="1">
        <f t="array" ref="AB315">INDEX('각층분기별_유효전력량(전월)'!F2:F2018,MATCH(1,("5-DaHall 1-PDU-16"='각층분기별_유효전력량(전월)'!D2:D2018)*("[branch#022] [A] kWh last month"='각층분기별_유효전력량(전월)'!E2:E2018),0))</f>
        <v>204.0</v>
      </c>
      <c r="AC315" s="2650" t="n">
        <f>SUM(AA315:AB315)</f>
        <v>204.0</v>
      </c>
      <c r="AD315" s="2646"/>
      <c r="AF315" s="901"/>
      <c r="AH315" s="2470"/>
    </row>
    <row r="316" spans="1:34" ht="14.25" thickTop="1" x14ac:dyDescent="0.15">
      <c r="Y316" s="250" t="s">
        <v>4096</v>
      </c>
      <c r="Z316" s="250" t="n">
        <f>SUM(Z5:Z315)</f>
        <v>865.3915437311719</v>
      </c>
      <c r="AA316" s="1396" t="e">
        <f>SUM(AA5:AA313)/1000</f>
        <v>#N/A</v>
      </c>
      <c r="AB316" s="1396" t="e">
        <f>SUM(AB5:AB313)/1000</f>
        <v>#N/A</v>
      </c>
      <c r="AC316" s="1396"/>
      <c r="AH316" s="2470"/>
    </row>
    <row r="317" spans="1:34" x14ac:dyDescent="0.15">
      <c r="Y317" s="250" t="s">
        <v>2808</v>
      </c>
      <c r="Z317" s="2459" t="e">
        <f>Z316-#REF!</f>
        <v>#REF!</v>
      </c>
    </row>
  </sheetData>
  <mergeCells count="465">
    <mergeCell ref="A261:A262"/>
    <mergeCell ref="B261:B262"/>
    <mergeCell ref="C261:C262"/>
    <mergeCell ref="R263:R271"/>
    <mergeCell ref="S263:S271"/>
    <mergeCell ref="T263:T271"/>
    <mergeCell ref="U263:U271"/>
    <mergeCell ref="V263:V271"/>
    <mergeCell ref="W263:W271"/>
    <mergeCell ref="R240:R248"/>
    <mergeCell ref="S240:S248"/>
    <mergeCell ref="T240:T248"/>
    <mergeCell ref="U240:U248"/>
    <mergeCell ref="V240:V248"/>
    <mergeCell ref="W240:W248"/>
    <mergeCell ref="R249:R252"/>
    <mergeCell ref="S249:S252"/>
    <mergeCell ref="T249:T252"/>
    <mergeCell ref="U249:U252"/>
    <mergeCell ref="V249:V252"/>
    <mergeCell ref="W249:W252"/>
    <mergeCell ref="A45:A46"/>
    <mergeCell ref="A47:A48"/>
    <mergeCell ref="A50:A51"/>
    <mergeCell ref="A20:A22"/>
    <mergeCell ref="T49:T50"/>
    <mergeCell ref="S62:S69"/>
    <mergeCell ref="T62:T69"/>
    <mergeCell ref="T53:T60"/>
    <mergeCell ref="T42:T45"/>
    <mergeCell ref="R31:R32"/>
    <mergeCell ref="R22:R25"/>
    <mergeCell ref="S22:S25"/>
    <mergeCell ref="T22:T25"/>
    <mergeCell ref="R27:R28"/>
    <mergeCell ref="A60:A61"/>
    <mergeCell ref="C60:C61"/>
    <mergeCell ref="R62:R69"/>
    <mergeCell ref="A65:A66"/>
    <mergeCell ref="B65:B66"/>
    <mergeCell ref="A67:A68"/>
    <mergeCell ref="B67:B68"/>
    <mergeCell ref="B1:AD1"/>
    <mergeCell ref="AA3:AB3"/>
    <mergeCell ref="AD3:AD4"/>
    <mergeCell ref="A3:A4"/>
    <mergeCell ref="A14:A15"/>
    <mergeCell ref="A9:A10"/>
    <mergeCell ref="A7:A8"/>
    <mergeCell ref="A28:A30"/>
    <mergeCell ref="A25:A26"/>
    <mergeCell ref="C3:C4"/>
    <mergeCell ref="D3:E3"/>
    <mergeCell ref="R3:S3"/>
    <mergeCell ref="X3:Z3"/>
    <mergeCell ref="AC3:AC4"/>
    <mergeCell ref="T3:U3"/>
    <mergeCell ref="V3:W3"/>
    <mergeCell ref="F3:G3"/>
    <mergeCell ref="B3:B4"/>
    <mergeCell ref="H3:I3"/>
    <mergeCell ref="J3:Q3"/>
    <mergeCell ref="J4:M4"/>
    <mergeCell ref="N4:Q4"/>
    <mergeCell ref="B14:B15"/>
    <mergeCell ref="T11:T14"/>
    <mergeCell ref="U11:U14"/>
    <mergeCell ref="R11:R14"/>
    <mergeCell ref="S11:S14"/>
    <mergeCell ref="R16:R17"/>
    <mergeCell ref="S16:S17"/>
    <mergeCell ref="B7:B8"/>
    <mergeCell ref="T5:T10"/>
    <mergeCell ref="U5:U10"/>
    <mergeCell ref="R5:R10"/>
    <mergeCell ref="S5:S10"/>
    <mergeCell ref="C9:C10"/>
    <mergeCell ref="C7:C8"/>
    <mergeCell ref="B9:B10"/>
    <mergeCell ref="T16:T17"/>
    <mergeCell ref="U16:U17"/>
    <mergeCell ref="C14:C15"/>
    <mergeCell ref="Z14:Z15"/>
    <mergeCell ref="U22:U25"/>
    <mergeCell ref="R20:R21"/>
    <mergeCell ref="U123:U128"/>
    <mergeCell ref="V123:V128"/>
    <mergeCell ref="Z50:Z51"/>
    <mergeCell ref="W123:W128"/>
    <mergeCell ref="U53:U60"/>
    <mergeCell ref="U62:U69"/>
    <mergeCell ref="V62:V69"/>
    <mergeCell ref="W62:W69"/>
    <mergeCell ref="V53:V61"/>
    <mergeCell ref="W53:W61"/>
    <mergeCell ref="Z25:Z26"/>
    <mergeCell ref="Z20:Z21"/>
    <mergeCell ref="S53:S60"/>
    <mergeCell ref="R53:R60"/>
    <mergeCell ref="V5:V17"/>
    <mergeCell ref="W5:W17"/>
    <mergeCell ref="Z7:Z8"/>
    <mergeCell ref="Z9:Z10"/>
    <mergeCell ref="B50:B51"/>
    <mergeCell ref="B60:B61"/>
    <mergeCell ref="Z60:Z61"/>
    <mergeCell ref="R153:R160"/>
    <mergeCell ref="W34:W41"/>
    <mergeCell ref="V34:V41"/>
    <mergeCell ref="U34:U41"/>
    <mergeCell ref="T31:T32"/>
    <mergeCell ref="R34:R41"/>
    <mergeCell ref="S34:S41"/>
    <mergeCell ref="V18:V32"/>
    <mergeCell ref="W18:W32"/>
    <mergeCell ref="T34:T41"/>
    <mergeCell ref="R18:R19"/>
    <mergeCell ref="S18:S19"/>
    <mergeCell ref="T18:T19"/>
    <mergeCell ref="U18:U19"/>
    <mergeCell ref="B25:B26"/>
    <mergeCell ref="C25:C26"/>
    <mergeCell ref="B47:B48"/>
    <mergeCell ref="S49:S50"/>
    <mergeCell ref="R49:R50"/>
    <mergeCell ref="V42:V52"/>
    <mergeCell ref="W42:W50"/>
    <mergeCell ref="A91:A92"/>
    <mergeCell ref="B91:B92"/>
    <mergeCell ref="C91:C92"/>
    <mergeCell ref="Z261:Z262"/>
    <mergeCell ref="R113:R119"/>
    <mergeCell ref="S113:S119"/>
    <mergeCell ref="T113:T119"/>
    <mergeCell ref="U113:U119"/>
    <mergeCell ref="V113:V119"/>
    <mergeCell ref="W113:W119"/>
    <mergeCell ref="R103:R109"/>
    <mergeCell ref="S103:S109"/>
    <mergeCell ref="T103:T109"/>
    <mergeCell ref="U103:U109"/>
    <mergeCell ref="V103:V109"/>
    <mergeCell ref="W103:W109"/>
    <mergeCell ref="V133:V140"/>
    <mergeCell ref="W133:W140"/>
    <mergeCell ref="V143:V150"/>
    <mergeCell ref="W143:W150"/>
    <mergeCell ref="R123:R128"/>
    <mergeCell ref="S123:S128"/>
    <mergeCell ref="T123:T128"/>
    <mergeCell ref="S133:S140"/>
    <mergeCell ref="A82:A84"/>
    <mergeCell ref="B82:B84"/>
    <mergeCell ref="C82:C84"/>
    <mergeCell ref="A85:A87"/>
    <mergeCell ref="B85:B87"/>
    <mergeCell ref="C85:C87"/>
    <mergeCell ref="A88:A90"/>
    <mergeCell ref="B88:B90"/>
    <mergeCell ref="C88:C90"/>
    <mergeCell ref="S20:S21"/>
    <mergeCell ref="T20:T21"/>
    <mergeCell ref="U20:U21"/>
    <mergeCell ref="B20:B21"/>
    <mergeCell ref="Z47:Z48"/>
    <mergeCell ref="AC47:AC48"/>
    <mergeCell ref="B28:B30"/>
    <mergeCell ref="C28:C30"/>
    <mergeCell ref="R29:R30"/>
    <mergeCell ref="S27:S28"/>
    <mergeCell ref="U27:U28"/>
    <mergeCell ref="S29:S30"/>
    <mergeCell ref="T29:T30"/>
    <mergeCell ref="U29:U30"/>
    <mergeCell ref="Z28:Z30"/>
    <mergeCell ref="T27:T28"/>
    <mergeCell ref="B45:B46"/>
    <mergeCell ref="R42:R45"/>
    <mergeCell ref="S42:S45"/>
    <mergeCell ref="U42:U45"/>
    <mergeCell ref="AC7:AC8"/>
    <mergeCell ref="AC9:AC10"/>
    <mergeCell ref="AC14:AC15"/>
    <mergeCell ref="AC20:AC22"/>
    <mergeCell ref="AD20:AD21"/>
    <mergeCell ref="AC25:AC26"/>
    <mergeCell ref="AC28:AC30"/>
    <mergeCell ref="AD29:AD30"/>
    <mergeCell ref="AC45:AC46"/>
    <mergeCell ref="AD47:AD48"/>
    <mergeCell ref="AC50:AC51"/>
    <mergeCell ref="AC60:AC61"/>
    <mergeCell ref="AC65:AC66"/>
    <mergeCell ref="AC67:AC68"/>
    <mergeCell ref="R70:R101"/>
    <mergeCell ref="S70:S101"/>
    <mergeCell ref="T70:T101"/>
    <mergeCell ref="U70:U101"/>
    <mergeCell ref="V70:V101"/>
    <mergeCell ref="W70:W101"/>
    <mergeCell ref="Z82:Z84"/>
    <mergeCell ref="AC82:AC84"/>
    <mergeCell ref="Z85:Z87"/>
    <mergeCell ref="AC85:AC87"/>
    <mergeCell ref="Z88:Z90"/>
    <mergeCell ref="AC88:AC90"/>
    <mergeCell ref="Z91:Z92"/>
    <mergeCell ref="AC91:AC92"/>
    <mergeCell ref="U49:U50"/>
    <mergeCell ref="A93:A94"/>
    <mergeCell ref="B93:B94"/>
    <mergeCell ref="C93:C94"/>
    <mergeCell ref="Z93:Z94"/>
    <mergeCell ref="AC93:AC94"/>
    <mergeCell ref="A163:A164"/>
    <mergeCell ref="B163:B164"/>
    <mergeCell ref="C163:C164"/>
    <mergeCell ref="V163:V164"/>
    <mergeCell ref="W163:W164"/>
    <mergeCell ref="Z163:Z164"/>
    <mergeCell ref="AC163:AC164"/>
    <mergeCell ref="T133:T140"/>
    <mergeCell ref="T143:T150"/>
    <mergeCell ref="R143:R150"/>
    <mergeCell ref="S143:S150"/>
    <mergeCell ref="R133:R140"/>
    <mergeCell ref="S153:S160"/>
    <mergeCell ref="U133:U140"/>
    <mergeCell ref="T153:T160"/>
    <mergeCell ref="U153:U160"/>
    <mergeCell ref="U143:U150"/>
    <mergeCell ref="W153:W160"/>
    <mergeCell ref="V153:V160"/>
    <mergeCell ref="A165:A166"/>
    <mergeCell ref="B165:B166"/>
    <mergeCell ref="C165:C166"/>
    <mergeCell ref="V165:V166"/>
    <mergeCell ref="W165:W166"/>
    <mergeCell ref="Z165:Z166"/>
    <mergeCell ref="AC165:AC166"/>
    <mergeCell ref="A167:A168"/>
    <mergeCell ref="B167:B168"/>
    <mergeCell ref="C167:C168"/>
    <mergeCell ref="V167:V168"/>
    <mergeCell ref="W167:W168"/>
    <mergeCell ref="Z167:Z168"/>
    <mergeCell ref="AC167:AC168"/>
    <mergeCell ref="A169:A170"/>
    <mergeCell ref="B169:B170"/>
    <mergeCell ref="C169:C170"/>
    <mergeCell ref="V169:V170"/>
    <mergeCell ref="W169:W170"/>
    <mergeCell ref="Z169:Z170"/>
    <mergeCell ref="AC169:AC170"/>
    <mergeCell ref="A171:A172"/>
    <mergeCell ref="B171:B172"/>
    <mergeCell ref="C171:C172"/>
    <mergeCell ref="V171:V172"/>
    <mergeCell ref="W171:W172"/>
    <mergeCell ref="Z171:Z172"/>
    <mergeCell ref="AC171:AC172"/>
    <mergeCell ref="AD171:AD172"/>
    <mergeCell ref="A173:A174"/>
    <mergeCell ref="B173:B174"/>
    <mergeCell ref="C173:C174"/>
    <mergeCell ref="V173:V174"/>
    <mergeCell ref="W173:W174"/>
    <mergeCell ref="Z173:Z174"/>
    <mergeCell ref="AC173:AC174"/>
    <mergeCell ref="A175:A176"/>
    <mergeCell ref="B175:B176"/>
    <mergeCell ref="C175:C176"/>
    <mergeCell ref="V175:V176"/>
    <mergeCell ref="W175:W176"/>
    <mergeCell ref="Z175:Z176"/>
    <mergeCell ref="AC175:AC176"/>
    <mergeCell ref="A177:A178"/>
    <mergeCell ref="B177:B178"/>
    <mergeCell ref="C177:C178"/>
    <mergeCell ref="V177:V178"/>
    <mergeCell ref="W177:W178"/>
    <mergeCell ref="Z177:Z178"/>
    <mergeCell ref="AC177:AC178"/>
    <mergeCell ref="A179:A180"/>
    <mergeCell ref="B179:B180"/>
    <mergeCell ref="C179:C180"/>
    <mergeCell ref="V179:V180"/>
    <mergeCell ref="W179:W180"/>
    <mergeCell ref="Z179:Z180"/>
    <mergeCell ref="AC179:AC180"/>
    <mergeCell ref="A181:A182"/>
    <mergeCell ref="B181:B182"/>
    <mergeCell ref="C181:C182"/>
    <mergeCell ref="V181:V182"/>
    <mergeCell ref="W181:W182"/>
    <mergeCell ref="Z181:Z182"/>
    <mergeCell ref="AC181:AC182"/>
    <mergeCell ref="A183:A184"/>
    <mergeCell ref="B183:B184"/>
    <mergeCell ref="C183:C184"/>
    <mergeCell ref="V183:V184"/>
    <mergeCell ref="W183:W184"/>
    <mergeCell ref="Z183:Z184"/>
    <mergeCell ref="AC183:AC184"/>
    <mergeCell ref="A185:A186"/>
    <mergeCell ref="B185:B186"/>
    <mergeCell ref="C185:C186"/>
    <mergeCell ref="V185:V186"/>
    <mergeCell ref="W185:W186"/>
    <mergeCell ref="Z185:Z186"/>
    <mergeCell ref="AC185:AC186"/>
    <mergeCell ref="A187:A188"/>
    <mergeCell ref="B187:B188"/>
    <mergeCell ref="C187:C188"/>
    <mergeCell ref="V187:V188"/>
    <mergeCell ref="W187:W188"/>
    <mergeCell ref="Z187:Z188"/>
    <mergeCell ref="AC187:AC188"/>
    <mergeCell ref="AD187:AD188"/>
    <mergeCell ref="A189:A190"/>
    <mergeCell ref="B189:B190"/>
    <mergeCell ref="C189:C190"/>
    <mergeCell ref="V189:V190"/>
    <mergeCell ref="W189:W190"/>
    <mergeCell ref="Z189:Z190"/>
    <mergeCell ref="AC189:AC190"/>
    <mergeCell ref="A191:A192"/>
    <mergeCell ref="B191:B192"/>
    <mergeCell ref="C191:C192"/>
    <mergeCell ref="V191:V192"/>
    <mergeCell ref="W191:W192"/>
    <mergeCell ref="Z191:Z192"/>
    <mergeCell ref="AC191:AC192"/>
    <mergeCell ref="A193:A194"/>
    <mergeCell ref="B193:B194"/>
    <mergeCell ref="C193:C194"/>
    <mergeCell ref="V193:V194"/>
    <mergeCell ref="W193:W194"/>
    <mergeCell ref="Z193:Z194"/>
    <mergeCell ref="AC193:AC194"/>
    <mergeCell ref="A195:A196"/>
    <mergeCell ref="B195:B196"/>
    <mergeCell ref="C195:C196"/>
    <mergeCell ref="V195:V196"/>
    <mergeCell ref="W195:W196"/>
    <mergeCell ref="Z195:Z196"/>
    <mergeCell ref="AC195:AC196"/>
    <mergeCell ref="A197:A198"/>
    <mergeCell ref="B197:B198"/>
    <mergeCell ref="C197:C198"/>
    <mergeCell ref="V197:V198"/>
    <mergeCell ref="W197:W198"/>
    <mergeCell ref="Z197:Z198"/>
    <mergeCell ref="AC197:AC198"/>
    <mergeCell ref="A199:A200"/>
    <mergeCell ref="B199:B200"/>
    <mergeCell ref="C199:C200"/>
    <mergeCell ref="V199:V200"/>
    <mergeCell ref="W199:W200"/>
    <mergeCell ref="Z199:Z200"/>
    <mergeCell ref="AC199:AC200"/>
    <mergeCell ref="A201:A202"/>
    <mergeCell ref="B201:B202"/>
    <mergeCell ref="C201:C202"/>
    <mergeCell ref="V201:V202"/>
    <mergeCell ref="W201:W202"/>
    <mergeCell ref="Z201:Z202"/>
    <mergeCell ref="AC201:AC202"/>
    <mergeCell ref="A203:A204"/>
    <mergeCell ref="B203:B204"/>
    <mergeCell ref="C203:C204"/>
    <mergeCell ref="V203:V204"/>
    <mergeCell ref="W203:W204"/>
    <mergeCell ref="Z203:Z204"/>
    <mergeCell ref="AC203:AC204"/>
    <mergeCell ref="AD203:AD204"/>
    <mergeCell ref="A205:A206"/>
    <mergeCell ref="B205:B206"/>
    <mergeCell ref="C205:C206"/>
    <mergeCell ref="V205:V206"/>
    <mergeCell ref="W205:W206"/>
    <mergeCell ref="Z205:Z206"/>
    <mergeCell ref="AC205:AC206"/>
    <mergeCell ref="A207:A208"/>
    <mergeCell ref="B207:B208"/>
    <mergeCell ref="C207:C208"/>
    <mergeCell ref="V207:V208"/>
    <mergeCell ref="W207:W208"/>
    <mergeCell ref="Z207:Z208"/>
    <mergeCell ref="AC207:AC208"/>
    <mergeCell ref="A209:A210"/>
    <mergeCell ref="B209:B210"/>
    <mergeCell ref="C209:C210"/>
    <mergeCell ref="V209:V210"/>
    <mergeCell ref="W209:W210"/>
    <mergeCell ref="Z209:Z210"/>
    <mergeCell ref="AC209:AC210"/>
    <mergeCell ref="R211:R218"/>
    <mergeCell ref="S211:S218"/>
    <mergeCell ref="T211:T218"/>
    <mergeCell ref="U211:U218"/>
    <mergeCell ref="V211:V218"/>
    <mergeCell ref="W211:W218"/>
    <mergeCell ref="R221:R228"/>
    <mergeCell ref="S221:S228"/>
    <mergeCell ref="T221:T228"/>
    <mergeCell ref="U221:U228"/>
    <mergeCell ref="V221:V228"/>
    <mergeCell ref="W221:W228"/>
    <mergeCell ref="R231:R239"/>
    <mergeCell ref="S231:S239"/>
    <mergeCell ref="T231:T239"/>
    <mergeCell ref="U231:U239"/>
    <mergeCell ref="V231:V239"/>
    <mergeCell ref="W231:W239"/>
    <mergeCell ref="U254:U256"/>
    <mergeCell ref="V254:V257"/>
    <mergeCell ref="W254:W256"/>
    <mergeCell ref="R260:R262"/>
    <mergeCell ref="S260:S262"/>
    <mergeCell ref="T260:T262"/>
    <mergeCell ref="U260:U262"/>
    <mergeCell ref="V260:V262"/>
    <mergeCell ref="W260:W262"/>
    <mergeCell ref="R254:R257"/>
    <mergeCell ref="S254:S256"/>
    <mergeCell ref="T254:T257"/>
    <mergeCell ref="S272:S286"/>
    <mergeCell ref="T272:T286"/>
    <mergeCell ref="U272:U286"/>
    <mergeCell ref="V272:V286"/>
    <mergeCell ref="W272:W286"/>
    <mergeCell ref="R287:R289"/>
    <mergeCell ref="S287:S289"/>
    <mergeCell ref="T287:T289"/>
    <mergeCell ref="U287:U289"/>
    <mergeCell ref="V287:V289"/>
    <mergeCell ref="W287:W289"/>
    <mergeCell ref="R272:R286"/>
    <mergeCell ref="R290:R291"/>
    <mergeCell ref="S290:S291"/>
    <mergeCell ref="T290:T291"/>
    <mergeCell ref="U290:U291"/>
    <mergeCell ref="A293:A294"/>
    <mergeCell ref="B293:B294"/>
    <mergeCell ref="AD293:AD294"/>
    <mergeCell ref="B295:B306"/>
    <mergeCell ref="R295:R297"/>
    <mergeCell ref="T295:T297"/>
    <mergeCell ref="V295:V297"/>
    <mergeCell ref="S298:S306"/>
    <mergeCell ref="U298:U306"/>
    <mergeCell ref="W298:W306"/>
    <mergeCell ref="V290:V291"/>
    <mergeCell ref="W290:W291"/>
    <mergeCell ref="B315:C315"/>
    <mergeCell ref="A307:A313"/>
    <mergeCell ref="B307:B313"/>
    <mergeCell ref="V307:V312"/>
    <mergeCell ref="W307:W312"/>
    <mergeCell ref="R309:R310"/>
    <mergeCell ref="T309:T310"/>
    <mergeCell ref="S311:S312"/>
    <mergeCell ref="U311:U312"/>
    <mergeCell ref="B314:C314"/>
  </mergeCells>
  <phoneticPr fontId="11" type="noConversion"/>
  <conditionalFormatting sqref="Z5:Z7 Z9 Z11:Z14 Z16:Z20 Z22:Z25 Z27:Z28 Z49:Z50 Z52:Z60 Z62:Z82">
    <cfRule type="cellIs" dxfId="6" priority="7" operator="greaterThan">
      <formula>12</formula>
    </cfRule>
  </conditionalFormatting>
  <conditionalFormatting sqref="Z31:Z47">
    <cfRule type="cellIs" dxfId="5" priority="6" operator="greaterThan">
      <formula>12</formula>
    </cfRule>
  </conditionalFormatting>
  <conditionalFormatting sqref="Z85 Z88 Z91 Z93">
    <cfRule type="cellIs" dxfId="4" priority="3" operator="greaterThan">
      <formula>12</formula>
    </cfRule>
  </conditionalFormatting>
  <conditionalFormatting sqref="Z95:Z261">
    <cfRule type="cellIs" dxfId="3" priority="1" operator="greaterThan">
      <formula>12</formula>
    </cfRule>
  </conditionalFormatting>
  <conditionalFormatting sqref="Z263:Z309">
    <cfRule type="cellIs" dxfId="2" priority="4" operator="greaterThan">
      <formula>12</formula>
    </cfRule>
  </conditionalFormatting>
  <conditionalFormatting sqref="Z311">
    <cfRule type="cellIs" dxfId="1" priority="5" operator="greaterThan">
      <formula>12</formula>
    </cfRule>
  </conditionalFormatting>
  <conditionalFormatting sqref="Z313:Z315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236"/>
  <sheetViews>
    <sheetView zoomScale="85" zoomScaleNormal="85" workbookViewId="0">
      <pane xSplit="4" ySplit="1" topLeftCell="G10" activePane="bottomRight" state="frozen"/>
      <selection activeCell="AA28" sqref="AA28:AA53"/>
      <selection pane="topRight" activeCell="AA28" sqref="AA28:AA53"/>
      <selection pane="bottomLeft" activeCell="AA28" sqref="AA28:AA53"/>
      <selection pane="bottomRight" activeCell="W12" sqref="W12"/>
    </sheetView>
  </sheetViews>
  <sheetFormatPr defaultRowHeight="13.5" x14ac:dyDescent="0.15"/>
  <cols>
    <col min="1" max="2" customWidth="true" width="10.6640625" collapsed="false"/>
    <col min="3" max="3" customWidth="true" style="57" width="12.33203125" collapsed="false"/>
    <col min="4" max="4" bestFit="true" customWidth="true" width="25.109375" collapsed="false"/>
    <col min="5" max="6" customWidth="true" hidden="true" style="57" width="10.77734375" collapsed="false"/>
    <col min="7" max="7" bestFit="true" customWidth="true" width="30.33203125" collapsed="false"/>
    <col min="8" max="8" bestFit="true" customWidth="true" width="26.6640625" collapsed="false"/>
    <col min="9" max="9" customWidth="true" hidden="true" style="1866" width="6.33203125" collapsed="false"/>
    <col min="10" max="10" customWidth="true" hidden="true" style="1866" width="7.21875" collapsed="false"/>
    <col min="11" max="11" customWidth="true" hidden="true" width="3.44140625" collapsed="false"/>
    <col min="12" max="12" customWidth="true" hidden="true" style="1484" width="3.5546875" collapsed="false"/>
    <col min="13" max="13" customWidth="true" hidden="true" width="6.33203125" collapsed="false"/>
    <col min="14" max="14" customWidth="true" hidden="true" width="7.21875" collapsed="false"/>
    <col min="15" max="15" customWidth="true" hidden="true" style="2117" width="3.6640625" collapsed="false"/>
    <col min="16" max="16" customWidth="true" hidden="true" style="1484" width="3.5546875" collapsed="false"/>
    <col min="17" max="17" customWidth="true" hidden="true" style="2144" width="10.109375" collapsed="false"/>
    <col min="18" max="18" customWidth="true" hidden="true" style="2147" width="10.109375" collapsed="false"/>
    <col min="19" max="19" customWidth="true" hidden="true" style="2144" width="10.109375" collapsed="false"/>
    <col min="20" max="20" customWidth="true" hidden="true" style="2147" width="10.109375" collapsed="false"/>
    <col min="21" max="21" customWidth="true" hidden="true" style="2144" width="10.109375" collapsed="false"/>
    <col min="22" max="22" customWidth="true" hidden="true" style="2147" width="10.109375" collapsed="false"/>
    <col min="23" max="23" style="2144" width="8.88671875" collapsed="false"/>
    <col min="24" max="24" style="2147" width="8.88671875" collapsed="false"/>
    <col min="25" max="25" bestFit="true" customWidth="true" width="10.5546875" collapsed="false"/>
    <col min="26" max="27" bestFit="true" customWidth="true" width="10.77734375" collapsed="false"/>
    <col min="28" max="28" customWidth="true" width="16.77734375" collapsed="false"/>
    <col min="29" max="29" style="57" width="8.88671875" collapsed="false"/>
    <col min="30" max="32" customWidth="true" hidden="true" width="0.0" collapsed="false"/>
  </cols>
  <sheetData>
    <row r="1" spans="1:32" ht="25.5" x14ac:dyDescent="0.15">
      <c r="A1" s="3272" t="s">
        <v>4097</v>
      </c>
      <c r="B1" s="3272"/>
      <c r="C1" s="3272"/>
      <c r="D1" s="3272"/>
      <c r="E1" s="3272"/>
      <c r="F1" s="3272"/>
      <c r="G1" s="3272"/>
      <c r="H1" s="3272"/>
      <c r="I1" s="3272"/>
      <c r="J1" s="3272"/>
      <c r="K1" s="3272"/>
      <c r="L1" s="3272"/>
      <c r="M1" s="3272"/>
      <c r="N1" s="3272"/>
      <c r="O1" s="3272"/>
      <c r="P1" s="3272"/>
      <c r="Q1" s="3272"/>
      <c r="R1" s="3272"/>
      <c r="S1" s="3272"/>
      <c r="T1" s="3272"/>
      <c r="U1" s="3272"/>
      <c r="V1" s="3272"/>
      <c r="W1" s="3272"/>
      <c r="X1" s="3272"/>
      <c r="Y1" s="3272"/>
      <c r="Z1" s="3272"/>
      <c r="AA1" s="3272"/>
      <c r="AB1" s="3272"/>
      <c r="AC1" s="3272"/>
    </row>
    <row r="2" spans="1:32" ht="14.25" thickBot="1" x14ac:dyDescent="0.2">
      <c r="G2" t="s">
        <v>1282</v>
      </c>
      <c r="W2" s="2145"/>
      <c r="X2" s="2148"/>
      <c r="Y2" s="250"/>
      <c r="Z2" s="250"/>
      <c r="AA2" s="250"/>
      <c r="AB2" s="250"/>
      <c r="AC2" s="1016"/>
    </row>
    <row r="3" spans="1:32" ht="14.45" customHeight="1" thickTop="1" thickBot="1" x14ac:dyDescent="0.2">
      <c r="A3" s="3627" t="s">
        <v>4098</v>
      </c>
      <c r="B3" s="3643" t="s">
        <v>1283</v>
      </c>
      <c r="C3" s="3645" t="s">
        <v>1285</v>
      </c>
      <c r="D3" s="3476" t="s">
        <v>4099</v>
      </c>
      <c r="E3" s="3629" t="s">
        <v>1287</v>
      </c>
      <c r="F3" s="3630"/>
      <c r="G3" s="3179" t="s">
        <v>7057</v>
      </c>
      <c r="H3" s="3180"/>
      <c r="I3" s="3647" t="s">
        <v>4100</v>
      </c>
      <c r="J3" s="3648"/>
      <c r="K3" s="3648"/>
      <c r="L3" s="3648"/>
      <c r="M3" s="3648"/>
      <c r="N3" s="3648"/>
      <c r="O3" s="3648"/>
      <c r="P3" s="3649"/>
      <c r="Q3" s="3631" t="s">
        <v>1288</v>
      </c>
      <c r="R3" s="3257"/>
      <c r="S3" s="3256" t="s">
        <v>13</v>
      </c>
      <c r="T3" s="3257"/>
      <c r="U3" s="3256" t="s">
        <v>14</v>
      </c>
      <c r="V3" s="3257"/>
      <c r="W3" s="3260" t="s">
        <v>9149</v>
      </c>
      <c r="X3" s="3261"/>
      <c r="Y3" s="3261"/>
      <c r="Z3" s="3512" t="s">
        <v>9150</v>
      </c>
      <c r="AA3" s="3513"/>
      <c r="AB3" s="3262" t="s">
        <v>7059</v>
      </c>
      <c r="AC3" s="3514" t="s">
        <v>1289</v>
      </c>
    </row>
    <row r="4" spans="1:32" ht="15" thickTop="1" thickBot="1" x14ac:dyDescent="0.2">
      <c r="A4" s="3628"/>
      <c r="B4" s="3644"/>
      <c r="C4" s="3646"/>
      <c r="D4" s="3477"/>
      <c r="E4" s="1865" t="s">
        <v>4101</v>
      </c>
      <c r="F4" s="1864" t="s">
        <v>4102</v>
      </c>
      <c r="G4" s="2141" t="s">
        <v>4101</v>
      </c>
      <c r="H4" s="2142" t="s">
        <v>4102</v>
      </c>
      <c r="I4" s="3650" t="s">
        <v>4101</v>
      </c>
      <c r="J4" s="3651"/>
      <c r="K4" s="3651"/>
      <c r="L4" s="3652"/>
      <c r="M4" s="3653" t="s">
        <v>4102</v>
      </c>
      <c r="N4" s="3654"/>
      <c r="O4" s="3654"/>
      <c r="P4" s="3655"/>
      <c r="Q4" s="1149" t="s">
        <v>4101</v>
      </c>
      <c r="R4" s="1148" t="s">
        <v>4102</v>
      </c>
      <c r="S4" s="1149" t="s">
        <v>4101</v>
      </c>
      <c r="T4" s="1148" t="s">
        <v>4102</v>
      </c>
      <c r="U4" s="1149" t="s">
        <v>4101</v>
      </c>
      <c r="V4" s="1148" t="s">
        <v>4102</v>
      </c>
      <c r="W4" s="1150" t="s">
        <v>4101</v>
      </c>
      <c r="X4" s="2143" t="s">
        <v>4102</v>
      </c>
      <c r="Y4" s="2768" t="s">
        <v>23</v>
      </c>
      <c r="Z4" s="2836" t="s">
        <v>4101</v>
      </c>
      <c r="AA4" s="2837" t="s">
        <v>4102</v>
      </c>
      <c r="AB4" s="3263"/>
      <c r="AC4" s="3515"/>
      <c r="AE4" s="854" t="s">
        <v>23</v>
      </c>
    </row>
    <row r="5" spans="1:32" ht="27.75" thickTop="1" x14ac:dyDescent="0.15">
      <c r="A5" s="3638" t="s">
        <v>4103</v>
      </c>
      <c r="B5" s="1151" t="s">
        <v>4104</v>
      </c>
      <c r="C5" s="1163" t="s">
        <v>4105</v>
      </c>
      <c r="D5" s="331" t="s">
        <v>4106</v>
      </c>
      <c r="E5" s="2758" t="s">
        <v>4107</v>
      </c>
      <c r="F5" s="902"/>
      <c r="G5" s="2137" t="str">
        <f>"4-DaHall 1-PDU-"&amp;K5&amp;"-"&amp;J5&amp;"-"&amp;L5</f>
        <v>4-DaHall 1-PDU-02-100-1</v>
      </c>
      <c r="H5" s="2121"/>
      <c r="I5" s="2132">
        <v>380</v>
      </c>
      <c r="J5" s="2116">
        <v>100</v>
      </c>
      <c r="K5" s="2471" t="s">
        <v>6921</v>
      </c>
      <c r="L5" s="1492">
        <v>1</v>
      </c>
      <c r="M5" s="2122"/>
      <c r="N5" s="2123"/>
      <c r="O5" s="2118"/>
      <c r="P5" s="2124"/>
      <c r="Q5" s="2758" t="s">
        <v>4108</v>
      </c>
      <c r="R5" s="835"/>
      <c r="S5" s="2758" t="s">
        <v>4109</v>
      </c>
      <c r="T5" s="835"/>
      <c r="U5" s="2758" t="s">
        <v>4110</v>
      </c>
      <c r="V5" s="835"/>
      <c r="W5" s="2146" t="n">
        <f>SUM('4층_부하량(월간_AVG)'!D6:F6)</f>
        <v>2.6386035035474187</v>
      </c>
      <c r="X5" s="2149"/>
      <c r="Y5" s="2557" t="n">
        <f t="shared" ref="Y5:Y13" si="0">SUM(W5:X5)</f>
        <v>2.6386035035474187</v>
      </c>
      <c r="Z5" s="2838" t="n" cm="1">
        <f t="array" ref="Z5">INDEX('각층분기별_유효전력량(전월)'!C2:C2020,MATCH(1,("4-DaHall 1-PDU-02"='각층분기별_유효전력량(전월)'!A2:A2020)*("[branch#001] [A] kWh last month"='각층분기별_유효전력량(전월)'!B2:B2020),0))</f>
        <v>298.6</v>
      </c>
      <c r="AA5" s="2839"/>
      <c r="AB5" s="2622" t="n">
        <f>SUM(Z5:AA5)</f>
        <v>298.6</v>
      </c>
      <c r="AC5" s="2607"/>
      <c r="AE5">
        <v>2.2999999999999998</v>
      </c>
      <c r="AF5" s="1402" t="n">
        <f>Y5-AE5</f>
        <v>0.33860350354741886</v>
      </c>
    </row>
    <row r="6" spans="1:32" ht="27" x14ac:dyDescent="0.15">
      <c r="A6" s="3639"/>
      <c r="B6" s="1152" t="s">
        <v>4111</v>
      </c>
      <c r="C6" s="1164" t="s">
        <v>4112</v>
      </c>
      <c r="D6" s="2765" t="s">
        <v>4113</v>
      </c>
      <c r="E6" s="2812"/>
      <c r="F6" s="2757" t="s">
        <v>4114</v>
      </c>
      <c r="G6" s="2138"/>
      <c r="H6" s="2125" t="str">
        <f>"4-DaHall 1-PDU-"&amp;O6&amp;"-"&amp;N6&amp;"-"&amp;P6</f>
        <v>4-DaHall 1-PDU-01-100-1</v>
      </c>
      <c r="I6" s="2133"/>
      <c r="J6" s="1871"/>
      <c r="K6" s="839"/>
      <c r="L6" s="1872"/>
      <c r="M6" s="2126">
        <v>380</v>
      </c>
      <c r="N6" s="1870">
        <v>100</v>
      </c>
      <c r="O6" s="2473" t="s">
        <v>6925</v>
      </c>
      <c r="P6" s="1495">
        <v>1</v>
      </c>
      <c r="Q6" s="839"/>
      <c r="R6" s="2757" t="s">
        <v>4115</v>
      </c>
      <c r="S6" s="839"/>
      <c r="T6" s="2757" t="s">
        <v>4116</v>
      </c>
      <c r="U6" s="839"/>
      <c r="V6" s="2757" t="s">
        <v>4117</v>
      </c>
      <c r="W6" s="883"/>
      <c r="X6" s="262" t="n">
        <f>SUM('4층_부하량(월간_AVG)'!N35:P35)</f>
        <v>3.7414967991341532</v>
      </c>
      <c r="Y6" s="2557" t="n">
        <f t="shared" si="0"/>
        <v>3.7414967991341532</v>
      </c>
      <c r="Z6" s="2840"/>
      <c r="AA6" s="2841" t="n" cm="1">
        <f t="array" ref="AA6">INDEX('각층분기별_유효전력량(전월)'!C2:C2020,MATCH(1,("4-DaHall 1-PDU-01"='각층분기별_유효전력량(전월)'!A2:A2020)*("[branch#001] [A] kWh last month"='각층분기별_유효전력량(전월)'!B2:B2020),0))</f>
        <v>395.8</v>
      </c>
      <c r="AB6" s="2586" t="n">
        <f>SUM(Z6:AA6)</f>
        <v>395.8</v>
      </c>
      <c r="AC6" s="2608"/>
      <c r="AE6">
        <v>3.2</v>
      </c>
      <c r="AF6" s="1402" t="n">
        <f t="shared" ref="AF6:AF69" si="1">Y6-AE6</f>
        <v>0.541496799134153</v>
      </c>
    </row>
    <row r="7" spans="1:32" ht="27" x14ac:dyDescent="0.15">
      <c r="A7" s="3640" t="s">
        <v>4118</v>
      </c>
      <c r="B7" s="2771"/>
      <c r="C7" s="1164"/>
      <c r="D7" s="2765" t="s">
        <v>4119</v>
      </c>
      <c r="E7" s="2752" t="s">
        <v>4120</v>
      </c>
      <c r="F7" s="2829"/>
      <c r="G7" s="2139" t="str">
        <f t="shared" ref="G7:G9" si="2">"4-DaHall 1-PDU-"&amp;K7&amp;"-"&amp;J7&amp;"-"&amp;L7</f>
        <v>4-DaHall 1-PDU-10-200-2</v>
      </c>
      <c r="H7" s="2127"/>
      <c r="I7" s="2134">
        <v>380</v>
      </c>
      <c r="J7" s="1869">
        <v>200</v>
      </c>
      <c r="K7" s="2764">
        <v>10</v>
      </c>
      <c r="L7" s="1498">
        <v>2</v>
      </c>
      <c r="M7" s="2128"/>
      <c r="N7" s="1867"/>
      <c r="O7" s="2119"/>
      <c r="P7" s="1868"/>
      <c r="Q7" s="3641" t="s">
        <v>4121</v>
      </c>
      <c r="R7" s="838"/>
      <c r="S7" s="3227" t="s">
        <v>4122</v>
      </c>
      <c r="T7" s="838"/>
      <c r="U7" s="3227" t="s">
        <v>4110</v>
      </c>
      <c r="V7" s="838"/>
      <c r="W7" s="881" t="n">
        <f>SUM('4층_부하량(월간_AVG)'!D36:F36)</f>
        <v>88.0199309282228</v>
      </c>
      <c r="X7" s="2150"/>
      <c r="Y7" s="2557" t="n">
        <f t="shared" si="0"/>
        <v>88.0199309282228</v>
      </c>
      <c r="Z7" s="2838" t="n" cm="1">
        <f t="array" ref="Z7">INDEX('각층분기별_유효전력량(전월)'!C2:C2020,MATCH(1,("4-DaHall 1-PDU-10"='각층분기별_유효전력량(전월)'!A2:A2020)*("[branch#002] [A] kWh last month"='각층분기별_유효전력량(전월)'!B2:B2020),0))</f>
        <v>12949.0</v>
      </c>
      <c r="AA7" s="2842"/>
      <c r="AB7" s="2586" t="n">
        <f t="shared" ref="AB7:AB14" si="3">SUM(Z7:AA7)</f>
        <v>12949.0</v>
      </c>
      <c r="AC7" s="2608"/>
      <c r="AE7">
        <v>83.5</v>
      </c>
      <c r="AF7" s="1402" t="n">
        <f t="shared" si="1"/>
        <v>4.519930928222806</v>
      </c>
    </row>
    <row r="8" spans="1:32" ht="27" x14ac:dyDescent="0.15">
      <c r="A8" s="3639"/>
      <c r="B8" s="2771"/>
      <c r="C8" s="1164"/>
      <c r="D8" s="2765" t="s">
        <v>4123</v>
      </c>
      <c r="E8" s="2752" t="s">
        <v>4124</v>
      </c>
      <c r="F8" s="2829"/>
      <c r="G8" s="2139" t="str">
        <f t="shared" si="2"/>
        <v>4-DaHall 1-PDU-10-200-3</v>
      </c>
      <c r="H8" s="2127"/>
      <c r="I8" s="2134">
        <v>380</v>
      </c>
      <c r="J8" s="1869">
        <v>200</v>
      </c>
      <c r="K8" s="2764">
        <v>10</v>
      </c>
      <c r="L8" s="1498">
        <v>3</v>
      </c>
      <c r="M8" s="2128"/>
      <c r="N8" s="1867"/>
      <c r="O8" s="2119"/>
      <c r="P8" s="1868"/>
      <c r="Q8" s="3642"/>
      <c r="R8" s="838"/>
      <c r="S8" s="3243"/>
      <c r="T8" s="838"/>
      <c r="U8" s="3243"/>
      <c r="V8" s="838"/>
      <c r="W8" s="881" t="n">
        <f>SUM('4층_부하량(월간_AVG)'!D37:F37)</f>
        <v>44.64240044543017</v>
      </c>
      <c r="X8" s="2150"/>
      <c r="Y8" s="2557" t="n">
        <f t="shared" si="0"/>
        <v>44.64240044543017</v>
      </c>
      <c r="Z8" s="2838" t="n" cm="1">
        <f t="array" ref="Z8">INDEX('각층분기별_유효전력량(전월)'!C2:C2020,MATCH(1,("4-DaHall 1-PDU-10"='각층분기별_유효전력량(전월)'!A2:A2020)*("[branch#003] [A] kWh last month"='각층분기별_유효전력량(전월)'!B2:B2020),0))</f>
        <v>6786.0</v>
      </c>
      <c r="AA8" s="2842"/>
      <c r="AB8" s="2586" t="n">
        <f t="shared" si="3"/>
        <v>6786.0</v>
      </c>
      <c r="AC8" s="2608"/>
      <c r="AE8">
        <v>43.8</v>
      </c>
      <c r="AF8" s="1402" t="n">
        <f t="shared" si="1"/>
        <v>0.8424004454301723</v>
      </c>
    </row>
    <row r="9" spans="1:32" ht="27" x14ac:dyDescent="0.15">
      <c r="A9" s="1153" t="s">
        <v>4125</v>
      </c>
      <c r="B9" s="1017"/>
      <c r="C9" s="1165"/>
      <c r="D9" s="2765" t="s">
        <v>4126</v>
      </c>
      <c r="E9" s="2752" t="s">
        <v>4127</v>
      </c>
      <c r="F9" s="2757" t="s">
        <v>4128</v>
      </c>
      <c r="G9" s="2139" t="str">
        <f t="shared" si="2"/>
        <v>4-DaHall 1-PDU-02-100-3</v>
      </c>
      <c r="H9" s="2125" t="str">
        <f t="shared" ref="H9:H14" si="4">"4-DaHall 1-PDU-"&amp;O9&amp;"-"&amp;N9&amp;"-"&amp;P9</f>
        <v>4-DaHall 1-PDU-01-100-3</v>
      </c>
      <c r="I9" s="2135">
        <v>220</v>
      </c>
      <c r="J9" s="1869">
        <v>100</v>
      </c>
      <c r="K9" s="2472" t="s">
        <v>6921</v>
      </c>
      <c r="L9" s="1498">
        <v>3</v>
      </c>
      <c r="M9" s="2129">
        <v>220</v>
      </c>
      <c r="N9" s="1870">
        <v>100</v>
      </c>
      <c r="O9" s="2473" t="s">
        <v>6925</v>
      </c>
      <c r="P9" s="1495">
        <v>3</v>
      </c>
      <c r="Q9" s="3641" t="s">
        <v>4108</v>
      </c>
      <c r="R9" s="3239" t="s">
        <v>4115</v>
      </c>
      <c r="S9" s="3227" t="s">
        <v>4109</v>
      </c>
      <c r="T9" s="3239" t="s">
        <v>4116</v>
      </c>
      <c r="U9" s="3227" t="s">
        <v>4110</v>
      </c>
      <c r="V9" s="3239" t="s">
        <v>4117</v>
      </c>
      <c r="W9" s="881" t="n">
        <f>SUM('4층_부하량(월간_AVG)'!D8:F8)</f>
        <v>32.49761489066368</v>
      </c>
      <c r="X9" s="262" t="n">
        <f>SUM('4층_부하량(월간_AVG)'!N37:P37)</f>
        <v>34.26775110123197</v>
      </c>
      <c r="Y9" s="2557" t="n">
        <f t="shared" si="0"/>
        <v>66.76536599189565</v>
      </c>
      <c r="Z9" s="2838" t="n" cm="1">
        <f t="array" ref="Z9">INDEX('각층분기별_유효전력량(전월)'!C2:C2020,MATCH(1,("4-DaHall 1-PDU-02"='각층분기별_유효전력량(전월)'!A2:A2020)*("[branch#003] [A] kWh last month"='각층분기별_유효전력량(전월)'!B2:B2020),0))</f>
        <v>5092.8</v>
      </c>
      <c r="AA9" s="2841" t="n" cm="1">
        <f t="array" ref="AA9">INDEX('각층분기별_유효전력량(전월)'!C2:C2020,MATCH(1,("4-DaHall 1-PDU-01"='각층분기별_유효전력량(전월)'!A2:A2020)*("[branch#003] [A] kWh last month"='각층분기별_유효전력량(전월)'!B2:B2020),0))</f>
        <v>5381.2</v>
      </c>
      <c r="AB9" s="2586" t="n">
        <f t="shared" si="3"/>
        <v>10474.0</v>
      </c>
      <c r="AC9" s="3508" t="s">
        <v>4129</v>
      </c>
      <c r="AE9">
        <v>68.099999999999994</v>
      </c>
      <c r="AF9" s="1402" t="n">
        <f t="shared" si="1"/>
        <v>-1.334634008104345</v>
      </c>
    </row>
    <row r="10" spans="1:32" ht="27" x14ac:dyDescent="0.15">
      <c r="A10" s="1153" t="s">
        <v>4130</v>
      </c>
      <c r="B10" s="1017"/>
      <c r="C10" s="1165"/>
      <c r="D10" s="2765" t="s">
        <v>4126</v>
      </c>
      <c r="E10" s="2752" t="s">
        <v>4131</v>
      </c>
      <c r="F10" s="2757" t="s">
        <v>4132</v>
      </c>
      <c r="G10" s="2139" t="str">
        <f>"4-DaHall 1-PDU-"&amp;K10&amp;"-"&amp;J10&amp;"-"&amp;L10</f>
        <v>4-DaHall 1-PDU-02-100-4</v>
      </c>
      <c r="H10" s="2125" t="str">
        <f t="shared" si="4"/>
        <v>4-DaHall 1-PDU-01-100-4</v>
      </c>
      <c r="I10" s="2135">
        <v>220</v>
      </c>
      <c r="J10" s="1869">
        <v>100</v>
      </c>
      <c r="K10" s="2472" t="s">
        <v>6921</v>
      </c>
      <c r="L10" s="1498">
        <v>4</v>
      </c>
      <c r="M10" s="2129">
        <v>220</v>
      </c>
      <c r="N10" s="1870">
        <v>100</v>
      </c>
      <c r="O10" s="2473" t="s">
        <v>6925</v>
      </c>
      <c r="P10" s="1495">
        <v>4</v>
      </c>
      <c r="Q10" s="3603"/>
      <c r="R10" s="3244"/>
      <c r="S10" s="3229"/>
      <c r="T10" s="3244"/>
      <c r="U10" s="3229"/>
      <c r="V10" s="3244"/>
      <c r="W10" s="881" t="n">
        <f>SUM('4층_부하량(월간_AVG)'!D9:F9)</f>
        <v>36.0017295548553</v>
      </c>
      <c r="X10" s="262" t="n">
        <f>SUM('4층_부하량(월간_AVG)'!N38:P38)</f>
        <v>37.26388247942437</v>
      </c>
      <c r="Y10" s="2557" t="n">
        <f t="shared" si="0"/>
        <v>73.26561203427967</v>
      </c>
      <c r="Z10" s="2838" t="n" cm="1">
        <f t="array" ref="Z10">INDEX('각층분기별_유효전력량(전월)'!C2:C2020,MATCH(1,("4-DaHall 1-PDU-02"='각층분기별_유효전력량(전월)'!A2:A2020)*("[branch#004] [A] kWh last month"='각층분기별_유효전력량(전월)'!B2:B2020),0))</f>
        <v>5553.9</v>
      </c>
      <c r="AA10" s="2841" t="n" cm="1">
        <f t="array" ref="AA10">INDEX('각층분기별_유효전력량(전월)'!C2:C2020,MATCH(1,("4-DaHall 1-PDU-01"='각층분기별_유효전력량(전월)'!A2:A2020)*("[branch#004] [A] kWh last month"='각층분기별_유효전력량(전월)'!B2:B2020),0))</f>
        <v>5785.3</v>
      </c>
      <c r="AB10" s="2586" t="n">
        <f t="shared" si="3"/>
        <v>11339.2</v>
      </c>
      <c r="AC10" s="3506"/>
      <c r="AE10">
        <v>74.099999999999994</v>
      </c>
      <c r="AF10" s="1402" t="n">
        <f t="shared" si="1"/>
        <v>-0.8343879657203246</v>
      </c>
    </row>
    <row r="11" spans="1:32" ht="27" x14ac:dyDescent="0.15">
      <c r="A11" s="1153" t="s">
        <v>4133</v>
      </c>
      <c r="B11" s="1017"/>
      <c r="C11" s="1165"/>
      <c r="D11" s="2765" t="s">
        <v>4126</v>
      </c>
      <c r="E11" s="2752" t="s">
        <v>4134</v>
      </c>
      <c r="F11" s="2757" t="s">
        <v>4135</v>
      </c>
      <c r="G11" s="2139" t="str">
        <f t="shared" ref="G11:G14" si="5">"4-DaHall 1-PDU-"&amp;K11&amp;"-"&amp;J11&amp;"-"&amp;L11</f>
        <v>4-DaHall 1-PDU-02-100-5</v>
      </c>
      <c r="H11" s="2125" t="str">
        <f t="shared" si="4"/>
        <v>4-DaHall 1-PDU-01-100-5</v>
      </c>
      <c r="I11" s="2135">
        <v>220</v>
      </c>
      <c r="J11" s="1869">
        <v>100</v>
      </c>
      <c r="K11" s="2472" t="s">
        <v>6921</v>
      </c>
      <c r="L11" s="1498">
        <v>5</v>
      </c>
      <c r="M11" s="2129">
        <v>220</v>
      </c>
      <c r="N11" s="1870">
        <v>100</v>
      </c>
      <c r="O11" s="2473" t="s">
        <v>6925</v>
      </c>
      <c r="P11" s="1495">
        <v>5</v>
      </c>
      <c r="Q11" s="3603"/>
      <c r="R11" s="3244"/>
      <c r="S11" s="3229"/>
      <c r="T11" s="3244"/>
      <c r="U11" s="3229"/>
      <c r="V11" s="3244"/>
      <c r="W11" s="881" t="n">
        <f>SUM('4층_부하량(월간_AVG)'!D10:F10)</f>
        <v>40.95616618905755</v>
      </c>
      <c r="X11" s="262" t="n">
        <f>SUM('4층_부하량(월간_AVG)'!N39:P39)</f>
        <v>41.48036106218357</v>
      </c>
      <c r="Y11" s="2557" t="n">
        <f t="shared" si="0"/>
        <v>82.43652725124112</v>
      </c>
      <c r="Z11" s="2838" t="n" cm="1">
        <f t="array" ref="Z11">INDEX('각층분기별_유효전력량(전월)'!C2:C2020,MATCH(1,("4-DaHall 1-PDU-02"='각층분기별_유효전력량(전월)'!A2:A2020)*("[branch#005] [A] kWh last month"='각층분기별_유효전력량(전월)'!B2:B2020),0))</f>
        <v>6501.8</v>
      </c>
      <c r="AA11" s="2841" t="n" cm="1">
        <f t="array" ref="AA11">INDEX('각층분기별_유효전력량(전월)'!C2:C2020,MATCH(1,("4-DaHall 1-PDU-01"='각층분기별_유효전력량(전월)'!A2:A2020)*("[branch#005] [A] kWh last month"='각층분기별_유효전력량(전월)'!B2:B2020),0))</f>
        <v>6563.7</v>
      </c>
      <c r="AB11" s="2586" t="n">
        <f t="shared" si="3"/>
        <v>13065.5</v>
      </c>
      <c r="AC11" s="3506"/>
      <c r="AE11">
        <v>80.3</v>
      </c>
      <c r="AF11" s="1402" t="n">
        <f t="shared" si="1"/>
        <v>2.1365272512411195</v>
      </c>
    </row>
    <row r="12" spans="1:32" ht="27" x14ac:dyDescent="0.15">
      <c r="A12" s="1153" t="s">
        <v>4136</v>
      </c>
      <c r="B12" s="1017"/>
      <c r="C12" s="1165"/>
      <c r="D12" s="2765" t="s">
        <v>4126</v>
      </c>
      <c r="E12" s="2752" t="s">
        <v>4137</v>
      </c>
      <c r="F12" s="2757" t="s">
        <v>4138</v>
      </c>
      <c r="G12" s="2139" t="str">
        <f t="shared" si="5"/>
        <v>4-DaHall 1-PDU-02-100-2</v>
      </c>
      <c r="H12" s="2125" t="str">
        <f t="shared" si="4"/>
        <v>4-DaHall 1-PDU-01-100-2</v>
      </c>
      <c r="I12" s="2135">
        <v>220</v>
      </c>
      <c r="J12" s="1869">
        <v>100</v>
      </c>
      <c r="K12" s="2472" t="s">
        <v>6921</v>
      </c>
      <c r="L12" s="1498">
        <v>2</v>
      </c>
      <c r="M12" s="2129">
        <v>220</v>
      </c>
      <c r="N12" s="1870">
        <v>100</v>
      </c>
      <c r="O12" s="2473" t="s">
        <v>6925</v>
      </c>
      <c r="P12" s="1495">
        <v>2</v>
      </c>
      <c r="Q12" s="3642"/>
      <c r="R12" s="3234"/>
      <c r="S12" s="3243"/>
      <c r="T12" s="3234"/>
      <c r="U12" s="3243"/>
      <c r="V12" s="3234"/>
      <c r="W12" s="881" t="n">
        <f>SUM('4층_부하량(월간_AVG)'!D7:F7)</f>
        <v>35.2047630384329</v>
      </c>
      <c r="X12" s="262" t="n">
        <f>SUM('4층_부하량(월간_AVG)'!N36:P36)</f>
        <v>37.49976082652535</v>
      </c>
      <c r="Y12" s="2557" t="n">
        <f t="shared" si="0"/>
        <v>72.70452386495825</v>
      </c>
      <c r="Z12" s="2838" t="n" cm="1">
        <f t="array" ref="Z12">INDEX('각층분기별_유효전력량(전월)'!C2:C2020,MATCH(1,("4-DaHall 1-PDU-02"='각층분기별_유효전력량(전월)'!A2:A2020)*("[branch#002] [A] kWh last month"='각층분기별_유효전력량(전월)'!B2:B2020),0))</f>
        <v>5543.7</v>
      </c>
      <c r="AA12" s="2841" t="n" cm="1">
        <f t="array" ref="AA12">INDEX('각층분기별_유효전력량(전월)'!C2:C2020,MATCH(1,("4-DaHall 1-PDU-01"='각층분기별_유효전력량(전월)'!A2:A2020)*("[branch#002] [A] kWh last month"='각층분기별_유효전력량(전월)'!B2:B2020),0))</f>
        <v>5948.6</v>
      </c>
      <c r="AB12" s="2586" t="n">
        <f t="shared" si="3"/>
        <v>11492.3</v>
      </c>
      <c r="AC12" s="3506"/>
      <c r="AE12">
        <v>73.599999999999994</v>
      </c>
      <c r="AF12" s="1402" t="n">
        <f t="shared" si="1"/>
        <v>-0.8954761350417471</v>
      </c>
    </row>
    <row r="13" spans="1:32" ht="27" x14ac:dyDescent="0.15">
      <c r="A13" s="1153" t="s">
        <v>4139</v>
      </c>
      <c r="B13" s="1017"/>
      <c r="C13" s="1165"/>
      <c r="D13" s="2765" t="s">
        <v>4126</v>
      </c>
      <c r="E13" s="2752" t="s">
        <v>4140</v>
      </c>
      <c r="F13" s="2757" t="s">
        <v>4141</v>
      </c>
      <c r="G13" s="2139" t="str">
        <f t="shared" si="5"/>
        <v>4-DaHall 1-PDU-04-100-2</v>
      </c>
      <c r="H13" s="2125" t="str">
        <f t="shared" si="4"/>
        <v>4-DaHall 1-PDU-03-100-2</v>
      </c>
      <c r="I13" s="2135">
        <v>220</v>
      </c>
      <c r="J13" s="1869">
        <v>100</v>
      </c>
      <c r="K13" s="2472" t="s">
        <v>6923</v>
      </c>
      <c r="L13" s="1498">
        <v>2</v>
      </c>
      <c r="M13" s="2129">
        <v>220</v>
      </c>
      <c r="N13" s="1870">
        <v>100</v>
      </c>
      <c r="O13" s="2473" t="s">
        <v>6927</v>
      </c>
      <c r="P13" s="1495">
        <v>2</v>
      </c>
      <c r="Q13" s="3641" t="s">
        <v>4142</v>
      </c>
      <c r="R13" s="3239" t="s">
        <v>4143</v>
      </c>
      <c r="S13" s="3227" t="s">
        <v>4144</v>
      </c>
      <c r="T13" s="3239" t="s">
        <v>4145</v>
      </c>
      <c r="U13" s="3227" t="s">
        <v>4110</v>
      </c>
      <c r="V13" s="3239" t="s">
        <v>4117</v>
      </c>
      <c r="W13" s="881" t="n">
        <f>SUM('4층_부하량(월간_AVG)'!N7:P7)</f>
        <v>39.463491239311345</v>
      </c>
      <c r="X13" s="262" t="n">
        <f>SUM('4층_부하량(월간_AVG)'!D49:F49)</f>
        <v>32.219909277205446</v>
      </c>
      <c r="Y13" s="2557" t="n">
        <f t="shared" si="0"/>
        <v>71.6834005165168</v>
      </c>
      <c r="Z13" s="2838" t="n" cm="1">
        <f t="array" ref="Z13">INDEX('각층분기별_유효전력량(전월)'!C2:C2020,MATCH(1,("4-DaHall 1-PDU-04"='각층분기별_유효전력량(전월)'!A2:A2020)*("[branch#002] [A] kWh last month"='각층분기별_유효전력량(전월)'!B2:B2020),0))</f>
        <v>6294.7</v>
      </c>
      <c r="AA13" s="2841" t="n" cm="1">
        <f t="array" ref="AA13">INDEX('각층분기별_유효전력량(전월)'!C2:C2020,MATCH(1,("4-DaHall 1-PDU-03"='각층분기별_유효전력량(전월)'!A2:A2020)*("[branch#002] [A] kWh last month"='각층분기별_유효전력량(전월)'!B2:B2020),0))</f>
        <v>5192.5</v>
      </c>
      <c r="AB13" s="2586" t="n">
        <f t="shared" si="3"/>
        <v>11487.2</v>
      </c>
      <c r="AC13" s="3506"/>
      <c r="AE13">
        <v>73.2</v>
      </c>
      <c r="AF13" s="1402" t="n">
        <f t="shared" si="1"/>
        <v>-1.5165994834832048</v>
      </c>
    </row>
    <row r="14" spans="1:32" ht="27" x14ac:dyDescent="0.15">
      <c r="A14" s="1153" t="s">
        <v>4146</v>
      </c>
      <c r="B14" s="1017"/>
      <c r="C14" s="1165"/>
      <c r="D14" s="2765" t="s">
        <v>4126</v>
      </c>
      <c r="E14" s="2752" t="s">
        <v>4147</v>
      </c>
      <c r="F14" s="2757" t="s">
        <v>4148</v>
      </c>
      <c r="G14" s="2139" t="str">
        <f t="shared" si="5"/>
        <v>4-DaHall 1-PDU-04-100-3</v>
      </c>
      <c r="H14" s="2125" t="str">
        <f t="shared" si="4"/>
        <v>4-DaHall 1-PDU-03-100-3</v>
      </c>
      <c r="I14" s="2135">
        <v>220</v>
      </c>
      <c r="J14" s="1869">
        <v>100</v>
      </c>
      <c r="K14" s="2472" t="s">
        <v>6923</v>
      </c>
      <c r="L14" s="1498">
        <v>3</v>
      </c>
      <c r="M14" s="2129">
        <v>220</v>
      </c>
      <c r="N14" s="1870">
        <v>100</v>
      </c>
      <c r="O14" s="2473" t="s">
        <v>6927</v>
      </c>
      <c r="P14" s="1495">
        <v>3</v>
      </c>
      <c r="Q14" s="3603"/>
      <c r="R14" s="3244"/>
      <c r="S14" s="3229"/>
      <c r="T14" s="3244"/>
      <c r="U14" s="3229"/>
      <c r="V14" s="3244"/>
      <c r="W14" s="830" t="n">
        <f>SUM('4층_부하량(월간_AVG)'!N8:P8)</f>
        <v>28.29476241724573</v>
      </c>
      <c r="X14" s="1440" t="n">
        <f>SUM('4층_부하량(월간_AVG)'!D50:F50)</f>
        <v>28.440765897993717</v>
      </c>
      <c r="Y14" s="2566" t="n">
        <f t="shared" ref="Y14" si="6">SUM(W14:X14)</f>
        <v>56.73552831523945</v>
      </c>
      <c r="Z14" s="2843" t="n" cm="1">
        <f t="array" ref="Z14">INDEX('각층분기별_유효전력량(전월)'!C2:C2020,MATCH(1,("4-DaHall 1-PDU-04"='각층분기별_유효전력량(전월)'!A2:A2020)*("[branch#003] [A] kWh last month"='각층분기별_유효전력량(전월)'!B2:B2020),0))</f>
        <v>4504.4</v>
      </c>
      <c r="AA14" s="2841" t="n" cm="1">
        <f t="array" ref="AA14">INDEX('각층분기별_유효전력량(전월)'!C2:C2020,MATCH(1,("4-DaHall 1-PDU-03"='각층분기별_유효전력량(전월)'!A2:A2020)*("[branch#003] [A] kWh last month"='각층분기별_유효전력량(전월)'!B2:B2020),0))</f>
        <v>4468.6</v>
      </c>
      <c r="AB14" s="2586" t="n">
        <f t="shared" si="3"/>
        <v>8973.0</v>
      </c>
      <c r="AC14" s="3516"/>
      <c r="AE14">
        <v>57.5</v>
      </c>
      <c r="AF14" s="1402" t="n">
        <f t="shared" si="1"/>
        <v>-0.7644716847605508</v>
      </c>
    </row>
    <row r="15" spans="1:32" ht="24.75" thickBot="1" x14ac:dyDescent="0.2">
      <c r="A15" s="1154"/>
      <c r="B15" s="1155"/>
      <c r="C15" s="1166"/>
      <c r="D15" s="2780"/>
      <c r="E15" s="2753"/>
      <c r="F15" s="2759"/>
      <c r="G15" s="2140"/>
      <c r="H15" s="2130"/>
      <c r="I15" s="2136"/>
      <c r="J15" s="1874"/>
      <c r="K15" s="867"/>
      <c r="L15" s="1504"/>
      <c r="M15" s="2131"/>
      <c r="N15" s="1873"/>
      <c r="O15" s="2120"/>
      <c r="P15" s="1501"/>
      <c r="Q15" s="3604"/>
      <c r="R15" s="3240"/>
      <c r="S15" s="3228"/>
      <c r="T15" s="3240"/>
      <c r="U15" s="3228"/>
      <c r="V15" s="3240"/>
      <c r="W15" s="1156"/>
      <c r="X15" s="2151"/>
      <c r="Y15" s="2567"/>
      <c r="Z15" s="2844"/>
      <c r="AA15" s="2845"/>
      <c r="AB15" s="2587"/>
      <c r="AC15" s="2609" t="s">
        <v>4149</v>
      </c>
      <c r="AE15">
        <v>0</v>
      </c>
      <c r="AF15" s="1402" t="n">
        <f t="shared" si="1"/>
        <v>0.0</v>
      </c>
    </row>
    <row r="16" spans="1:32" ht="23.25" thickTop="1" x14ac:dyDescent="0.15">
      <c r="A16" s="3578" t="s">
        <v>4150</v>
      </c>
      <c r="B16" s="1157" t="s">
        <v>1097</v>
      </c>
      <c r="C16" s="1167" t="s">
        <v>4151</v>
      </c>
      <c r="D16" s="1015" t="s">
        <v>4152</v>
      </c>
      <c r="E16" s="3245" t="s">
        <v>4153</v>
      </c>
      <c r="F16" s="3589" t="s">
        <v>4154</v>
      </c>
      <c r="G16" s="3530" t="str">
        <f>"4-DaHall 1-PDU-"&amp;K16&amp;"-"&amp;J16&amp;"-"&amp;L16</f>
        <v>4-DaHall 1-PDU-04-100-5</v>
      </c>
      <c r="H16" s="3533" t="str">
        <f>"4-DaHall 1-PDU-"&amp;O16&amp;"-"&amp;N16&amp;"-"&amp;P16</f>
        <v>4-DaHall 1-PDU-03-100-5</v>
      </c>
      <c r="I16" s="3566">
        <v>220</v>
      </c>
      <c r="J16" s="3569">
        <v>100</v>
      </c>
      <c r="K16" s="3542" t="s">
        <v>6923</v>
      </c>
      <c r="L16" s="3544">
        <v>5</v>
      </c>
      <c r="M16" s="3572">
        <v>220</v>
      </c>
      <c r="N16" s="3575">
        <v>100</v>
      </c>
      <c r="O16" s="3553" t="s">
        <v>6927</v>
      </c>
      <c r="P16" s="3527">
        <v>5</v>
      </c>
      <c r="Q16" s="3602" t="s">
        <v>4142</v>
      </c>
      <c r="R16" s="3233" t="s">
        <v>4143</v>
      </c>
      <c r="S16" s="3245" t="s">
        <v>4144</v>
      </c>
      <c r="T16" s="3233" t="s">
        <v>4145</v>
      </c>
      <c r="U16" s="3245" t="s">
        <v>4110</v>
      </c>
      <c r="V16" s="3233" t="s">
        <v>4117</v>
      </c>
      <c r="W16" s="3595" t="n">
        <f>SUM('4층_부하량(월간_AVG)'!N10:P10)</f>
        <v>9.638164960359088</v>
      </c>
      <c r="X16" s="3597" t="n">
        <f>SUM('4층_부하량(월간_AVG)'!D52:F52)</f>
        <v>6.3017859818617135</v>
      </c>
      <c r="Y16" s="3599" t="n">
        <f t="shared" ref="Y16" si="7">SUM(W16:X16)</f>
        <v>15.9399509422208</v>
      </c>
      <c r="Z16" s="3600" t="n" cm="1">
        <f t="array" ref="Z16">INDEX('각층분기별_유효전력량(전월)'!C2:C2020,MATCH(1,("4-DaHall 1-PDU-04"='각층분기별_유효전력량(전월)'!A2:A2020)*("[branch#005] [A] kWh last month"='각층분기별_유효전력량(전월)'!B2:B2020),0))</f>
        <v>1501.4</v>
      </c>
      <c r="AA16" s="3517" t="n" cm="1">
        <f t="array" ref="AA16">INDEX('각층분기별_유효전력량(전월)'!C2:C2020,MATCH(1,("4-DaHall 1-PDU-03"='각층분기별_유효전력량(전월)'!A2:A2020)*("[branch#005] [A] kWh last month"='각층분기별_유효전력량(전월)'!B2:B2020),0))</f>
        <v>1002.5</v>
      </c>
      <c r="AB16" s="3421" t="n">
        <f>SUM(Z16:AA27)</f>
        <v>2503.9</v>
      </c>
      <c r="AC16" s="2610"/>
      <c r="AE16">
        <v>16.200000000000003</v>
      </c>
      <c r="AF16" s="1402" t="n">
        <f t="shared" si="1"/>
        <v>-0.2600490577792023</v>
      </c>
    </row>
    <row r="17" spans="1:32" x14ac:dyDescent="0.15">
      <c r="A17" s="3579"/>
      <c r="B17" s="2772" t="s">
        <v>4155</v>
      </c>
      <c r="C17" s="1168"/>
      <c r="D17" s="2765" t="s">
        <v>4156</v>
      </c>
      <c r="E17" s="3229"/>
      <c r="F17" s="3590"/>
      <c r="G17" s="3531"/>
      <c r="H17" s="3534"/>
      <c r="I17" s="3567"/>
      <c r="J17" s="3570"/>
      <c r="K17" s="3452"/>
      <c r="L17" s="3545"/>
      <c r="M17" s="3573"/>
      <c r="N17" s="3576"/>
      <c r="O17" s="3554"/>
      <c r="P17" s="3528"/>
      <c r="Q17" s="3603"/>
      <c r="R17" s="3244"/>
      <c r="S17" s="3229"/>
      <c r="T17" s="3244"/>
      <c r="U17" s="3229"/>
      <c r="V17" s="3244"/>
      <c r="W17" s="3608"/>
      <c r="X17" s="3606"/>
      <c r="Y17" s="3432"/>
      <c r="Z17" s="3610"/>
      <c r="AA17" s="3518"/>
      <c r="AB17" s="3419"/>
      <c r="AC17" s="2611"/>
      <c r="AE17">
        <v>0</v>
      </c>
      <c r="AF17" s="1402" t="n">
        <f t="shared" si="1"/>
        <v>0.0</v>
      </c>
    </row>
    <row r="18" spans="1:32" x14ac:dyDescent="0.15">
      <c r="A18" s="3579"/>
      <c r="B18" s="2772" t="s">
        <v>3483</v>
      </c>
      <c r="C18" s="1168"/>
      <c r="D18" s="2765" t="s">
        <v>4157</v>
      </c>
      <c r="E18" s="3229"/>
      <c r="F18" s="3590"/>
      <c r="G18" s="3531"/>
      <c r="H18" s="3534"/>
      <c r="I18" s="3567"/>
      <c r="J18" s="3570"/>
      <c r="K18" s="3452"/>
      <c r="L18" s="3545"/>
      <c r="M18" s="3573"/>
      <c r="N18" s="3576"/>
      <c r="O18" s="3554"/>
      <c r="P18" s="3528"/>
      <c r="Q18" s="3603"/>
      <c r="R18" s="3244"/>
      <c r="S18" s="3229"/>
      <c r="T18" s="3244"/>
      <c r="U18" s="3229"/>
      <c r="V18" s="3244"/>
      <c r="W18" s="3608"/>
      <c r="X18" s="3606"/>
      <c r="Y18" s="3432"/>
      <c r="Z18" s="3610"/>
      <c r="AA18" s="3518"/>
      <c r="AB18" s="3419"/>
      <c r="AC18" s="2611"/>
      <c r="AE18">
        <v>0</v>
      </c>
      <c r="AF18" s="1402" t="n">
        <f t="shared" si="1"/>
        <v>0.0</v>
      </c>
    </row>
    <row r="19" spans="1:32" x14ac:dyDescent="0.15">
      <c r="A19" s="3579"/>
      <c r="B19" s="2772" t="s">
        <v>3489</v>
      </c>
      <c r="C19" s="1168"/>
      <c r="D19" s="2765" t="s">
        <v>4158</v>
      </c>
      <c r="E19" s="3229"/>
      <c r="F19" s="3590"/>
      <c r="G19" s="3531"/>
      <c r="H19" s="3534"/>
      <c r="I19" s="3567"/>
      <c r="J19" s="3570"/>
      <c r="K19" s="3452"/>
      <c r="L19" s="3545"/>
      <c r="M19" s="3573"/>
      <c r="N19" s="3576"/>
      <c r="O19" s="3554"/>
      <c r="P19" s="3528"/>
      <c r="Q19" s="3603"/>
      <c r="R19" s="3244"/>
      <c r="S19" s="3229"/>
      <c r="T19" s="3244"/>
      <c r="U19" s="3229"/>
      <c r="V19" s="3244"/>
      <c r="W19" s="3608"/>
      <c r="X19" s="3606"/>
      <c r="Y19" s="3432"/>
      <c r="Z19" s="3610"/>
      <c r="AA19" s="3518"/>
      <c r="AB19" s="3419"/>
      <c r="AC19" s="2611"/>
      <c r="AE19">
        <v>0</v>
      </c>
      <c r="AF19" s="1402" t="n">
        <f t="shared" si="1"/>
        <v>0.0</v>
      </c>
    </row>
    <row r="20" spans="1:32" x14ac:dyDescent="0.15">
      <c r="A20" s="3579"/>
      <c r="B20" s="2772" t="s">
        <v>3495</v>
      </c>
      <c r="C20" s="1168"/>
      <c r="D20" s="2765" t="s">
        <v>4159</v>
      </c>
      <c r="E20" s="3229"/>
      <c r="F20" s="3590"/>
      <c r="G20" s="3531"/>
      <c r="H20" s="3534"/>
      <c r="I20" s="3567"/>
      <c r="J20" s="3570"/>
      <c r="K20" s="3452"/>
      <c r="L20" s="3545"/>
      <c r="M20" s="3573"/>
      <c r="N20" s="3576"/>
      <c r="O20" s="3554"/>
      <c r="P20" s="3528"/>
      <c r="Q20" s="3603"/>
      <c r="R20" s="3244"/>
      <c r="S20" s="3229"/>
      <c r="T20" s="3244"/>
      <c r="U20" s="3229"/>
      <c r="V20" s="3244"/>
      <c r="W20" s="3608"/>
      <c r="X20" s="3606"/>
      <c r="Y20" s="3432"/>
      <c r="Z20" s="3610"/>
      <c r="AA20" s="3518"/>
      <c r="AB20" s="3419"/>
      <c r="AC20" s="2611"/>
      <c r="AE20">
        <v>0</v>
      </c>
      <c r="AF20" s="1402" t="n">
        <f t="shared" si="1"/>
        <v>0.0</v>
      </c>
    </row>
    <row r="21" spans="1:32" x14ac:dyDescent="0.15">
      <c r="A21" s="3579"/>
      <c r="B21" s="2772" t="s">
        <v>3501</v>
      </c>
      <c r="C21" s="1168"/>
      <c r="D21" s="2765" t="s">
        <v>4160</v>
      </c>
      <c r="E21" s="3229"/>
      <c r="F21" s="3590"/>
      <c r="G21" s="3531"/>
      <c r="H21" s="3534"/>
      <c r="I21" s="3567"/>
      <c r="J21" s="3570"/>
      <c r="K21" s="3452"/>
      <c r="L21" s="3545"/>
      <c r="M21" s="3573"/>
      <c r="N21" s="3576"/>
      <c r="O21" s="3554"/>
      <c r="P21" s="3528"/>
      <c r="Q21" s="3603"/>
      <c r="R21" s="3244"/>
      <c r="S21" s="3229"/>
      <c r="T21" s="3244"/>
      <c r="U21" s="3229"/>
      <c r="V21" s="3244"/>
      <c r="W21" s="3608"/>
      <c r="X21" s="3606"/>
      <c r="Y21" s="3432"/>
      <c r="Z21" s="3610"/>
      <c r="AA21" s="3518"/>
      <c r="AB21" s="3419"/>
      <c r="AC21" s="2611"/>
      <c r="AE21">
        <v>0</v>
      </c>
      <c r="AF21" s="1402" t="n">
        <f t="shared" si="1"/>
        <v>0.0</v>
      </c>
    </row>
    <row r="22" spans="1:32" x14ac:dyDescent="0.15">
      <c r="A22" s="3579"/>
      <c r="B22" s="2772" t="s">
        <v>3507</v>
      </c>
      <c r="C22" s="1168"/>
      <c r="D22" s="2765" t="s">
        <v>4161</v>
      </c>
      <c r="E22" s="3229"/>
      <c r="F22" s="3590"/>
      <c r="G22" s="3531"/>
      <c r="H22" s="3534"/>
      <c r="I22" s="3567"/>
      <c r="J22" s="3570"/>
      <c r="K22" s="3452"/>
      <c r="L22" s="3545"/>
      <c r="M22" s="3573"/>
      <c r="N22" s="3576"/>
      <c r="O22" s="3554"/>
      <c r="P22" s="3528"/>
      <c r="Q22" s="3603"/>
      <c r="R22" s="3244"/>
      <c r="S22" s="3229"/>
      <c r="T22" s="3244"/>
      <c r="U22" s="3229"/>
      <c r="V22" s="3244"/>
      <c r="W22" s="3608"/>
      <c r="X22" s="3606"/>
      <c r="Y22" s="3432"/>
      <c r="Z22" s="3610"/>
      <c r="AA22" s="3518"/>
      <c r="AB22" s="3419"/>
      <c r="AC22" s="2611"/>
      <c r="AE22">
        <v>0</v>
      </c>
      <c r="AF22" s="1402" t="n">
        <f t="shared" si="1"/>
        <v>0.0</v>
      </c>
    </row>
    <row r="23" spans="1:32" x14ac:dyDescent="0.15">
      <c r="A23" s="3579"/>
      <c r="B23" s="2772" t="s">
        <v>3513</v>
      </c>
      <c r="C23" s="1168" t="s">
        <v>4162</v>
      </c>
      <c r="D23" s="2771" t="s">
        <v>4163</v>
      </c>
      <c r="E23" s="3229"/>
      <c r="F23" s="3590"/>
      <c r="G23" s="3531"/>
      <c r="H23" s="3534"/>
      <c r="I23" s="3567"/>
      <c r="J23" s="3570"/>
      <c r="K23" s="3452"/>
      <c r="L23" s="3545"/>
      <c r="M23" s="3573"/>
      <c r="N23" s="3576"/>
      <c r="O23" s="3554"/>
      <c r="P23" s="3528"/>
      <c r="Q23" s="3603"/>
      <c r="R23" s="3244"/>
      <c r="S23" s="3229"/>
      <c r="T23" s="3244"/>
      <c r="U23" s="3229"/>
      <c r="V23" s="3244"/>
      <c r="W23" s="3608"/>
      <c r="X23" s="3606"/>
      <c r="Y23" s="3432"/>
      <c r="Z23" s="3610"/>
      <c r="AA23" s="3518"/>
      <c r="AB23" s="3419"/>
      <c r="AC23" s="2611"/>
      <c r="AE23">
        <v>0</v>
      </c>
      <c r="AF23" s="1402" t="n">
        <f t="shared" si="1"/>
        <v>0.0</v>
      </c>
    </row>
    <row r="24" spans="1:32" x14ac:dyDescent="0.15">
      <c r="A24" s="3579"/>
      <c r="B24" s="2772" t="s">
        <v>3519</v>
      </c>
      <c r="C24" s="1168"/>
      <c r="D24" s="2765" t="s">
        <v>4164</v>
      </c>
      <c r="E24" s="3229"/>
      <c r="F24" s="3590"/>
      <c r="G24" s="3531"/>
      <c r="H24" s="3534"/>
      <c r="I24" s="3567"/>
      <c r="J24" s="3570"/>
      <c r="K24" s="3452"/>
      <c r="L24" s="3545"/>
      <c r="M24" s="3573"/>
      <c r="N24" s="3576"/>
      <c r="O24" s="3554"/>
      <c r="P24" s="3528"/>
      <c r="Q24" s="3603"/>
      <c r="R24" s="3244"/>
      <c r="S24" s="3229"/>
      <c r="T24" s="3244"/>
      <c r="U24" s="3229"/>
      <c r="V24" s="3244"/>
      <c r="W24" s="3608"/>
      <c r="X24" s="3606"/>
      <c r="Y24" s="3432"/>
      <c r="Z24" s="3610"/>
      <c r="AA24" s="3518"/>
      <c r="AB24" s="3419"/>
      <c r="AC24" s="2611"/>
      <c r="AE24">
        <v>0</v>
      </c>
      <c r="AF24" s="1402" t="n">
        <f t="shared" si="1"/>
        <v>0.0</v>
      </c>
    </row>
    <row r="25" spans="1:32" x14ac:dyDescent="0.15">
      <c r="A25" s="3579"/>
      <c r="B25" s="2772" t="s">
        <v>3520</v>
      </c>
      <c r="C25" s="1168"/>
      <c r="D25" s="2765" t="s">
        <v>4165</v>
      </c>
      <c r="E25" s="3229"/>
      <c r="F25" s="3590"/>
      <c r="G25" s="3531"/>
      <c r="H25" s="3534"/>
      <c r="I25" s="3567"/>
      <c r="J25" s="3570"/>
      <c r="K25" s="3452"/>
      <c r="L25" s="3545"/>
      <c r="M25" s="3573"/>
      <c r="N25" s="3576"/>
      <c r="O25" s="3554"/>
      <c r="P25" s="3528"/>
      <c r="Q25" s="3603"/>
      <c r="R25" s="3244"/>
      <c r="S25" s="3229"/>
      <c r="T25" s="3244"/>
      <c r="U25" s="3229"/>
      <c r="V25" s="3244"/>
      <c r="W25" s="3608"/>
      <c r="X25" s="3606"/>
      <c r="Y25" s="3432"/>
      <c r="Z25" s="3610"/>
      <c r="AA25" s="3518"/>
      <c r="AB25" s="3419"/>
      <c r="AC25" s="2611"/>
      <c r="AE25">
        <v>0</v>
      </c>
      <c r="AF25" s="1402" t="n">
        <f t="shared" si="1"/>
        <v>0.0</v>
      </c>
    </row>
    <row r="26" spans="1:32" x14ac:dyDescent="0.15">
      <c r="A26" s="3579"/>
      <c r="B26" s="2772" t="s">
        <v>4166</v>
      </c>
      <c r="C26" s="1168"/>
      <c r="D26" s="2765" t="s">
        <v>4167</v>
      </c>
      <c r="E26" s="3229"/>
      <c r="F26" s="3590"/>
      <c r="G26" s="3531"/>
      <c r="H26" s="3534"/>
      <c r="I26" s="3567"/>
      <c r="J26" s="3570"/>
      <c r="K26" s="3452"/>
      <c r="L26" s="3545"/>
      <c r="M26" s="3573"/>
      <c r="N26" s="3576"/>
      <c r="O26" s="3554"/>
      <c r="P26" s="3528"/>
      <c r="Q26" s="3603"/>
      <c r="R26" s="3244"/>
      <c r="S26" s="3229"/>
      <c r="T26" s="3244"/>
      <c r="U26" s="3229"/>
      <c r="V26" s="3244"/>
      <c r="W26" s="3608"/>
      <c r="X26" s="3606"/>
      <c r="Y26" s="3432"/>
      <c r="Z26" s="3610"/>
      <c r="AA26" s="3518"/>
      <c r="AB26" s="3419"/>
      <c r="AC26" s="2611"/>
      <c r="AE26">
        <v>0</v>
      </c>
      <c r="AF26" s="1402" t="n">
        <f t="shared" si="1"/>
        <v>0.0</v>
      </c>
    </row>
    <row r="27" spans="1:32" ht="14.25" thickBot="1" x14ac:dyDescent="0.2">
      <c r="A27" s="3286"/>
      <c r="B27" s="1158" t="s">
        <v>4168</v>
      </c>
      <c r="C27" s="1169"/>
      <c r="D27" s="2780" t="s">
        <v>4169</v>
      </c>
      <c r="E27" s="3228"/>
      <c r="F27" s="3591"/>
      <c r="G27" s="3557"/>
      <c r="H27" s="3558"/>
      <c r="I27" s="3568"/>
      <c r="J27" s="3571"/>
      <c r="K27" s="3561"/>
      <c r="L27" s="3562"/>
      <c r="M27" s="3574"/>
      <c r="N27" s="3577"/>
      <c r="O27" s="3565"/>
      <c r="P27" s="3529"/>
      <c r="Q27" s="3604"/>
      <c r="R27" s="3240"/>
      <c r="S27" s="3228"/>
      <c r="T27" s="3240"/>
      <c r="U27" s="3228"/>
      <c r="V27" s="3240"/>
      <c r="W27" s="3609"/>
      <c r="X27" s="3607"/>
      <c r="Y27" s="3443"/>
      <c r="Z27" s="3611"/>
      <c r="AA27" s="3519"/>
      <c r="AB27" s="3418"/>
      <c r="AC27" s="2612"/>
      <c r="AE27">
        <v>0</v>
      </c>
      <c r="AF27" s="1402" t="n">
        <f t="shared" si="1"/>
        <v>0.0</v>
      </c>
    </row>
    <row r="28" spans="1:32" ht="14.25" thickTop="1" x14ac:dyDescent="0.15">
      <c r="A28" s="3578" t="s">
        <v>4170</v>
      </c>
      <c r="B28" s="1157" t="s">
        <v>1048</v>
      </c>
      <c r="C28" s="1167"/>
      <c r="D28" s="331" t="s">
        <v>4171</v>
      </c>
      <c r="E28" s="3245" t="s">
        <v>4172</v>
      </c>
      <c r="F28" s="3589" t="s">
        <v>4173</v>
      </c>
      <c r="G28" s="3530" t="str">
        <f>"4-DaHall 1-PDU-"&amp;K28&amp;"-"&amp;J28&amp;"-"&amp;L28</f>
        <v>4-DaHall 1-PDU-04-100-6</v>
      </c>
      <c r="H28" s="3533" t="str">
        <f>"4-DaHall 1-PDU-"&amp;O28&amp;"-"&amp;N28&amp;"-"&amp;P28</f>
        <v>4-DaHall 1-PDU-03-100-6</v>
      </c>
      <c r="I28" s="3566">
        <v>220</v>
      </c>
      <c r="J28" s="3569">
        <v>100</v>
      </c>
      <c r="K28" s="3542" t="s">
        <v>6923</v>
      </c>
      <c r="L28" s="3544">
        <v>6</v>
      </c>
      <c r="M28" s="3572">
        <v>220</v>
      </c>
      <c r="N28" s="3575">
        <v>100</v>
      </c>
      <c r="O28" s="3553" t="s">
        <v>6927</v>
      </c>
      <c r="P28" s="3527">
        <v>6</v>
      </c>
      <c r="Q28" s="3602" t="s">
        <v>4142</v>
      </c>
      <c r="R28" s="3233" t="s">
        <v>4143</v>
      </c>
      <c r="S28" s="3245" t="s">
        <v>4144</v>
      </c>
      <c r="T28" s="3233" t="s">
        <v>4145</v>
      </c>
      <c r="U28" s="3245" t="s">
        <v>4110</v>
      </c>
      <c r="V28" s="3233" t="s">
        <v>4117</v>
      </c>
      <c r="W28" s="3595" t="n">
        <f>SUM('4층_부하량(월간_AVG)'!N11:P11)</f>
        <v>14.553166559694676</v>
      </c>
      <c r="X28" s="3597" t="n">
        <f>SUM('4층_부하량(월간_AVG)'!D53:F53)</f>
        <v>10.38416775774365</v>
      </c>
      <c r="Y28" s="3599" t="n">
        <f t="shared" ref="Y28" si="8">SUM(W28:X28)</f>
        <v>24.937334317438328</v>
      </c>
      <c r="Z28" s="3600" t="n" cm="1">
        <f t="array" ref="Z28">INDEX('각층분기별_유효전력량(전월)'!C2:C2020,MATCH(1,("4-DaHall 1-PDU-04"='각층분기별_유효전력량(전월)'!A2:A2020)*("[branch#006] [A] kWh last month"='각층분기별_유효전력량(전월)'!B2:B2020),0))</f>
        <v>2293.4</v>
      </c>
      <c r="AA28" s="3517" t="n" cm="1">
        <f t="array" ref="AA28">INDEX('각층분기별_유효전력량(전월)'!C2:C2020,MATCH(1,("4-DaHall 1-PDU-03"='각층분기별_유효전력량(전월)'!A2:A2020)*("[branch#006] [A] kWh last month"='각층분기별_유효전력량(전월)'!B2:B2020),0))</f>
        <v>1573.4</v>
      </c>
      <c r="AB28" s="3421" t="n">
        <f>SUM(Z28:AA39)</f>
        <v>3866.8</v>
      </c>
      <c r="AC28" s="2610"/>
      <c r="AE28">
        <v>25</v>
      </c>
      <c r="AF28" s="1402" t="n">
        <f t="shared" si="1"/>
        <v>-0.06266568256167204</v>
      </c>
    </row>
    <row r="29" spans="1:32" ht="22.5" x14ac:dyDescent="0.15">
      <c r="A29" s="3579"/>
      <c r="B29" s="2772" t="s">
        <v>3430</v>
      </c>
      <c r="C29" s="1168" t="s">
        <v>4174</v>
      </c>
      <c r="D29" s="2771" t="s">
        <v>4175</v>
      </c>
      <c r="E29" s="3229"/>
      <c r="F29" s="3590"/>
      <c r="G29" s="3531"/>
      <c r="H29" s="3534"/>
      <c r="I29" s="3567"/>
      <c r="J29" s="3570"/>
      <c r="K29" s="3452"/>
      <c r="L29" s="3545"/>
      <c r="M29" s="3573"/>
      <c r="N29" s="3576"/>
      <c r="O29" s="3554"/>
      <c r="P29" s="3528"/>
      <c r="Q29" s="3603"/>
      <c r="R29" s="3244"/>
      <c r="S29" s="3229"/>
      <c r="T29" s="3244"/>
      <c r="U29" s="3229"/>
      <c r="V29" s="3244"/>
      <c r="W29" s="3608"/>
      <c r="X29" s="3606"/>
      <c r="Y29" s="3432"/>
      <c r="Z29" s="3610"/>
      <c r="AA29" s="3518"/>
      <c r="AB29" s="3419"/>
      <c r="AC29" s="2611"/>
      <c r="AE29">
        <v>0</v>
      </c>
      <c r="AF29" s="1402" t="n">
        <f t="shared" si="1"/>
        <v>0.0</v>
      </c>
    </row>
    <row r="30" spans="1:32" x14ac:dyDescent="0.15">
      <c r="A30" s="3579"/>
      <c r="B30" s="2772" t="s">
        <v>3436</v>
      </c>
      <c r="C30" s="1168"/>
      <c r="D30" s="2765" t="s">
        <v>4176</v>
      </c>
      <c r="E30" s="3229"/>
      <c r="F30" s="3590"/>
      <c r="G30" s="3531"/>
      <c r="H30" s="3534"/>
      <c r="I30" s="3567"/>
      <c r="J30" s="3570"/>
      <c r="K30" s="3452"/>
      <c r="L30" s="3545"/>
      <c r="M30" s="3573"/>
      <c r="N30" s="3576"/>
      <c r="O30" s="3554"/>
      <c r="P30" s="3528"/>
      <c r="Q30" s="3603"/>
      <c r="R30" s="3244"/>
      <c r="S30" s="3229"/>
      <c r="T30" s="3244"/>
      <c r="U30" s="3229"/>
      <c r="V30" s="3244"/>
      <c r="W30" s="3608"/>
      <c r="X30" s="3606"/>
      <c r="Y30" s="3432"/>
      <c r="Z30" s="3610"/>
      <c r="AA30" s="3518"/>
      <c r="AB30" s="3419"/>
      <c r="AC30" s="2611"/>
      <c r="AE30">
        <v>0</v>
      </c>
      <c r="AF30" s="1402" t="n">
        <f t="shared" si="1"/>
        <v>0.0</v>
      </c>
    </row>
    <row r="31" spans="1:32" x14ac:dyDescent="0.15">
      <c r="A31" s="3579"/>
      <c r="B31" s="2772" t="s">
        <v>3442</v>
      </c>
      <c r="C31" s="1168" t="s">
        <v>4177</v>
      </c>
      <c r="D31" s="2771" t="s">
        <v>4178</v>
      </c>
      <c r="E31" s="3229"/>
      <c r="F31" s="3590"/>
      <c r="G31" s="3531"/>
      <c r="H31" s="3534"/>
      <c r="I31" s="3567"/>
      <c r="J31" s="3570"/>
      <c r="K31" s="3452"/>
      <c r="L31" s="3545"/>
      <c r="M31" s="3573"/>
      <c r="N31" s="3576"/>
      <c r="O31" s="3554"/>
      <c r="P31" s="3528"/>
      <c r="Q31" s="3603"/>
      <c r="R31" s="3244"/>
      <c r="S31" s="3229"/>
      <c r="T31" s="3244"/>
      <c r="U31" s="3229"/>
      <c r="V31" s="3244"/>
      <c r="W31" s="3608"/>
      <c r="X31" s="3606"/>
      <c r="Y31" s="3432"/>
      <c r="Z31" s="3610"/>
      <c r="AA31" s="3518"/>
      <c r="AB31" s="3419"/>
      <c r="AC31" s="2611"/>
      <c r="AE31">
        <v>0</v>
      </c>
      <c r="AF31" s="1402" t="n">
        <f t="shared" si="1"/>
        <v>0.0</v>
      </c>
    </row>
    <row r="32" spans="1:32" x14ac:dyDescent="0.15">
      <c r="A32" s="3579"/>
      <c r="B32" s="2772" t="s">
        <v>1072</v>
      </c>
      <c r="C32" s="1168" t="s">
        <v>4177</v>
      </c>
      <c r="D32" s="2771" t="s">
        <v>4179</v>
      </c>
      <c r="E32" s="3229"/>
      <c r="F32" s="3590"/>
      <c r="G32" s="3531"/>
      <c r="H32" s="3534"/>
      <c r="I32" s="3567"/>
      <c r="J32" s="3570"/>
      <c r="K32" s="3452"/>
      <c r="L32" s="3545"/>
      <c r="M32" s="3573"/>
      <c r="N32" s="3576"/>
      <c r="O32" s="3554"/>
      <c r="P32" s="3528"/>
      <c r="Q32" s="3603"/>
      <c r="R32" s="3244"/>
      <c r="S32" s="3229"/>
      <c r="T32" s="3244"/>
      <c r="U32" s="3229"/>
      <c r="V32" s="3244"/>
      <c r="W32" s="3608"/>
      <c r="X32" s="3606"/>
      <c r="Y32" s="3432"/>
      <c r="Z32" s="3610"/>
      <c r="AA32" s="3518"/>
      <c r="AB32" s="3419"/>
      <c r="AC32" s="2611"/>
      <c r="AE32">
        <v>0</v>
      </c>
      <c r="AF32" s="1402" t="n">
        <f t="shared" si="1"/>
        <v>0.0</v>
      </c>
    </row>
    <row r="33" spans="1:32" x14ac:dyDescent="0.15">
      <c r="A33" s="3579"/>
      <c r="B33" s="2772" t="s">
        <v>3453</v>
      </c>
      <c r="C33" s="1168"/>
      <c r="D33" s="2765" t="s">
        <v>4180</v>
      </c>
      <c r="E33" s="3229"/>
      <c r="F33" s="3590"/>
      <c r="G33" s="3531"/>
      <c r="H33" s="3534"/>
      <c r="I33" s="3567"/>
      <c r="J33" s="3570"/>
      <c r="K33" s="3452"/>
      <c r="L33" s="3545"/>
      <c r="M33" s="3573"/>
      <c r="N33" s="3576"/>
      <c r="O33" s="3554"/>
      <c r="P33" s="3528"/>
      <c r="Q33" s="3603"/>
      <c r="R33" s="3244"/>
      <c r="S33" s="3229"/>
      <c r="T33" s="3244"/>
      <c r="U33" s="3229"/>
      <c r="V33" s="3244"/>
      <c r="W33" s="3608"/>
      <c r="X33" s="3606"/>
      <c r="Y33" s="3432"/>
      <c r="Z33" s="3610"/>
      <c r="AA33" s="3518"/>
      <c r="AB33" s="3419"/>
      <c r="AC33" s="2613"/>
      <c r="AE33">
        <v>0</v>
      </c>
      <c r="AF33" s="1402" t="n">
        <f t="shared" si="1"/>
        <v>0.0</v>
      </c>
    </row>
    <row r="34" spans="1:32" x14ac:dyDescent="0.15">
      <c r="A34" s="3579"/>
      <c r="B34" s="2772" t="s">
        <v>3459</v>
      </c>
      <c r="C34" s="1168"/>
      <c r="D34" s="2765" t="s">
        <v>4181</v>
      </c>
      <c r="E34" s="3229"/>
      <c r="F34" s="3590"/>
      <c r="G34" s="3531"/>
      <c r="H34" s="3534"/>
      <c r="I34" s="3567"/>
      <c r="J34" s="3570"/>
      <c r="K34" s="3452"/>
      <c r="L34" s="3545"/>
      <c r="M34" s="3573"/>
      <c r="N34" s="3576"/>
      <c r="O34" s="3554"/>
      <c r="P34" s="3528"/>
      <c r="Q34" s="3603"/>
      <c r="R34" s="3244"/>
      <c r="S34" s="3229"/>
      <c r="T34" s="3244"/>
      <c r="U34" s="3229"/>
      <c r="V34" s="3244"/>
      <c r="W34" s="3608"/>
      <c r="X34" s="3606"/>
      <c r="Y34" s="3432"/>
      <c r="Z34" s="3610"/>
      <c r="AA34" s="3518"/>
      <c r="AB34" s="3419"/>
      <c r="AC34" s="2611"/>
      <c r="AE34">
        <v>0</v>
      </c>
      <c r="AF34" s="1402" t="n">
        <f t="shared" si="1"/>
        <v>0.0</v>
      </c>
    </row>
    <row r="35" spans="1:32" x14ac:dyDescent="0.15">
      <c r="A35" s="3579"/>
      <c r="B35" s="2772" t="s">
        <v>3465</v>
      </c>
      <c r="C35" s="1168"/>
      <c r="D35" s="2765" t="s">
        <v>4182</v>
      </c>
      <c r="E35" s="3229"/>
      <c r="F35" s="3590"/>
      <c r="G35" s="3531"/>
      <c r="H35" s="3534"/>
      <c r="I35" s="3567"/>
      <c r="J35" s="3570"/>
      <c r="K35" s="3452"/>
      <c r="L35" s="3545"/>
      <c r="M35" s="3573"/>
      <c r="N35" s="3576"/>
      <c r="O35" s="3554"/>
      <c r="P35" s="3528"/>
      <c r="Q35" s="3603"/>
      <c r="R35" s="3244"/>
      <c r="S35" s="3229"/>
      <c r="T35" s="3244"/>
      <c r="U35" s="3229"/>
      <c r="V35" s="3244"/>
      <c r="W35" s="3608"/>
      <c r="X35" s="3606"/>
      <c r="Y35" s="3432"/>
      <c r="Z35" s="3610"/>
      <c r="AA35" s="3518"/>
      <c r="AB35" s="3419"/>
      <c r="AC35" s="2611"/>
      <c r="AE35">
        <v>0</v>
      </c>
      <c r="AF35" s="1402" t="n">
        <f t="shared" si="1"/>
        <v>0.0</v>
      </c>
    </row>
    <row r="36" spans="1:32" x14ac:dyDescent="0.15">
      <c r="A36" s="3579"/>
      <c r="B36" s="2772" t="s">
        <v>3471</v>
      </c>
      <c r="C36" s="1168"/>
      <c r="D36" s="2765" t="s">
        <v>4183</v>
      </c>
      <c r="E36" s="3229"/>
      <c r="F36" s="3590"/>
      <c r="G36" s="3531"/>
      <c r="H36" s="3534"/>
      <c r="I36" s="3567"/>
      <c r="J36" s="3570"/>
      <c r="K36" s="3452"/>
      <c r="L36" s="3545"/>
      <c r="M36" s="3573"/>
      <c r="N36" s="3576"/>
      <c r="O36" s="3554"/>
      <c r="P36" s="3528"/>
      <c r="Q36" s="3603"/>
      <c r="R36" s="3244"/>
      <c r="S36" s="3229"/>
      <c r="T36" s="3244"/>
      <c r="U36" s="3229"/>
      <c r="V36" s="3244"/>
      <c r="W36" s="3608"/>
      <c r="X36" s="3606"/>
      <c r="Y36" s="3432"/>
      <c r="Z36" s="3610"/>
      <c r="AA36" s="3518"/>
      <c r="AB36" s="3419"/>
      <c r="AC36" s="2611"/>
      <c r="AE36">
        <v>0</v>
      </c>
      <c r="AF36" s="1402" t="n">
        <f t="shared" si="1"/>
        <v>0.0</v>
      </c>
    </row>
    <row r="37" spans="1:32" x14ac:dyDescent="0.15">
      <c r="A37" s="3579"/>
      <c r="B37" s="2772" t="s">
        <v>3472</v>
      </c>
      <c r="C37" s="1168"/>
      <c r="D37" s="2765" t="s">
        <v>4184</v>
      </c>
      <c r="E37" s="3229"/>
      <c r="F37" s="3590"/>
      <c r="G37" s="3531"/>
      <c r="H37" s="3534"/>
      <c r="I37" s="3567"/>
      <c r="J37" s="3570"/>
      <c r="K37" s="3452"/>
      <c r="L37" s="3545"/>
      <c r="M37" s="3573"/>
      <c r="N37" s="3576"/>
      <c r="O37" s="3554"/>
      <c r="P37" s="3528"/>
      <c r="Q37" s="3603"/>
      <c r="R37" s="3244"/>
      <c r="S37" s="3229"/>
      <c r="T37" s="3244"/>
      <c r="U37" s="3229"/>
      <c r="V37" s="3244"/>
      <c r="W37" s="3608"/>
      <c r="X37" s="3606"/>
      <c r="Y37" s="3432"/>
      <c r="Z37" s="3610"/>
      <c r="AA37" s="3518"/>
      <c r="AB37" s="3419"/>
      <c r="AC37" s="2611"/>
      <c r="AE37">
        <v>0</v>
      </c>
      <c r="AF37" s="1402" t="n">
        <f t="shared" si="1"/>
        <v>0.0</v>
      </c>
    </row>
    <row r="38" spans="1:32" x14ac:dyDescent="0.15">
      <c r="A38" s="3579"/>
      <c r="B38" s="2772" t="s">
        <v>4185</v>
      </c>
      <c r="C38" s="1168"/>
      <c r="D38" s="2765" t="s">
        <v>4186</v>
      </c>
      <c r="E38" s="3229"/>
      <c r="F38" s="3590"/>
      <c r="G38" s="3531"/>
      <c r="H38" s="3534"/>
      <c r="I38" s="3567"/>
      <c r="J38" s="3570"/>
      <c r="K38" s="3452"/>
      <c r="L38" s="3545"/>
      <c r="M38" s="3573"/>
      <c r="N38" s="3576"/>
      <c r="O38" s="3554"/>
      <c r="P38" s="3528"/>
      <c r="Q38" s="3603"/>
      <c r="R38" s="3244"/>
      <c r="S38" s="3229"/>
      <c r="T38" s="3244"/>
      <c r="U38" s="3229"/>
      <c r="V38" s="3244"/>
      <c r="W38" s="3608"/>
      <c r="X38" s="3606"/>
      <c r="Y38" s="3432"/>
      <c r="Z38" s="3610"/>
      <c r="AA38" s="3518"/>
      <c r="AB38" s="3419"/>
      <c r="AC38" s="2611"/>
      <c r="AE38">
        <v>0</v>
      </c>
      <c r="AF38" s="1402" t="n">
        <f t="shared" si="1"/>
        <v>0.0</v>
      </c>
    </row>
    <row r="39" spans="1:32" ht="14.25" thickBot="1" x14ac:dyDescent="0.2">
      <c r="A39" s="3286"/>
      <c r="B39" s="1158" t="s">
        <v>4187</v>
      </c>
      <c r="C39" s="1169" t="s">
        <v>4188</v>
      </c>
      <c r="D39" s="2792" t="s">
        <v>4189</v>
      </c>
      <c r="E39" s="3228"/>
      <c r="F39" s="3591"/>
      <c r="G39" s="3557"/>
      <c r="H39" s="3558"/>
      <c r="I39" s="3568"/>
      <c r="J39" s="3571"/>
      <c r="K39" s="3561"/>
      <c r="L39" s="3562"/>
      <c r="M39" s="3574"/>
      <c r="N39" s="3577"/>
      <c r="O39" s="3565"/>
      <c r="P39" s="3529"/>
      <c r="Q39" s="3604"/>
      <c r="R39" s="3240"/>
      <c r="S39" s="3228"/>
      <c r="T39" s="3240"/>
      <c r="U39" s="3228"/>
      <c r="V39" s="3240"/>
      <c r="W39" s="3609"/>
      <c r="X39" s="3607"/>
      <c r="Y39" s="3443"/>
      <c r="Z39" s="3611"/>
      <c r="AA39" s="3519"/>
      <c r="AB39" s="3418"/>
      <c r="AC39" s="2612"/>
      <c r="AE39">
        <v>0</v>
      </c>
      <c r="AF39" s="1402" t="n">
        <f t="shared" si="1"/>
        <v>0.0</v>
      </c>
    </row>
    <row r="40" spans="1:32" ht="23.25" thickTop="1" x14ac:dyDescent="0.15">
      <c r="A40" s="3578" t="s">
        <v>4190</v>
      </c>
      <c r="B40" s="2773" t="s">
        <v>993</v>
      </c>
      <c r="C40" s="1170" t="s">
        <v>4191</v>
      </c>
      <c r="D40" s="1123" t="s">
        <v>4192</v>
      </c>
      <c r="E40" s="3245" t="s">
        <v>4193</v>
      </c>
      <c r="F40" s="3589" t="s">
        <v>4194</v>
      </c>
      <c r="G40" s="3530" t="str">
        <f>"4-DaHall 1-PDU-"&amp;K40&amp;"-"&amp;J40&amp;"-"&amp;L40</f>
        <v>4-DaHall 1-PDU-04-100-7</v>
      </c>
      <c r="H40" s="3533" t="str">
        <f>"4-DaHall 1-PDU-"&amp;O40&amp;"-"&amp;N40&amp;"-"&amp;P40</f>
        <v>4-DaHall 1-PDU-03-100-7</v>
      </c>
      <c r="I40" s="3566">
        <v>220</v>
      </c>
      <c r="J40" s="3569">
        <v>100</v>
      </c>
      <c r="K40" s="3542" t="s">
        <v>6923</v>
      </c>
      <c r="L40" s="3544">
        <v>7</v>
      </c>
      <c r="M40" s="3572">
        <v>220</v>
      </c>
      <c r="N40" s="3575">
        <v>100</v>
      </c>
      <c r="O40" s="3553" t="s">
        <v>6927</v>
      </c>
      <c r="P40" s="3527">
        <v>7</v>
      </c>
      <c r="Q40" s="3602" t="s">
        <v>4142</v>
      </c>
      <c r="R40" s="3233" t="s">
        <v>4143</v>
      </c>
      <c r="S40" s="3245" t="s">
        <v>4144</v>
      </c>
      <c r="T40" s="3233" t="s">
        <v>4145</v>
      </c>
      <c r="U40" s="3245" t="s">
        <v>4110</v>
      </c>
      <c r="V40" s="3233" t="s">
        <v>4117</v>
      </c>
      <c r="W40" s="3595" t="n">
        <f>SUM('4층_부하량(월간_AVG)'!N12:P12)</f>
        <v>22.223178083246335</v>
      </c>
      <c r="X40" s="3597" t="n">
        <f>SUM('4층_부하량(월간_AVG)'!D54:F54)</f>
        <v>28.41611606039097</v>
      </c>
      <c r="Y40" s="3599" t="n">
        <f t="shared" ref="Y40" si="9">SUM(W40:X40)</f>
        <v>50.6392941436373</v>
      </c>
      <c r="Z40" s="3600" t="n" cm="1">
        <f t="array" ref="Z40">INDEX('각층분기별_유효전력량(전월)'!C2:C2020,MATCH(1,("4-DaHall 1-PDU-04"='각층분기별_유효전력량(전월)'!A2:A2020)*("[branch#007] [A] kWh last month"='각층분기별_유효전력량(전월)'!B2:B2020),0))</f>
        <v>3190.4</v>
      </c>
      <c r="AA40" s="3517" t="n" cm="1">
        <f t="array" ref="AA40">INDEX('각층분기별_유효전력량(전월)'!C2:C2020,MATCH(1,("4-DaHall 1-PDU-03"='각층분기별_유효전력량(전월)'!A2:A2020)*("[branch#007] [A] kWh last month"='각층분기별_유효전력량(전월)'!B2:B2020),0))</f>
        <v>4199.0</v>
      </c>
      <c r="AB40" s="3421" t="n">
        <f>SUM(Z40:AA51)</f>
        <v>7389.4</v>
      </c>
      <c r="AC40" s="2614"/>
      <c r="AE40">
        <v>49.6</v>
      </c>
      <c r="AF40" s="1402" t="n">
        <f t="shared" si="1"/>
        <v>1.0392941436372993</v>
      </c>
    </row>
    <row r="41" spans="1:32" ht="22.5" x14ac:dyDescent="0.15">
      <c r="A41" s="3579"/>
      <c r="B41" s="2772" t="s">
        <v>4195</v>
      </c>
      <c r="C41" s="1168" t="s">
        <v>4196</v>
      </c>
      <c r="D41" s="1007" t="s">
        <v>4197</v>
      </c>
      <c r="E41" s="3229"/>
      <c r="F41" s="3590"/>
      <c r="G41" s="3531"/>
      <c r="H41" s="3534"/>
      <c r="I41" s="3567"/>
      <c r="J41" s="3570"/>
      <c r="K41" s="3452"/>
      <c r="L41" s="3545"/>
      <c r="M41" s="3573"/>
      <c r="N41" s="3576"/>
      <c r="O41" s="3554"/>
      <c r="P41" s="3528"/>
      <c r="Q41" s="3603"/>
      <c r="R41" s="3244"/>
      <c r="S41" s="3229"/>
      <c r="T41" s="3244"/>
      <c r="U41" s="3229"/>
      <c r="V41" s="3244"/>
      <c r="W41" s="3608"/>
      <c r="X41" s="3606"/>
      <c r="Y41" s="3432"/>
      <c r="Z41" s="3610"/>
      <c r="AA41" s="3518"/>
      <c r="AB41" s="3419"/>
      <c r="AC41" s="2611"/>
      <c r="AE41">
        <v>0</v>
      </c>
      <c r="AF41" s="1402" t="n">
        <f t="shared" si="1"/>
        <v>0.0</v>
      </c>
    </row>
    <row r="42" spans="1:32" x14ac:dyDescent="0.15">
      <c r="A42" s="3579"/>
      <c r="B42" s="2772" t="s">
        <v>3387</v>
      </c>
      <c r="C42" s="1168"/>
      <c r="D42" s="2765" t="s">
        <v>4198</v>
      </c>
      <c r="E42" s="3229"/>
      <c r="F42" s="3590"/>
      <c r="G42" s="3531"/>
      <c r="H42" s="3534"/>
      <c r="I42" s="3567"/>
      <c r="J42" s="3570"/>
      <c r="K42" s="3452"/>
      <c r="L42" s="3545"/>
      <c r="M42" s="3573"/>
      <c r="N42" s="3576"/>
      <c r="O42" s="3554"/>
      <c r="P42" s="3528"/>
      <c r="Q42" s="3603"/>
      <c r="R42" s="3244"/>
      <c r="S42" s="3229"/>
      <c r="T42" s="3244"/>
      <c r="U42" s="3229"/>
      <c r="V42" s="3244"/>
      <c r="W42" s="3608"/>
      <c r="X42" s="3606"/>
      <c r="Y42" s="3432"/>
      <c r="Z42" s="3610"/>
      <c r="AA42" s="3518"/>
      <c r="AB42" s="3419"/>
      <c r="AC42" s="2611"/>
      <c r="AE42">
        <v>0</v>
      </c>
      <c r="AF42" s="1402" t="n">
        <f t="shared" si="1"/>
        <v>0.0</v>
      </c>
    </row>
    <row r="43" spans="1:32" x14ac:dyDescent="0.15">
      <c r="A43" s="3579"/>
      <c r="B43" s="2772" t="s">
        <v>3393</v>
      </c>
      <c r="C43" s="1168" t="s">
        <v>4199</v>
      </c>
      <c r="D43" s="2771" t="s">
        <v>4200</v>
      </c>
      <c r="E43" s="3229"/>
      <c r="F43" s="3590"/>
      <c r="G43" s="3531"/>
      <c r="H43" s="3534"/>
      <c r="I43" s="3567"/>
      <c r="J43" s="3570"/>
      <c r="K43" s="3452"/>
      <c r="L43" s="3545"/>
      <c r="M43" s="3573"/>
      <c r="N43" s="3576"/>
      <c r="O43" s="3554"/>
      <c r="P43" s="3528"/>
      <c r="Q43" s="3603"/>
      <c r="R43" s="3244"/>
      <c r="S43" s="3229"/>
      <c r="T43" s="3244"/>
      <c r="U43" s="3229"/>
      <c r="V43" s="3244"/>
      <c r="W43" s="3608"/>
      <c r="X43" s="3606"/>
      <c r="Y43" s="3432"/>
      <c r="Z43" s="3610"/>
      <c r="AA43" s="3518"/>
      <c r="AB43" s="3419"/>
      <c r="AC43" s="2611"/>
      <c r="AE43">
        <v>0</v>
      </c>
      <c r="AF43" s="1402" t="n">
        <f t="shared" si="1"/>
        <v>0.0</v>
      </c>
    </row>
    <row r="44" spans="1:32" x14ac:dyDescent="0.15">
      <c r="A44" s="3579"/>
      <c r="B44" s="2772" t="s">
        <v>3399</v>
      </c>
      <c r="C44" s="1168"/>
      <c r="D44" s="2765" t="s">
        <v>4201</v>
      </c>
      <c r="E44" s="3229"/>
      <c r="F44" s="3590"/>
      <c r="G44" s="3531"/>
      <c r="H44" s="3534"/>
      <c r="I44" s="3567"/>
      <c r="J44" s="3570"/>
      <c r="K44" s="3452"/>
      <c r="L44" s="3545"/>
      <c r="M44" s="3573"/>
      <c r="N44" s="3576"/>
      <c r="O44" s="3554"/>
      <c r="P44" s="3528"/>
      <c r="Q44" s="3603"/>
      <c r="R44" s="3244"/>
      <c r="S44" s="3229"/>
      <c r="T44" s="3244"/>
      <c r="U44" s="3229"/>
      <c r="V44" s="3244"/>
      <c r="W44" s="3608"/>
      <c r="X44" s="3606"/>
      <c r="Y44" s="3432"/>
      <c r="Z44" s="3610"/>
      <c r="AA44" s="3518"/>
      <c r="AB44" s="3419"/>
      <c r="AC44" s="2611"/>
      <c r="AE44">
        <v>0</v>
      </c>
      <c r="AF44" s="1402" t="n">
        <f t="shared" si="1"/>
        <v>0.0</v>
      </c>
    </row>
    <row r="45" spans="1:32" x14ac:dyDescent="0.15">
      <c r="A45" s="3579"/>
      <c r="B45" s="2772" t="s">
        <v>3405</v>
      </c>
      <c r="C45" s="1168" t="s">
        <v>4202</v>
      </c>
      <c r="D45" s="2771" t="s">
        <v>4203</v>
      </c>
      <c r="E45" s="3229"/>
      <c r="F45" s="3590"/>
      <c r="G45" s="3531"/>
      <c r="H45" s="3534"/>
      <c r="I45" s="3567"/>
      <c r="J45" s="3570"/>
      <c r="K45" s="3452"/>
      <c r="L45" s="3545"/>
      <c r="M45" s="3573"/>
      <c r="N45" s="3576"/>
      <c r="O45" s="3554"/>
      <c r="P45" s="3528"/>
      <c r="Q45" s="3603"/>
      <c r="R45" s="3244"/>
      <c r="S45" s="3229"/>
      <c r="T45" s="3244"/>
      <c r="U45" s="3229"/>
      <c r="V45" s="3244"/>
      <c r="W45" s="3608"/>
      <c r="X45" s="3606"/>
      <c r="Y45" s="3432"/>
      <c r="Z45" s="3610"/>
      <c r="AA45" s="3518"/>
      <c r="AB45" s="3419"/>
      <c r="AC45" s="2611"/>
      <c r="AE45">
        <v>0</v>
      </c>
      <c r="AF45" s="1402" t="n">
        <f t="shared" si="1"/>
        <v>0.0</v>
      </c>
    </row>
    <row r="46" spans="1:32" x14ac:dyDescent="0.15">
      <c r="A46" s="3579"/>
      <c r="B46" s="2772" t="s">
        <v>3411</v>
      </c>
      <c r="C46" s="1168" t="s">
        <v>4202</v>
      </c>
      <c r="D46" s="2771" t="s">
        <v>4204</v>
      </c>
      <c r="E46" s="3229"/>
      <c r="F46" s="3590"/>
      <c r="G46" s="3531"/>
      <c r="H46" s="3534"/>
      <c r="I46" s="3567"/>
      <c r="J46" s="3570"/>
      <c r="K46" s="3452"/>
      <c r="L46" s="3545"/>
      <c r="M46" s="3573"/>
      <c r="N46" s="3576"/>
      <c r="O46" s="3554"/>
      <c r="P46" s="3528"/>
      <c r="Q46" s="3603"/>
      <c r="R46" s="3244"/>
      <c r="S46" s="3229"/>
      <c r="T46" s="3244"/>
      <c r="U46" s="3229"/>
      <c r="V46" s="3244"/>
      <c r="W46" s="3608"/>
      <c r="X46" s="3606"/>
      <c r="Y46" s="3432"/>
      <c r="Z46" s="3610"/>
      <c r="AA46" s="3518"/>
      <c r="AB46" s="3419"/>
      <c r="AC46" s="2611"/>
      <c r="AE46">
        <v>0</v>
      </c>
      <c r="AF46" s="1402" t="n">
        <f t="shared" si="1"/>
        <v>0.0</v>
      </c>
    </row>
    <row r="47" spans="1:32" x14ac:dyDescent="0.15">
      <c r="A47" s="3579"/>
      <c r="B47" s="2772" t="s">
        <v>3417</v>
      </c>
      <c r="C47" s="1168" t="s">
        <v>4202</v>
      </c>
      <c r="D47" s="2771" t="s">
        <v>4205</v>
      </c>
      <c r="E47" s="3229"/>
      <c r="F47" s="3590"/>
      <c r="G47" s="3531"/>
      <c r="H47" s="3534"/>
      <c r="I47" s="3567"/>
      <c r="J47" s="3570"/>
      <c r="K47" s="3452"/>
      <c r="L47" s="3545"/>
      <c r="M47" s="3573"/>
      <c r="N47" s="3576"/>
      <c r="O47" s="3554"/>
      <c r="P47" s="3528"/>
      <c r="Q47" s="3603"/>
      <c r="R47" s="3244"/>
      <c r="S47" s="3229"/>
      <c r="T47" s="3244"/>
      <c r="U47" s="3229"/>
      <c r="V47" s="3244"/>
      <c r="W47" s="3608"/>
      <c r="X47" s="3606"/>
      <c r="Y47" s="3432"/>
      <c r="Z47" s="3610"/>
      <c r="AA47" s="3518"/>
      <c r="AB47" s="3419"/>
      <c r="AC47" s="2611"/>
      <c r="AE47">
        <v>0</v>
      </c>
      <c r="AF47" s="1402" t="n">
        <f t="shared" si="1"/>
        <v>0.0</v>
      </c>
    </row>
    <row r="48" spans="1:32" x14ac:dyDescent="0.15">
      <c r="A48" s="3579"/>
      <c r="B48" s="2772" t="s">
        <v>3423</v>
      </c>
      <c r="C48" s="1168" t="s">
        <v>4202</v>
      </c>
      <c r="D48" s="2771" t="s">
        <v>4206</v>
      </c>
      <c r="E48" s="3229"/>
      <c r="F48" s="3590"/>
      <c r="G48" s="3531"/>
      <c r="H48" s="3534"/>
      <c r="I48" s="3567"/>
      <c r="J48" s="3570"/>
      <c r="K48" s="3452"/>
      <c r="L48" s="3545"/>
      <c r="M48" s="3573"/>
      <c r="N48" s="3576"/>
      <c r="O48" s="3554"/>
      <c r="P48" s="3528"/>
      <c r="Q48" s="3603"/>
      <c r="R48" s="3244"/>
      <c r="S48" s="3229"/>
      <c r="T48" s="3244"/>
      <c r="U48" s="3229"/>
      <c r="V48" s="3244"/>
      <c r="W48" s="3608"/>
      <c r="X48" s="3606"/>
      <c r="Y48" s="3432"/>
      <c r="Z48" s="3610"/>
      <c r="AA48" s="3518"/>
      <c r="AB48" s="3419"/>
      <c r="AC48" s="2611"/>
      <c r="AE48">
        <v>0</v>
      </c>
      <c r="AF48" s="1402" t="n">
        <f t="shared" si="1"/>
        <v>0.0</v>
      </c>
    </row>
    <row r="49" spans="1:32" x14ac:dyDescent="0.15">
      <c r="A49" s="3579"/>
      <c r="B49" s="2772" t="s">
        <v>3424</v>
      </c>
      <c r="C49" s="1168" t="s">
        <v>4202</v>
      </c>
      <c r="D49" s="2771" t="s">
        <v>4207</v>
      </c>
      <c r="E49" s="3229"/>
      <c r="F49" s="3590"/>
      <c r="G49" s="3531"/>
      <c r="H49" s="3534"/>
      <c r="I49" s="3567"/>
      <c r="J49" s="3570"/>
      <c r="K49" s="3452"/>
      <c r="L49" s="3545"/>
      <c r="M49" s="3573"/>
      <c r="N49" s="3576"/>
      <c r="O49" s="3554"/>
      <c r="P49" s="3528"/>
      <c r="Q49" s="3603"/>
      <c r="R49" s="3244"/>
      <c r="S49" s="3229"/>
      <c r="T49" s="3244"/>
      <c r="U49" s="3229"/>
      <c r="V49" s="3244"/>
      <c r="W49" s="3608"/>
      <c r="X49" s="3606"/>
      <c r="Y49" s="3432"/>
      <c r="Z49" s="3610"/>
      <c r="AA49" s="3518"/>
      <c r="AB49" s="3419"/>
      <c r="AC49" s="2611"/>
      <c r="AE49">
        <v>0</v>
      </c>
      <c r="AF49" s="1402" t="n">
        <f t="shared" si="1"/>
        <v>0.0</v>
      </c>
    </row>
    <row r="50" spans="1:32" x14ac:dyDescent="0.15">
      <c r="A50" s="3579"/>
      <c r="B50" s="2772" t="s">
        <v>4208</v>
      </c>
      <c r="C50" s="1168"/>
      <c r="D50" s="2765" t="s">
        <v>4209</v>
      </c>
      <c r="E50" s="3229"/>
      <c r="F50" s="3590"/>
      <c r="G50" s="3531"/>
      <c r="H50" s="3534"/>
      <c r="I50" s="3567"/>
      <c r="J50" s="3570"/>
      <c r="K50" s="3452"/>
      <c r="L50" s="3545"/>
      <c r="M50" s="3573"/>
      <c r="N50" s="3576"/>
      <c r="O50" s="3554"/>
      <c r="P50" s="3528"/>
      <c r="Q50" s="3603"/>
      <c r="R50" s="3244"/>
      <c r="S50" s="3229"/>
      <c r="T50" s="3244"/>
      <c r="U50" s="3229"/>
      <c r="V50" s="3244"/>
      <c r="W50" s="3608"/>
      <c r="X50" s="3606"/>
      <c r="Y50" s="3432"/>
      <c r="Z50" s="3610"/>
      <c r="AA50" s="3518"/>
      <c r="AB50" s="3419"/>
      <c r="AC50" s="2611"/>
      <c r="AE50">
        <v>0</v>
      </c>
      <c r="AF50" s="1402" t="n">
        <f t="shared" si="1"/>
        <v>0.0</v>
      </c>
    </row>
    <row r="51" spans="1:32" ht="14.25" thickBot="1" x14ac:dyDescent="0.2">
      <c r="A51" s="3286"/>
      <c r="B51" s="1158" t="s">
        <v>4210</v>
      </c>
      <c r="C51" s="1169" t="s">
        <v>4211</v>
      </c>
      <c r="D51" s="2792" t="s">
        <v>4212</v>
      </c>
      <c r="E51" s="3228"/>
      <c r="F51" s="3591"/>
      <c r="G51" s="3557"/>
      <c r="H51" s="3558"/>
      <c r="I51" s="3568"/>
      <c r="J51" s="3571"/>
      <c r="K51" s="3561"/>
      <c r="L51" s="3562"/>
      <c r="M51" s="3574"/>
      <c r="N51" s="3577"/>
      <c r="O51" s="3565"/>
      <c r="P51" s="3529"/>
      <c r="Q51" s="3604"/>
      <c r="R51" s="3240"/>
      <c r="S51" s="3228"/>
      <c r="T51" s="3240"/>
      <c r="U51" s="3228"/>
      <c r="V51" s="3240"/>
      <c r="W51" s="3609"/>
      <c r="X51" s="3607"/>
      <c r="Y51" s="3443"/>
      <c r="Z51" s="3611"/>
      <c r="AA51" s="3519"/>
      <c r="AB51" s="3418"/>
      <c r="AC51" s="2612"/>
      <c r="AE51">
        <v>0</v>
      </c>
      <c r="AF51" s="1402" t="n">
        <f t="shared" si="1"/>
        <v>0.0</v>
      </c>
    </row>
    <row r="52" spans="1:32" ht="14.25" thickTop="1" x14ac:dyDescent="0.15">
      <c r="A52" s="3578" t="s">
        <v>4213</v>
      </c>
      <c r="B52" s="1157" t="s">
        <v>939</v>
      </c>
      <c r="C52" s="1167" t="s">
        <v>4214</v>
      </c>
      <c r="D52" s="1015" t="s">
        <v>4215</v>
      </c>
      <c r="E52" s="3245" t="s">
        <v>4216</v>
      </c>
      <c r="F52" s="3589" t="s">
        <v>4217</v>
      </c>
      <c r="G52" s="3530" t="str">
        <f>"4-DaHall 1-PDU-"&amp;K52&amp;"-"&amp;J52&amp;"-"&amp;L52</f>
        <v>4-DaHall 1-PDU-04-100-8</v>
      </c>
      <c r="H52" s="3533" t="str">
        <f>"4-DaHall 1-PDU-"&amp;O52&amp;"-"&amp;N52&amp;"-"&amp;P52</f>
        <v>4-DaHall 1-PDU-03-100-8</v>
      </c>
      <c r="I52" s="3566">
        <v>220</v>
      </c>
      <c r="J52" s="3569">
        <v>100</v>
      </c>
      <c r="K52" s="3542" t="s">
        <v>6923</v>
      </c>
      <c r="L52" s="3544">
        <v>8</v>
      </c>
      <c r="M52" s="3572">
        <v>220</v>
      </c>
      <c r="N52" s="3575">
        <v>100</v>
      </c>
      <c r="O52" s="3553" t="s">
        <v>6927</v>
      </c>
      <c r="P52" s="3527">
        <v>8</v>
      </c>
      <c r="Q52" s="3602" t="s">
        <v>4142</v>
      </c>
      <c r="R52" s="3233" t="s">
        <v>4143</v>
      </c>
      <c r="S52" s="3245" t="s">
        <v>4144</v>
      </c>
      <c r="T52" s="3233" t="s">
        <v>4145</v>
      </c>
      <c r="U52" s="3245" t="s">
        <v>4110</v>
      </c>
      <c r="V52" s="3233" t="s">
        <v>4117</v>
      </c>
      <c r="W52" s="3595" t="n">
        <f>SUM('4층_부하량(월간_AVG)'!N13:P13)</f>
        <v>22.384243363755044</v>
      </c>
      <c r="X52" s="3597" t="n">
        <f>SUM('4층_부하량(월간_AVG)'!D55:F55)</f>
        <v>18.509154394402284</v>
      </c>
      <c r="Y52" s="3599" t="n">
        <f t="shared" ref="Y52" si="10">SUM(W52:X52)</f>
        <v>40.89339775815733</v>
      </c>
      <c r="Z52" s="3600" t="n" cm="1">
        <f t="array" ref="Z52">INDEX('각층분기별_유효전력량(전월)'!C2:C2020,MATCH(1,("4-DaHall 1-PDU-04"='각층분기별_유효전력량(전월)'!A2:A2020)*("[branch#008] [A] kWh last month"='각층분기별_유효전력량(전월)'!B2:B2020),0))</f>
        <v>3295.9</v>
      </c>
      <c r="AA52" s="3517" t="n" cm="1">
        <f t="array" ref="AA52">INDEX('각층분기별_유효전력량(전월)'!C2:C2020,MATCH(1,("4-DaHall 1-PDU-03"='각층분기별_유효전력량(전월)'!A2:A2020)*("[branch#008] [A] kWh last month"='각층분기별_유효전력량(전월)'!B2:B2020),0))</f>
        <v>2687.5</v>
      </c>
      <c r="AB52" s="3421" t="n">
        <f>SUM(Z52:AA63)</f>
        <v>5983.4</v>
      </c>
      <c r="AC52" s="2610"/>
      <c r="AE52">
        <v>39</v>
      </c>
      <c r="AF52" s="1402" t="n">
        <f t="shared" si="1"/>
        <v>1.8933977581573274</v>
      </c>
    </row>
    <row r="53" spans="1:32" x14ac:dyDescent="0.15">
      <c r="A53" s="3579"/>
      <c r="B53" s="2772" t="s">
        <v>3332</v>
      </c>
      <c r="C53" s="1168"/>
      <c r="D53" s="2765" t="s">
        <v>4218</v>
      </c>
      <c r="E53" s="3229"/>
      <c r="F53" s="3590"/>
      <c r="G53" s="3531"/>
      <c r="H53" s="3534"/>
      <c r="I53" s="3567"/>
      <c r="J53" s="3570"/>
      <c r="K53" s="3452"/>
      <c r="L53" s="3545"/>
      <c r="M53" s="3573"/>
      <c r="N53" s="3576"/>
      <c r="O53" s="3554"/>
      <c r="P53" s="3528"/>
      <c r="Q53" s="3603"/>
      <c r="R53" s="3244"/>
      <c r="S53" s="3229"/>
      <c r="T53" s="3244"/>
      <c r="U53" s="3229"/>
      <c r="V53" s="3244"/>
      <c r="W53" s="3608"/>
      <c r="X53" s="3606"/>
      <c r="Y53" s="3432"/>
      <c r="Z53" s="3610"/>
      <c r="AA53" s="3518"/>
      <c r="AB53" s="3419"/>
      <c r="AC53" s="2611"/>
      <c r="AE53">
        <v>0</v>
      </c>
      <c r="AF53" s="1402" t="n">
        <f t="shared" si="1"/>
        <v>0.0</v>
      </c>
    </row>
    <row r="54" spans="1:32" x14ac:dyDescent="0.15">
      <c r="A54" s="3579"/>
      <c r="B54" s="2772" t="s">
        <v>3338</v>
      </c>
      <c r="C54" s="1168"/>
      <c r="D54" s="2765" t="s">
        <v>4219</v>
      </c>
      <c r="E54" s="3229"/>
      <c r="F54" s="3590"/>
      <c r="G54" s="3531"/>
      <c r="H54" s="3534"/>
      <c r="I54" s="3567"/>
      <c r="J54" s="3570"/>
      <c r="K54" s="3452"/>
      <c r="L54" s="3545"/>
      <c r="M54" s="3573"/>
      <c r="N54" s="3576"/>
      <c r="O54" s="3554"/>
      <c r="P54" s="3528"/>
      <c r="Q54" s="3603"/>
      <c r="R54" s="3244"/>
      <c r="S54" s="3229"/>
      <c r="T54" s="3244"/>
      <c r="U54" s="3229"/>
      <c r="V54" s="3244"/>
      <c r="W54" s="3608"/>
      <c r="X54" s="3606"/>
      <c r="Y54" s="3432"/>
      <c r="Z54" s="3610"/>
      <c r="AA54" s="3518"/>
      <c r="AB54" s="3419"/>
      <c r="AC54" s="2611"/>
      <c r="AE54">
        <v>0</v>
      </c>
      <c r="AF54" s="1402" t="n">
        <f t="shared" si="1"/>
        <v>0.0</v>
      </c>
    </row>
    <row r="55" spans="1:32" x14ac:dyDescent="0.15">
      <c r="A55" s="3579"/>
      <c r="B55" s="2772" t="s">
        <v>3344</v>
      </c>
      <c r="C55" s="1168" t="s">
        <v>4220</v>
      </c>
      <c r="D55" s="2771" t="s">
        <v>4221</v>
      </c>
      <c r="E55" s="3229"/>
      <c r="F55" s="3590"/>
      <c r="G55" s="3531"/>
      <c r="H55" s="3534"/>
      <c r="I55" s="3567"/>
      <c r="J55" s="3570"/>
      <c r="K55" s="3452"/>
      <c r="L55" s="3545"/>
      <c r="M55" s="3573"/>
      <c r="N55" s="3576"/>
      <c r="O55" s="3554"/>
      <c r="P55" s="3528"/>
      <c r="Q55" s="3603"/>
      <c r="R55" s="3244"/>
      <c r="S55" s="3229"/>
      <c r="T55" s="3244"/>
      <c r="U55" s="3229"/>
      <c r="V55" s="3244"/>
      <c r="W55" s="3608"/>
      <c r="X55" s="3606"/>
      <c r="Y55" s="3432"/>
      <c r="Z55" s="3610"/>
      <c r="AA55" s="3518"/>
      <c r="AB55" s="3419"/>
      <c r="AC55" s="2611"/>
      <c r="AE55">
        <v>0</v>
      </c>
      <c r="AF55" s="1402" t="n">
        <f t="shared" si="1"/>
        <v>0.0</v>
      </c>
    </row>
    <row r="56" spans="1:32" ht="22.5" x14ac:dyDescent="0.15">
      <c r="A56" s="3579"/>
      <c r="B56" s="2772" t="s">
        <v>3350</v>
      </c>
      <c r="C56" s="1168" t="s">
        <v>4222</v>
      </c>
      <c r="D56" s="2771" t="s">
        <v>4223</v>
      </c>
      <c r="E56" s="3229"/>
      <c r="F56" s="3590"/>
      <c r="G56" s="3531"/>
      <c r="H56" s="3534"/>
      <c r="I56" s="3567"/>
      <c r="J56" s="3570"/>
      <c r="K56" s="3452"/>
      <c r="L56" s="3545"/>
      <c r="M56" s="3573"/>
      <c r="N56" s="3576"/>
      <c r="O56" s="3554"/>
      <c r="P56" s="3528"/>
      <c r="Q56" s="3603"/>
      <c r="R56" s="3244"/>
      <c r="S56" s="3229"/>
      <c r="T56" s="3244"/>
      <c r="U56" s="3229"/>
      <c r="V56" s="3244"/>
      <c r="W56" s="3608"/>
      <c r="X56" s="3606"/>
      <c r="Y56" s="3432"/>
      <c r="Z56" s="3610"/>
      <c r="AA56" s="3518"/>
      <c r="AB56" s="3419"/>
      <c r="AC56" s="2611"/>
      <c r="AE56">
        <v>0</v>
      </c>
      <c r="AF56" s="1402" t="n">
        <f t="shared" si="1"/>
        <v>0.0</v>
      </c>
    </row>
    <row r="57" spans="1:32" x14ac:dyDescent="0.15">
      <c r="A57" s="3579"/>
      <c r="B57" s="2772" t="s">
        <v>3356</v>
      </c>
      <c r="C57" s="1168" t="s">
        <v>4224</v>
      </c>
      <c r="D57" s="2771" t="s">
        <v>4225</v>
      </c>
      <c r="E57" s="3229"/>
      <c r="F57" s="3590"/>
      <c r="G57" s="3531"/>
      <c r="H57" s="3534"/>
      <c r="I57" s="3567"/>
      <c r="J57" s="3570"/>
      <c r="K57" s="3452"/>
      <c r="L57" s="3545"/>
      <c r="M57" s="3573"/>
      <c r="N57" s="3576"/>
      <c r="O57" s="3554"/>
      <c r="P57" s="3528"/>
      <c r="Q57" s="3603"/>
      <c r="R57" s="3244"/>
      <c r="S57" s="3229"/>
      <c r="T57" s="3244"/>
      <c r="U57" s="3229"/>
      <c r="V57" s="3244"/>
      <c r="W57" s="3608"/>
      <c r="X57" s="3606"/>
      <c r="Y57" s="3432"/>
      <c r="Z57" s="3610"/>
      <c r="AA57" s="3518"/>
      <c r="AB57" s="3419"/>
      <c r="AC57" s="2611"/>
      <c r="AE57">
        <v>0</v>
      </c>
      <c r="AF57" s="1402" t="n">
        <f t="shared" si="1"/>
        <v>0.0</v>
      </c>
    </row>
    <row r="58" spans="1:32" x14ac:dyDescent="0.15">
      <c r="A58" s="3579"/>
      <c r="B58" s="2772" t="s">
        <v>3362</v>
      </c>
      <c r="C58" s="1168"/>
      <c r="D58" s="2765" t="s">
        <v>4226</v>
      </c>
      <c r="E58" s="3229"/>
      <c r="F58" s="3590"/>
      <c r="G58" s="3531"/>
      <c r="H58" s="3534"/>
      <c r="I58" s="3567"/>
      <c r="J58" s="3570"/>
      <c r="K58" s="3452"/>
      <c r="L58" s="3545"/>
      <c r="M58" s="3573"/>
      <c r="N58" s="3576"/>
      <c r="O58" s="3554"/>
      <c r="P58" s="3528"/>
      <c r="Q58" s="3603"/>
      <c r="R58" s="3244"/>
      <c r="S58" s="3229"/>
      <c r="T58" s="3244"/>
      <c r="U58" s="3229"/>
      <c r="V58" s="3244"/>
      <c r="W58" s="3608"/>
      <c r="X58" s="3606"/>
      <c r="Y58" s="3432"/>
      <c r="Z58" s="3610"/>
      <c r="AA58" s="3518"/>
      <c r="AB58" s="3419"/>
      <c r="AC58" s="2611"/>
      <c r="AE58">
        <v>0</v>
      </c>
      <c r="AF58" s="1402" t="n">
        <f t="shared" si="1"/>
        <v>0.0</v>
      </c>
    </row>
    <row r="59" spans="1:32" x14ac:dyDescent="0.15">
      <c r="A59" s="3579"/>
      <c r="B59" s="2772" t="s">
        <v>3368</v>
      </c>
      <c r="C59" s="1168" t="s">
        <v>4220</v>
      </c>
      <c r="D59" s="2771" t="s">
        <v>4227</v>
      </c>
      <c r="E59" s="3229"/>
      <c r="F59" s="3590"/>
      <c r="G59" s="3531"/>
      <c r="H59" s="3534"/>
      <c r="I59" s="3567"/>
      <c r="J59" s="3570"/>
      <c r="K59" s="3452"/>
      <c r="L59" s="3545"/>
      <c r="M59" s="3573"/>
      <c r="N59" s="3576"/>
      <c r="O59" s="3554"/>
      <c r="P59" s="3528"/>
      <c r="Q59" s="3603"/>
      <c r="R59" s="3244"/>
      <c r="S59" s="3229"/>
      <c r="T59" s="3244"/>
      <c r="U59" s="3229"/>
      <c r="V59" s="3244"/>
      <c r="W59" s="3608"/>
      <c r="X59" s="3606"/>
      <c r="Y59" s="3432"/>
      <c r="Z59" s="3610"/>
      <c r="AA59" s="3518"/>
      <c r="AB59" s="3419"/>
      <c r="AC59" s="2611"/>
      <c r="AE59">
        <v>0</v>
      </c>
      <c r="AF59" s="1402" t="n">
        <f t="shared" si="1"/>
        <v>0.0</v>
      </c>
    </row>
    <row r="60" spans="1:32" x14ac:dyDescent="0.15">
      <c r="A60" s="3579"/>
      <c r="B60" s="2772" t="s">
        <v>3374</v>
      </c>
      <c r="C60" s="1168" t="s">
        <v>4202</v>
      </c>
      <c r="D60" s="2771" t="s">
        <v>4228</v>
      </c>
      <c r="E60" s="3229"/>
      <c r="F60" s="3590"/>
      <c r="G60" s="3531"/>
      <c r="H60" s="3534"/>
      <c r="I60" s="3567"/>
      <c r="J60" s="3570"/>
      <c r="K60" s="3452"/>
      <c r="L60" s="3545"/>
      <c r="M60" s="3573"/>
      <c r="N60" s="3576"/>
      <c r="O60" s="3554"/>
      <c r="P60" s="3528"/>
      <c r="Q60" s="3603"/>
      <c r="R60" s="3244"/>
      <c r="S60" s="3229"/>
      <c r="T60" s="3244"/>
      <c r="U60" s="3229"/>
      <c r="V60" s="3244"/>
      <c r="W60" s="3608"/>
      <c r="X60" s="3606"/>
      <c r="Y60" s="3432"/>
      <c r="Z60" s="3610"/>
      <c r="AA60" s="3518"/>
      <c r="AB60" s="3419"/>
      <c r="AC60" s="2611"/>
      <c r="AE60">
        <v>0</v>
      </c>
      <c r="AF60" s="1402" t="n">
        <f t="shared" si="1"/>
        <v>0.0</v>
      </c>
    </row>
    <row r="61" spans="1:32" x14ac:dyDescent="0.15">
      <c r="A61" s="3579"/>
      <c r="B61" s="2772" t="s">
        <v>3375</v>
      </c>
      <c r="C61" s="1168" t="s">
        <v>4202</v>
      </c>
      <c r="D61" s="2771" t="s">
        <v>4229</v>
      </c>
      <c r="E61" s="3229"/>
      <c r="F61" s="3590"/>
      <c r="G61" s="3531"/>
      <c r="H61" s="3534"/>
      <c r="I61" s="3567"/>
      <c r="J61" s="3570"/>
      <c r="K61" s="3452"/>
      <c r="L61" s="3545"/>
      <c r="M61" s="3573"/>
      <c r="N61" s="3576"/>
      <c r="O61" s="3554"/>
      <c r="P61" s="3528"/>
      <c r="Q61" s="3603"/>
      <c r="R61" s="3244"/>
      <c r="S61" s="3229"/>
      <c r="T61" s="3244"/>
      <c r="U61" s="3229"/>
      <c r="V61" s="3244"/>
      <c r="W61" s="3608"/>
      <c r="X61" s="3606"/>
      <c r="Y61" s="3432"/>
      <c r="Z61" s="3610"/>
      <c r="AA61" s="3518"/>
      <c r="AB61" s="3419"/>
      <c r="AC61" s="2611"/>
      <c r="AE61">
        <v>0</v>
      </c>
      <c r="AF61" s="1402" t="n">
        <f t="shared" si="1"/>
        <v>0.0</v>
      </c>
    </row>
    <row r="62" spans="1:32" x14ac:dyDescent="0.15">
      <c r="A62" s="3579"/>
      <c r="B62" s="2772" t="s">
        <v>4230</v>
      </c>
      <c r="C62" s="1168" t="s">
        <v>4202</v>
      </c>
      <c r="D62" s="2771" t="s">
        <v>4231</v>
      </c>
      <c r="E62" s="3229"/>
      <c r="F62" s="3590"/>
      <c r="G62" s="3531"/>
      <c r="H62" s="3534"/>
      <c r="I62" s="3567"/>
      <c r="J62" s="3570"/>
      <c r="K62" s="3452"/>
      <c r="L62" s="3545"/>
      <c r="M62" s="3573"/>
      <c r="N62" s="3576"/>
      <c r="O62" s="3554"/>
      <c r="P62" s="3528"/>
      <c r="Q62" s="3603"/>
      <c r="R62" s="3244"/>
      <c r="S62" s="3229"/>
      <c r="T62" s="3244"/>
      <c r="U62" s="3229"/>
      <c r="V62" s="3244"/>
      <c r="W62" s="3608"/>
      <c r="X62" s="3606"/>
      <c r="Y62" s="3432"/>
      <c r="Z62" s="3610"/>
      <c r="AA62" s="3518"/>
      <c r="AB62" s="3419"/>
      <c r="AC62" s="2611"/>
      <c r="AE62">
        <v>0</v>
      </c>
      <c r="AF62" s="1402" t="n">
        <f t="shared" si="1"/>
        <v>0.0</v>
      </c>
    </row>
    <row r="63" spans="1:32" ht="14.25" thickBot="1" x14ac:dyDescent="0.2">
      <c r="A63" s="3286"/>
      <c r="B63" s="1158" t="s">
        <v>4232</v>
      </c>
      <c r="C63" s="1169" t="s">
        <v>4233</v>
      </c>
      <c r="D63" s="2792" t="s">
        <v>4234</v>
      </c>
      <c r="E63" s="3228"/>
      <c r="F63" s="3591"/>
      <c r="G63" s="3557"/>
      <c r="H63" s="3558"/>
      <c r="I63" s="3568"/>
      <c r="J63" s="3571"/>
      <c r="K63" s="3561"/>
      <c r="L63" s="3562"/>
      <c r="M63" s="3574"/>
      <c r="N63" s="3577"/>
      <c r="O63" s="3565"/>
      <c r="P63" s="3529"/>
      <c r="Q63" s="3604"/>
      <c r="R63" s="3240"/>
      <c r="S63" s="3228"/>
      <c r="T63" s="3240"/>
      <c r="U63" s="3228"/>
      <c r="V63" s="3240"/>
      <c r="W63" s="3609"/>
      <c r="X63" s="3607"/>
      <c r="Y63" s="3443"/>
      <c r="Z63" s="3611"/>
      <c r="AA63" s="3519"/>
      <c r="AB63" s="3418"/>
      <c r="AC63" s="2612"/>
      <c r="AE63">
        <v>0</v>
      </c>
      <c r="AF63" s="1402" t="n">
        <f t="shared" si="1"/>
        <v>0.0</v>
      </c>
    </row>
    <row r="64" spans="1:32" ht="14.25" thickTop="1" x14ac:dyDescent="0.15">
      <c r="A64" s="3578" t="s">
        <v>4235</v>
      </c>
      <c r="B64" s="1157" t="s">
        <v>880</v>
      </c>
      <c r="C64" s="1167" t="s">
        <v>4236</v>
      </c>
      <c r="D64" s="1015" t="s">
        <v>4237</v>
      </c>
      <c r="E64" s="3245" t="s">
        <v>4238</v>
      </c>
      <c r="F64" s="3589" t="s">
        <v>4239</v>
      </c>
      <c r="G64" s="3530" t="str">
        <f>"4-DaHall 1-PDU-"&amp;K64&amp;"-"&amp;J64&amp;"-"&amp;L64</f>
        <v>4-DaHall 1-PDU-02-100-7</v>
      </c>
      <c r="H64" s="3533" t="str">
        <f>"4-DaHall 1-PDU-"&amp;O64&amp;"-"&amp;N64&amp;"-"&amp;P64</f>
        <v>4-DaHall 1-PDU-01-100-7</v>
      </c>
      <c r="I64" s="3566">
        <v>220</v>
      </c>
      <c r="J64" s="3569">
        <v>100</v>
      </c>
      <c r="K64" s="3542" t="s">
        <v>6921</v>
      </c>
      <c r="L64" s="3544">
        <v>7</v>
      </c>
      <c r="M64" s="3572">
        <v>220</v>
      </c>
      <c r="N64" s="3575">
        <v>100</v>
      </c>
      <c r="O64" s="3553" t="s">
        <v>6925</v>
      </c>
      <c r="P64" s="3527">
        <v>7</v>
      </c>
      <c r="Q64" s="3602" t="s">
        <v>4108</v>
      </c>
      <c r="R64" s="3233" t="s">
        <v>4115</v>
      </c>
      <c r="S64" s="3245" t="s">
        <v>4109</v>
      </c>
      <c r="T64" s="3233" t="s">
        <v>4116</v>
      </c>
      <c r="U64" s="3245" t="s">
        <v>4110</v>
      </c>
      <c r="V64" s="3233" t="s">
        <v>4117</v>
      </c>
      <c r="W64" s="3595" t="n">
        <f>SUM('4층_부하량(월간_AVG)'!D12:F12)</f>
        <v>28.991037410787648</v>
      </c>
      <c r="X64" s="3597" t="n">
        <f>SUM('4층_부하량(월간_AVG)'!N41:P41)</f>
        <v>12.607986840012897</v>
      </c>
      <c r="Y64" s="3599" t="n">
        <f t="shared" ref="Y64" si="11">SUM(W64:X64)</f>
        <v>41.59902425080055</v>
      </c>
      <c r="Z64" s="3600" t="n" cm="1">
        <f t="array" ref="Z64">INDEX('각층분기별_유효전력량(전월)'!C2:C2020,MATCH(1,("4-DaHall 1-PDU-02"='각층분기별_유효전력량(전월)'!A2:A2020)*("[branch#007] [A] kWh last month"='각층분기별_유효전력량(전월)'!B2:B2020),0))</f>
        <v>4452.2</v>
      </c>
      <c r="AA64" s="3517" t="n" cm="1">
        <f t="array" ref="AA64">INDEX('각층분기별_유효전력량(전월)'!C2:C2020,MATCH(1,("4-DaHall 1-PDU-01"='각층분기별_유효전력량(전월)'!A2:A2020)*("[branch#007] [A] kWh last month"='각층분기별_유효전력량(전월)'!B2:B2020),0))</f>
        <v>1840.0</v>
      </c>
      <c r="AB64" s="3421" t="n">
        <f>SUM(Z64:AA74)</f>
        <v>6292.2</v>
      </c>
      <c r="AC64" s="2610"/>
      <c r="AE64">
        <v>40.700000000000003</v>
      </c>
      <c r="AF64" s="1402" t="n">
        <f t="shared" si="1"/>
        <v>0.8990242508005437</v>
      </c>
    </row>
    <row r="65" spans="1:32" ht="27" x14ac:dyDescent="0.15">
      <c r="A65" s="3579"/>
      <c r="B65" s="2772" t="s">
        <v>3283</v>
      </c>
      <c r="C65" s="1168"/>
      <c r="D65" s="2771" t="s">
        <v>4240</v>
      </c>
      <c r="E65" s="3229"/>
      <c r="F65" s="3590"/>
      <c r="G65" s="3531"/>
      <c r="H65" s="3534"/>
      <c r="I65" s="3567"/>
      <c r="J65" s="3570"/>
      <c r="K65" s="3452"/>
      <c r="L65" s="3545"/>
      <c r="M65" s="3573"/>
      <c r="N65" s="3576"/>
      <c r="O65" s="3554"/>
      <c r="P65" s="3528"/>
      <c r="Q65" s="3603"/>
      <c r="R65" s="3244"/>
      <c r="S65" s="3229"/>
      <c r="T65" s="3244"/>
      <c r="U65" s="3229"/>
      <c r="V65" s="3244"/>
      <c r="W65" s="3608"/>
      <c r="X65" s="3606"/>
      <c r="Y65" s="3432"/>
      <c r="Z65" s="3610"/>
      <c r="AA65" s="3518"/>
      <c r="AB65" s="3419"/>
      <c r="AC65" s="2611" t="s">
        <v>4241</v>
      </c>
      <c r="AE65">
        <v>0</v>
      </c>
      <c r="AF65" s="1402" t="n">
        <f t="shared" si="1"/>
        <v>0.0</v>
      </c>
    </row>
    <row r="66" spans="1:32" x14ac:dyDescent="0.15">
      <c r="A66" s="3579"/>
      <c r="B66" s="2772" t="s">
        <v>3289</v>
      </c>
      <c r="C66" s="1168" t="s">
        <v>4236</v>
      </c>
      <c r="D66" s="2771" t="s">
        <v>4242</v>
      </c>
      <c r="E66" s="3229"/>
      <c r="F66" s="3590"/>
      <c r="G66" s="3531"/>
      <c r="H66" s="3534"/>
      <c r="I66" s="3567"/>
      <c r="J66" s="3570"/>
      <c r="K66" s="3452"/>
      <c r="L66" s="3545"/>
      <c r="M66" s="3573"/>
      <c r="N66" s="3576"/>
      <c r="O66" s="3554"/>
      <c r="P66" s="3528"/>
      <c r="Q66" s="3603"/>
      <c r="R66" s="3244"/>
      <c r="S66" s="3229"/>
      <c r="T66" s="3244"/>
      <c r="U66" s="3229"/>
      <c r="V66" s="3244"/>
      <c r="W66" s="3608"/>
      <c r="X66" s="3606"/>
      <c r="Y66" s="3432"/>
      <c r="Z66" s="3610"/>
      <c r="AA66" s="3518"/>
      <c r="AB66" s="3419"/>
      <c r="AC66" s="2611"/>
      <c r="AE66">
        <v>0</v>
      </c>
      <c r="AF66" s="1402" t="n">
        <f t="shared" si="1"/>
        <v>0.0</v>
      </c>
    </row>
    <row r="67" spans="1:32" ht="22.5" x14ac:dyDescent="0.15">
      <c r="A67" s="3579"/>
      <c r="B67" s="2772" t="s">
        <v>3295</v>
      </c>
      <c r="C67" s="1168" t="s">
        <v>4222</v>
      </c>
      <c r="D67" s="2771" t="s">
        <v>4243</v>
      </c>
      <c r="E67" s="3229"/>
      <c r="F67" s="3590"/>
      <c r="G67" s="3531"/>
      <c r="H67" s="3534"/>
      <c r="I67" s="3567"/>
      <c r="J67" s="3570"/>
      <c r="K67" s="3452"/>
      <c r="L67" s="3545"/>
      <c r="M67" s="3573"/>
      <c r="N67" s="3576"/>
      <c r="O67" s="3554"/>
      <c r="P67" s="3528"/>
      <c r="Q67" s="3603"/>
      <c r="R67" s="3244"/>
      <c r="S67" s="3229"/>
      <c r="T67" s="3244"/>
      <c r="U67" s="3229"/>
      <c r="V67" s="3244"/>
      <c r="W67" s="3608"/>
      <c r="X67" s="3606"/>
      <c r="Y67" s="3432"/>
      <c r="Z67" s="3610"/>
      <c r="AA67" s="3518"/>
      <c r="AB67" s="3419"/>
      <c r="AC67" s="2611"/>
      <c r="AE67">
        <v>0</v>
      </c>
      <c r="AF67" s="1402" t="n">
        <f t="shared" si="1"/>
        <v>0.0</v>
      </c>
    </row>
    <row r="68" spans="1:32" x14ac:dyDescent="0.15">
      <c r="A68" s="3579"/>
      <c r="B68" s="2772" t="s">
        <v>3301</v>
      </c>
      <c r="C68" s="1168" t="s">
        <v>4202</v>
      </c>
      <c r="D68" s="2771" t="s">
        <v>4244</v>
      </c>
      <c r="E68" s="3229"/>
      <c r="F68" s="3590"/>
      <c r="G68" s="3531"/>
      <c r="H68" s="3534"/>
      <c r="I68" s="3567"/>
      <c r="J68" s="3570"/>
      <c r="K68" s="3452"/>
      <c r="L68" s="3545"/>
      <c r="M68" s="3573"/>
      <c r="N68" s="3576"/>
      <c r="O68" s="3554"/>
      <c r="P68" s="3528"/>
      <c r="Q68" s="3603"/>
      <c r="R68" s="3244"/>
      <c r="S68" s="3229"/>
      <c r="T68" s="3244"/>
      <c r="U68" s="3229"/>
      <c r="V68" s="3244"/>
      <c r="W68" s="3608"/>
      <c r="X68" s="3606"/>
      <c r="Y68" s="3432"/>
      <c r="Z68" s="3610"/>
      <c r="AA68" s="3518"/>
      <c r="AB68" s="3419"/>
      <c r="AC68" s="2611"/>
      <c r="AE68">
        <v>0</v>
      </c>
      <c r="AF68" s="1402" t="n">
        <f t="shared" si="1"/>
        <v>0.0</v>
      </c>
    </row>
    <row r="69" spans="1:32" x14ac:dyDescent="0.15">
      <c r="A69" s="3579"/>
      <c r="B69" s="2772" t="s">
        <v>3307</v>
      </c>
      <c r="C69" s="1168" t="s">
        <v>4202</v>
      </c>
      <c r="D69" s="2771" t="s">
        <v>4245</v>
      </c>
      <c r="E69" s="3229"/>
      <c r="F69" s="3590"/>
      <c r="G69" s="3531"/>
      <c r="H69" s="3534"/>
      <c r="I69" s="3567"/>
      <c r="J69" s="3570"/>
      <c r="K69" s="3452"/>
      <c r="L69" s="3545"/>
      <c r="M69" s="3573"/>
      <c r="N69" s="3576"/>
      <c r="O69" s="3554"/>
      <c r="P69" s="3528"/>
      <c r="Q69" s="3603"/>
      <c r="R69" s="3244"/>
      <c r="S69" s="3229"/>
      <c r="T69" s="3244"/>
      <c r="U69" s="3229"/>
      <c r="V69" s="3244"/>
      <c r="W69" s="3608"/>
      <c r="X69" s="3606"/>
      <c r="Y69" s="3432"/>
      <c r="Z69" s="3610"/>
      <c r="AA69" s="3518"/>
      <c r="AB69" s="3419"/>
      <c r="AC69" s="2611"/>
      <c r="AE69">
        <v>0</v>
      </c>
      <c r="AF69" s="1402" t="n">
        <f t="shared" si="1"/>
        <v>0.0</v>
      </c>
    </row>
    <row r="70" spans="1:32" ht="22.5" x14ac:dyDescent="0.15">
      <c r="A70" s="3579"/>
      <c r="B70" s="2772" t="s">
        <v>3313</v>
      </c>
      <c r="C70" s="1168" t="s">
        <v>4222</v>
      </c>
      <c r="D70" s="2771" t="s">
        <v>4246</v>
      </c>
      <c r="E70" s="3229"/>
      <c r="F70" s="3590"/>
      <c r="G70" s="3531"/>
      <c r="H70" s="3534"/>
      <c r="I70" s="3567"/>
      <c r="J70" s="3570"/>
      <c r="K70" s="3452"/>
      <c r="L70" s="3545"/>
      <c r="M70" s="3573"/>
      <c r="N70" s="3576"/>
      <c r="O70" s="3554"/>
      <c r="P70" s="3528"/>
      <c r="Q70" s="3603"/>
      <c r="R70" s="3244"/>
      <c r="S70" s="3229"/>
      <c r="T70" s="3244"/>
      <c r="U70" s="3229"/>
      <c r="V70" s="3244"/>
      <c r="W70" s="3608"/>
      <c r="X70" s="3606"/>
      <c r="Y70" s="3432"/>
      <c r="Z70" s="3610"/>
      <c r="AA70" s="3518"/>
      <c r="AB70" s="3419"/>
      <c r="AC70" s="2611"/>
      <c r="AE70">
        <v>0</v>
      </c>
      <c r="AF70" s="1402" t="n">
        <f t="shared" ref="AF70:AF133" si="12">Y70-AE70</f>
        <v>0.0</v>
      </c>
    </row>
    <row r="71" spans="1:32" x14ac:dyDescent="0.15">
      <c r="A71" s="3579"/>
      <c r="B71" s="2772" t="s">
        <v>3319</v>
      </c>
      <c r="C71" s="1168" t="s">
        <v>4202</v>
      </c>
      <c r="D71" s="2771" t="s">
        <v>4247</v>
      </c>
      <c r="E71" s="3229"/>
      <c r="F71" s="3590"/>
      <c r="G71" s="3531"/>
      <c r="H71" s="3534"/>
      <c r="I71" s="3567"/>
      <c r="J71" s="3570"/>
      <c r="K71" s="3452"/>
      <c r="L71" s="3545"/>
      <c r="M71" s="3573"/>
      <c r="N71" s="3576"/>
      <c r="O71" s="3554"/>
      <c r="P71" s="3528"/>
      <c r="Q71" s="3603"/>
      <c r="R71" s="3244"/>
      <c r="S71" s="3229"/>
      <c r="T71" s="3244"/>
      <c r="U71" s="3229"/>
      <c r="V71" s="3244"/>
      <c r="W71" s="3608"/>
      <c r="X71" s="3606"/>
      <c r="Y71" s="3432"/>
      <c r="Z71" s="3610"/>
      <c r="AA71" s="3518"/>
      <c r="AB71" s="3419"/>
      <c r="AC71" s="2611"/>
      <c r="AE71">
        <v>0</v>
      </c>
      <c r="AF71" s="1402" t="n">
        <f t="shared" si="12"/>
        <v>0.0</v>
      </c>
    </row>
    <row r="72" spans="1:32" x14ac:dyDescent="0.15">
      <c r="A72" s="3579"/>
      <c r="B72" s="2772" t="s">
        <v>3325</v>
      </c>
      <c r="C72" s="1168" t="s">
        <v>4202</v>
      </c>
      <c r="D72" s="2771" t="s">
        <v>4248</v>
      </c>
      <c r="E72" s="3229"/>
      <c r="F72" s="3590"/>
      <c r="G72" s="3531"/>
      <c r="H72" s="3534"/>
      <c r="I72" s="3567"/>
      <c r="J72" s="3570"/>
      <c r="K72" s="3452"/>
      <c r="L72" s="3545"/>
      <c r="M72" s="3573"/>
      <c r="N72" s="3576"/>
      <c r="O72" s="3554"/>
      <c r="P72" s="3528"/>
      <c r="Q72" s="3603"/>
      <c r="R72" s="3244"/>
      <c r="S72" s="3229"/>
      <c r="T72" s="3244"/>
      <c r="U72" s="3229"/>
      <c r="V72" s="3244"/>
      <c r="W72" s="3608"/>
      <c r="X72" s="3606"/>
      <c r="Y72" s="3432"/>
      <c r="Z72" s="3610"/>
      <c r="AA72" s="3518"/>
      <c r="AB72" s="3419"/>
      <c r="AC72" s="2611"/>
      <c r="AE72">
        <v>0</v>
      </c>
      <c r="AF72" s="1402" t="n">
        <f t="shared" si="12"/>
        <v>0.0</v>
      </c>
    </row>
    <row r="73" spans="1:32" x14ac:dyDescent="0.15">
      <c r="A73" s="3579"/>
      <c r="B73" s="2772" t="s">
        <v>3326</v>
      </c>
      <c r="C73" s="1168"/>
      <c r="D73" s="2765" t="s">
        <v>4249</v>
      </c>
      <c r="E73" s="3229"/>
      <c r="F73" s="3590"/>
      <c r="G73" s="3531"/>
      <c r="H73" s="3534"/>
      <c r="I73" s="3567"/>
      <c r="J73" s="3570"/>
      <c r="K73" s="3452"/>
      <c r="L73" s="3545"/>
      <c r="M73" s="3573"/>
      <c r="N73" s="3576"/>
      <c r="O73" s="3554"/>
      <c r="P73" s="3528"/>
      <c r="Q73" s="3603"/>
      <c r="R73" s="3244"/>
      <c r="S73" s="3229"/>
      <c r="T73" s="3244"/>
      <c r="U73" s="3229"/>
      <c r="V73" s="3244"/>
      <c r="W73" s="3608"/>
      <c r="X73" s="3606"/>
      <c r="Y73" s="3432"/>
      <c r="Z73" s="3610"/>
      <c r="AA73" s="3518"/>
      <c r="AB73" s="3419"/>
      <c r="AC73" s="2611"/>
      <c r="AE73">
        <v>0</v>
      </c>
      <c r="AF73" s="1402" t="n">
        <f t="shared" si="12"/>
        <v>0.0</v>
      </c>
    </row>
    <row r="74" spans="1:32" ht="23.25" thickBot="1" x14ac:dyDescent="0.2">
      <c r="A74" s="3286"/>
      <c r="B74" s="1158" t="s">
        <v>4250</v>
      </c>
      <c r="C74" s="1169" t="s">
        <v>4251</v>
      </c>
      <c r="D74" s="2792" t="s">
        <v>4252</v>
      </c>
      <c r="E74" s="3228"/>
      <c r="F74" s="3591"/>
      <c r="G74" s="3557"/>
      <c r="H74" s="3558"/>
      <c r="I74" s="3568"/>
      <c r="J74" s="3571"/>
      <c r="K74" s="3561"/>
      <c r="L74" s="3562"/>
      <c r="M74" s="3574"/>
      <c r="N74" s="3577"/>
      <c r="O74" s="3565"/>
      <c r="P74" s="3529"/>
      <c r="Q74" s="3604"/>
      <c r="R74" s="3240"/>
      <c r="S74" s="3228"/>
      <c r="T74" s="3240"/>
      <c r="U74" s="3228"/>
      <c r="V74" s="3240"/>
      <c r="W74" s="3609"/>
      <c r="X74" s="3607"/>
      <c r="Y74" s="3443"/>
      <c r="Z74" s="3611"/>
      <c r="AA74" s="3519"/>
      <c r="AB74" s="3418"/>
      <c r="AC74" s="2612"/>
      <c r="AE74">
        <v>0</v>
      </c>
      <c r="AF74" s="1402" t="n">
        <f t="shared" si="12"/>
        <v>0.0</v>
      </c>
    </row>
    <row r="75" spans="1:32" ht="23.25" thickTop="1" x14ac:dyDescent="0.15">
      <c r="A75" s="3632" t="s">
        <v>4253</v>
      </c>
      <c r="B75" s="1157" t="s">
        <v>804</v>
      </c>
      <c r="C75" s="1167" t="s">
        <v>4254</v>
      </c>
      <c r="D75" s="1015" t="s">
        <v>4255</v>
      </c>
      <c r="E75" s="3245" t="s">
        <v>4256</v>
      </c>
      <c r="F75" s="3589" t="s">
        <v>4257</v>
      </c>
      <c r="G75" s="3530" t="str">
        <f>"4-DaHall 1-PDU-"&amp;K75&amp;"-"&amp;J75&amp;"-"&amp;L75</f>
        <v>4-DaHall 1-PDU-02-100-6</v>
      </c>
      <c r="H75" s="3533" t="str">
        <f>"4-DaHall 1-PDU-"&amp;O75&amp;"-"&amp;N75&amp;"-"&amp;P75</f>
        <v>4-DaHall 1-PDU-01-100-6</v>
      </c>
      <c r="I75" s="3566">
        <v>220</v>
      </c>
      <c r="J75" s="3569">
        <v>100</v>
      </c>
      <c r="K75" s="3542" t="s">
        <v>6921</v>
      </c>
      <c r="L75" s="3544">
        <v>6</v>
      </c>
      <c r="M75" s="3572">
        <v>220</v>
      </c>
      <c r="N75" s="3575">
        <v>100</v>
      </c>
      <c r="O75" s="3553" t="s">
        <v>6925</v>
      </c>
      <c r="P75" s="3527">
        <v>6</v>
      </c>
      <c r="Q75" s="3602" t="s">
        <v>4108</v>
      </c>
      <c r="R75" s="3233" t="s">
        <v>4115</v>
      </c>
      <c r="S75" s="3245" t="s">
        <v>4109</v>
      </c>
      <c r="T75" s="3233" t="s">
        <v>4116</v>
      </c>
      <c r="U75" s="3245" t="s">
        <v>4110</v>
      </c>
      <c r="V75" s="3233" t="s">
        <v>4117</v>
      </c>
      <c r="W75" s="3595" t="n">
        <f>SUM('4층_부하량(월간_AVG)'!D11:F11)</f>
        <v>12.319788629989153</v>
      </c>
      <c r="X75" s="3597" t="n">
        <f>SUM('4층_부하량(월간_AVG)'!N40:P40)</f>
        <v>23.53446972982299</v>
      </c>
      <c r="Y75" s="3612" t="n">
        <f t="shared" ref="Y75" si="13">SUM(W75:X75)</f>
        <v>35.85425835981214</v>
      </c>
      <c r="Z75" s="3635" t="n" cm="1">
        <f t="array" ref="Z75">INDEX('각층분기별_유효전력량(전월)'!C2:C2020,MATCH(1,("4-DaHall 1-PDU-02"='각층분기별_유효전력량(전월)'!A2:A2020)*("[branch#006] [A] kWh last month"='각층분기별_유효전력량(전월)'!B2:B2020),0))</f>
        <v>1888.8</v>
      </c>
      <c r="AA75" s="3524" t="n" cm="1">
        <f t="array" ref="AA75">INDEX('각층분기별_유효전력량(전월)'!C2:C2020,MATCH(1,("4-DaHall 1-PDU-01"='각층분기별_유효전력량(전월)'!A2:A2020)*("[branch#006] [A] kWh last month"='각층분기별_유효전력량(전월)'!B2:B2020),0))</f>
        <v>3563.8</v>
      </c>
      <c r="AB75" s="3509" t="n">
        <f>SUM(Z75:AA84)</f>
        <v>5452.6</v>
      </c>
      <c r="AC75" s="2610"/>
      <c r="AE75">
        <v>37.099999999999994</v>
      </c>
      <c r="AF75" s="1402" t="n">
        <f t="shared" si="12"/>
        <v>-1.2457416401878518</v>
      </c>
    </row>
    <row r="76" spans="1:32" x14ac:dyDescent="0.15">
      <c r="A76" s="3633"/>
      <c r="B76" s="2772" t="s">
        <v>1580</v>
      </c>
      <c r="C76" s="1168"/>
      <c r="D76" s="2765" t="s">
        <v>4258</v>
      </c>
      <c r="E76" s="3229"/>
      <c r="F76" s="3590"/>
      <c r="G76" s="3531"/>
      <c r="H76" s="3534"/>
      <c r="I76" s="3567"/>
      <c r="J76" s="3570"/>
      <c r="K76" s="3452"/>
      <c r="L76" s="3545"/>
      <c r="M76" s="3573"/>
      <c r="N76" s="3576"/>
      <c r="O76" s="3554"/>
      <c r="P76" s="3528"/>
      <c r="Q76" s="3603"/>
      <c r="R76" s="3244"/>
      <c r="S76" s="3229"/>
      <c r="T76" s="3244"/>
      <c r="U76" s="3229"/>
      <c r="V76" s="3244"/>
      <c r="W76" s="3608"/>
      <c r="X76" s="3606"/>
      <c r="Y76" s="3613"/>
      <c r="Z76" s="3636"/>
      <c r="AA76" s="3525"/>
      <c r="AB76" s="3510"/>
      <c r="AC76" s="2611"/>
      <c r="AE76">
        <v>0</v>
      </c>
      <c r="AF76" s="1402" t="n">
        <f t="shared" si="12"/>
        <v>0.0</v>
      </c>
    </row>
    <row r="77" spans="1:32" x14ac:dyDescent="0.15">
      <c r="A77" s="3633"/>
      <c r="B77" s="2772" t="s">
        <v>1592</v>
      </c>
      <c r="C77" s="1168" t="s">
        <v>4259</v>
      </c>
      <c r="D77" s="2771" t="s">
        <v>4260</v>
      </c>
      <c r="E77" s="3229"/>
      <c r="F77" s="3590"/>
      <c r="G77" s="3531"/>
      <c r="H77" s="3534"/>
      <c r="I77" s="3567"/>
      <c r="J77" s="3570"/>
      <c r="K77" s="3452"/>
      <c r="L77" s="3545"/>
      <c r="M77" s="3573"/>
      <c r="N77" s="3576"/>
      <c r="O77" s="3554"/>
      <c r="P77" s="3528"/>
      <c r="Q77" s="3603"/>
      <c r="R77" s="3244"/>
      <c r="S77" s="3229"/>
      <c r="T77" s="3244"/>
      <c r="U77" s="3229"/>
      <c r="V77" s="3244"/>
      <c r="W77" s="3608"/>
      <c r="X77" s="3606"/>
      <c r="Y77" s="3613"/>
      <c r="Z77" s="3636"/>
      <c r="AA77" s="3525"/>
      <c r="AB77" s="3510"/>
      <c r="AC77" s="2611"/>
      <c r="AE77">
        <v>0</v>
      </c>
      <c r="AF77" s="1402" t="n">
        <f t="shared" si="12"/>
        <v>0.0</v>
      </c>
    </row>
    <row r="78" spans="1:32" x14ac:dyDescent="0.15">
      <c r="A78" s="3633"/>
      <c r="B78" s="2772" t="s">
        <v>1598</v>
      </c>
      <c r="C78" s="1168"/>
      <c r="D78" s="2765" t="s">
        <v>4261</v>
      </c>
      <c r="E78" s="3229"/>
      <c r="F78" s="3590"/>
      <c r="G78" s="3531"/>
      <c r="H78" s="3534"/>
      <c r="I78" s="3567"/>
      <c r="J78" s="3570"/>
      <c r="K78" s="3452"/>
      <c r="L78" s="3545"/>
      <c r="M78" s="3573"/>
      <c r="N78" s="3576"/>
      <c r="O78" s="3554"/>
      <c r="P78" s="3528"/>
      <c r="Q78" s="3603"/>
      <c r="R78" s="3244"/>
      <c r="S78" s="3229"/>
      <c r="T78" s="3244"/>
      <c r="U78" s="3229"/>
      <c r="V78" s="3244"/>
      <c r="W78" s="3608"/>
      <c r="X78" s="3606"/>
      <c r="Y78" s="3613"/>
      <c r="Z78" s="3636"/>
      <c r="AA78" s="3525"/>
      <c r="AB78" s="3510"/>
      <c r="AC78" s="2611"/>
      <c r="AE78">
        <v>0</v>
      </c>
      <c r="AF78" s="1402" t="n">
        <f t="shared" si="12"/>
        <v>0.0</v>
      </c>
    </row>
    <row r="79" spans="1:32" x14ac:dyDescent="0.15">
      <c r="A79" s="3633"/>
      <c r="B79" s="2772" t="s">
        <v>1604</v>
      </c>
      <c r="C79" s="1168"/>
      <c r="D79" s="2765" t="s">
        <v>4262</v>
      </c>
      <c r="E79" s="3229"/>
      <c r="F79" s="3590"/>
      <c r="G79" s="3531"/>
      <c r="H79" s="3534"/>
      <c r="I79" s="3567"/>
      <c r="J79" s="3570"/>
      <c r="K79" s="3452"/>
      <c r="L79" s="3545"/>
      <c r="M79" s="3573"/>
      <c r="N79" s="3576"/>
      <c r="O79" s="3554"/>
      <c r="P79" s="3528"/>
      <c r="Q79" s="3603"/>
      <c r="R79" s="3244"/>
      <c r="S79" s="3229"/>
      <c r="T79" s="3244"/>
      <c r="U79" s="3229"/>
      <c r="V79" s="3244"/>
      <c r="W79" s="3608"/>
      <c r="X79" s="3606"/>
      <c r="Y79" s="3613"/>
      <c r="Z79" s="3636"/>
      <c r="AA79" s="3525"/>
      <c r="AB79" s="3510"/>
      <c r="AC79" s="2611"/>
      <c r="AE79">
        <v>0</v>
      </c>
      <c r="AF79" s="1402" t="n">
        <f t="shared" si="12"/>
        <v>0.0</v>
      </c>
    </row>
    <row r="80" spans="1:32" x14ac:dyDescent="0.15">
      <c r="A80" s="3633"/>
      <c r="B80" s="2772" t="s">
        <v>1610</v>
      </c>
      <c r="C80" s="1168" t="s">
        <v>4202</v>
      </c>
      <c r="D80" s="2771" t="s">
        <v>4263</v>
      </c>
      <c r="E80" s="3229"/>
      <c r="F80" s="3590"/>
      <c r="G80" s="3531"/>
      <c r="H80" s="3534"/>
      <c r="I80" s="3567"/>
      <c r="J80" s="3570"/>
      <c r="K80" s="3452"/>
      <c r="L80" s="3545"/>
      <c r="M80" s="3573"/>
      <c r="N80" s="3576"/>
      <c r="O80" s="3554"/>
      <c r="P80" s="3528"/>
      <c r="Q80" s="3603"/>
      <c r="R80" s="3244"/>
      <c r="S80" s="3229"/>
      <c r="T80" s="3244"/>
      <c r="U80" s="3229"/>
      <c r="V80" s="3244"/>
      <c r="W80" s="3608"/>
      <c r="X80" s="3606"/>
      <c r="Y80" s="3613"/>
      <c r="Z80" s="3636"/>
      <c r="AA80" s="3525"/>
      <c r="AB80" s="3510"/>
      <c r="AC80" s="2611"/>
      <c r="AE80">
        <v>0</v>
      </c>
      <c r="AF80" s="1402" t="n">
        <f t="shared" si="12"/>
        <v>0.0</v>
      </c>
    </row>
    <row r="81" spans="1:32" x14ac:dyDescent="0.15">
      <c r="A81" s="3633"/>
      <c r="B81" s="2772" t="s">
        <v>1616</v>
      </c>
      <c r="C81" s="1168" t="s">
        <v>4202</v>
      </c>
      <c r="D81" s="2771" t="s">
        <v>4264</v>
      </c>
      <c r="E81" s="3229"/>
      <c r="F81" s="3590"/>
      <c r="G81" s="3531"/>
      <c r="H81" s="3534"/>
      <c r="I81" s="3567"/>
      <c r="J81" s="3570"/>
      <c r="K81" s="3452"/>
      <c r="L81" s="3545"/>
      <c r="M81" s="3573"/>
      <c r="N81" s="3576"/>
      <c r="O81" s="3554"/>
      <c r="P81" s="3528"/>
      <c r="Q81" s="3603"/>
      <c r="R81" s="3244"/>
      <c r="S81" s="3229"/>
      <c r="T81" s="3244"/>
      <c r="U81" s="3229"/>
      <c r="V81" s="3244"/>
      <c r="W81" s="3608"/>
      <c r="X81" s="3606"/>
      <c r="Y81" s="3613"/>
      <c r="Z81" s="3636"/>
      <c r="AA81" s="3525"/>
      <c r="AB81" s="3510"/>
      <c r="AC81" s="2611"/>
      <c r="AE81">
        <v>0</v>
      </c>
      <c r="AF81" s="1402" t="n">
        <f t="shared" si="12"/>
        <v>0.0</v>
      </c>
    </row>
    <row r="82" spans="1:32" x14ac:dyDescent="0.15">
      <c r="A82" s="3633"/>
      <c r="B82" s="2772" t="s">
        <v>1622</v>
      </c>
      <c r="C82" s="1168"/>
      <c r="D82" s="2765" t="s">
        <v>4265</v>
      </c>
      <c r="E82" s="3229"/>
      <c r="F82" s="3590"/>
      <c r="G82" s="3531"/>
      <c r="H82" s="3534"/>
      <c r="I82" s="3567"/>
      <c r="J82" s="3570"/>
      <c r="K82" s="3452"/>
      <c r="L82" s="3545"/>
      <c r="M82" s="3573"/>
      <c r="N82" s="3576"/>
      <c r="O82" s="3554"/>
      <c r="P82" s="3528"/>
      <c r="Q82" s="3603"/>
      <c r="R82" s="3244"/>
      <c r="S82" s="3229"/>
      <c r="T82" s="3244"/>
      <c r="U82" s="3229"/>
      <c r="V82" s="3244"/>
      <c r="W82" s="3608"/>
      <c r="X82" s="3606"/>
      <c r="Y82" s="3613"/>
      <c r="Z82" s="3636"/>
      <c r="AA82" s="3525"/>
      <c r="AB82" s="3510"/>
      <c r="AC82" s="2611"/>
      <c r="AE82">
        <v>0</v>
      </c>
      <c r="AF82" s="1402" t="n">
        <f t="shared" si="12"/>
        <v>0.0</v>
      </c>
    </row>
    <row r="83" spans="1:32" ht="22.5" x14ac:dyDescent="0.15">
      <c r="A83" s="3633"/>
      <c r="B83" s="2772" t="s">
        <v>1628</v>
      </c>
      <c r="C83" s="1168" t="s">
        <v>4266</v>
      </c>
      <c r="D83" s="2771" t="s">
        <v>4267</v>
      </c>
      <c r="E83" s="3229"/>
      <c r="F83" s="3590"/>
      <c r="G83" s="3531"/>
      <c r="H83" s="3534"/>
      <c r="I83" s="3567"/>
      <c r="J83" s="3570"/>
      <c r="K83" s="3452"/>
      <c r="L83" s="3545"/>
      <c r="M83" s="3573"/>
      <c r="N83" s="3576"/>
      <c r="O83" s="3554"/>
      <c r="P83" s="3528"/>
      <c r="Q83" s="3603"/>
      <c r="R83" s="3244"/>
      <c r="S83" s="3229"/>
      <c r="T83" s="3244"/>
      <c r="U83" s="3229"/>
      <c r="V83" s="3244"/>
      <c r="W83" s="3608"/>
      <c r="X83" s="3606"/>
      <c r="Y83" s="3613"/>
      <c r="Z83" s="3636"/>
      <c r="AA83" s="3525"/>
      <c r="AB83" s="3510"/>
      <c r="AC83" s="2611"/>
      <c r="AE83">
        <v>0</v>
      </c>
      <c r="AF83" s="1402" t="n">
        <f t="shared" si="12"/>
        <v>0.0</v>
      </c>
    </row>
    <row r="84" spans="1:32" ht="14.25" thickBot="1" x14ac:dyDescent="0.2">
      <c r="A84" s="3634"/>
      <c r="B84" s="1158" t="s">
        <v>1634</v>
      </c>
      <c r="C84" s="1169"/>
      <c r="D84" s="2780" t="s">
        <v>4268</v>
      </c>
      <c r="E84" s="3228"/>
      <c r="F84" s="3591"/>
      <c r="G84" s="3557"/>
      <c r="H84" s="3558"/>
      <c r="I84" s="3568"/>
      <c r="J84" s="3571"/>
      <c r="K84" s="3561"/>
      <c r="L84" s="3562"/>
      <c r="M84" s="3574"/>
      <c r="N84" s="3577"/>
      <c r="O84" s="3565"/>
      <c r="P84" s="3529"/>
      <c r="Q84" s="3604"/>
      <c r="R84" s="3240"/>
      <c r="S84" s="3228"/>
      <c r="T84" s="3240"/>
      <c r="U84" s="3228"/>
      <c r="V84" s="3240"/>
      <c r="W84" s="3609"/>
      <c r="X84" s="3607"/>
      <c r="Y84" s="3614"/>
      <c r="Z84" s="3637"/>
      <c r="AA84" s="3526"/>
      <c r="AB84" s="3511"/>
      <c r="AC84" s="2612"/>
      <c r="AE84">
        <v>0</v>
      </c>
      <c r="AF84" s="1402" t="n">
        <f t="shared" si="12"/>
        <v>0.0</v>
      </c>
    </row>
    <row r="85" spans="1:32" ht="14.25" thickTop="1" x14ac:dyDescent="0.15">
      <c r="A85" s="3632" t="s">
        <v>4269</v>
      </c>
      <c r="B85" s="1157" t="s">
        <v>153</v>
      </c>
      <c r="C85" s="1167" t="s">
        <v>4270</v>
      </c>
      <c r="D85" s="1015" t="s">
        <v>4271</v>
      </c>
      <c r="E85" s="3245" t="s">
        <v>4272</v>
      </c>
      <c r="F85" s="3589" t="s">
        <v>4273</v>
      </c>
      <c r="G85" s="3530" t="str">
        <f>"4-DaHall 1-PDU-"&amp;K85&amp;"-"&amp;J85&amp;"-"&amp;L85</f>
        <v>4-DaHall 1-PDU-06-100-1</v>
      </c>
      <c r="H85" s="3533" t="str">
        <f>"4-DaHall 1-PDU-"&amp;O85&amp;"-"&amp;N85&amp;"-"&amp;P85</f>
        <v>4-DaHall 1-PDU-05-100-1</v>
      </c>
      <c r="I85" s="3566">
        <v>220</v>
      </c>
      <c r="J85" s="3569">
        <v>100</v>
      </c>
      <c r="K85" s="3542" t="s">
        <v>6929</v>
      </c>
      <c r="L85" s="3544">
        <v>1</v>
      </c>
      <c r="M85" s="3572">
        <v>220</v>
      </c>
      <c r="N85" s="3575">
        <v>100</v>
      </c>
      <c r="O85" s="3553" t="s">
        <v>6930</v>
      </c>
      <c r="P85" s="3527">
        <v>1</v>
      </c>
      <c r="Q85" s="3602" t="s">
        <v>4274</v>
      </c>
      <c r="R85" s="3233" t="s">
        <v>4275</v>
      </c>
      <c r="S85" s="3245" t="s">
        <v>4276</v>
      </c>
      <c r="T85" s="3233" t="s">
        <v>4277</v>
      </c>
      <c r="U85" s="3245" t="s">
        <v>4110</v>
      </c>
      <c r="V85" s="3233" t="s">
        <v>4117</v>
      </c>
      <c r="W85" s="3595" t="n">
        <f>SUM('4층_부하량(월간_AVG)'!D19:F19)</f>
        <v>10.613822537069195</v>
      </c>
      <c r="X85" s="3597" t="n">
        <f>SUM('4층_부하량(월간_AVG)'!N48:P48)</f>
        <v>8.969533410414511</v>
      </c>
      <c r="Y85" s="3599" t="n">
        <f t="shared" ref="Y85" si="14">SUM(W85:X85)</f>
        <v>19.583355947483707</v>
      </c>
      <c r="Z85" s="3600" t="n" cm="1">
        <f t="array" ref="Z85">INDEX('각층분기별_유효전력량(전월)'!C2:C2020,MATCH(1,("4-DaHall 1-PDU-06"='각층분기별_유효전력량(전월)'!A2:A2020)*("[branch#001] [A] kWh last month"='각층분기별_유효전력량(전월)'!B2:B2020),0))</f>
        <v>1656.1</v>
      </c>
      <c r="AA85" s="3517" t="n" cm="1">
        <f t="array" ref="AA85">INDEX('각층분기별_유효전력량(전월)'!C2:C2020,MATCH(1,("4-DaHall 1-PDU-05"='각층분기별_유효전력량(전월)'!A2:A2020)*("[branch#001] [A] kWh last month"='각층분기별_유효전력량(전월)'!B2:B2020),0))</f>
        <v>1398.2</v>
      </c>
      <c r="AB85" s="3421" t="n">
        <f>SUM(Z85:AA94)</f>
        <v>3054.3</v>
      </c>
      <c r="AC85" s="2610"/>
      <c r="AE85">
        <v>20</v>
      </c>
      <c r="AF85" s="1402" t="n">
        <f t="shared" si="12"/>
        <v>-0.41664405251629333</v>
      </c>
    </row>
    <row r="86" spans="1:32" x14ac:dyDescent="0.15">
      <c r="A86" s="3633"/>
      <c r="B86" s="2772" t="s">
        <v>1640</v>
      </c>
      <c r="C86" s="1168" t="s">
        <v>4278</v>
      </c>
      <c r="D86" s="2771" t="s">
        <v>4279</v>
      </c>
      <c r="E86" s="3229"/>
      <c r="F86" s="3590"/>
      <c r="G86" s="3531"/>
      <c r="H86" s="3534"/>
      <c r="I86" s="3567"/>
      <c r="J86" s="3570"/>
      <c r="K86" s="3452"/>
      <c r="L86" s="3545"/>
      <c r="M86" s="3573"/>
      <c r="N86" s="3576"/>
      <c r="O86" s="3554"/>
      <c r="P86" s="3528"/>
      <c r="Q86" s="3603"/>
      <c r="R86" s="3244"/>
      <c r="S86" s="3229"/>
      <c r="T86" s="3244"/>
      <c r="U86" s="3229"/>
      <c r="V86" s="3244"/>
      <c r="W86" s="3608"/>
      <c r="X86" s="3606"/>
      <c r="Y86" s="3432"/>
      <c r="Z86" s="3610"/>
      <c r="AA86" s="3518"/>
      <c r="AB86" s="3419"/>
      <c r="AC86" s="2611"/>
      <c r="AE86">
        <v>0</v>
      </c>
      <c r="AF86" s="1402" t="n">
        <f t="shared" si="12"/>
        <v>0.0</v>
      </c>
    </row>
    <row r="87" spans="1:32" ht="22.5" x14ac:dyDescent="0.15">
      <c r="A87" s="3633"/>
      <c r="B87" s="2772" t="s">
        <v>1646</v>
      </c>
      <c r="C87" s="1168" t="s">
        <v>4280</v>
      </c>
      <c r="D87" s="2771" t="s">
        <v>4281</v>
      </c>
      <c r="E87" s="3229"/>
      <c r="F87" s="3590"/>
      <c r="G87" s="3531"/>
      <c r="H87" s="3534"/>
      <c r="I87" s="3567"/>
      <c r="J87" s="3570"/>
      <c r="K87" s="3452"/>
      <c r="L87" s="3545"/>
      <c r="M87" s="3573"/>
      <c r="N87" s="3576"/>
      <c r="O87" s="3554"/>
      <c r="P87" s="3528"/>
      <c r="Q87" s="3603"/>
      <c r="R87" s="3244"/>
      <c r="S87" s="3229"/>
      <c r="T87" s="3244"/>
      <c r="U87" s="3229"/>
      <c r="V87" s="3244"/>
      <c r="W87" s="3608"/>
      <c r="X87" s="3606"/>
      <c r="Y87" s="3432"/>
      <c r="Z87" s="3610"/>
      <c r="AA87" s="3518"/>
      <c r="AB87" s="3419"/>
      <c r="AC87" s="2611"/>
      <c r="AE87">
        <v>0</v>
      </c>
      <c r="AF87" s="1402" t="n">
        <f t="shared" si="12"/>
        <v>0.0</v>
      </c>
    </row>
    <row r="88" spans="1:32" x14ac:dyDescent="0.15">
      <c r="A88" s="3633"/>
      <c r="B88" s="2772" t="s">
        <v>1652</v>
      </c>
      <c r="C88" s="1168" t="s">
        <v>4282</v>
      </c>
      <c r="D88" s="2771" t="s">
        <v>4283</v>
      </c>
      <c r="E88" s="3229"/>
      <c r="F88" s="3590"/>
      <c r="G88" s="3531"/>
      <c r="H88" s="3534"/>
      <c r="I88" s="3567"/>
      <c r="J88" s="3570"/>
      <c r="K88" s="3452"/>
      <c r="L88" s="3545"/>
      <c r="M88" s="3573"/>
      <c r="N88" s="3576"/>
      <c r="O88" s="3554"/>
      <c r="P88" s="3528"/>
      <c r="Q88" s="3603"/>
      <c r="R88" s="3244"/>
      <c r="S88" s="3229"/>
      <c r="T88" s="3244"/>
      <c r="U88" s="3229"/>
      <c r="V88" s="3244"/>
      <c r="W88" s="3608"/>
      <c r="X88" s="3606"/>
      <c r="Y88" s="3432"/>
      <c r="Z88" s="3610"/>
      <c r="AA88" s="3518"/>
      <c r="AB88" s="3419"/>
      <c r="AC88" s="2611"/>
      <c r="AE88">
        <v>0</v>
      </c>
      <c r="AF88" s="1402" t="n">
        <f t="shared" si="12"/>
        <v>0.0</v>
      </c>
    </row>
    <row r="89" spans="1:32" x14ac:dyDescent="0.15">
      <c r="A89" s="3633"/>
      <c r="B89" s="2772" t="s">
        <v>1658</v>
      </c>
      <c r="C89" s="1168" t="s">
        <v>4220</v>
      </c>
      <c r="D89" s="2771" t="s">
        <v>4284</v>
      </c>
      <c r="E89" s="3229"/>
      <c r="F89" s="3590"/>
      <c r="G89" s="3531"/>
      <c r="H89" s="3534"/>
      <c r="I89" s="3567"/>
      <c r="J89" s="3570"/>
      <c r="K89" s="3452"/>
      <c r="L89" s="3545"/>
      <c r="M89" s="3573"/>
      <c r="N89" s="3576"/>
      <c r="O89" s="3554"/>
      <c r="P89" s="3528"/>
      <c r="Q89" s="3603"/>
      <c r="R89" s="3244"/>
      <c r="S89" s="3229"/>
      <c r="T89" s="3244"/>
      <c r="U89" s="3229"/>
      <c r="V89" s="3244"/>
      <c r="W89" s="3608"/>
      <c r="X89" s="3606"/>
      <c r="Y89" s="3432"/>
      <c r="Z89" s="3610"/>
      <c r="AA89" s="3518"/>
      <c r="AB89" s="3419"/>
      <c r="AC89" s="2611"/>
      <c r="AE89">
        <v>0</v>
      </c>
      <c r="AF89" s="1402" t="n">
        <f t="shared" si="12"/>
        <v>0.0</v>
      </c>
    </row>
    <row r="90" spans="1:32" x14ac:dyDescent="0.15">
      <c r="A90" s="3633"/>
      <c r="B90" s="2772" t="s">
        <v>1666</v>
      </c>
      <c r="C90" s="1168"/>
      <c r="D90" s="2765" t="s">
        <v>4285</v>
      </c>
      <c r="E90" s="3229"/>
      <c r="F90" s="3590"/>
      <c r="G90" s="3531"/>
      <c r="H90" s="3534"/>
      <c r="I90" s="3567"/>
      <c r="J90" s="3570"/>
      <c r="K90" s="3452"/>
      <c r="L90" s="3545"/>
      <c r="M90" s="3573"/>
      <c r="N90" s="3576"/>
      <c r="O90" s="3554"/>
      <c r="P90" s="3528"/>
      <c r="Q90" s="3603"/>
      <c r="R90" s="3244"/>
      <c r="S90" s="3229"/>
      <c r="T90" s="3244"/>
      <c r="U90" s="3229"/>
      <c r="V90" s="3244"/>
      <c r="W90" s="3608"/>
      <c r="X90" s="3606"/>
      <c r="Y90" s="3432"/>
      <c r="Z90" s="3610"/>
      <c r="AA90" s="3518"/>
      <c r="AB90" s="3419"/>
      <c r="AC90" s="2611"/>
      <c r="AE90">
        <v>0</v>
      </c>
      <c r="AF90" s="1402" t="n">
        <f t="shared" si="12"/>
        <v>0.0</v>
      </c>
    </row>
    <row r="91" spans="1:32" x14ac:dyDescent="0.15">
      <c r="A91" s="3633"/>
      <c r="B91" s="2772" t="s">
        <v>1672</v>
      </c>
      <c r="C91" s="1168" t="s">
        <v>4286</v>
      </c>
      <c r="D91" s="2771" t="s">
        <v>4287</v>
      </c>
      <c r="E91" s="3229"/>
      <c r="F91" s="3590"/>
      <c r="G91" s="3531"/>
      <c r="H91" s="3534"/>
      <c r="I91" s="3567"/>
      <c r="J91" s="3570"/>
      <c r="K91" s="3452"/>
      <c r="L91" s="3545"/>
      <c r="M91" s="3573"/>
      <c r="N91" s="3576"/>
      <c r="O91" s="3554"/>
      <c r="P91" s="3528"/>
      <c r="Q91" s="3603"/>
      <c r="R91" s="3244"/>
      <c r="S91" s="3229"/>
      <c r="T91" s="3244"/>
      <c r="U91" s="3229"/>
      <c r="V91" s="3244"/>
      <c r="W91" s="3608"/>
      <c r="X91" s="3606"/>
      <c r="Y91" s="3432"/>
      <c r="Z91" s="3610"/>
      <c r="AA91" s="3518"/>
      <c r="AB91" s="3419"/>
      <c r="AC91" s="2611"/>
      <c r="AE91">
        <v>0</v>
      </c>
      <c r="AF91" s="1402" t="n">
        <f t="shared" si="12"/>
        <v>0.0</v>
      </c>
    </row>
    <row r="92" spans="1:32" x14ac:dyDescent="0.15">
      <c r="A92" s="3633"/>
      <c r="B92" s="2772" t="s">
        <v>1678</v>
      </c>
      <c r="C92" s="1168"/>
      <c r="D92" s="2765" t="s">
        <v>4288</v>
      </c>
      <c r="E92" s="3229"/>
      <c r="F92" s="3590"/>
      <c r="G92" s="3531"/>
      <c r="H92" s="3534"/>
      <c r="I92" s="3567"/>
      <c r="J92" s="3570"/>
      <c r="K92" s="3452"/>
      <c r="L92" s="3545"/>
      <c r="M92" s="3573"/>
      <c r="N92" s="3576"/>
      <c r="O92" s="3554"/>
      <c r="P92" s="3528"/>
      <c r="Q92" s="3603"/>
      <c r="R92" s="3244"/>
      <c r="S92" s="3229"/>
      <c r="T92" s="3244"/>
      <c r="U92" s="3229"/>
      <c r="V92" s="3244"/>
      <c r="W92" s="3608"/>
      <c r="X92" s="3606"/>
      <c r="Y92" s="3432"/>
      <c r="Z92" s="3610"/>
      <c r="AA92" s="3518"/>
      <c r="AB92" s="3419"/>
      <c r="AC92" s="2611"/>
      <c r="AE92">
        <v>0</v>
      </c>
      <c r="AF92" s="1402" t="n">
        <f t="shared" si="12"/>
        <v>0.0</v>
      </c>
    </row>
    <row r="93" spans="1:32" x14ac:dyDescent="0.15">
      <c r="A93" s="3633"/>
      <c r="B93" s="2772" t="s">
        <v>1684</v>
      </c>
      <c r="C93" s="1168"/>
      <c r="D93" s="2765" t="s">
        <v>4289</v>
      </c>
      <c r="E93" s="3229"/>
      <c r="F93" s="3590"/>
      <c r="G93" s="3531"/>
      <c r="H93" s="3534"/>
      <c r="I93" s="3567"/>
      <c r="J93" s="3570"/>
      <c r="K93" s="3452"/>
      <c r="L93" s="3545"/>
      <c r="M93" s="3573"/>
      <c r="N93" s="3576"/>
      <c r="O93" s="3554"/>
      <c r="P93" s="3528"/>
      <c r="Q93" s="3603"/>
      <c r="R93" s="3244"/>
      <c r="S93" s="3229"/>
      <c r="T93" s="3244"/>
      <c r="U93" s="3229"/>
      <c r="V93" s="3244"/>
      <c r="W93" s="3608"/>
      <c r="X93" s="3606"/>
      <c r="Y93" s="3432"/>
      <c r="Z93" s="3610"/>
      <c r="AA93" s="3518"/>
      <c r="AB93" s="3419"/>
      <c r="AC93" s="2611"/>
      <c r="AE93">
        <v>0</v>
      </c>
      <c r="AF93" s="1402" t="n">
        <f t="shared" si="12"/>
        <v>0.0</v>
      </c>
    </row>
    <row r="94" spans="1:32" ht="14.25" thickBot="1" x14ac:dyDescent="0.2">
      <c r="A94" s="3634"/>
      <c r="B94" s="1158" t="s">
        <v>1691</v>
      </c>
      <c r="C94" s="1169"/>
      <c r="D94" s="2780" t="s">
        <v>4290</v>
      </c>
      <c r="E94" s="3228"/>
      <c r="F94" s="3591"/>
      <c r="G94" s="3557"/>
      <c r="H94" s="3558"/>
      <c r="I94" s="3568"/>
      <c r="J94" s="3571"/>
      <c r="K94" s="3561"/>
      <c r="L94" s="3562"/>
      <c r="M94" s="3574"/>
      <c r="N94" s="3577"/>
      <c r="O94" s="3565"/>
      <c r="P94" s="3529"/>
      <c r="Q94" s="3604"/>
      <c r="R94" s="3240"/>
      <c r="S94" s="3228"/>
      <c r="T94" s="3240"/>
      <c r="U94" s="3228"/>
      <c r="V94" s="3240"/>
      <c r="W94" s="3609"/>
      <c r="X94" s="3607"/>
      <c r="Y94" s="3443"/>
      <c r="Z94" s="3611"/>
      <c r="AA94" s="3519"/>
      <c r="AB94" s="3418"/>
      <c r="AC94" s="2612"/>
      <c r="AE94">
        <v>0</v>
      </c>
      <c r="AF94" s="1402" t="n">
        <f t="shared" si="12"/>
        <v>0.0</v>
      </c>
    </row>
    <row r="95" spans="1:32" ht="14.25" thickTop="1" x14ac:dyDescent="0.15">
      <c r="A95" s="3632" t="s">
        <v>4291</v>
      </c>
      <c r="B95" s="1157" t="s">
        <v>1697</v>
      </c>
      <c r="C95" s="1167"/>
      <c r="D95" s="331" t="s">
        <v>4292</v>
      </c>
      <c r="E95" s="3245" t="s">
        <v>4293</v>
      </c>
      <c r="F95" s="3589" t="s">
        <v>4294</v>
      </c>
      <c r="G95" s="3530" t="str">
        <f>"4-DaHall 1-PDU-"&amp;K95&amp;"-"&amp;J95&amp;"-"&amp;L95</f>
        <v>4-DaHall 1-PDU-06-100-2</v>
      </c>
      <c r="H95" s="3533" t="str">
        <f>"4-DaHall 1-PDU-"&amp;O95&amp;"-"&amp;N95&amp;"-"&amp;P95</f>
        <v>4-DaHall 1-PDU-05-100-2</v>
      </c>
      <c r="I95" s="3566">
        <v>220</v>
      </c>
      <c r="J95" s="3569">
        <v>100</v>
      </c>
      <c r="K95" s="3542" t="s">
        <v>6929</v>
      </c>
      <c r="L95" s="3544">
        <v>2</v>
      </c>
      <c r="M95" s="3572">
        <v>220</v>
      </c>
      <c r="N95" s="3575">
        <v>100</v>
      </c>
      <c r="O95" s="3553" t="s">
        <v>6918</v>
      </c>
      <c r="P95" s="3527">
        <v>2</v>
      </c>
      <c r="Q95" s="3602" t="s">
        <v>4274</v>
      </c>
      <c r="R95" s="3233" t="s">
        <v>4275</v>
      </c>
      <c r="S95" s="3245" t="s">
        <v>4276</v>
      </c>
      <c r="T95" s="3233" t="s">
        <v>4277</v>
      </c>
      <c r="U95" s="3245" t="s">
        <v>4110</v>
      </c>
      <c r="V95" s="3233" t="s">
        <v>4117</v>
      </c>
      <c r="W95" s="3595" t="n">
        <f>SUM('4층_부하량(월간_AVG)'!D20:F20)</f>
        <v>0.0</v>
      </c>
      <c r="X95" s="3597" t="n">
        <f>SUM('4층_부하량(월간_AVG)'!N49:P49)</f>
        <v>0.0</v>
      </c>
      <c r="Y95" s="3599" t="n">
        <f t="shared" ref="Y95" si="15">SUM(W95:X95)</f>
        <v>0.0</v>
      </c>
      <c r="Z95" s="3600" t="n" cm="1">
        <f t="array" ref="Z95">INDEX('각층분기별_유효전력량(전월)'!C2:C2020,MATCH(1,("4-DaHall 1-PDU-06"='각층분기별_유효전력량(전월)'!A2:A2020)*("[branch#002] [A] kWh last month"='각층분기별_유효전력량(전월)'!B2:B2020),0))</f>
        <v>0.0</v>
      </c>
      <c r="AA95" s="3517" t="n" cm="1">
        <f t="array" ref="AA95">INDEX('각층분기별_유효전력량(전월)'!C2:C2020,MATCH(1,("4-DaHall 1-PDU-05"='각층분기별_유효전력량(전월)'!A2:A2020)*("[branch#002] [A] kWh last month"='각층분기별_유효전력량(전월)'!B2:B2020),0))</f>
        <v>0.0</v>
      </c>
      <c r="AB95" s="3421" t="n">
        <f>SUM(Z95:AA104)</f>
        <v>0.0</v>
      </c>
      <c r="AC95" s="2610"/>
      <c r="AE95">
        <v>0</v>
      </c>
      <c r="AF95" s="1402" t="n">
        <f t="shared" si="12"/>
        <v>0.0</v>
      </c>
    </row>
    <row r="96" spans="1:32" x14ac:dyDescent="0.15">
      <c r="A96" s="3633"/>
      <c r="B96" s="2772" t="s">
        <v>1698</v>
      </c>
      <c r="C96" s="1168"/>
      <c r="D96" s="2765" t="s">
        <v>4295</v>
      </c>
      <c r="E96" s="3229"/>
      <c r="F96" s="3590"/>
      <c r="G96" s="3531"/>
      <c r="H96" s="3534"/>
      <c r="I96" s="3567"/>
      <c r="J96" s="3570"/>
      <c r="K96" s="3452"/>
      <c r="L96" s="3545"/>
      <c r="M96" s="3573"/>
      <c r="N96" s="3576"/>
      <c r="O96" s="3554"/>
      <c r="P96" s="3528"/>
      <c r="Q96" s="3603"/>
      <c r="R96" s="3244"/>
      <c r="S96" s="3229"/>
      <c r="T96" s="3244"/>
      <c r="U96" s="3229"/>
      <c r="V96" s="3244"/>
      <c r="W96" s="3608"/>
      <c r="X96" s="3606"/>
      <c r="Y96" s="3432"/>
      <c r="Z96" s="3610"/>
      <c r="AA96" s="3518"/>
      <c r="AB96" s="3419"/>
      <c r="AC96" s="2611"/>
      <c r="AE96">
        <v>0</v>
      </c>
      <c r="AF96" s="1402" t="n">
        <f t="shared" si="12"/>
        <v>0.0</v>
      </c>
    </row>
    <row r="97" spans="1:32" x14ac:dyDescent="0.15">
      <c r="A97" s="3633"/>
      <c r="B97" s="2772" t="s">
        <v>1704</v>
      </c>
      <c r="C97" s="1168"/>
      <c r="D97" s="2765" t="s">
        <v>4296</v>
      </c>
      <c r="E97" s="3229"/>
      <c r="F97" s="3590"/>
      <c r="G97" s="3531"/>
      <c r="H97" s="3534"/>
      <c r="I97" s="3567"/>
      <c r="J97" s="3570"/>
      <c r="K97" s="3452"/>
      <c r="L97" s="3545"/>
      <c r="M97" s="3573"/>
      <c r="N97" s="3576"/>
      <c r="O97" s="3554"/>
      <c r="P97" s="3528"/>
      <c r="Q97" s="3603"/>
      <c r="R97" s="3244"/>
      <c r="S97" s="3229"/>
      <c r="T97" s="3244"/>
      <c r="U97" s="3229"/>
      <c r="V97" s="3244"/>
      <c r="W97" s="3608"/>
      <c r="X97" s="3606"/>
      <c r="Y97" s="3432"/>
      <c r="Z97" s="3610"/>
      <c r="AA97" s="3518"/>
      <c r="AB97" s="3419"/>
      <c r="AC97" s="2611"/>
      <c r="AE97">
        <v>0</v>
      </c>
      <c r="AF97" s="1402" t="n">
        <f t="shared" si="12"/>
        <v>0.0</v>
      </c>
    </row>
    <row r="98" spans="1:32" x14ac:dyDescent="0.15">
      <c r="A98" s="3633"/>
      <c r="B98" s="2772" t="s">
        <v>1710</v>
      </c>
      <c r="C98" s="1168"/>
      <c r="D98" s="2765" t="s">
        <v>4297</v>
      </c>
      <c r="E98" s="3229"/>
      <c r="F98" s="3590"/>
      <c r="G98" s="3531"/>
      <c r="H98" s="3534"/>
      <c r="I98" s="3567"/>
      <c r="J98" s="3570"/>
      <c r="K98" s="3452"/>
      <c r="L98" s="3545"/>
      <c r="M98" s="3573"/>
      <c r="N98" s="3576"/>
      <c r="O98" s="3554"/>
      <c r="P98" s="3528"/>
      <c r="Q98" s="3603"/>
      <c r="R98" s="3244"/>
      <c r="S98" s="3229"/>
      <c r="T98" s="3244"/>
      <c r="U98" s="3229"/>
      <c r="V98" s="3244"/>
      <c r="W98" s="3608"/>
      <c r="X98" s="3606"/>
      <c r="Y98" s="3432"/>
      <c r="Z98" s="3610"/>
      <c r="AA98" s="3518"/>
      <c r="AB98" s="3419"/>
      <c r="AC98" s="2611"/>
      <c r="AE98">
        <v>0</v>
      </c>
      <c r="AF98" s="1402" t="n">
        <f t="shared" si="12"/>
        <v>0.0</v>
      </c>
    </row>
    <row r="99" spans="1:32" x14ac:dyDescent="0.15">
      <c r="A99" s="3633"/>
      <c r="B99" s="2772" t="s">
        <v>3240</v>
      </c>
      <c r="C99" s="1168"/>
      <c r="D99" s="2765" t="s">
        <v>4298</v>
      </c>
      <c r="E99" s="3229"/>
      <c r="F99" s="3590"/>
      <c r="G99" s="3531"/>
      <c r="H99" s="3534"/>
      <c r="I99" s="3567"/>
      <c r="J99" s="3570"/>
      <c r="K99" s="3452"/>
      <c r="L99" s="3545"/>
      <c r="M99" s="3573"/>
      <c r="N99" s="3576"/>
      <c r="O99" s="3554"/>
      <c r="P99" s="3528"/>
      <c r="Q99" s="3603"/>
      <c r="R99" s="3244"/>
      <c r="S99" s="3229"/>
      <c r="T99" s="3244"/>
      <c r="U99" s="3229"/>
      <c r="V99" s="3244"/>
      <c r="W99" s="3608"/>
      <c r="X99" s="3606"/>
      <c r="Y99" s="3432"/>
      <c r="Z99" s="3610"/>
      <c r="AA99" s="3518"/>
      <c r="AB99" s="3419"/>
      <c r="AC99" s="2611"/>
      <c r="AE99">
        <v>0</v>
      </c>
      <c r="AF99" s="1402" t="n">
        <f t="shared" si="12"/>
        <v>0.0</v>
      </c>
    </row>
    <row r="100" spans="1:32" x14ac:dyDescent="0.15">
      <c r="A100" s="3633"/>
      <c r="B100" s="2772" t="s">
        <v>3246</v>
      </c>
      <c r="C100" s="1168"/>
      <c r="D100" s="2765" t="s">
        <v>4299</v>
      </c>
      <c r="E100" s="3229"/>
      <c r="F100" s="3590"/>
      <c r="G100" s="3531"/>
      <c r="H100" s="3534"/>
      <c r="I100" s="3567"/>
      <c r="J100" s="3570"/>
      <c r="K100" s="3452"/>
      <c r="L100" s="3545"/>
      <c r="M100" s="3573"/>
      <c r="N100" s="3576"/>
      <c r="O100" s="3554"/>
      <c r="P100" s="3528"/>
      <c r="Q100" s="3603"/>
      <c r="R100" s="3244"/>
      <c r="S100" s="3229"/>
      <c r="T100" s="3244"/>
      <c r="U100" s="3229"/>
      <c r="V100" s="3244"/>
      <c r="W100" s="3608"/>
      <c r="X100" s="3606"/>
      <c r="Y100" s="3432"/>
      <c r="Z100" s="3610"/>
      <c r="AA100" s="3518"/>
      <c r="AB100" s="3419"/>
      <c r="AC100" s="2611"/>
      <c r="AE100">
        <v>0</v>
      </c>
      <c r="AF100" s="1402" t="n">
        <f t="shared" si="12"/>
        <v>0.0</v>
      </c>
    </row>
    <row r="101" spans="1:32" x14ac:dyDescent="0.15">
      <c r="A101" s="3633"/>
      <c r="B101" s="2772" t="s">
        <v>1747</v>
      </c>
      <c r="C101" s="1168"/>
      <c r="D101" s="2765" t="s">
        <v>4300</v>
      </c>
      <c r="E101" s="3229"/>
      <c r="F101" s="3590"/>
      <c r="G101" s="3531"/>
      <c r="H101" s="3534"/>
      <c r="I101" s="3567"/>
      <c r="J101" s="3570"/>
      <c r="K101" s="3452"/>
      <c r="L101" s="3545"/>
      <c r="M101" s="3573"/>
      <c r="N101" s="3576"/>
      <c r="O101" s="3554"/>
      <c r="P101" s="3528"/>
      <c r="Q101" s="3603"/>
      <c r="R101" s="3244"/>
      <c r="S101" s="3229"/>
      <c r="T101" s="3244"/>
      <c r="U101" s="3229"/>
      <c r="V101" s="3244"/>
      <c r="W101" s="3608"/>
      <c r="X101" s="3606"/>
      <c r="Y101" s="3432"/>
      <c r="Z101" s="3610"/>
      <c r="AA101" s="3518"/>
      <c r="AB101" s="3419"/>
      <c r="AC101" s="2611"/>
      <c r="AE101">
        <v>0</v>
      </c>
      <c r="AF101" s="1402" t="n">
        <f t="shared" si="12"/>
        <v>0.0</v>
      </c>
    </row>
    <row r="102" spans="1:32" x14ac:dyDescent="0.15">
      <c r="A102" s="3633"/>
      <c r="B102" s="2772" t="s">
        <v>1753</v>
      </c>
      <c r="C102" s="1168"/>
      <c r="D102" s="2765" t="s">
        <v>4301</v>
      </c>
      <c r="E102" s="3229"/>
      <c r="F102" s="3590"/>
      <c r="G102" s="3531"/>
      <c r="H102" s="3534"/>
      <c r="I102" s="3567"/>
      <c r="J102" s="3570"/>
      <c r="K102" s="3452"/>
      <c r="L102" s="3545"/>
      <c r="M102" s="3573"/>
      <c r="N102" s="3576"/>
      <c r="O102" s="3554"/>
      <c r="P102" s="3528"/>
      <c r="Q102" s="3603"/>
      <c r="R102" s="3244"/>
      <c r="S102" s="3229"/>
      <c r="T102" s="3244"/>
      <c r="U102" s="3229"/>
      <c r="V102" s="3244"/>
      <c r="W102" s="3608"/>
      <c r="X102" s="3606"/>
      <c r="Y102" s="3432"/>
      <c r="Z102" s="3610"/>
      <c r="AA102" s="3518"/>
      <c r="AB102" s="3419"/>
      <c r="AC102" s="2611"/>
      <c r="AE102">
        <v>0</v>
      </c>
      <c r="AF102" s="1402" t="n">
        <f t="shared" si="12"/>
        <v>0.0</v>
      </c>
    </row>
    <row r="103" spans="1:32" x14ac:dyDescent="0.15">
      <c r="A103" s="3633"/>
      <c r="B103" s="2772" t="s">
        <v>1759</v>
      </c>
      <c r="C103" s="1168"/>
      <c r="D103" s="2765" t="s">
        <v>4302</v>
      </c>
      <c r="E103" s="3229"/>
      <c r="F103" s="3590"/>
      <c r="G103" s="3531"/>
      <c r="H103" s="3534"/>
      <c r="I103" s="3567"/>
      <c r="J103" s="3570"/>
      <c r="K103" s="3452"/>
      <c r="L103" s="3545"/>
      <c r="M103" s="3573"/>
      <c r="N103" s="3576"/>
      <c r="O103" s="3554"/>
      <c r="P103" s="3528"/>
      <c r="Q103" s="3603"/>
      <c r="R103" s="3244"/>
      <c r="S103" s="3229"/>
      <c r="T103" s="3244"/>
      <c r="U103" s="3229"/>
      <c r="V103" s="3244"/>
      <c r="W103" s="3608"/>
      <c r="X103" s="3606"/>
      <c r="Y103" s="3432"/>
      <c r="Z103" s="3610"/>
      <c r="AA103" s="3518"/>
      <c r="AB103" s="3419"/>
      <c r="AC103" s="2611"/>
      <c r="AE103">
        <v>0</v>
      </c>
      <c r="AF103" s="1402" t="n">
        <f t="shared" si="12"/>
        <v>0.0</v>
      </c>
    </row>
    <row r="104" spans="1:32" ht="14.25" thickBot="1" x14ac:dyDescent="0.2">
      <c r="A104" s="3634"/>
      <c r="B104" s="1158" t="s">
        <v>1765</v>
      </c>
      <c r="C104" s="1169"/>
      <c r="D104" s="2780" t="s">
        <v>4303</v>
      </c>
      <c r="E104" s="3228"/>
      <c r="F104" s="3591"/>
      <c r="G104" s="3557"/>
      <c r="H104" s="3558"/>
      <c r="I104" s="3568"/>
      <c r="J104" s="3571"/>
      <c r="K104" s="3561"/>
      <c r="L104" s="3562"/>
      <c r="M104" s="3574"/>
      <c r="N104" s="3577"/>
      <c r="O104" s="3565"/>
      <c r="P104" s="3529"/>
      <c r="Q104" s="3604"/>
      <c r="R104" s="3240"/>
      <c r="S104" s="3228"/>
      <c r="T104" s="3240"/>
      <c r="U104" s="3228"/>
      <c r="V104" s="3240"/>
      <c r="W104" s="3609"/>
      <c r="X104" s="3607"/>
      <c r="Y104" s="3443"/>
      <c r="Z104" s="3611"/>
      <c r="AA104" s="3519"/>
      <c r="AB104" s="3418"/>
      <c r="AC104" s="2612"/>
      <c r="AE104">
        <v>0</v>
      </c>
      <c r="AF104" s="1402" t="n">
        <f t="shared" si="12"/>
        <v>0.0</v>
      </c>
    </row>
    <row r="105" spans="1:32" ht="23.25" thickTop="1" x14ac:dyDescent="0.15">
      <c r="A105" s="3632" t="s">
        <v>4304</v>
      </c>
      <c r="B105" s="1157" t="s">
        <v>541</v>
      </c>
      <c r="C105" s="1167" t="s">
        <v>3042</v>
      </c>
      <c r="D105" s="1015" t="s">
        <v>4305</v>
      </c>
      <c r="E105" s="3245" t="s">
        <v>4306</v>
      </c>
      <c r="F105" s="3589" t="s">
        <v>4307</v>
      </c>
      <c r="G105" s="3530" t="str">
        <f>"4-DaHall 1-PDU-"&amp;K105&amp;"-"&amp;J105&amp;"-"&amp;L105</f>
        <v>4-DaHall 1-PDU-06-100-3</v>
      </c>
      <c r="H105" s="3533" t="str">
        <f>"4-DaHall 1-PDU-"&amp;O105&amp;"-"&amp;N105&amp;"-"&amp;P105</f>
        <v>4-DaHall 1-PDU-05-100-3</v>
      </c>
      <c r="I105" s="3566">
        <v>220</v>
      </c>
      <c r="J105" s="3569">
        <v>100</v>
      </c>
      <c r="K105" s="3542" t="s">
        <v>6929</v>
      </c>
      <c r="L105" s="3544">
        <v>3</v>
      </c>
      <c r="M105" s="3572">
        <v>220</v>
      </c>
      <c r="N105" s="3575">
        <v>100</v>
      </c>
      <c r="O105" s="3553" t="s">
        <v>6918</v>
      </c>
      <c r="P105" s="3527">
        <v>3</v>
      </c>
      <c r="Q105" s="3602" t="s">
        <v>4274</v>
      </c>
      <c r="R105" s="3233" t="s">
        <v>4275</v>
      </c>
      <c r="S105" s="3245" t="s">
        <v>4276</v>
      </c>
      <c r="T105" s="3233" t="s">
        <v>4277</v>
      </c>
      <c r="U105" s="3245" t="s">
        <v>4110</v>
      </c>
      <c r="V105" s="3233" t="s">
        <v>4117</v>
      </c>
      <c r="W105" s="3595" t="n">
        <f>SUM('4층_부하량(월간_AVG)'!D21:F21)</f>
        <v>8.953378096946686</v>
      </c>
      <c r="X105" s="3597" t="n">
        <f>SUM('4층_부하량(월간_AVG)'!N50:P50)</f>
        <v>7.73548207438513</v>
      </c>
      <c r="Y105" s="3612" t="n">
        <f t="shared" ref="Y105" si="16">SUM(W105:X105)</f>
        <v>16.688860171331818</v>
      </c>
      <c r="Z105" s="3600" t="n" cm="1">
        <f t="array" ref="Z105">INDEX('각층분기별_유효전력량(전월)'!C2:C2020,MATCH(1,("4-DaHall 1-PDU-06"='각층분기별_유효전력량(전월)'!A2:A2020)*("[branch#003] [A] kWh last month"='각층분기별_유효전력량(전월)'!B2:B2020),0))</f>
        <v>1397.5</v>
      </c>
      <c r="AA105" s="3517" t="n" cm="1">
        <f t="array" ref="AA105">INDEX('각층분기별_유효전력량(전월)'!C2:C2020,MATCH(1,("4-DaHall 1-PDU-05"='각층분기별_유효전력량(전월)'!A2:A2020)*("[branch#003] [A] kWh last month"='각층분기별_유효전력량(전월)'!B2:B2020),0))</f>
        <v>1191.7</v>
      </c>
      <c r="AB105" s="3509" t="n">
        <f>SUM(Z105:AA115)</f>
        <v>2589.2</v>
      </c>
      <c r="AC105" s="2610"/>
      <c r="AE105">
        <v>17.399999999999999</v>
      </c>
      <c r="AF105" s="1402" t="n">
        <f t="shared" si="12"/>
        <v>-0.7111398286681805</v>
      </c>
    </row>
    <row r="106" spans="1:32" x14ac:dyDescent="0.15">
      <c r="A106" s="3633"/>
      <c r="B106" s="2772" t="s">
        <v>1771</v>
      </c>
      <c r="C106" s="1168"/>
      <c r="D106" s="2765" t="s">
        <v>4308</v>
      </c>
      <c r="E106" s="3229"/>
      <c r="F106" s="3590"/>
      <c r="G106" s="3531"/>
      <c r="H106" s="3534"/>
      <c r="I106" s="3567"/>
      <c r="J106" s="3570"/>
      <c r="K106" s="3452"/>
      <c r="L106" s="3545"/>
      <c r="M106" s="3573"/>
      <c r="N106" s="3576"/>
      <c r="O106" s="3554"/>
      <c r="P106" s="3528"/>
      <c r="Q106" s="3603"/>
      <c r="R106" s="3244"/>
      <c r="S106" s="3229"/>
      <c r="T106" s="3244"/>
      <c r="U106" s="3229"/>
      <c r="V106" s="3244"/>
      <c r="W106" s="3608"/>
      <c r="X106" s="3606"/>
      <c r="Y106" s="3613"/>
      <c r="Z106" s="3610"/>
      <c r="AA106" s="3518"/>
      <c r="AB106" s="3510"/>
      <c r="AC106" s="2611"/>
      <c r="AE106">
        <v>0</v>
      </c>
      <c r="AF106" s="1402" t="n">
        <f t="shared" si="12"/>
        <v>0.0</v>
      </c>
    </row>
    <row r="107" spans="1:32" x14ac:dyDescent="0.15">
      <c r="A107" s="3633"/>
      <c r="B107" s="2772" t="s">
        <v>1782</v>
      </c>
      <c r="C107" s="1168" t="s">
        <v>4309</v>
      </c>
      <c r="D107" s="2771" t="s">
        <v>4310</v>
      </c>
      <c r="E107" s="3229"/>
      <c r="F107" s="3590"/>
      <c r="G107" s="3531"/>
      <c r="H107" s="3534"/>
      <c r="I107" s="3567"/>
      <c r="J107" s="3570"/>
      <c r="K107" s="3452"/>
      <c r="L107" s="3545"/>
      <c r="M107" s="3573"/>
      <c r="N107" s="3576"/>
      <c r="O107" s="3554"/>
      <c r="P107" s="3528"/>
      <c r="Q107" s="3603"/>
      <c r="R107" s="3244"/>
      <c r="S107" s="3229"/>
      <c r="T107" s="3244"/>
      <c r="U107" s="3229"/>
      <c r="V107" s="3244"/>
      <c r="W107" s="3608"/>
      <c r="X107" s="3606"/>
      <c r="Y107" s="3613"/>
      <c r="Z107" s="3610"/>
      <c r="AA107" s="3518"/>
      <c r="AB107" s="3510"/>
      <c r="AC107" s="2611"/>
      <c r="AE107">
        <v>0</v>
      </c>
      <c r="AF107" s="1402" t="n">
        <f t="shared" si="12"/>
        <v>0.0</v>
      </c>
    </row>
    <row r="108" spans="1:32" x14ac:dyDescent="0.15">
      <c r="A108" s="3633"/>
      <c r="B108" s="2772" t="s">
        <v>1789</v>
      </c>
      <c r="C108" s="1168" t="s">
        <v>4309</v>
      </c>
      <c r="D108" s="2771" t="s">
        <v>4311</v>
      </c>
      <c r="E108" s="3229"/>
      <c r="F108" s="3590"/>
      <c r="G108" s="3531"/>
      <c r="H108" s="3534"/>
      <c r="I108" s="3567"/>
      <c r="J108" s="3570"/>
      <c r="K108" s="3452"/>
      <c r="L108" s="3545"/>
      <c r="M108" s="3573"/>
      <c r="N108" s="3576"/>
      <c r="O108" s="3554"/>
      <c r="P108" s="3528"/>
      <c r="Q108" s="3603"/>
      <c r="R108" s="3244"/>
      <c r="S108" s="3229"/>
      <c r="T108" s="3244"/>
      <c r="U108" s="3229"/>
      <c r="V108" s="3244"/>
      <c r="W108" s="3608"/>
      <c r="X108" s="3606"/>
      <c r="Y108" s="3613"/>
      <c r="Z108" s="3610"/>
      <c r="AA108" s="3518"/>
      <c r="AB108" s="3510"/>
      <c r="AC108" s="2611"/>
      <c r="AE108">
        <v>0</v>
      </c>
      <c r="AF108" s="1402" t="n">
        <f t="shared" si="12"/>
        <v>0.0</v>
      </c>
    </row>
    <row r="109" spans="1:32" x14ac:dyDescent="0.15">
      <c r="A109" s="3633"/>
      <c r="B109" s="2772" t="s">
        <v>1795</v>
      </c>
      <c r="C109" s="1168"/>
      <c r="D109" s="2765" t="s">
        <v>4312</v>
      </c>
      <c r="E109" s="3229"/>
      <c r="F109" s="3590"/>
      <c r="G109" s="3531"/>
      <c r="H109" s="3534"/>
      <c r="I109" s="3567"/>
      <c r="J109" s="3570"/>
      <c r="K109" s="3452"/>
      <c r="L109" s="3545"/>
      <c r="M109" s="3573"/>
      <c r="N109" s="3576"/>
      <c r="O109" s="3554"/>
      <c r="P109" s="3528"/>
      <c r="Q109" s="3603"/>
      <c r="R109" s="3244"/>
      <c r="S109" s="3229"/>
      <c r="T109" s="3244"/>
      <c r="U109" s="3229"/>
      <c r="V109" s="3244"/>
      <c r="W109" s="3608"/>
      <c r="X109" s="3606"/>
      <c r="Y109" s="3613"/>
      <c r="Z109" s="3610"/>
      <c r="AA109" s="3518"/>
      <c r="AB109" s="3510"/>
      <c r="AC109" s="2611"/>
      <c r="AE109">
        <v>0</v>
      </c>
      <c r="AF109" s="1402" t="n">
        <f t="shared" si="12"/>
        <v>0.0</v>
      </c>
    </row>
    <row r="110" spans="1:32" x14ac:dyDescent="0.15">
      <c r="A110" s="3633"/>
      <c r="B110" s="2772" t="s">
        <v>1801</v>
      </c>
      <c r="C110" s="1168" t="s">
        <v>4309</v>
      </c>
      <c r="D110" s="2771" t="s">
        <v>4313</v>
      </c>
      <c r="E110" s="3229"/>
      <c r="F110" s="3590"/>
      <c r="G110" s="3531"/>
      <c r="H110" s="3534"/>
      <c r="I110" s="3567"/>
      <c r="J110" s="3570"/>
      <c r="K110" s="3452"/>
      <c r="L110" s="3545"/>
      <c r="M110" s="3573"/>
      <c r="N110" s="3576"/>
      <c r="O110" s="3554"/>
      <c r="P110" s="3528"/>
      <c r="Q110" s="3603"/>
      <c r="R110" s="3244"/>
      <c r="S110" s="3229"/>
      <c r="T110" s="3244"/>
      <c r="U110" s="3229"/>
      <c r="V110" s="3244"/>
      <c r="W110" s="3608"/>
      <c r="X110" s="3606"/>
      <c r="Y110" s="3613"/>
      <c r="Z110" s="3610"/>
      <c r="AA110" s="3518"/>
      <c r="AB110" s="3510"/>
      <c r="AC110" s="2611"/>
      <c r="AE110">
        <v>0</v>
      </c>
      <c r="AF110" s="1402" t="n">
        <f t="shared" si="12"/>
        <v>0.0</v>
      </c>
    </row>
    <row r="111" spans="1:32" x14ac:dyDescent="0.15">
      <c r="A111" s="3633"/>
      <c r="B111" s="2772" t="s">
        <v>1808</v>
      </c>
      <c r="C111" s="1168"/>
      <c r="D111" s="2765" t="s">
        <v>4314</v>
      </c>
      <c r="E111" s="3229"/>
      <c r="F111" s="3590"/>
      <c r="G111" s="3531"/>
      <c r="H111" s="3534"/>
      <c r="I111" s="3567"/>
      <c r="J111" s="3570"/>
      <c r="K111" s="3452"/>
      <c r="L111" s="3545"/>
      <c r="M111" s="3573"/>
      <c r="N111" s="3576"/>
      <c r="O111" s="3554"/>
      <c r="P111" s="3528"/>
      <c r="Q111" s="3603"/>
      <c r="R111" s="3244"/>
      <c r="S111" s="3229"/>
      <c r="T111" s="3244"/>
      <c r="U111" s="3229"/>
      <c r="V111" s="3244"/>
      <c r="W111" s="3608"/>
      <c r="X111" s="3606"/>
      <c r="Y111" s="3613"/>
      <c r="Z111" s="3610"/>
      <c r="AA111" s="3518"/>
      <c r="AB111" s="3510"/>
      <c r="AC111" s="2611"/>
      <c r="AE111">
        <v>0</v>
      </c>
      <c r="AF111" s="1402" t="n">
        <f t="shared" si="12"/>
        <v>0.0</v>
      </c>
    </row>
    <row r="112" spans="1:32" x14ac:dyDescent="0.15">
      <c r="A112" s="3633"/>
      <c r="B112" s="2772" t="s">
        <v>1814</v>
      </c>
      <c r="C112" s="1168"/>
      <c r="D112" s="2765" t="s">
        <v>4315</v>
      </c>
      <c r="E112" s="3229"/>
      <c r="F112" s="3590"/>
      <c r="G112" s="3531"/>
      <c r="H112" s="3534"/>
      <c r="I112" s="3567"/>
      <c r="J112" s="3570"/>
      <c r="K112" s="3452"/>
      <c r="L112" s="3545"/>
      <c r="M112" s="3573"/>
      <c r="N112" s="3576"/>
      <c r="O112" s="3554"/>
      <c r="P112" s="3528"/>
      <c r="Q112" s="3603"/>
      <c r="R112" s="3244"/>
      <c r="S112" s="3229"/>
      <c r="T112" s="3244"/>
      <c r="U112" s="3229"/>
      <c r="V112" s="3244"/>
      <c r="W112" s="3608"/>
      <c r="X112" s="3606"/>
      <c r="Y112" s="3613"/>
      <c r="Z112" s="3610"/>
      <c r="AA112" s="3518"/>
      <c r="AB112" s="3510"/>
      <c r="AC112" s="2611"/>
      <c r="AE112">
        <v>0</v>
      </c>
      <c r="AF112" s="1402" t="n">
        <f t="shared" si="12"/>
        <v>0.0</v>
      </c>
    </row>
    <row r="113" spans="1:32" x14ac:dyDescent="0.15">
      <c r="A113" s="3633"/>
      <c r="B113" s="2772" t="s">
        <v>1820</v>
      </c>
      <c r="C113" s="1168"/>
      <c r="D113" s="2765" t="s">
        <v>4316</v>
      </c>
      <c r="E113" s="3229"/>
      <c r="F113" s="3590"/>
      <c r="G113" s="3531"/>
      <c r="H113" s="3534"/>
      <c r="I113" s="3567"/>
      <c r="J113" s="3570"/>
      <c r="K113" s="3452"/>
      <c r="L113" s="3545"/>
      <c r="M113" s="3573"/>
      <c r="N113" s="3576"/>
      <c r="O113" s="3554"/>
      <c r="P113" s="3528"/>
      <c r="Q113" s="3603"/>
      <c r="R113" s="3244"/>
      <c r="S113" s="3229"/>
      <c r="T113" s="3244"/>
      <c r="U113" s="3229"/>
      <c r="V113" s="3244"/>
      <c r="W113" s="3608"/>
      <c r="X113" s="3606"/>
      <c r="Y113" s="3613"/>
      <c r="Z113" s="3610"/>
      <c r="AA113" s="3518"/>
      <c r="AB113" s="3510"/>
      <c r="AC113" s="2611"/>
      <c r="AE113">
        <v>0</v>
      </c>
      <c r="AF113" s="1402" t="n">
        <f t="shared" si="12"/>
        <v>0.0</v>
      </c>
    </row>
    <row r="114" spans="1:32" x14ac:dyDescent="0.15">
      <c r="A114" s="3633"/>
      <c r="B114" s="2772" t="s">
        <v>1828</v>
      </c>
      <c r="C114" s="1168"/>
      <c r="D114" s="2765" t="s">
        <v>4317</v>
      </c>
      <c r="E114" s="3229"/>
      <c r="F114" s="3590"/>
      <c r="G114" s="3531"/>
      <c r="H114" s="3534"/>
      <c r="I114" s="3567"/>
      <c r="J114" s="3570"/>
      <c r="K114" s="3452"/>
      <c r="L114" s="3545"/>
      <c r="M114" s="3573"/>
      <c r="N114" s="3576"/>
      <c r="O114" s="3554"/>
      <c r="P114" s="3528"/>
      <c r="Q114" s="3603"/>
      <c r="R114" s="3244"/>
      <c r="S114" s="3229"/>
      <c r="T114" s="3244"/>
      <c r="U114" s="3229"/>
      <c r="V114" s="3244"/>
      <c r="W114" s="3608"/>
      <c r="X114" s="3606"/>
      <c r="Y114" s="3613"/>
      <c r="Z114" s="3610"/>
      <c r="AA114" s="3518"/>
      <c r="AB114" s="3510"/>
      <c r="AC114" s="2611"/>
      <c r="AE114">
        <v>0</v>
      </c>
      <c r="AF114" s="1402" t="n">
        <f t="shared" si="12"/>
        <v>0.0</v>
      </c>
    </row>
    <row r="115" spans="1:32" ht="14.25" thickBot="1" x14ac:dyDescent="0.2">
      <c r="A115" s="3634"/>
      <c r="B115" s="1158" t="s">
        <v>4318</v>
      </c>
      <c r="C115" s="1169"/>
      <c r="D115" s="2780" t="s">
        <v>4319</v>
      </c>
      <c r="E115" s="3228"/>
      <c r="F115" s="3591"/>
      <c r="G115" s="3557"/>
      <c r="H115" s="3558"/>
      <c r="I115" s="3568"/>
      <c r="J115" s="3571"/>
      <c r="K115" s="3561"/>
      <c r="L115" s="3562"/>
      <c r="M115" s="3574"/>
      <c r="N115" s="3577"/>
      <c r="O115" s="3565"/>
      <c r="P115" s="3529"/>
      <c r="Q115" s="3604"/>
      <c r="R115" s="3240"/>
      <c r="S115" s="3228"/>
      <c r="T115" s="3240"/>
      <c r="U115" s="3228"/>
      <c r="V115" s="3240"/>
      <c r="W115" s="3609"/>
      <c r="X115" s="3607"/>
      <c r="Y115" s="3614"/>
      <c r="Z115" s="3611"/>
      <c r="AA115" s="3519"/>
      <c r="AB115" s="3511"/>
      <c r="AC115" s="2612"/>
      <c r="AE115">
        <v>0</v>
      </c>
      <c r="AF115" s="1402" t="n">
        <f t="shared" si="12"/>
        <v>0.0</v>
      </c>
    </row>
    <row r="116" spans="1:32" ht="14.25" thickTop="1" x14ac:dyDescent="0.15">
      <c r="A116" s="3632" t="s">
        <v>4320</v>
      </c>
      <c r="B116" s="1157" t="s">
        <v>1834</v>
      </c>
      <c r="C116" s="1167"/>
      <c r="D116" s="331" t="s">
        <v>4321</v>
      </c>
      <c r="E116" s="3245" t="s">
        <v>4322</v>
      </c>
      <c r="F116" s="3589" t="s">
        <v>4323</v>
      </c>
      <c r="G116" s="3530" t="str">
        <f>"4-DaHall 1-PDU-"&amp;K116&amp;"-"&amp;J116&amp;"-"&amp;L116</f>
        <v>4-DaHall 1-PDU-06-100-4</v>
      </c>
      <c r="H116" s="3533" t="str">
        <f>"4-DaHall 1-PDU-"&amp;O116&amp;"-"&amp;N116&amp;"-"&amp;P116</f>
        <v>4-DaHall 1-PDU-05-100-4</v>
      </c>
      <c r="I116" s="3566">
        <v>220</v>
      </c>
      <c r="J116" s="3569">
        <v>100</v>
      </c>
      <c r="K116" s="3542" t="s">
        <v>6929</v>
      </c>
      <c r="L116" s="3544">
        <v>4</v>
      </c>
      <c r="M116" s="3572">
        <v>220</v>
      </c>
      <c r="N116" s="3575">
        <v>100</v>
      </c>
      <c r="O116" s="3553" t="s">
        <v>6918</v>
      </c>
      <c r="P116" s="3527">
        <v>4</v>
      </c>
      <c r="Q116" s="3602" t="s">
        <v>4274</v>
      </c>
      <c r="R116" s="3233" t="s">
        <v>4275</v>
      </c>
      <c r="S116" s="3245" t="s">
        <v>4276</v>
      </c>
      <c r="T116" s="3233" t="s">
        <v>4277</v>
      </c>
      <c r="U116" s="3245" t="s">
        <v>4110</v>
      </c>
      <c r="V116" s="3233" t="s">
        <v>4117</v>
      </c>
      <c r="W116" s="3595" t="n">
        <f>SUM('4층_부하량(월간_AVG)'!D22:F22)</f>
        <v>6.9283637505948</v>
      </c>
      <c r="X116" s="3597" t="n">
        <f>SUM('4층_부하량(월간_AVG)'!N51:P51)</f>
        <v>7.2205490273228286</v>
      </c>
      <c r="Y116" s="3599" t="n">
        <f t="shared" ref="Y116" si="17">SUM(W116:X116)</f>
        <v>14.148912777917628</v>
      </c>
      <c r="Z116" s="3600" t="n" cm="1">
        <f t="array" ref="Z116">INDEX('각층분기별_유효전력량(전월)'!C2:C2020,MATCH(1,("4-DaHall 1-PDU-06"='각층분기별_유효전력량(전월)'!A2:A2020)*("[branch#004] [A] kWh last month"='각층분기별_유효전력량(전월)'!B2:B2020),0))</f>
        <v>1057.9</v>
      </c>
      <c r="AA116" s="3517" t="n" cm="1">
        <f t="array" ref="AA116">INDEX('각층분기별_유효전력량(전월)'!C2:C2020,MATCH(1,("4-DaHall 1-PDU-05"='각층분기별_유효전력량(전월)'!A2:A2020)*("[branch#004] [A] kWh last month"='각층분기별_유효전력량(전월)'!B2:B2020),0))</f>
        <v>1071.1</v>
      </c>
      <c r="AB116" s="3421" t="n">
        <f>SUM(Z116:AA126)</f>
        <v>2129.0</v>
      </c>
      <c r="AC116" s="2615" t="s">
        <v>4324</v>
      </c>
      <c r="AE116">
        <v>14.5</v>
      </c>
      <c r="AF116" s="1402" t="n">
        <f t="shared" si="12"/>
        <v>-0.35108722208237175</v>
      </c>
    </row>
    <row r="117" spans="1:32" x14ac:dyDescent="0.15">
      <c r="A117" s="3633"/>
      <c r="B117" s="2772" t="s">
        <v>1835</v>
      </c>
      <c r="C117" s="1168"/>
      <c r="D117" s="2765" t="s">
        <v>4325</v>
      </c>
      <c r="E117" s="3229"/>
      <c r="F117" s="3590"/>
      <c r="G117" s="3531"/>
      <c r="H117" s="3534"/>
      <c r="I117" s="3567"/>
      <c r="J117" s="3570"/>
      <c r="K117" s="3452"/>
      <c r="L117" s="3545"/>
      <c r="M117" s="3573"/>
      <c r="N117" s="3576"/>
      <c r="O117" s="3554"/>
      <c r="P117" s="3528"/>
      <c r="Q117" s="3603"/>
      <c r="R117" s="3244"/>
      <c r="S117" s="3229"/>
      <c r="T117" s="3244"/>
      <c r="U117" s="3229"/>
      <c r="V117" s="3244"/>
      <c r="W117" s="3608"/>
      <c r="X117" s="3606"/>
      <c r="Y117" s="3432"/>
      <c r="Z117" s="3610"/>
      <c r="AA117" s="3518"/>
      <c r="AB117" s="3419"/>
      <c r="AC117" s="2782" t="s">
        <v>4324</v>
      </c>
      <c r="AE117">
        <v>0</v>
      </c>
      <c r="AF117" s="1402" t="n">
        <f t="shared" si="12"/>
        <v>0.0</v>
      </c>
    </row>
    <row r="118" spans="1:32" x14ac:dyDescent="0.15">
      <c r="A118" s="3633"/>
      <c r="B118" s="2772" t="s">
        <v>1841</v>
      </c>
      <c r="C118" s="1168"/>
      <c r="D118" s="2765" t="s">
        <v>4326</v>
      </c>
      <c r="E118" s="3229"/>
      <c r="F118" s="3590"/>
      <c r="G118" s="3531"/>
      <c r="H118" s="3534"/>
      <c r="I118" s="3567"/>
      <c r="J118" s="3570"/>
      <c r="K118" s="3452"/>
      <c r="L118" s="3545"/>
      <c r="M118" s="3573"/>
      <c r="N118" s="3576"/>
      <c r="O118" s="3554"/>
      <c r="P118" s="3528"/>
      <c r="Q118" s="3603"/>
      <c r="R118" s="3244"/>
      <c r="S118" s="3229"/>
      <c r="T118" s="3244"/>
      <c r="U118" s="3229"/>
      <c r="V118" s="3244"/>
      <c r="W118" s="3608"/>
      <c r="X118" s="3606"/>
      <c r="Y118" s="3432"/>
      <c r="Z118" s="3610"/>
      <c r="AA118" s="3518"/>
      <c r="AB118" s="3419"/>
      <c r="AC118" s="2782" t="s">
        <v>4324</v>
      </c>
      <c r="AE118">
        <v>0</v>
      </c>
      <c r="AF118" s="1402" t="n">
        <f t="shared" si="12"/>
        <v>0.0</v>
      </c>
    </row>
    <row r="119" spans="1:32" x14ac:dyDescent="0.15">
      <c r="A119" s="3633"/>
      <c r="B119" s="2772" t="s">
        <v>1848</v>
      </c>
      <c r="C119" s="1168"/>
      <c r="D119" s="2765" t="s">
        <v>4327</v>
      </c>
      <c r="E119" s="3229"/>
      <c r="F119" s="3590"/>
      <c r="G119" s="3531"/>
      <c r="H119" s="3534"/>
      <c r="I119" s="3567"/>
      <c r="J119" s="3570"/>
      <c r="K119" s="3452"/>
      <c r="L119" s="3545"/>
      <c r="M119" s="3573"/>
      <c r="N119" s="3576"/>
      <c r="O119" s="3554"/>
      <c r="P119" s="3528"/>
      <c r="Q119" s="3603"/>
      <c r="R119" s="3244"/>
      <c r="S119" s="3229"/>
      <c r="T119" s="3244"/>
      <c r="U119" s="3229"/>
      <c r="V119" s="3244"/>
      <c r="W119" s="3608"/>
      <c r="X119" s="3606"/>
      <c r="Y119" s="3432"/>
      <c r="Z119" s="3610"/>
      <c r="AA119" s="3518"/>
      <c r="AB119" s="3419"/>
      <c r="AC119" s="2782"/>
      <c r="AE119">
        <v>0</v>
      </c>
      <c r="AF119" s="1402" t="n">
        <f t="shared" si="12"/>
        <v>0.0</v>
      </c>
    </row>
    <row r="120" spans="1:32" x14ac:dyDescent="0.15">
      <c r="A120" s="3633"/>
      <c r="B120" s="2772" t="s">
        <v>1854</v>
      </c>
      <c r="C120" s="1168"/>
      <c r="D120" s="2765" t="s">
        <v>4328</v>
      </c>
      <c r="E120" s="3229"/>
      <c r="F120" s="3590"/>
      <c r="G120" s="3531"/>
      <c r="H120" s="3534"/>
      <c r="I120" s="3567"/>
      <c r="J120" s="3570"/>
      <c r="K120" s="3452"/>
      <c r="L120" s="3545"/>
      <c r="M120" s="3573"/>
      <c r="N120" s="3576"/>
      <c r="O120" s="3554"/>
      <c r="P120" s="3528"/>
      <c r="Q120" s="3603"/>
      <c r="R120" s="3244"/>
      <c r="S120" s="3229"/>
      <c r="T120" s="3244"/>
      <c r="U120" s="3229"/>
      <c r="V120" s="3244"/>
      <c r="W120" s="3608"/>
      <c r="X120" s="3606"/>
      <c r="Y120" s="3432"/>
      <c r="Z120" s="3610"/>
      <c r="AA120" s="3518"/>
      <c r="AB120" s="3419"/>
      <c r="AC120" s="2782"/>
      <c r="AE120">
        <v>0</v>
      </c>
      <c r="AF120" s="1402" t="n">
        <f t="shared" si="12"/>
        <v>0.0</v>
      </c>
    </row>
    <row r="121" spans="1:32" x14ac:dyDescent="0.15">
      <c r="A121" s="3633"/>
      <c r="B121" s="2772" t="s">
        <v>1860</v>
      </c>
      <c r="C121" s="1168" t="s">
        <v>4220</v>
      </c>
      <c r="D121" s="2771" t="s">
        <v>4329</v>
      </c>
      <c r="E121" s="3229"/>
      <c r="F121" s="3590"/>
      <c r="G121" s="3531"/>
      <c r="H121" s="3534"/>
      <c r="I121" s="3567"/>
      <c r="J121" s="3570"/>
      <c r="K121" s="3452"/>
      <c r="L121" s="3545"/>
      <c r="M121" s="3573"/>
      <c r="N121" s="3576"/>
      <c r="O121" s="3554"/>
      <c r="P121" s="3528"/>
      <c r="Q121" s="3603"/>
      <c r="R121" s="3244"/>
      <c r="S121" s="3229"/>
      <c r="T121" s="3244"/>
      <c r="U121" s="3229"/>
      <c r="V121" s="3244"/>
      <c r="W121" s="3608"/>
      <c r="X121" s="3606"/>
      <c r="Y121" s="3432"/>
      <c r="Z121" s="3610"/>
      <c r="AA121" s="3518"/>
      <c r="AB121" s="3419"/>
      <c r="AC121" s="2782"/>
      <c r="AE121">
        <v>0</v>
      </c>
      <c r="AF121" s="1402" t="n">
        <f t="shared" si="12"/>
        <v>0.0</v>
      </c>
    </row>
    <row r="122" spans="1:32" x14ac:dyDescent="0.15">
      <c r="A122" s="3633"/>
      <c r="B122" s="2772" t="s">
        <v>1866</v>
      </c>
      <c r="C122" s="1168"/>
      <c r="D122" s="2765" t="s">
        <v>4330</v>
      </c>
      <c r="E122" s="3229"/>
      <c r="F122" s="3590"/>
      <c r="G122" s="3531"/>
      <c r="H122" s="3534"/>
      <c r="I122" s="3567"/>
      <c r="J122" s="3570"/>
      <c r="K122" s="3452"/>
      <c r="L122" s="3545"/>
      <c r="M122" s="3573"/>
      <c r="N122" s="3576"/>
      <c r="O122" s="3554"/>
      <c r="P122" s="3528"/>
      <c r="Q122" s="3603"/>
      <c r="R122" s="3244"/>
      <c r="S122" s="3229"/>
      <c r="T122" s="3244"/>
      <c r="U122" s="3229"/>
      <c r="V122" s="3244"/>
      <c r="W122" s="3608"/>
      <c r="X122" s="3606"/>
      <c r="Y122" s="3432"/>
      <c r="Z122" s="3610"/>
      <c r="AA122" s="3518"/>
      <c r="AB122" s="3419"/>
      <c r="AC122" s="2782"/>
      <c r="AE122">
        <v>0</v>
      </c>
      <c r="AF122" s="1402" t="n">
        <f t="shared" si="12"/>
        <v>0.0</v>
      </c>
    </row>
    <row r="123" spans="1:32" x14ac:dyDescent="0.15">
      <c r="A123" s="3633"/>
      <c r="B123" s="2772" t="s">
        <v>1872</v>
      </c>
      <c r="C123" s="1168" t="s">
        <v>4220</v>
      </c>
      <c r="D123" s="2771" t="s">
        <v>4331</v>
      </c>
      <c r="E123" s="3229"/>
      <c r="F123" s="3590"/>
      <c r="G123" s="3531"/>
      <c r="H123" s="3534"/>
      <c r="I123" s="3567"/>
      <c r="J123" s="3570"/>
      <c r="K123" s="3452"/>
      <c r="L123" s="3545"/>
      <c r="M123" s="3573"/>
      <c r="N123" s="3576"/>
      <c r="O123" s="3554"/>
      <c r="P123" s="3528"/>
      <c r="Q123" s="3603"/>
      <c r="R123" s="3244"/>
      <c r="S123" s="3229"/>
      <c r="T123" s="3244"/>
      <c r="U123" s="3229"/>
      <c r="V123" s="3244"/>
      <c r="W123" s="3608"/>
      <c r="X123" s="3606"/>
      <c r="Y123" s="3432"/>
      <c r="Z123" s="3610"/>
      <c r="AA123" s="3518"/>
      <c r="AB123" s="3419"/>
      <c r="AC123" s="2782"/>
      <c r="AE123">
        <v>0</v>
      </c>
      <c r="AF123" s="1402" t="n">
        <f t="shared" si="12"/>
        <v>0.0</v>
      </c>
    </row>
    <row r="124" spans="1:32" x14ac:dyDescent="0.15">
      <c r="A124" s="3633"/>
      <c r="B124" s="2772" t="s">
        <v>1878</v>
      </c>
      <c r="C124" s="1168" t="s">
        <v>4220</v>
      </c>
      <c r="D124" s="2771" t="s">
        <v>4332</v>
      </c>
      <c r="E124" s="3229"/>
      <c r="F124" s="3590"/>
      <c r="G124" s="3531"/>
      <c r="H124" s="3534"/>
      <c r="I124" s="3567"/>
      <c r="J124" s="3570"/>
      <c r="K124" s="3452"/>
      <c r="L124" s="3545"/>
      <c r="M124" s="3573"/>
      <c r="N124" s="3576"/>
      <c r="O124" s="3554"/>
      <c r="P124" s="3528"/>
      <c r="Q124" s="3603"/>
      <c r="R124" s="3244"/>
      <c r="S124" s="3229"/>
      <c r="T124" s="3244"/>
      <c r="U124" s="3229"/>
      <c r="V124" s="3244"/>
      <c r="W124" s="3608"/>
      <c r="X124" s="3606"/>
      <c r="Y124" s="3432"/>
      <c r="Z124" s="3610"/>
      <c r="AA124" s="3518"/>
      <c r="AB124" s="3419"/>
      <c r="AC124" s="2782"/>
      <c r="AE124">
        <v>0</v>
      </c>
      <c r="AF124" s="1402" t="n">
        <f t="shared" si="12"/>
        <v>0.0</v>
      </c>
    </row>
    <row r="125" spans="1:32" x14ac:dyDescent="0.15">
      <c r="A125" s="3633"/>
      <c r="B125" s="2772" t="s">
        <v>1884</v>
      </c>
      <c r="C125" s="1168"/>
      <c r="D125" s="2765" t="s">
        <v>4333</v>
      </c>
      <c r="E125" s="3229"/>
      <c r="F125" s="3590"/>
      <c r="G125" s="3531"/>
      <c r="H125" s="3534"/>
      <c r="I125" s="3567"/>
      <c r="J125" s="3570"/>
      <c r="K125" s="3452"/>
      <c r="L125" s="3545"/>
      <c r="M125" s="3573"/>
      <c r="N125" s="3576"/>
      <c r="O125" s="3554"/>
      <c r="P125" s="3528"/>
      <c r="Q125" s="3603"/>
      <c r="R125" s="3244"/>
      <c r="S125" s="3229"/>
      <c r="T125" s="3244"/>
      <c r="U125" s="3229"/>
      <c r="V125" s="3244"/>
      <c r="W125" s="3608"/>
      <c r="X125" s="3606"/>
      <c r="Y125" s="3432"/>
      <c r="Z125" s="3610"/>
      <c r="AA125" s="3518"/>
      <c r="AB125" s="3419"/>
      <c r="AC125" s="2782" t="s">
        <v>4324</v>
      </c>
      <c r="AE125">
        <v>0</v>
      </c>
      <c r="AF125" s="1402" t="n">
        <f t="shared" si="12"/>
        <v>0.0</v>
      </c>
    </row>
    <row r="126" spans="1:32" ht="14.25" thickBot="1" x14ac:dyDescent="0.2">
      <c r="A126" s="3634"/>
      <c r="B126" s="1158" t="s">
        <v>4334</v>
      </c>
      <c r="C126" s="1169"/>
      <c r="D126" s="2780" t="s">
        <v>4335</v>
      </c>
      <c r="E126" s="3228"/>
      <c r="F126" s="3591"/>
      <c r="G126" s="3557"/>
      <c r="H126" s="3558"/>
      <c r="I126" s="3568"/>
      <c r="J126" s="3571"/>
      <c r="K126" s="3561"/>
      <c r="L126" s="3562"/>
      <c r="M126" s="3574"/>
      <c r="N126" s="3577"/>
      <c r="O126" s="3565"/>
      <c r="P126" s="3529"/>
      <c r="Q126" s="3604"/>
      <c r="R126" s="3240"/>
      <c r="S126" s="3228"/>
      <c r="T126" s="3240"/>
      <c r="U126" s="3228"/>
      <c r="V126" s="3240"/>
      <c r="W126" s="3609"/>
      <c r="X126" s="3607"/>
      <c r="Y126" s="3443"/>
      <c r="Z126" s="3611"/>
      <c r="AA126" s="3519"/>
      <c r="AB126" s="3418"/>
      <c r="AC126" s="2616" t="s">
        <v>4324</v>
      </c>
      <c r="AE126">
        <v>0</v>
      </c>
      <c r="AF126" s="1402" t="n">
        <f t="shared" si="12"/>
        <v>0.0</v>
      </c>
    </row>
    <row r="127" spans="1:32" ht="14.25" thickTop="1" x14ac:dyDescent="0.15">
      <c r="A127" s="3632" t="s">
        <v>4336</v>
      </c>
      <c r="B127" s="1159"/>
      <c r="C127" s="1167"/>
      <c r="D127" s="331" t="s">
        <v>4337</v>
      </c>
      <c r="E127" s="3245" t="s">
        <v>4338</v>
      </c>
      <c r="F127" s="3589" t="s">
        <v>4339</v>
      </c>
      <c r="G127" s="3530" t="str">
        <f>"4-DaHall 1-PDU-"&amp;K127&amp;"-"&amp;J127&amp;"-"&amp;L127</f>
        <v>4-DaHall 1-PDU-06-100-5</v>
      </c>
      <c r="H127" s="3533" t="str">
        <f>"4-DaHall 1-PDU-"&amp;O127&amp;"-"&amp;N127&amp;"-"&amp;P127</f>
        <v>4-DaHall 1-PDU-05-100-5</v>
      </c>
      <c r="I127" s="3566">
        <v>220</v>
      </c>
      <c r="J127" s="3569">
        <v>100</v>
      </c>
      <c r="K127" s="3542" t="s">
        <v>6929</v>
      </c>
      <c r="L127" s="3544">
        <v>5</v>
      </c>
      <c r="M127" s="3572">
        <v>220</v>
      </c>
      <c r="N127" s="3575">
        <v>100</v>
      </c>
      <c r="O127" s="3553" t="s">
        <v>6918</v>
      </c>
      <c r="P127" s="3527">
        <v>5</v>
      </c>
      <c r="Q127" s="3602" t="s">
        <v>4274</v>
      </c>
      <c r="R127" s="3233" t="s">
        <v>4275</v>
      </c>
      <c r="S127" s="3245" t="s">
        <v>4276</v>
      </c>
      <c r="T127" s="3233" t="s">
        <v>4277</v>
      </c>
      <c r="U127" s="3245" t="s">
        <v>4110</v>
      </c>
      <c r="V127" s="3233" t="s">
        <v>4117</v>
      </c>
      <c r="W127" s="3595" t="n">
        <f>SUM('4층_부하량(월간_AVG)'!D23:F23)</f>
        <v>0.0</v>
      </c>
      <c r="X127" s="3597" t="n">
        <f>SUM('4층_부하량(월간_AVG)'!N52:P52)</f>
        <v>0.0</v>
      </c>
      <c r="Y127" s="3599" t="n">
        <f>SUM(W127:X127)</f>
        <v>0.0</v>
      </c>
      <c r="Z127" s="3600" t="n" cm="1">
        <f t="array" ref="Z127">INDEX('각층분기별_유효전력량(전월)'!C2:C2020,MATCH(1,("4-DaHall 1-PDU-06"='각층분기별_유효전력량(전월)'!A2:A2020)*("[branch#005] [A] kWh last month"='각층분기별_유효전력량(전월)'!B2:B2020),0))</f>
        <v>1004.6</v>
      </c>
      <c r="AA127" s="3517" t="n" cm="1">
        <f t="array" ref="AA127">INDEX('각층분기별_유효전력량(전월)'!C2:C2020,MATCH(1,("4-DaHall 1-PDU-05"='각층분기별_유효전력량(전월)'!A2:A2020)*("[branch#005] [A] kWh last month"='각층분기별_유효전력량(전월)'!B2:B2020),0))</f>
        <v>941.5</v>
      </c>
      <c r="AB127" s="3421" t="n">
        <f>SUM(Z127:AA134)</f>
        <v>1946.1</v>
      </c>
      <c r="AC127" s="2615" t="s">
        <v>4340</v>
      </c>
      <c r="AE127">
        <v>35.5</v>
      </c>
      <c r="AF127" s="1402" t="n">
        <f t="shared" si="12"/>
        <v>-35.5</v>
      </c>
    </row>
    <row r="128" spans="1:32" x14ac:dyDescent="0.15">
      <c r="A128" s="3633"/>
      <c r="B128" s="1160"/>
      <c r="C128" s="1168"/>
      <c r="D128" s="2765" t="s">
        <v>4341</v>
      </c>
      <c r="E128" s="3229"/>
      <c r="F128" s="3590"/>
      <c r="G128" s="3531"/>
      <c r="H128" s="3534"/>
      <c r="I128" s="3567"/>
      <c r="J128" s="3570"/>
      <c r="K128" s="3452"/>
      <c r="L128" s="3545"/>
      <c r="M128" s="3573"/>
      <c r="N128" s="3576"/>
      <c r="O128" s="3554"/>
      <c r="P128" s="3528"/>
      <c r="Q128" s="3603"/>
      <c r="R128" s="3244"/>
      <c r="S128" s="3229"/>
      <c r="T128" s="3244"/>
      <c r="U128" s="3229"/>
      <c r="V128" s="3244"/>
      <c r="W128" s="3608"/>
      <c r="X128" s="3606"/>
      <c r="Y128" s="3432"/>
      <c r="Z128" s="3610"/>
      <c r="AA128" s="3518"/>
      <c r="AB128" s="3419"/>
      <c r="AC128" s="2782" t="s">
        <v>4340</v>
      </c>
      <c r="AE128">
        <v>0</v>
      </c>
      <c r="AF128" s="1402" t="n">
        <f t="shared" si="12"/>
        <v>0.0</v>
      </c>
    </row>
    <row r="129" spans="1:32" x14ac:dyDescent="0.15">
      <c r="A129" s="3633"/>
      <c r="B129" s="1160"/>
      <c r="C129" s="1168"/>
      <c r="D129" s="2765" t="s">
        <v>4342</v>
      </c>
      <c r="E129" s="3229"/>
      <c r="F129" s="3590"/>
      <c r="G129" s="3531"/>
      <c r="H129" s="3534"/>
      <c r="I129" s="3567"/>
      <c r="J129" s="3570"/>
      <c r="K129" s="3452"/>
      <c r="L129" s="3545"/>
      <c r="M129" s="3573"/>
      <c r="N129" s="3576"/>
      <c r="O129" s="3554"/>
      <c r="P129" s="3528"/>
      <c r="Q129" s="3603"/>
      <c r="R129" s="3244"/>
      <c r="S129" s="3229"/>
      <c r="T129" s="3244"/>
      <c r="U129" s="3229"/>
      <c r="V129" s="3244"/>
      <c r="W129" s="3608"/>
      <c r="X129" s="3606"/>
      <c r="Y129" s="3432"/>
      <c r="Z129" s="3610"/>
      <c r="AA129" s="3518"/>
      <c r="AB129" s="3419"/>
      <c r="AC129" s="2782" t="s">
        <v>4340</v>
      </c>
      <c r="AE129">
        <v>0</v>
      </c>
      <c r="AF129" s="1402" t="n">
        <f t="shared" si="12"/>
        <v>0.0</v>
      </c>
    </row>
    <row r="130" spans="1:32" x14ac:dyDescent="0.15">
      <c r="A130" s="3633"/>
      <c r="B130" s="1160"/>
      <c r="C130" s="1168"/>
      <c r="D130" s="2765" t="s">
        <v>4343</v>
      </c>
      <c r="E130" s="3229"/>
      <c r="F130" s="3590"/>
      <c r="G130" s="3531"/>
      <c r="H130" s="3534"/>
      <c r="I130" s="3567"/>
      <c r="J130" s="3570"/>
      <c r="K130" s="3452"/>
      <c r="L130" s="3545"/>
      <c r="M130" s="3573"/>
      <c r="N130" s="3576"/>
      <c r="O130" s="3554"/>
      <c r="P130" s="3528"/>
      <c r="Q130" s="3603"/>
      <c r="R130" s="3244"/>
      <c r="S130" s="3229"/>
      <c r="T130" s="3244"/>
      <c r="U130" s="3229"/>
      <c r="V130" s="3244"/>
      <c r="W130" s="3608"/>
      <c r="X130" s="3606"/>
      <c r="Y130" s="3432"/>
      <c r="Z130" s="3610"/>
      <c r="AA130" s="3518"/>
      <c r="AB130" s="3419"/>
      <c r="AC130" s="2782" t="s">
        <v>4340</v>
      </c>
      <c r="AE130">
        <v>0</v>
      </c>
      <c r="AF130" s="1402" t="n">
        <f t="shared" si="12"/>
        <v>0.0</v>
      </c>
    </row>
    <row r="131" spans="1:32" x14ac:dyDescent="0.15">
      <c r="A131" s="3633"/>
      <c r="B131" s="1160" t="s">
        <v>4344</v>
      </c>
      <c r="C131" s="1168" t="s">
        <v>4345</v>
      </c>
      <c r="D131" s="1011" t="s">
        <v>4346</v>
      </c>
      <c r="E131" s="3229"/>
      <c r="F131" s="3590"/>
      <c r="G131" s="3531"/>
      <c r="H131" s="3534"/>
      <c r="I131" s="3567"/>
      <c r="J131" s="3570"/>
      <c r="K131" s="3452"/>
      <c r="L131" s="3545"/>
      <c r="M131" s="3573"/>
      <c r="N131" s="3576"/>
      <c r="O131" s="3554"/>
      <c r="P131" s="3528"/>
      <c r="Q131" s="3603"/>
      <c r="R131" s="3244"/>
      <c r="S131" s="3229"/>
      <c r="T131" s="3244"/>
      <c r="U131" s="3229"/>
      <c r="V131" s="3244"/>
      <c r="W131" s="3608"/>
      <c r="X131" s="3606"/>
      <c r="Y131" s="3432"/>
      <c r="Z131" s="3610"/>
      <c r="AA131" s="3518"/>
      <c r="AB131" s="3419"/>
      <c r="AC131" s="2583" t="s">
        <v>4347</v>
      </c>
      <c r="AE131">
        <v>0</v>
      </c>
      <c r="AF131" s="1402" t="n">
        <f t="shared" si="12"/>
        <v>0.0</v>
      </c>
    </row>
    <row r="132" spans="1:32" ht="27" x14ac:dyDescent="0.15">
      <c r="A132" s="3633"/>
      <c r="B132" s="1160" t="s">
        <v>4348</v>
      </c>
      <c r="C132" s="1168" t="s">
        <v>4349</v>
      </c>
      <c r="D132" s="1011" t="s">
        <v>4350</v>
      </c>
      <c r="E132" s="3229"/>
      <c r="F132" s="3590"/>
      <c r="G132" s="3531"/>
      <c r="H132" s="3534"/>
      <c r="I132" s="3567"/>
      <c r="J132" s="3570"/>
      <c r="K132" s="3452"/>
      <c r="L132" s="3545"/>
      <c r="M132" s="3573"/>
      <c r="N132" s="3576"/>
      <c r="O132" s="3554"/>
      <c r="P132" s="3528"/>
      <c r="Q132" s="3603"/>
      <c r="R132" s="3244"/>
      <c r="S132" s="3229"/>
      <c r="T132" s="3244"/>
      <c r="U132" s="3229"/>
      <c r="V132" s="3244"/>
      <c r="W132" s="3608"/>
      <c r="X132" s="3606"/>
      <c r="Y132" s="3432"/>
      <c r="Z132" s="3610"/>
      <c r="AA132" s="3518"/>
      <c r="AB132" s="3419"/>
      <c r="AC132" s="2617" t="s">
        <v>4351</v>
      </c>
      <c r="AE132">
        <v>0</v>
      </c>
      <c r="AF132" s="1402" t="n">
        <f t="shared" si="12"/>
        <v>0.0</v>
      </c>
    </row>
    <row r="133" spans="1:32" ht="27" x14ac:dyDescent="0.15">
      <c r="A133" s="3633"/>
      <c r="B133" s="1160" t="s">
        <v>3666</v>
      </c>
      <c r="C133" s="1168" t="s">
        <v>4349</v>
      </c>
      <c r="D133" s="1011" t="s">
        <v>4352</v>
      </c>
      <c r="E133" s="3229"/>
      <c r="F133" s="3590"/>
      <c r="G133" s="3531"/>
      <c r="H133" s="3534"/>
      <c r="I133" s="3567"/>
      <c r="J133" s="3570"/>
      <c r="K133" s="3452"/>
      <c r="L133" s="3545"/>
      <c r="M133" s="3573"/>
      <c r="N133" s="3576"/>
      <c r="O133" s="3554"/>
      <c r="P133" s="3528"/>
      <c r="Q133" s="3603"/>
      <c r="R133" s="3244"/>
      <c r="S133" s="3229"/>
      <c r="T133" s="3244"/>
      <c r="U133" s="3229"/>
      <c r="V133" s="3244"/>
      <c r="W133" s="3608"/>
      <c r="X133" s="3606"/>
      <c r="Y133" s="3432"/>
      <c r="Z133" s="3610"/>
      <c r="AA133" s="3518"/>
      <c r="AB133" s="3419"/>
      <c r="AC133" s="2617" t="s">
        <v>4353</v>
      </c>
      <c r="AE133">
        <v>0</v>
      </c>
      <c r="AF133" s="1402" t="n">
        <f t="shared" si="12"/>
        <v>0.0</v>
      </c>
    </row>
    <row r="134" spans="1:32" ht="14.25" thickBot="1" x14ac:dyDescent="0.2">
      <c r="A134" s="3634"/>
      <c r="B134" s="1158" t="s">
        <v>3669</v>
      </c>
      <c r="C134" s="1169" t="s">
        <v>4349</v>
      </c>
      <c r="D134" s="1161" t="s">
        <v>4354</v>
      </c>
      <c r="E134" s="3228"/>
      <c r="F134" s="3591"/>
      <c r="G134" s="3557"/>
      <c r="H134" s="3558"/>
      <c r="I134" s="3568"/>
      <c r="J134" s="3571"/>
      <c r="K134" s="3561"/>
      <c r="L134" s="3562"/>
      <c r="M134" s="3574"/>
      <c r="N134" s="3577"/>
      <c r="O134" s="3565"/>
      <c r="P134" s="3529"/>
      <c r="Q134" s="3604"/>
      <c r="R134" s="3240"/>
      <c r="S134" s="3228"/>
      <c r="T134" s="3240"/>
      <c r="U134" s="3228"/>
      <c r="V134" s="3240"/>
      <c r="W134" s="3609"/>
      <c r="X134" s="3607"/>
      <c r="Y134" s="3443"/>
      <c r="Z134" s="3611"/>
      <c r="AA134" s="3519"/>
      <c r="AB134" s="3418"/>
      <c r="AC134" s="2618" t="s">
        <v>4355</v>
      </c>
      <c r="AE134">
        <v>0</v>
      </c>
      <c r="AF134" s="1402" t="n">
        <f t="shared" ref="AF134:AF197" si="18">Y134-AE134</f>
        <v>0.0</v>
      </c>
    </row>
    <row r="135" spans="1:32" ht="14.25" thickTop="1" x14ac:dyDescent="0.15">
      <c r="A135" s="3578" t="s">
        <v>4356</v>
      </c>
      <c r="B135" s="1159" t="s">
        <v>4357</v>
      </c>
      <c r="C135" s="1167" t="s">
        <v>4345</v>
      </c>
      <c r="D135" s="2805" t="s">
        <v>4358</v>
      </c>
      <c r="E135" s="3245" t="s">
        <v>4359</v>
      </c>
      <c r="F135" s="3589" t="s">
        <v>4360</v>
      </c>
      <c r="G135" s="3530" t="str">
        <f>"4-DaHall 1-PDU-"&amp;K135&amp;"-"&amp;J135&amp;"-"&amp;L135</f>
        <v>4-DaHall 1-PDU-06-100-6</v>
      </c>
      <c r="H135" s="3533" t="str">
        <f>"4-DaHall 1-PDU-"&amp;O135&amp;"-"&amp;N135&amp;"-"&amp;P135</f>
        <v>4-DaHall 1-PDU-05-100-6</v>
      </c>
      <c r="I135" s="3566">
        <v>220</v>
      </c>
      <c r="J135" s="3569">
        <v>100</v>
      </c>
      <c r="K135" s="3542" t="s">
        <v>6929</v>
      </c>
      <c r="L135" s="3544">
        <v>6</v>
      </c>
      <c r="M135" s="3572">
        <v>220</v>
      </c>
      <c r="N135" s="3575">
        <v>100</v>
      </c>
      <c r="O135" s="3553" t="s">
        <v>6918</v>
      </c>
      <c r="P135" s="3527">
        <v>6</v>
      </c>
      <c r="Q135" s="3602" t="s">
        <v>4274</v>
      </c>
      <c r="R135" s="3233" t="s">
        <v>4275</v>
      </c>
      <c r="S135" s="3245" t="s">
        <v>4276</v>
      </c>
      <c r="T135" s="3233" t="s">
        <v>4277</v>
      </c>
      <c r="U135" s="3245" t="s">
        <v>4110</v>
      </c>
      <c r="V135" s="3233" t="s">
        <v>4117</v>
      </c>
      <c r="W135" s="3595" t="n">
        <f>SUM('4층_부하량(월간_AVG)'!D24:F24)</f>
        <v>0.0</v>
      </c>
      <c r="X135" s="3597" t="n">
        <f>SUM('4층_부하량(월간_AVG)'!N53:P53)</f>
        <v>12.862828036043984</v>
      </c>
      <c r="Y135" s="3599" t="n">
        <f t="shared" ref="Y135" si="19">SUM(W135:X135)</f>
        <v>12.862828036043984</v>
      </c>
      <c r="Z135" s="3600" t="n" cm="1">
        <f t="array" ref="Z135">INDEX('각층분기별_유효전력량(전월)'!C2:C2020,MATCH(1,("4-DaHall 1-PDU-06"='각층분기별_유효전력량(전월)'!A2:A2020)*("[branch#006] [A] kWh last month"='각층분기별_유효전력량(전월)'!B2:B2020),0))</f>
        <v>713.7</v>
      </c>
      <c r="AA135" s="3517" t="n" cm="1">
        <f t="array" ref="AA135">INDEX('각층분기별_유효전력량(전월)'!C2:C2020,MATCH(1,("4-DaHall 1-PDU-05"='각층분기별_유효전력량(전월)'!A2:A2020)*("[branch#006] [A] kWh last month"='각층분기별_유효전력량(전월)'!B2:B2020),0))</f>
        <v>2206.1</v>
      </c>
      <c r="AB135" s="3421" t="n">
        <f>SUM(Z135:AA146)</f>
        <v>2919.8</v>
      </c>
      <c r="AC135" s="2619" t="s">
        <v>4361</v>
      </c>
      <c r="AE135">
        <v>36.299999999999997</v>
      </c>
      <c r="AF135" s="1402" t="n">
        <f t="shared" si="18"/>
        <v>-23.43717196395601</v>
      </c>
    </row>
    <row r="136" spans="1:32" x14ac:dyDescent="0.15">
      <c r="A136" s="3579"/>
      <c r="B136" s="1160" t="s">
        <v>4362</v>
      </c>
      <c r="C136" s="1168" t="s">
        <v>4345</v>
      </c>
      <c r="D136" s="1011" t="s">
        <v>4354</v>
      </c>
      <c r="E136" s="3229"/>
      <c r="F136" s="3590"/>
      <c r="G136" s="3531"/>
      <c r="H136" s="3534"/>
      <c r="I136" s="3567"/>
      <c r="J136" s="3570"/>
      <c r="K136" s="3452"/>
      <c r="L136" s="3545"/>
      <c r="M136" s="3573"/>
      <c r="N136" s="3576"/>
      <c r="O136" s="3554"/>
      <c r="P136" s="3528"/>
      <c r="Q136" s="3603"/>
      <c r="R136" s="3244"/>
      <c r="S136" s="3229"/>
      <c r="T136" s="3244"/>
      <c r="U136" s="3229"/>
      <c r="V136" s="3244"/>
      <c r="W136" s="3608"/>
      <c r="X136" s="3606"/>
      <c r="Y136" s="3432"/>
      <c r="Z136" s="3610"/>
      <c r="AA136" s="3518"/>
      <c r="AB136" s="3419"/>
      <c r="AC136" s="2583" t="s">
        <v>4363</v>
      </c>
      <c r="AE136">
        <v>0</v>
      </c>
      <c r="AF136" s="1402" t="n">
        <f t="shared" si="18"/>
        <v>0.0</v>
      </c>
    </row>
    <row r="137" spans="1:32" x14ac:dyDescent="0.15">
      <c r="A137" s="3579"/>
      <c r="B137" s="1160" t="s">
        <v>182</v>
      </c>
      <c r="C137" s="1168" t="s">
        <v>4364</v>
      </c>
      <c r="D137" s="2771" t="s">
        <v>4365</v>
      </c>
      <c r="E137" s="3229"/>
      <c r="F137" s="3590"/>
      <c r="G137" s="3531"/>
      <c r="H137" s="3534"/>
      <c r="I137" s="3567"/>
      <c r="J137" s="3570"/>
      <c r="K137" s="3452"/>
      <c r="L137" s="3545"/>
      <c r="M137" s="3573"/>
      <c r="N137" s="3576"/>
      <c r="O137" s="3554"/>
      <c r="P137" s="3528"/>
      <c r="Q137" s="3603"/>
      <c r="R137" s="3244"/>
      <c r="S137" s="3229"/>
      <c r="T137" s="3244"/>
      <c r="U137" s="3229"/>
      <c r="V137" s="3244"/>
      <c r="W137" s="3608"/>
      <c r="X137" s="3606"/>
      <c r="Y137" s="3432"/>
      <c r="Z137" s="3610"/>
      <c r="AA137" s="3518"/>
      <c r="AB137" s="3419"/>
      <c r="AC137" s="2583"/>
      <c r="AE137">
        <v>0</v>
      </c>
      <c r="AF137" s="1402" t="n">
        <f t="shared" si="18"/>
        <v>0.0</v>
      </c>
    </row>
    <row r="138" spans="1:32" ht="33.75" x14ac:dyDescent="0.15">
      <c r="A138" s="3579"/>
      <c r="B138" s="1160" t="s">
        <v>4366</v>
      </c>
      <c r="C138" s="1168" t="s">
        <v>4367</v>
      </c>
      <c r="D138" s="2771" t="s">
        <v>4368</v>
      </c>
      <c r="E138" s="3229"/>
      <c r="F138" s="3590"/>
      <c r="G138" s="3531"/>
      <c r="H138" s="3534"/>
      <c r="I138" s="3567"/>
      <c r="J138" s="3570"/>
      <c r="K138" s="3452"/>
      <c r="L138" s="3545"/>
      <c r="M138" s="3573"/>
      <c r="N138" s="3576"/>
      <c r="O138" s="3554"/>
      <c r="P138" s="3528"/>
      <c r="Q138" s="3603"/>
      <c r="R138" s="3244"/>
      <c r="S138" s="3229"/>
      <c r="T138" s="3244"/>
      <c r="U138" s="3229"/>
      <c r="V138" s="3244"/>
      <c r="W138" s="3608"/>
      <c r="X138" s="3606"/>
      <c r="Y138" s="3432"/>
      <c r="Z138" s="3610"/>
      <c r="AA138" s="3518"/>
      <c r="AB138" s="3419"/>
      <c r="AC138" s="2583"/>
      <c r="AE138">
        <v>0</v>
      </c>
      <c r="AF138" s="1402" t="n">
        <f t="shared" si="18"/>
        <v>0.0</v>
      </c>
    </row>
    <row r="139" spans="1:32" x14ac:dyDescent="0.15">
      <c r="A139" s="3579"/>
      <c r="B139" s="1160" t="s">
        <v>4369</v>
      </c>
      <c r="C139" s="1168" t="s">
        <v>4370</v>
      </c>
      <c r="D139" s="2771" t="s">
        <v>4371</v>
      </c>
      <c r="E139" s="3229"/>
      <c r="F139" s="3590"/>
      <c r="G139" s="3531"/>
      <c r="H139" s="3534"/>
      <c r="I139" s="3567"/>
      <c r="J139" s="3570"/>
      <c r="K139" s="3452"/>
      <c r="L139" s="3545"/>
      <c r="M139" s="3573"/>
      <c r="N139" s="3576"/>
      <c r="O139" s="3554"/>
      <c r="P139" s="3528"/>
      <c r="Q139" s="3603"/>
      <c r="R139" s="3244"/>
      <c r="S139" s="3229"/>
      <c r="T139" s="3244"/>
      <c r="U139" s="3229"/>
      <c r="V139" s="3244"/>
      <c r="W139" s="3608"/>
      <c r="X139" s="3606"/>
      <c r="Y139" s="3432"/>
      <c r="Z139" s="3610"/>
      <c r="AA139" s="3518"/>
      <c r="AB139" s="3419"/>
      <c r="AC139" s="2611"/>
      <c r="AE139">
        <v>0</v>
      </c>
      <c r="AF139" s="1402" t="n">
        <f t="shared" si="18"/>
        <v>0.0</v>
      </c>
    </row>
    <row r="140" spans="1:32" x14ac:dyDescent="0.15">
      <c r="A140" s="3579"/>
      <c r="B140" s="1160" t="s">
        <v>4372</v>
      </c>
      <c r="C140" s="1168" t="s">
        <v>4373</v>
      </c>
      <c r="D140" s="2771" t="s">
        <v>4374</v>
      </c>
      <c r="E140" s="3229"/>
      <c r="F140" s="3590"/>
      <c r="G140" s="3531"/>
      <c r="H140" s="3534"/>
      <c r="I140" s="3567"/>
      <c r="J140" s="3570"/>
      <c r="K140" s="3452"/>
      <c r="L140" s="3545"/>
      <c r="M140" s="3573"/>
      <c r="N140" s="3576"/>
      <c r="O140" s="3554"/>
      <c r="P140" s="3528"/>
      <c r="Q140" s="3603"/>
      <c r="R140" s="3244"/>
      <c r="S140" s="3229"/>
      <c r="T140" s="3244"/>
      <c r="U140" s="3229"/>
      <c r="V140" s="3244"/>
      <c r="W140" s="3608"/>
      <c r="X140" s="3606"/>
      <c r="Y140" s="3432"/>
      <c r="Z140" s="3610"/>
      <c r="AA140" s="3518"/>
      <c r="AB140" s="3419"/>
      <c r="AC140" s="2611"/>
      <c r="AE140">
        <v>0</v>
      </c>
      <c r="AF140" s="1402" t="n">
        <f t="shared" si="18"/>
        <v>0.0</v>
      </c>
    </row>
    <row r="141" spans="1:32" ht="22.5" x14ac:dyDescent="0.15">
      <c r="A141" s="3579"/>
      <c r="B141" s="1160" t="s">
        <v>4375</v>
      </c>
      <c r="C141" s="1168" t="s">
        <v>4376</v>
      </c>
      <c r="D141" s="2771" t="s">
        <v>4377</v>
      </c>
      <c r="E141" s="3229"/>
      <c r="F141" s="3590"/>
      <c r="G141" s="3531"/>
      <c r="H141" s="3534"/>
      <c r="I141" s="3567"/>
      <c r="J141" s="3570"/>
      <c r="K141" s="3452"/>
      <c r="L141" s="3545"/>
      <c r="M141" s="3573"/>
      <c r="N141" s="3576"/>
      <c r="O141" s="3554"/>
      <c r="P141" s="3528"/>
      <c r="Q141" s="3603"/>
      <c r="R141" s="3244"/>
      <c r="S141" s="3229"/>
      <c r="T141" s="3244"/>
      <c r="U141" s="3229"/>
      <c r="V141" s="3244"/>
      <c r="W141" s="3608"/>
      <c r="X141" s="3606"/>
      <c r="Y141" s="3432"/>
      <c r="Z141" s="3610"/>
      <c r="AA141" s="3518"/>
      <c r="AB141" s="3419"/>
      <c r="AC141" s="2611"/>
      <c r="AE141">
        <v>0</v>
      </c>
      <c r="AF141" s="1402" t="n">
        <f t="shared" si="18"/>
        <v>0.0</v>
      </c>
    </row>
    <row r="142" spans="1:32" x14ac:dyDescent="0.15">
      <c r="A142" s="3579"/>
      <c r="B142" s="1160" t="s">
        <v>4378</v>
      </c>
      <c r="C142" s="1168" t="s">
        <v>4379</v>
      </c>
      <c r="D142" s="2771" t="s">
        <v>4380</v>
      </c>
      <c r="E142" s="3229"/>
      <c r="F142" s="3590"/>
      <c r="G142" s="3531"/>
      <c r="H142" s="3534"/>
      <c r="I142" s="3567"/>
      <c r="J142" s="3570"/>
      <c r="K142" s="3452"/>
      <c r="L142" s="3545"/>
      <c r="M142" s="3573"/>
      <c r="N142" s="3576"/>
      <c r="O142" s="3554"/>
      <c r="P142" s="3528"/>
      <c r="Q142" s="3603"/>
      <c r="R142" s="3244"/>
      <c r="S142" s="3229"/>
      <c r="T142" s="3244"/>
      <c r="U142" s="3229"/>
      <c r="V142" s="3244"/>
      <c r="W142" s="3608"/>
      <c r="X142" s="3606"/>
      <c r="Y142" s="3432"/>
      <c r="Z142" s="3610"/>
      <c r="AA142" s="3518"/>
      <c r="AB142" s="3419"/>
      <c r="AC142" s="2611"/>
      <c r="AE142">
        <v>0</v>
      </c>
      <c r="AF142" s="1402" t="n">
        <f t="shared" si="18"/>
        <v>0.0</v>
      </c>
    </row>
    <row r="143" spans="1:32" x14ac:dyDescent="0.15">
      <c r="A143" s="3579"/>
      <c r="B143" s="1160" t="s">
        <v>4381</v>
      </c>
      <c r="C143" s="1168"/>
      <c r="D143" s="2765" t="s">
        <v>4382</v>
      </c>
      <c r="E143" s="3229"/>
      <c r="F143" s="3590"/>
      <c r="G143" s="3531"/>
      <c r="H143" s="3534"/>
      <c r="I143" s="3567"/>
      <c r="J143" s="3570"/>
      <c r="K143" s="3452"/>
      <c r="L143" s="3545"/>
      <c r="M143" s="3573"/>
      <c r="N143" s="3576"/>
      <c r="O143" s="3554"/>
      <c r="P143" s="3528"/>
      <c r="Q143" s="3603"/>
      <c r="R143" s="3244"/>
      <c r="S143" s="3229"/>
      <c r="T143" s="3244"/>
      <c r="U143" s="3229"/>
      <c r="V143" s="3244"/>
      <c r="W143" s="3608"/>
      <c r="X143" s="3606"/>
      <c r="Y143" s="3432"/>
      <c r="Z143" s="3610"/>
      <c r="AA143" s="3518"/>
      <c r="AB143" s="3419"/>
      <c r="AC143" s="2611"/>
      <c r="AE143">
        <v>0</v>
      </c>
      <c r="AF143" s="1402" t="n">
        <f t="shared" si="18"/>
        <v>0.0</v>
      </c>
    </row>
    <row r="144" spans="1:32" ht="22.5" x14ac:dyDescent="0.15">
      <c r="A144" s="3579"/>
      <c r="B144" s="1160" t="s">
        <v>4383</v>
      </c>
      <c r="C144" s="1168" t="s">
        <v>4376</v>
      </c>
      <c r="D144" s="2771" t="s">
        <v>4384</v>
      </c>
      <c r="E144" s="3229"/>
      <c r="F144" s="3590"/>
      <c r="G144" s="3531"/>
      <c r="H144" s="3534"/>
      <c r="I144" s="3567"/>
      <c r="J144" s="3570"/>
      <c r="K144" s="3452"/>
      <c r="L144" s="3545"/>
      <c r="M144" s="3573"/>
      <c r="N144" s="3576"/>
      <c r="O144" s="3554"/>
      <c r="P144" s="3528"/>
      <c r="Q144" s="3603"/>
      <c r="R144" s="3244"/>
      <c r="S144" s="3229"/>
      <c r="T144" s="3244"/>
      <c r="U144" s="3229"/>
      <c r="V144" s="3244"/>
      <c r="W144" s="3608"/>
      <c r="X144" s="3606"/>
      <c r="Y144" s="3432"/>
      <c r="Z144" s="3610"/>
      <c r="AA144" s="3518"/>
      <c r="AB144" s="3419"/>
      <c r="AC144" s="2611"/>
      <c r="AE144">
        <v>0</v>
      </c>
      <c r="AF144" s="1402" t="n">
        <f t="shared" si="18"/>
        <v>0.0</v>
      </c>
    </row>
    <row r="145" spans="1:32" ht="22.5" x14ac:dyDescent="0.15">
      <c r="A145" s="3579"/>
      <c r="B145" s="1160" t="s">
        <v>4385</v>
      </c>
      <c r="C145" s="1168" t="s">
        <v>4386</v>
      </c>
      <c r="D145" s="2771" t="s">
        <v>4387</v>
      </c>
      <c r="E145" s="3229"/>
      <c r="F145" s="3590"/>
      <c r="G145" s="3531"/>
      <c r="H145" s="3534"/>
      <c r="I145" s="3567"/>
      <c r="J145" s="3570"/>
      <c r="K145" s="3452"/>
      <c r="L145" s="3545"/>
      <c r="M145" s="3573"/>
      <c r="N145" s="3576"/>
      <c r="O145" s="3554"/>
      <c r="P145" s="3528"/>
      <c r="Q145" s="3603"/>
      <c r="R145" s="3244"/>
      <c r="S145" s="3229"/>
      <c r="T145" s="3244"/>
      <c r="U145" s="3229"/>
      <c r="V145" s="3244"/>
      <c r="W145" s="3608"/>
      <c r="X145" s="3606"/>
      <c r="Y145" s="3432"/>
      <c r="Z145" s="3610"/>
      <c r="AA145" s="3518"/>
      <c r="AB145" s="3419"/>
      <c r="AC145" s="2611"/>
      <c r="AE145">
        <v>0</v>
      </c>
      <c r="AF145" s="1402" t="n">
        <f t="shared" si="18"/>
        <v>0.0</v>
      </c>
    </row>
    <row r="146" spans="1:32" ht="14.25" thickBot="1" x14ac:dyDescent="0.2">
      <c r="A146" s="3286"/>
      <c r="B146" s="1158" t="s">
        <v>4388</v>
      </c>
      <c r="C146" s="1169" t="s">
        <v>4389</v>
      </c>
      <c r="D146" s="2792" t="s">
        <v>4390</v>
      </c>
      <c r="E146" s="3228"/>
      <c r="F146" s="3591"/>
      <c r="G146" s="3557"/>
      <c r="H146" s="3558"/>
      <c r="I146" s="3568"/>
      <c r="J146" s="3571"/>
      <c r="K146" s="3561"/>
      <c r="L146" s="3562"/>
      <c r="M146" s="3574"/>
      <c r="N146" s="3577"/>
      <c r="O146" s="3565"/>
      <c r="P146" s="3529"/>
      <c r="Q146" s="3604"/>
      <c r="R146" s="3240"/>
      <c r="S146" s="3228"/>
      <c r="T146" s="3240"/>
      <c r="U146" s="3228"/>
      <c r="V146" s="3240"/>
      <c r="W146" s="3609"/>
      <c r="X146" s="3607"/>
      <c r="Y146" s="3443"/>
      <c r="Z146" s="3611"/>
      <c r="AA146" s="3519"/>
      <c r="AB146" s="3418"/>
      <c r="AC146" s="2612"/>
      <c r="AE146">
        <v>0</v>
      </c>
      <c r="AF146" s="1402" t="n">
        <f t="shared" si="18"/>
        <v>0.0</v>
      </c>
    </row>
    <row r="147" spans="1:32" ht="14.25" thickTop="1" x14ac:dyDescent="0.15">
      <c r="A147" s="3578" t="s">
        <v>4391</v>
      </c>
      <c r="B147" s="1159" t="s">
        <v>378</v>
      </c>
      <c r="C147" s="1167"/>
      <c r="D147" s="331" t="s">
        <v>4392</v>
      </c>
      <c r="E147" s="3245" t="s">
        <v>4393</v>
      </c>
      <c r="F147" s="3589" t="s">
        <v>4394</v>
      </c>
      <c r="G147" s="3530" t="str">
        <f>"4-DaHall 1-PDU-"&amp;K147&amp;"-"&amp;J147&amp;"-"&amp;L147</f>
        <v>4-DaHall 1-PDU-06-100-7</v>
      </c>
      <c r="H147" s="3533" t="str">
        <f>"4-DaHall 1-PDU-"&amp;O147&amp;"-"&amp;N147&amp;"-"&amp;P147</f>
        <v>4-DaHall 1-PDU-05-100-7</v>
      </c>
      <c r="I147" s="3566">
        <v>220</v>
      </c>
      <c r="J147" s="3569">
        <v>100</v>
      </c>
      <c r="K147" s="3542" t="s">
        <v>6929</v>
      </c>
      <c r="L147" s="3544">
        <v>7</v>
      </c>
      <c r="M147" s="3572">
        <v>220</v>
      </c>
      <c r="N147" s="3575">
        <v>100</v>
      </c>
      <c r="O147" s="3553" t="s">
        <v>6918</v>
      </c>
      <c r="P147" s="3527">
        <v>7</v>
      </c>
      <c r="Q147" s="3602" t="s">
        <v>4274</v>
      </c>
      <c r="R147" s="3233" t="s">
        <v>4275</v>
      </c>
      <c r="S147" s="3245" t="s">
        <v>4276</v>
      </c>
      <c r="T147" s="3233" t="s">
        <v>4277</v>
      </c>
      <c r="U147" s="3245" t="s">
        <v>4110</v>
      </c>
      <c r="V147" s="3233" t="s">
        <v>4117</v>
      </c>
      <c r="W147" s="3595" t="n">
        <f>SUM('4층_부하량(월간_AVG)'!D25:F25)</f>
        <v>8.367361959854698</v>
      </c>
      <c r="X147" s="3597" t="n">
        <f>SUM('4층_부하량(월간_AVG)'!N54:P54)</f>
        <v>6.508175819099416</v>
      </c>
      <c r="Y147" s="3599" t="n">
        <f t="shared" ref="Y147" si="20">SUM(W147:X147)</f>
        <v>14.875537778954115</v>
      </c>
      <c r="Z147" s="3600" t="n" cm="1">
        <f t="array" ref="Z147">INDEX('각층분기별_유효전력량(전월)'!C2:C2020,MATCH(1,("4-DaHall 1-PDU-06"='각층분기별_유효전력량(전월)'!A2:A2020)*("[branch#007] [A] kWh last month"='각층분기별_유효전력량(전월)'!B2:B2020),0))</f>
        <v>1321.8</v>
      </c>
      <c r="AA147" s="3517" t="n" cm="1">
        <f t="array" ref="AA147">INDEX('각층분기별_유효전력량(전월)'!C2:C2020,MATCH(1,("4-DaHall 1-PDU-05"='각층분기별_유효전력량(전월)'!A2:A2020)*("[branch#007] [A] kWh last month"='각층분기별_유효전력량(전월)'!B2:B2020),0))</f>
        <v>969.5</v>
      </c>
      <c r="AB147" s="3421" t="n">
        <f>SUM(Z147:AA156)</f>
        <v>2291.3</v>
      </c>
      <c r="AC147" s="2610"/>
      <c r="AE147">
        <v>15.7</v>
      </c>
      <c r="AF147" s="1402" t="n">
        <f t="shared" si="18"/>
        <v>-0.8244622210458843</v>
      </c>
    </row>
    <row r="148" spans="1:32" x14ac:dyDescent="0.15">
      <c r="A148" s="3579"/>
      <c r="B148" s="1160" t="s">
        <v>1890</v>
      </c>
      <c r="C148" s="1168"/>
      <c r="D148" s="2765" t="s">
        <v>4395</v>
      </c>
      <c r="E148" s="3229"/>
      <c r="F148" s="3590"/>
      <c r="G148" s="3531"/>
      <c r="H148" s="3534"/>
      <c r="I148" s="3567"/>
      <c r="J148" s="3570"/>
      <c r="K148" s="3452"/>
      <c r="L148" s="3545"/>
      <c r="M148" s="3573"/>
      <c r="N148" s="3576"/>
      <c r="O148" s="3554"/>
      <c r="P148" s="3528"/>
      <c r="Q148" s="3603"/>
      <c r="R148" s="3244"/>
      <c r="S148" s="3229"/>
      <c r="T148" s="3244"/>
      <c r="U148" s="3229"/>
      <c r="V148" s="3244"/>
      <c r="W148" s="3608"/>
      <c r="X148" s="3606"/>
      <c r="Y148" s="3432"/>
      <c r="Z148" s="3610"/>
      <c r="AA148" s="3518"/>
      <c r="AB148" s="3419"/>
      <c r="AC148" s="2611"/>
      <c r="AE148">
        <v>0</v>
      </c>
      <c r="AF148" s="1402" t="n">
        <f t="shared" si="18"/>
        <v>0.0</v>
      </c>
    </row>
    <row r="149" spans="1:32" x14ac:dyDescent="0.15">
      <c r="A149" s="3579"/>
      <c r="B149" s="1160" t="s">
        <v>1901</v>
      </c>
      <c r="C149" s="1168"/>
      <c r="D149" s="2765" t="s">
        <v>4396</v>
      </c>
      <c r="E149" s="3229"/>
      <c r="F149" s="3590"/>
      <c r="G149" s="3531"/>
      <c r="H149" s="3534"/>
      <c r="I149" s="3567"/>
      <c r="J149" s="3570"/>
      <c r="K149" s="3452"/>
      <c r="L149" s="3545"/>
      <c r="M149" s="3573"/>
      <c r="N149" s="3576"/>
      <c r="O149" s="3554"/>
      <c r="P149" s="3528"/>
      <c r="Q149" s="3603"/>
      <c r="R149" s="3244"/>
      <c r="S149" s="3229"/>
      <c r="T149" s="3244"/>
      <c r="U149" s="3229"/>
      <c r="V149" s="3244"/>
      <c r="W149" s="3608"/>
      <c r="X149" s="3606"/>
      <c r="Y149" s="3432"/>
      <c r="Z149" s="3610"/>
      <c r="AA149" s="3518"/>
      <c r="AB149" s="3419"/>
      <c r="AC149" s="2611"/>
      <c r="AE149">
        <v>0</v>
      </c>
      <c r="AF149" s="1402" t="n">
        <f t="shared" si="18"/>
        <v>0.0</v>
      </c>
    </row>
    <row r="150" spans="1:32" x14ac:dyDescent="0.15">
      <c r="A150" s="3579"/>
      <c r="B150" s="1160" t="s">
        <v>1907</v>
      </c>
      <c r="C150" s="1168" t="s">
        <v>4397</v>
      </c>
      <c r="D150" s="2771" t="s">
        <v>4398</v>
      </c>
      <c r="E150" s="3229"/>
      <c r="F150" s="3590"/>
      <c r="G150" s="3531"/>
      <c r="H150" s="3534"/>
      <c r="I150" s="3567"/>
      <c r="J150" s="3570"/>
      <c r="K150" s="3452"/>
      <c r="L150" s="3545"/>
      <c r="M150" s="3573"/>
      <c r="N150" s="3576"/>
      <c r="O150" s="3554"/>
      <c r="P150" s="3528"/>
      <c r="Q150" s="3603"/>
      <c r="R150" s="3244"/>
      <c r="S150" s="3229"/>
      <c r="T150" s="3244"/>
      <c r="U150" s="3229"/>
      <c r="V150" s="3244"/>
      <c r="W150" s="3608"/>
      <c r="X150" s="3606"/>
      <c r="Y150" s="3432"/>
      <c r="Z150" s="3610"/>
      <c r="AA150" s="3518"/>
      <c r="AB150" s="3419"/>
      <c r="AC150" s="2611"/>
      <c r="AE150">
        <v>0</v>
      </c>
      <c r="AF150" s="1402" t="n">
        <f t="shared" si="18"/>
        <v>0.0</v>
      </c>
    </row>
    <row r="151" spans="1:32" x14ac:dyDescent="0.15">
      <c r="A151" s="3579"/>
      <c r="B151" s="1160" t="s">
        <v>1913</v>
      </c>
      <c r="C151" s="1168" t="s">
        <v>4397</v>
      </c>
      <c r="D151" s="2771" t="s">
        <v>4399</v>
      </c>
      <c r="E151" s="3229"/>
      <c r="F151" s="3590"/>
      <c r="G151" s="3531"/>
      <c r="H151" s="3534"/>
      <c r="I151" s="3567"/>
      <c r="J151" s="3570"/>
      <c r="K151" s="3452"/>
      <c r="L151" s="3545"/>
      <c r="M151" s="3573"/>
      <c r="N151" s="3576"/>
      <c r="O151" s="3554"/>
      <c r="P151" s="3528"/>
      <c r="Q151" s="3603"/>
      <c r="R151" s="3244"/>
      <c r="S151" s="3229"/>
      <c r="T151" s="3244"/>
      <c r="U151" s="3229"/>
      <c r="V151" s="3244"/>
      <c r="W151" s="3608"/>
      <c r="X151" s="3606"/>
      <c r="Y151" s="3432"/>
      <c r="Z151" s="3610"/>
      <c r="AA151" s="3518"/>
      <c r="AB151" s="3419"/>
      <c r="AC151" s="2611"/>
      <c r="AE151">
        <v>0</v>
      </c>
      <c r="AF151" s="1402" t="n">
        <f t="shared" si="18"/>
        <v>0.0</v>
      </c>
    </row>
    <row r="152" spans="1:32" ht="22.5" x14ac:dyDescent="0.15">
      <c r="A152" s="3579"/>
      <c r="B152" s="1160" t="s">
        <v>1919</v>
      </c>
      <c r="C152" s="1168" t="s">
        <v>4400</v>
      </c>
      <c r="D152" s="2771" t="s">
        <v>4401</v>
      </c>
      <c r="E152" s="3229"/>
      <c r="F152" s="3590"/>
      <c r="G152" s="3531"/>
      <c r="H152" s="3534"/>
      <c r="I152" s="3567"/>
      <c r="J152" s="3570"/>
      <c r="K152" s="3452"/>
      <c r="L152" s="3545"/>
      <c r="M152" s="3573"/>
      <c r="N152" s="3576"/>
      <c r="O152" s="3554"/>
      <c r="P152" s="3528"/>
      <c r="Q152" s="3603"/>
      <c r="R152" s="3244"/>
      <c r="S152" s="3229"/>
      <c r="T152" s="3244"/>
      <c r="U152" s="3229"/>
      <c r="V152" s="3244"/>
      <c r="W152" s="3608"/>
      <c r="X152" s="3606"/>
      <c r="Y152" s="3432"/>
      <c r="Z152" s="3610"/>
      <c r="AA152" s="3518"/>
      <c r="AB152" s="3419"/>
      <c r="AC152" s="2611"/>
      <c r="AE152">
        <v>0</v>
      </c>
      <c r="AF152" s="1402" t="n">
        <f t="shared" si="18"/>
        <v>0.0</v>
      </c>
    </row>
    <row r="153" spans="1:32" x14ac:dyDescent="0.15">
      <c r="A153" s="3579"/>
      <c r="B153" s="1160" t="s">
        <v>1925</v>
      </c>
      <c r="C153" s="1168" t="s">
        <v>4402</v>
      </c>
      <c r="D153" s="2771" t="s">
        <v>4403</v>
      </c>
      <c r="E153" s="3229"/>
      <c r="F153" s="3590"/>
      <c r="G153" s="3531"/>
      <c r="H153" s="3534"/>
      <c r="I153" s="3567"/>
      <c r="J153" s="3570"/>
      <c r="K153" s="3452"/>
      <c r="L153" s="3545"/>
      <c r="M153" s="3573"/>
      <c r="N153" s="3576"/>
      <c r="O153" s="3554"/>
      <c r="P153" s="3528"/>
      <c r="Q153" s="3603"/>
      <c r="R153" s="3244"/>
      <c r="S153" s="3229"/>
      <c r="T153" s="3244"/>
      <c r="U153" s="3229"/>
      <c r="V153" s="3244"/>
      <c r="W153" s="3608"/>
      <c r="X153" s="3606"/>
      <c r="Y153" s="3432"/>
      <c r="Z153" s="3610"/>
      <c r="AA153" s="3518"/>
      <c r="AB153" s="3419"/>
      <c r="AC153" s="2611"/>
      <c r="AE153">
        <v>0</v>
      </c>
      <c r="AF153" s="1402" t="n">
        <f t="shared" si="18"/>
        <v>0.0</v>
      </c>
    </row>
    <row r="154" spans="1:32" ht="22.5" x14ac:dyDescent="0.15">
      <c r="A154" s="3579"/>
      <c r="B154" s="1160" t="s">
        <v>346</v>
      </c>
      <c r="C154" s="1168" t="s">
        <v>4404</v>
      </c>
      <c r="D154" s="2771" t="s">
        <v>4405</v>
      </c>
      <c r="E154" s="3229"/>
      <c r="F154" s="3590"/>
      <c r="G154" s="3531"/>
      <c r="H154" s="3534"/>
      <c r="I154" s="3567"/>
      <c r="J154" s="3570"/>
      <c r="K154" s="3452"/>
      <c r="L154" s="3545"/>
      <c r="M154" s="3573"/>
      <c r="N154" s="3576"/>
      <c r="O154" s="3554"/>
      <c r="P154" s="3528"/>
      <c r="Q154" s="3603"/>
      <c r="R154" s="3244"/>
      <c r="S154" s="3229"/>
      <c r="T154" s="3244"/>
      <c r="U154" s="3229"/>
      <c r="V154" s="3244"/>
      <c r="W154" s="3608"/>
      <c r="X154" s="3606"/>
      <c r="Y154" s="3432"/>
      <c r="Z154" s="3610"/>
      <c r="AA154" s="3518"/>
      <c r="AB154" s="3419"/>
      <c r="AC154" s="2611"/>
      <c r="AE154">
        <v>0</v>
      </c>
      <c r="AF154" s="1402" t="n">
        <f t="shared" si="18"/>
        <v>0.0</v>
      </c>
    </row>
    <row r="155" spans="1:32" x14ac:dyDescent="0.15">
      <c r="A155" s="3579"/>
      <c r="B155" s="1160" t="s">
        <v>344</v>
      </c>
      <c r="C155" s="1168"/>
      <c r="D155" s="2765" t="s">
        <v>4406</v>
      </c>
      <c r="E155" s="3229"/>
      <c r="F155" s="3590"/>
      <c r="G155" s="3531"/>
      <c r="H155" s="3534"/>
      <c r="I155" s="3567"/>
      <c r="J155" s="3570"/>
      <c r="K155" s="3452"/>
      <c r="L155" s="3545"/>
      <c r="M155" s="3573"/>
      <c r="N155" s="3576"/>
      <c r="O155" s="3554"/>
      <c r="P155" s="3528"/>
      <c r="Q155" s="3603"/>
      <c r="R155" s="3244"/>
      <c r="S155" s="3229"/>
      <c r="T155" s="3244"/>
      <c r="U155" s="3229"/>
      <c r="V155" s="3244"/>
      <c r="W155" s="3608"/>
      <c r="X155" s="3606"/>
      <c r="Y155" s="3432"/>
      <c r="Z155" s="3610"/>
      <c r="AA155" s="3518"/>
      <c r="AB155" s="3419"/>
      <c r="AC155" s="2611"/>
      <c r="AE155">
        <v>0</v>
      </c>
      <c r="AF155" s="1402" t="n">
        <f t="shared" si="18"/>
        <v>0.0</v>
      </c>
    </row>
    <row r="156" spans="1:32" ht="14.25" thickBot="1" x14ac:dyDescent="0.2">
      <c r="A156" s="3286"/>
      <c r="B156" s="1158" t="s">
        <v>340</v>
      </c>
      <c r="C156" s="1169"/>
      <c r="D156" s="2780" t="s">
        <v>4407</v>
      </c>
      <c r="E156" s="3228"/>
      <c r="F156" s="3591"/>
      <c r="G156" s="3557"/>
      <c r="H156" s="3558"/>
      <c r="I156" s="3568"/>
      <c r="J156" s="3571"/>
      <c r="K156" s="3561"/>
      <c r="L156" s="3562"/>
      <c r="M156" s="3574"/>
      <c r="N156" s="3577"/>
      <c r="O156" s="3565"/>
      <c r="P156" s="3529"/>
      <c r="Q156" s="3604"/>
      <c r="R156" s="3240"/>
      <c r="S156" s="3228"/>
      <c r="T156" s="3240"/>
      <c r="U156" s="3228"/>
      <c r="V156" s="3240"/>
      <c r="W156" s="3609"/>
      <c r="X156" s="3607"/>
      <c r="Y156" s="3443"/>
      <c r="Z156" s="3611"/>
      <c r="AA156" s="3519"/>
      <c r="AB156" s="3418"/>
      <c r="AC156" s="2612"/>
      <c r="AE156">
        <v>0</v>
      </c>
      <c r="AF156" s="1402" t="n">
        <f t="shared" si="18"/>
        <v>0.0</v>
      </c>
    </row>
    <row r="157" spans="1:32" ht="14.25" thickTop="1" x14ac:dyDescent="0.15">
      <c r="A157" s="3578" t="s">
        <v>4408</v>
      </c>
      <c r="B157" s="1159" t="s">
        <v>582</v>
      </c>
      <c r="C157" s="1167"/>
      <c r="D157" s="331" t="s">
        <v>4409</v>
      </c>
      <c r="E157" s="3245" t="s">
        <v>4410</v>
      </c>
      <c r="F157" s="3589" t="s">
        <v>4411</v>
      </c>
      <c r="G157" s="3530" t="str">
        <f>"4-DaHall 1-PDU-"&amp;K157&amp;"-"&amp;J157&amp;"-"&amp;L157</f>
        <v>4-DaHall 1-PDU-06-100-8</v>
      </c>
      <c r="H157" s="3533" t="str">
        <f>"4-DaHall 1-PDU-"&amp;O157&amp;"-"&amp;N157&amp;"-"&amp;P157</f>
        <v>4-DaHall 1-PDU-05-100-8</v>
      </c>
      <c r="I157" s="3566">
        <v>220</v>
      </c>
      <c r="J157" s="3569">
        <v>100</v>
      </c>
      <c r="K157" s="3542" t="s">
        <v>6929</v>
      </c>
      <c r="L157" s="3544">
        <v>8</v>
      </c>
      <c r="M157" s="3572">
        <v>220</v>
      </c>
      <c r="N157" s="3575">
        <v>100</v>
      </c>
      <c r="O157" s="3553" t="s">
        <v>6918</v>
      </c>
      <c r="P157" s="3527">
        <v>8</v>
      </c>
      <c r="Q157" s="3602" t="s">
        <v>4274</v>
      </c>
      <c r="R157" s="3233" t="s">
        <v>4275</v>
      </c>
      <c r="S157" s="3245" t="s">
        <v>4276</v>
      </c>
      <c r="T157" s="3233" t="s">
        <v>4277</v>
      </c>
      <c r="U157" s="3245" t="s">
        <v>4110</v>
      </c>
      <c r="V157" s="3233" t="s">
        <v>4117</v>
      </c>
      <c r="W157" s="3595" t="n">
        <f>SUM('4층_부하량(월간_AVG)'!D26:F26)</f>
        <v>14.098161535252437</v>
      </c>
      <c r="X157" s="3597" t="n">
        <f>SUM('4층_부하량(월간_AVG)'!N55:P55)</f>
        <v>11.833469597363862</v>
      </c>
      <c r="Y157" s="3599" t="n">
        <f t="shared" ref="Y157" si="21">SUM(W157:X157)</f>
        <v>25.9316311326163</v>
      </c>
      <c r="Z157" s="3600" t="n" cm="1">
        <f t="array" ref="Z157">INDEX('각층분기별_유효전력량(전월)'!C2:C2020,MATCH(1,("4-DaHall 1-PDU-06"='각층분기별_유효전력량(전월)'!A2:A2020)*("[branch#008] [A] kWh last month"='각층분기별_유효전력량(전월)'!B2:B2020),0))</f>
        <v>2112.5</v>
      </c>
      <c r="AA157" s="3517" t="n" cm="1">
        <f t="array" ref="AA157">INDEX('각층분기별_유효전력량(전월)'!C2:C2020,MATCH(1,("4-DaHall 1-PDU-05"='각층분기별_유효전력량(전월)'!A2:A2020)*("[branch#008] [A] kWh last month"='각층분기별_유효전력량(전월)'!B2:B2020),0))</f>
        <v>1704.6</v>
      </c>
      <c r="AB157" s="3421" t="n">
        <f>SUM(Z157:AA166)</f>
        <v>3817.1</v>
      </c>
      <c r="AC157" s="2610"/>
      <c r="AE157">
        <v>26</v>
      </c>
      <c r="AF157" s="1402" t="n">
        <f t="shared" si="18"/>
        <v>-0.0683688673837004</v>
      </c>
    </row>
    <row r="158" spans="1:32" x14ac:dyDescent="0.15">
      <c r="A158" s="3579"/>
      <c r="B158" s="1160" t="s">
        <v>1947</v>
      </c>
      <c r="C158" s="1168" t="s">
        <v>4412</v>
      </c>
      <c r="D158" s="2771" t="s">
        <v>4413</v>
      </c>
      <c r="E158" s="3229"/>
      <c r="F158" s="3590"/>
      <c r="G158" s="3531"/>
      <c r="H158" s="3534"/>
      <c r="I158" s="3567"/>
      <c r="J158" s="3570"/>
      <c r="K158" s="3452"/>
      <c r="L158" s="3545"/>
      <c r="M158" s="3573"/>
      <c r="N158" s="3576"/>
      <c r="O158" s="3554"/>
      <c r="P158" s="3528"/>
      <c r="Q158" s="3603"/>
      <c r="R158" s="3244"/>
      <c r="S158" s="3229"/>
      <c r="T158" s="3244"/>
      <c r="U158" s="3229"/>
      <c r="V158" s="3244"/>
      <c r="W158" s="3608"/>
      <c r="X158" s="3606"/>
      <c r="Y158" s="3432"/>
      <c r="Z158" s="3610"/>
      <c r="AA158" s="3518"/>
      <c r="AB158" s="3419"/>
      <c r="AC158" s="2611"/>
      <c r="AE158">
        <v>0</v>
      </c>
      <c r="AF158" s="1402" t="n">
        <f t="shared" si="18"/>
        <v>0.0</v>
      </c>
    </row>
    <row r="159" spans="1:32" x14ac:dyDescent="0.15">
      <c r="A159" s="3579"/>
      <c r="B159" s="1160" t="s">
        <v>1953</v>
      </c>
      <c r="C159" s="1168" t="s">
        <v>4412</v>
      </c>
      <c r="D159" s="2771" t="s">
        <v>4414</v>
      </c>
      <c r="E159" s="3229"/>
      <c r="F159" s="3590"/>
      <c r="G159" s="3531"/>
      <c r="H159" s="3534"/>
      <c r="I159" s="3567"/>
      <c r="J159" s="3570"/>
      <c r="K159" s="3452"/>
      <c r="L159" s="3545"/>
      <c r="M159" s="3573"/>
      <c r="N159" s="3576"/>
      <c r="O159" s="3554"/>
      <c r="P159" s="3528"/>
      <c r="Q159" s="3603"/>
      <c r="R159" s="3244"/>
      <c r="S159" s="3229"/>
      <c r="T159" s="3244"/>
      <c r="U159" s="3229"/>
      <c r="V159" s="3244"/>
      <c r="W159" s="3608"/>
      <c r="X159" s="3606"/>
      <c r="Y159" s="3432"/>
      <c r="Z159" s="3610"/>
      <c r="AA159" s="3518"/>
      <c r="AB159" s="3419"/>
      <c r="AC159" s="2611"/>
      <c r="AE159">
        <v>0</v>
      </c>
      <c r="AF159" s="1402" t="n">
        <f t="shared" si="18"/>
        <v>0.0</v>
      </c>
    </row>
    <row r="160" spans="1:32" x14ac:dyDescent="0.15">
      <c r="A160" s="3579"/>
      <c r="B160" s="1160" t="s">
        <v>1959</v>
      </c>
      <c r="C160" s="1168"/>
      <c r="D160" s="2765" t="s">
        <v>4415</v>
      </c>
      <c r="E160" s="3229"/>
      <c r="F160" s="3590"/>
      <c r="G160" s="3531"/>
      <c r="H160" s="3534"/>
      <c r="I160" s="3567"/>
      <c r="J160" s="3570"/>
      <c r="K160" s="3452"/>
      <c r="L160" s="3545"/>
      <c r="M160" s="3573"/>
      <c r="N160" s="3576"/>
      <c r="O160" s="3554"/>
      <c r="P160" s="3528"/>
      <c r="Q160" s="3603"/>
      <c r="R160" s="3244"/>
      <c r="S160" s="3229"/>
      <c r="T160" s="3244"/>
      <c r="U160" s="3229"/>
      <c r="V160" s="3244"/>
      <c r="W160" s="3608"/>
      <c r="X160" s="3606"/>
      <c r="Y160" s="3432"/>
      <c r="Z160" s="3610"/>
      <c r="AA160" s="3518"/>
      <c r="AB160" s="3419"/>
      <c r="AC160" s="2611"/>
      <c r="AE160">
        <v>0</v>
      </c>
      <c r="AF160" s="1402" t="n">
        <f t="shared" si="18"/>
        <v>0.0</v>
      </c>
    </row>
    <row r="161" spans="1:32" x14ac:dyDescent="0.15">
      <c r="A161" s="3579"/>
      <c r="B161" s="1160" t="s">
        <v>1965</v>
      </c>
      <c r="C161" s="1168"/>
      <c r="D161" s="2765" t="s">
        <v>4416</v>
      </c>
      <c r="E161" s="3229"/>
      <c r="F161" s="3590"/>
      <c r="G161" s="3531"/>
      <c r="H161" s="3534"/>
      <c r="I161" s="3567"/>
      <c r="J161" s="3570"/>
      <c r="K161" s="3452"/>
      <c r="L161" s="3545"/>
      <c r="M161" s="3573"/>
      <c r="N161" s="3576"/>
      <c r="O161" s="3554"/>
      <c r="P161" s="3528"/>
      <c r="Q161" s="3603"/>
      <c r="R161" s="3244"/>
      <c r="S161" s="3229"/>
      <c r="T161" s="3244"/>
      <c r="U161" s="3229"/>
      <c r="V161" s="3244"/>
      <c r="W161" s="3608"/>
      <c r="X161" s="3606"/>
      <c r="Y161" s="3432"/>
      <c r="Z161" s="3610"/>
      <c r="AA161" s="3518"/>
      <c r="AB161" s="3419"/>
      <c r="AC161" s="2611"/>
      <c r="AE161">
        <v>0</v>
      </c>
      <c r="AF161" s="1402" t="n">
        <f t="shared" si="18"/>
        <v>0.0</v>
      </c>
    </row>
    <row r="162" spans="1:32" x14ac:dyDescent="0.15">
      <c r="A162" s="3579"/>
      <c r="B162" s="1160" t="s">
        <v>1971</v>
      </c>
      <c r="C162" s="1168"/>
      <c r="D162" s="2765" t="s">
        <v>4417</v>
      </c>
      <c r="E162" s="3229"/>
      <c r="F162" s="3590"/>
      <c r="G162" s="3531"/>
      <c r="H162" s="3534"/>
      <c r="I162" s="3567"/>
      <c r="J162" s="3570"/>
      <c r="K162" s="3452"/>
      <c r="L162" s="3545"/>
      <c r="M162" s="3573"/>
      <c r="N162" s="3576"/>
      <c r="O162" s="3554"/>
      <c r="P162" s="3528"/>
      <c r="Q162" s="3603"/>
      <c r="R162" s="3244"/>
      <c r="S162" s="3229"/>
      <c r="T162" s="3244"/>
      <c r="U162" s="3229"/>
      <c r="V162" s="3244"/>
      <c r="W162" s="3608"/>
      <c r="X162" s="3606"/>
      <c r="Y162" s="3432"/>
      <c r="Z162" s="3610"/>
      <c r="AA162" s="3518"/>
      <c r="AB162" s="3419"/>
      <c r="AC162" s="2611"/>
      <c r="AE162">
        <v>0</v>
      </c>
      <c r="AF162" s="1402" t="n">
        <f t="shared" si="18"/>
        <v>0.0</v>
      </c>
    </row>
    <row r="163" spans="1:32" x14ac:dyDescent="0.15">
      <c r="A163" s="3579"/>
      <c r="B163" s="1160" t="s">
        <v>1977</v>
      </c>
      <c r="C163" s="1168" t="s">
        <v>4220</v>
      </c>
      <c r="D163" s="2771" t="s">
        <v>4418</v>
      </c>
      <c r="E163" s="3229"/>
      <c r="F163" s="3590"/>
      <c r="G163" s="3531"/>
      <c r="H163" s="3534"/>
      <c r="I163" s="3567"/>
      <c r="J163" s="3570"/>
      <c r="K163" s="3452"/>
      <c r="L163" s="3545"/>
      <c r="M163" s="3573"/>
      <c r="N163" s="3576"/>
      <c r="O163" s="3554"/>
      <c r="P163" s="3528"/>
      <c r="Q163" s="3603"/>
      <c r="R163" s="3244"/>
      <c r="S163" s="3229"/>
      <c r="T163" s="3244"/>
      <c r="U163" s="3229"/>
      <c r="V163" s="3244"/>
      <c r="W163" s="3608"/>
      <c r="X163" s="3606"/>
      <c r="Y163" s="3432"/>
      <c r="Z163" s="3610"/>
      <c r="AA163" s="3518"/>
      <c r="AB163" s="3419"/>
      <c r="AC163" s="2611"/>
      <c r="AE163">
        <v>0</v>
      </c>
      <c r="AF163" s="1402" t="n">
        <f t="shared" si="18"/>
        <v>0.0</v>
      </c>
    </row>
    <row r="164" spans="1:32" x14ac:dyDescent="0.15">
      <c r="A164" s="3579"/>
      <c r="B164" s="1160" t="s">
        <v>1983</v>
      </c>
      <c r="C164" s="1168" t="s">
        <v>4220</v>
      </c>
      <c r="D164" s="2771" t="s">
        <v>4419</v>
      </c>
      <c r="E164" s="3229"/>
      <c r="F164" s="3590"/>
      <c r="G164" s="3531"/>
      <c r="H164" s="3534"/>
      <c r="I164" s="3567"/>
      <c r="J164" s="3570"/>
      <c r="K164" s="3452"/>
      <c r="L164" s="3545"/>
      <c r="M164" s="3573"/>
      <c r="N164" s="3576"/>
      <c r="O164" s="3554"/>
      <c r="P164" s="3528"/>
      <c r="Q164" s="3603"/>
      <c r="R164" s="3244"/>
      <c r="S164" s="3229"/>
      <c r="T164" s="3244"/>
      <c r="U164" s="3229"/>
      <c r="V164" s="3244"/>
      <c r="W164" s="3608"/>
      <c r="X164" s="3606"/>
      <c r="Y164" s="3432"/>
      <c r="Z164" s="3610"/>
      <c r="AA164" s="3518"/>
      <c r="AB164" s="3419"/>
      <c r="AC164" s="2611"/>
      <c r="AE164">
        <v>0</v>
      </c>
      <c r="AF164" s="1402" t="n">
        <f t="shared" si="18"/>
        <v>0.0</v>
      </c>
    </row>
    <row r="165" spans="1:32" x14ac:dyDescent="0.15">
      <c r="A165" s="3579"/>
      <c r="B165" s="1160" t="s">
        <v>1989</v>
      </c>
      <c r="C165" s="1168" t="s">
        <v>4220</v>
      </c>
      <c r="D165" s="2771" t="s">
        <v>4420</v>
      </c>
      <c r="E165" s="3229"/>
      <c r="F165" s="3590"/>
      <c r="G165" s="3531"/>
      <c r="H165" s="3534"/>
      <c r="I165" s="3567"/>
      <c r="J165" s="3570"/>
      <c r="K165" s="3452"/>
      <c r="L165" s="3545"/>
      <c r="M165" s="3573"/>
      <c r="N165" s="3576"/>
      <c r="O165" s="3554"/>
      <c r="P165" s="3528"/>
      <c r="Q165" s="3603"/>
      <c r="R165" s="3244"/>
      <c r="S165" s="3229"/>
      <c r="T165" s="3244"/>
      <c r="U165" s="3229"/>
      <c r="V165" s="3244"/>
      <c r="W165" s="3608"/>
      <c r="X165" s="3606"/>
      <c r="Y165" s="3432"/>
      <c r="Z165" s="3610"/>
      <c r="AA165" s="3518"/>
      <c r="AB165" s="3419"/>
      <c r="AC165" s="2611"/>
      <c r="AE165">
        <v>0</v>
      </c>
      <c r="AF165" s="1402" t="n">
        <f t="shared" si="18"/>
        <v>0.0</v>
      </c>
    </row>
    <row r="166" spans="1:32" ht="23.25" thickBot="1" x14ac:dyDescent="0.2">
      <c r="A166" s="3286"/>
      <c r="B166" s="1158" t="s">
        <v>1995</v>
      </c>
      <c r="C166" s="1169" t="s">
        <v>4421</v>
      </c>
      <c r="D166" s="2780" t="s">
        <v>4422</v>
      </c>
      <c r="E166" s="3228"/>
      <c r="F166" s="3591"/>
      <c r="G166" s="3557"/>
      <c r="H166" s="3558"/>
      <c r="I166" s="3568"/>
      <c r="J166" s="3571"/>
      <c r="K166" s="3561"/>
      <c r="L166" s="3562"/>
      <c r="M166" s="3574"/>
      <c r="N166" s="3577"/>
      <c r="O166" s="3565"/>
      <c r="P166" s="3529"/>
      <c r="Q166" s="3604"/>
      <c r="R166" s="3240"/>
      <c r="S166" s="3228"/>
      <c r="T166" s="3240"/>
      <c r="U166" s="3228"/>
      <c r="V166" s="3240"/>
      <c r="W166" s="3609"/>
      <c r="X166" s="3607"/>
      <c r="Y166" s="3443"/>
      <c r="Z166" s="3611"/>
      <c r="AA166" s="3519"/>
      <c r="AB166" s="3418"/>
      <c r="AC166" s="2612"/>
      <c r="AE166">
        <v>0</v>
      </c>
      <c r="AF166" s="1402" t="n">
        <f t="shared" si="18"/>
        <v>0.0</v>
      </c>
    </row>
    <row r="167" spans="1:32" ht="14.25" thickTop="1" x14ac:dyDescent="0.15">
      <c r="A167" s="3578" t="s">
        <v>4423</v>
      </c>
      <c r="B167" s="1159"/>
      <c r="C167" s="1167"/>
      <c r="D167" s="331" t="s">
        <v>4424</v>
      </c>
      <c r="E167" s="3245" t="s">
        <v>4425</v>
      </c>
      <c r="F167" s="3589" t="s">
        <v>4426</v>
      </c>
      <c r="G167" s="3530" t="str">
        <f>"4-DaHall 1-PDU-"&amp;K167&amp;"-"&amp;J167&amp;"-"&amp;L167</f>
        <v>4-DaHall 1-PDU-06-100-9</v>
      </c>
      <c r="H167" s="3533" t="str">
        <f>"4-DaHall 1-PDU-"&amp;O167&amp;"-"&amp;N167&amp;"-"&amp;P167</f>
        <v>4-DaHall 1-PDU-05-100-9</v>
      </c>
      <c r="I167" s="3566">
        <v>220</v>
      </c>
      <c r="J167" s="3569">
        <v>100</v>
      </c>
      <c r="K167" s="3542" t="s">
        <v>6929</v>
      </c>
      <c r="L167" s="3544">
        <v>9</v>
      </c>
      <c r="M167" s="3572">
        <v>220</v>
      </c>
      <c r="N167" s="3575">
        <v>100</v>
      </c>
      <c r="O167" s="3553" t="s">
        <v>6918</v>
      </c>
      <c r="P167" s="3527">
        <v>9</v>
      </c>
      <c r="Q167" s="3602" t="s">
        <v>4274</v>
      </c>
      <c r="R167" s="3233" t="s">
        <v>4275</v>
      </c>
      <c r="S167" s="3245" t="s">
        <v>4276</v>
      </c>
      <c r="T167" s="3233" t="s">
        <v>4277</v>
      </c>
      <c r="U167" s="3245" t="s">
        <v>4110</v>
      </c>
      <c r="V167" s="3233" t="s">
        <v>4117</v>
      </c>
      <c r="W167" s="3595" t="n">
        <f>SUM('4층_부하량(월간_AVG)'!D27:F27)</f>
        <v>0.0</v>
      </c>
      <c r="X167" s="3597" t="n">
        <f>SUM('4층_부하량(월간_AVG)'!N56:P56)</f>
        <v>0.0</v>
      </c>
      <c r="Y167" s="3599" t="n">
        <f>SUM(W167:X167)</f>
        <v>0.0</v>
      </c>
      <c r="Z167" s="3600" t="n" cm="1">
        <f t="array" ref="Z167">INDEX('각층분기별_유효전력량(전월)'!C2:C2020,MATCH(1,("4-DaHall 1-PDU-06"='각층분기별_유효전력량(전월)'!A2:A2020)*("[branch#009] [A] kWh last month"='각층분기별_유효전력량(전월)'!B2:B2020),0))</f>
        <v>0.0</v>
      </c>
      <c r="AA167" s="3517" t="n" cm="1">
        <f t="array" ref="AA167">INDEX('각층분기별_유효전력량(전월)'!C2:C2020,MATCH(1,("4-DaHall 1-PDU-05"='각층분기별_유효전력량(전월)'!A2:A2020)*("[branch#009] [A] kWh last month"='각층분기별_유효전력량(전월)'!B2:B2020),0))</f>
        <v>0.0</v>
      </c>
      <c r="AB167" s="3421" t="n">
        <f>SUM(Z167:AA176)</f>
        <v>0.0</v>
      </c>
      <c r="AC167" s="2610"/>
      <c r="AE167">
        <v>0</v>
      </c>
      <c r="AF167" s="1402" t="n">
        <f t="shared" si="18"/>
        <v>0.0</v>
      </c>
    </row>
    <row r="168" spans="1:32" x14ac:dyDescent="0.15">
      <c r="A168" s="3579"/>
      <c r="B168" s="1160"/>
      <c r="C168" s="1168"/>
      <c r="D168" s="2765" t="s">
        <v>4427</v>
      </c>
      <c r="E168" s="3229"/>
      <c r="F168" s="3590"/>
      <c r="G168" s="3531"/>
      <c r="H168" s="3534"/>
      <c r="I168" s="3567"/>
      <c r="J168" s="3570"/>
      <c r="K168" s="3452"/>
      <c r="L168" s="3545"/>
      <c r="M168" s="3573"/>
      <c r="N168" s="3576"/>
      <c r="O168" s="3554"/>
      <c r="P168" s="3528"/>
      <c r="Q168" s="3603"/>
      <c r="R168" s="3244"/>
      <c r="S168" s="3229"/>
      <c r="T168" s="3244"/>
      <c r="U168" s="3229"/>
      <c r="V168" s="3244"/>
      <c r="W168" s="3608"/>
      <c r="X168" s="3606"/>
      <c r="Y168" s="3432"/>
      <c r="Z168" s="3610"/>
      <c r="AA168" s="3518"/>
      <c r="AB168" s="3419"/>
      <c r="AC168" s="2611"/>
      <c r="AE168">
        <v>0</v>
      </c>
      <c r="AF168" s="1402" t="n">
        <f t="shared" si="18"/>
        <v>0.0</v>
      </c>
    </row>
    <row r="169" spans="1:32" x14ac:dyDescent="0.15">
      <c r="A169" s="3579"/>
      <c r="B169" s="1160"/>
      <c r="C169" s="1168"/>
      <c r="D169" s="2765" t="s">
        <v>4428</v>
      </c>
      <c r="E169" s="3229"/>
      <c r="F169" s="3590"/>
      <c r="G169" s="3531"/>
      <c r="H169" s="3534"/>
      <c r="I169" s="3567"/>
      <c r="J169" s="3570"/>
      <c r="K169" s="3452"/>
      <c r="L169" s="3545"/>
      <c r="M169" s="3573"/>
      <c r="N169" s="3576"/>
      <c r="O169" s="3554"/>
      <c r="P169" s="3528"/>
      <c r="Q169" s="3603"/>
      <c r="R169" s="3244"/>
      <c r="S169" s="3229"/>
      <c r="T169" s="3244"/>
      <c r="U169" s="3229"/>
      <c r="V169" s="3244"/>
      <c r="W169" s="3608"/>
      <c r="X169" s="3606"/>
      <c r="Y169" s="3432"/>
      <c r="Z169" s="3610"/>
      <c r="AA169" s="3518"/>
      <c r="AB169" s="3419"/>
      <c r="AC169" s="2611"/>
      <c r="AE169">
        <v>0</v>
      </c>
      <c r="AF169" s="1402" t="n">
        <f t="shared" si="18"/>
        <v>0.0</v>
      </c>
    </row>
    <row r="170" spans="1:32" x14ac:dyDescent="0.15">
      <c r="A170" s="3579"/>
      <c r="B170" s="1160"/>
      <c r="C170" s="1168"/>
      <c r="D170" s="2765" t="s">
        <v>4429</v>
      </c>
      <c r="E170" s="3229"/>
      <c r="F170" s="3590"/>
      <c r="G170" s="3531"/>
      <c r="H170" s="3534"/>
      <c r="I170" s="3567"/>
      <c r="J170" s="3570"/>
      <c r="K170" s="3452"/>
      <c r="L170" s="3545"/>
      <c r="M170" s="3573"/>
      <c r="N170" s="3576"/>
      <c r="O170" s="3554"/>
      <c r="P170" s="3528"/>
      <c r="Q170" s="3603"/>
      <c r="R170" s="3244"/>
      <c r="S170" s="3229"/>
      <c r="T170" s="3244"/>
      <c r="U170" s="3229"/>
      <c r="V170" s="3244"/>
      <c r="W170" s="3608"/>
      <c r="X170" s="3606"/>
      <c r="Y170" s="3432"/>
      <c r="Z170" s="3610"/>
      <c r="AA170" s="3518"/>
      <c r="AB170" s="3419"/>
      <c r="AC170" s="2611"/>
      <c r="AE170">
        <v>0</v>
      </c>
      <c r="AF170" s="1402" t="n">
        <f t="shared" si="18"/>
        <v>0.0</v>
      </c>
    </row>
    <row r="171" spans="1:32" x14ac:dyDescent="0.15">
      <c r="A171" s="3579"/>
      <c r="B171" s="1160"/>
      <c r="C171" s="1168"/>
      <c r="D171" s="2765" t="s">
        <v>4430</v>
      </c>
      <c r="E171" s="3229"/>
      <c r="F171" s="3590"/>
      <c r="G171" s="3531"/>
      <c r="H171" s="3534"/>
      <c r="I171" s="3567"/>
      <c r="J171" s="3570"/>
      <c r="K171" s="3452"/>
      <c r="L171" s="3545"/>
      <c r="M171" s="3573"/>
      <c r="N171" s="3576"/>
      <c r="O171" s="3554"/>
      <c r="P171" s="3528"/>
      <c r="Q171" s="3603"/>
      <c r="R171" s="3244"/>
      <c r="S171" s="3229"/>
      <c r="T171" s="3244"/>
      <c r="U171" s="3229"/>
      <c r="V171" s="3244"/>
      <c r="W171" s="3608"/>
      <c r="X171" s="3606"/>
      <c r="Y171" s="3432"/>
      <c r="Z171" s="3610"/>
      <c r="AA171" s="3518"/>
      <c r="AB171" s="3419"/>
      <c r="AC171" s="2611"/>
      <c r="AE171">
        <v>0</v>
      </c>
      <c r="AF171" s="1402" t="n">
        <f t="shared" si="18"/>
        <v>0.0</v>
      </c>
    </row>
    <row r="172" spans="1:32" x14ac:dyDescent="0.15">
      <c r="A172" s="3579"/>
      <c r="B172" s="1160"/>
      <c r="C172" s="1168"/>
      <c r="D172" s="2765" t="s">
        <v>4431</v>
      </c>
      <c r="E172" s="3229"/>
      <c r="F172" s="3590"/>
      <c r="G172" s="3531"/>
      <c r="H172" s="3534"/>
      <c r="I172" s="3567"/>
      <c r="J172" s="3570"/>
      <c r="K172" s="3452"/>
      <c r="L172" s="3545"/>
      <c r="M172" s="3573"/>
      <c r="N172" s="3576"/>
      <c r="O172" s="3554"/>
      <c r="P172" s="3528"/>
      <c r="Q172" s="3603"/>
      <c r="R172" s="3244"/>
      <c r="S172" s="3229"/>
      <c r="T172" s="3244"/>
      <c r="U172" s="3229"/>
      <c r="V172" s="3244"/>
      <c r="W172" s="3608"/>
      <c r="X172" s="3606"/>
      <c r="Y172" s="3432"/>
      <c r="Z172" s="3610"/>
      <c r="AA172" s="3518"/>
      <c r="AB172" s="3419"/>
      <c r="AC172" s="2611"/>
      <c r="AE172">
        <v>0</v>
      </c>
      <c r="AF172" s="1402" t="n">
        <f t="shared" si="18"/>
        <v>0.0</v>
      </c>
    </row>
    <row r="173" spans="1:32" x14ac:dyDescent="0.15">
      <c r="A173" s="3579"/>
      <c r="B173" s="1160"/>
      <c r="C173" s="1168"/>
      <c r="D173" s="2765" t="s">
        <v>4432</v>
      </c>
      <c r="E173" s="3229"/>
      <c r="F173" s="3590"/>
      <c r="G173" s="3531"/>
      <c r="H173" s="3534"/>
      <c r="I173" s="3567"/>
      <c r="J173" s="3570"/>
      <c r="K173" s="3452"/>
      <c r="L173" s="3545"/>
      <c r="M173" s="3573"/>
      <c r="N173" s="3576"/>
      <c r="O173" s="3554"/>
      <c r="P173" s="3528"/>
      <c r="Q173" s="3603"/>
      <c r="R173" s="3244"/>
      <c r="S173" s="3229"/>
      <c r="T173" s="3244"/>
      <c r="U173" s="3229"/>
      <c r="V173" s="3244"/>
      <c r="W173" s="3608"/>
      <c r="X173" s="3606"/>
      <c r="Y173" s="3432"/>
      <c r="Z173" s="3610"/>
      <c r="AA173" s="3518"/>
      <c r="AB173" s="3419"/>
      <c r="AC173" s="2611"/>
      <c r="AE173">
        <v>0</v>
      </c>
      <c r="AF173" s="1402" t="n">
        <f t="shared" si="18"/>
        <v>0.0</v>
      </c>
    </row>
    <row r="174" spans="1:32" x14ac:dyDescent="0.15">
      <c r="A174" s="3579"/>
      <c r="B174" s="1160"/>
      <c r="C174" s="1168"/>
      <c r="D174" s="2765" t="s">
        <v>4433</v>
      </c>
      <c r="E174" s="3229"/>
      <c r="F174" s="3590"/>
      <c r="G174" s="3531"/>
      <c r="H174" s="3534"/>
      <c r="I174" s="3567"/>
      <c r="J174" s="3570"/>
      <c r="K174" s="3452"/>
      <c r="L174" s="3545"/>
      <c r="M174" s="3573"/>
      <c r="N174" s="3576"/>
      <c r="O174" s="3554"/>
      <c r="P174" s="3528"/>
      <c r="Q174" s="3603"/>
      <c r="R174" s="3244"/>
      <c r="S174" s="3229"/>
      <c r="T174" s="3244"/>
      <c r="U174" s="3229"/>
      <c r="V174" s="3244"/>
      <c r="W174" s="3608"/>
      <c r="X174" s="3606"/>
      <c r="Y174" s="3432"/>
      <c r="Z174" s="3610"/>
      <c r="AA174" s="3518"/>
      <c r="AB174" s="3419"/>
      <c r="AC174" s="2611"/>
      <c r="AE174">
        <v>0</v>
      </c>
      <c r="AF174" s="1402" t="n">
        <f t="shared" si="18"/>
        <v>0.0</v>
      </c>
    </row>
    <row r="175" spans="1:32" x14ac:dyDescent="0.15">
      <c r="A175" s="3579"/>
      <c r="B175" s="1160"/>
      <c r="C175" s="1168"/>
      <c r="D175" s="2765" t="s">
        <v>4434</v>
      </c>
      <c r="E175" s="3229"/>
      <c r="F175" s="3590"/>
      <c r="G175" s="3531"/>
      <c r="H175" s="3534"/>
      <c r="I175" s="3567"/>
      <c r="J175" s="3570"/>
      <c r="K175" s="3452"/>
      <c r="L175" s="3545"/>
      <c r="M175" s="3573"/>
      <c r="N175" s="3576"/>
      <c r="O175" s="3554"/>
      <c r="P175" s="3528"/>
      <c r="Q175" s="3603"/>
      <c r="R175" s="3244"/>
      <c r="S175" s="3229"/>
      <c r="T175" s="3244"/>
      <c r="U175" s="3229"/>
      <c r="V175" s="3244"/>
      <c r="W175" s="3608"/>
      <c r="X175" s="3606"/>
      <c r="Y175" s="3432"/>
      <c r="Z175" s="3610"/>
      <c r="AA175" s="3518"/>
      <c r="AB175" s="3419"/>
      <c r="AC175" s="2611"/>
      <c r="AE175">
        <v>0</v>
      </c>
      <c r="AF175" s="1402" t="n">
        <f t="shared" si="18"/>
        <v>0.0</v>
      </c>
    </row>
    <row r="176" spans="1:32" ht="14.25" thickBot="1" x14ac:dyDescent="0.2">
      <c r="A176" s="3286"/>
      <c r="B176" s="1158"/>
      <c r="C176" s="1169"/>
      <c r="D176" s="2780" t="s">
        <v>4435</v>
      </c>
      <c r="E176" s="3228"/>
      <c r="F176" s="3591"/>
      <c r="G176" s="3557"/>
      <c r="H176" s="3558"/>
      <c r="I176" s="3568"/>
      <c r="J176" s="3571"/>
      <c r="K176" s="3561"/>
      <c r="L176" s="3562"/>
      <c r="M176" s="3574"/>
      <c r="N176" s="3577"/>
      <c r="O176" s="3565"/>
      <c r="P176" s="3529"/>
      <c r="Q176" s="3604"/>
      <c r="R176" s="3240"/>
      <c r="S176" s="3228"/>
      <c r="T176" s="3240"/>
      <c r="U176" s="3228"/>
      <c r="V176" s="3240"/>
      <c r="W176" s="3609"/>
      <c r="X176" s="3607"/>
      <c r="Y176" s="3443"/>
      <c r="Z176" s="3611"/>
      <c r="AA176" s="3519"/>
      <c r="AB176" s="3418"/>
      <c r="AC176" s="2612"/>
      <c r="AE176">
        <v>0</v>
      </c>
      <c r="AF176" s="1402" t="n">
        <f t="shared" si="18"/>
        <v>0.0</v>
      </c>
    </row>
    <row r="177" spans="1:32" ht="14.25" thickTop="1" x14ac:dyDescent="0.15">
      <c r="A177" s="3578" t="s">
        <v>4436</v>
      </c>
      <c r="B177" s="1159" t="s">
        <v>2064</v>
      </c>
      <c r="C177" s="1167" t="s">
        <v>4437</v>
      </c>
      <c r="D177" s="1015" t="s">
        <v>4438</v>
      </c>
      <c r="E177" s="3245" t="s">
        <v>4439</v>
      </c>
      <c r="F177" s="3589" t="s">
        <v>4440</v>
      </c>
      <c r="G177" s="3530" t="str">
        <f>"4-DaHall 1-PDU-"&amp;K177&amp;"-"&amp;J177&amp;"-"&amp;L177</f>
        <v>4-DaHall 1-PDU-06-100-10</v>
      </c>
      <c r="H177" s="3533" t="str">
        <f>"4-DaHall 1-PDU-"&amp;O177&amp;"-"&amp;N177&amp;"-"&amp;P177</f>
        <v>4-DaHall 1-PDU-05-100-10</v>
      </c>
      <c r="I177" s="3566">
        <v>220</v>
      </c>
      <c r="J177" s="3569">
        <v>100</v>
      </c>
      <c r="K177" s="3542" t="s">
        <v>6929</v>
      </c>
      <c r="L177" s="3544">
        <v>10</v>
      </c>
      <c r="M177" s="3572">
        <v>220</v>
      </c>
      <c r="N177" s="3575">
        <v>100</v>
      </c>
      <c r="O177" s="3553" t="s">
        <v>6918</v>
      </c>
      <c r="P177" s="3527">
        <v>10</v>
      </c>
      <c r="Q177" s="3602" t="s">
        <v>4274</v>
      </c>
      <c r="R177" s="3233" t="s">
        <v>4275</v>
      </c>
      <c r="S177" s="3245" t="s">
        <v>4276</v>
      </c>
      <c r="T177" s="3233" t="s">
        <v>4277</v>
      </c>
      <c r="U177" s="3245" t="s">
        <v>4110</v>
      </c>
      <c r="V177" s="3233" t="s">
        <v>4117</v>
      </c>
      <c r="W177" s="3595" t="n">
        <f>SUM('4층_부하량(월간_AVG)'!D28:F28)</f>
        <v>39.66610542395835</v>
      </c>
      <c r="X177" s="3597" t="n">
        <f>SUM('4층_부하량(월간_AVG)'!N57:P57)</f>
        <v>34.70273376286082</v>
      </c>
      <c r="Y177" s="3599" t="n">
        <f t="shared" ref="Y177" si="22">SUM(W177:X177)</f>
        <v>74.36883918681917</v>
      </c>
      <c r="Z177" s="3600" t="n" cm="1">
        <f t="array" ref="Z177">INDEX('각층분기별_유효전력량(전월)'!C2:C2020,MATCH(1,("4-DaHall 1-PDU-06"='각층분기별_유효전력량(전월)'!A2:A2020)*("[branch#010] [A] kWh last month"='각층분기별_유효전력량(전월)'!B2:B2020),0))</f>
        <v>6301.1</v>
      </c>
      <c r="AA177" s="3517" t="n" cm="1">
        <f t="array" ref="AA177">INDEX('각층분기별_유효전력량(전월)'!C2:C2020,MATCH(1,("4-DaHall 1-PDU-05"='각층분기별_유효전력량(전월)'!A2:A2020)*("[branch#010] [A] kWh last month"='각층분기별_유효전력량(전월)'!B2:B2020),0))</f>
        <v>5555.8</v>
      </c>
      <c r="AB177" s="3421" t="n">
        <f>SUM(Z177:AA186)</f>
        <v>11856.900000000001</v>
      </c>
      <c r="AC177" s="2610"/>
      <c r="AE177">
        <v>70.2</v>
      </c>
      <c r="AF177" s="1402" t="n">
        <f t="shared" si="18"/>
        <v>4.16883918681917</v>
      </c>
    </row>
    <row r="178" spans="1:32" x14ac:dyDescent="0.15">
      <c r="A178" s="3579"/>
      <c r="B178" s="1160" t="s">
        <v>4441</v>
      </c>
      <c r="C178" s="1168" t="s">
        <v>4442</v>
      </c>
      <c r="D178" s="2771" t="s">
        <v>4443</v>
      </c>
      <c r="E178" s="3229"/>
      <c r="F178" s="3590"/>
      <c r="G178" s="3531"/>
      <c r="H178" s="3534"/>
      <c r="I178" s="3567"/>
      <c r="J178" s="3570"/>
      <c r="K178" s="3452"/>
      <c r="L178" s="3545"/>
      <c r="M178" s="3573"/>
      <c r="N178" s="3576"/>
      <c r="O178" s="3554"/>
      <c r="P178" s="3528"/>
      <c r="Q178" s="3603"/>
      <c r="R178" s="3244"/>
      <c r="S178" s="3229"/>
      <c r="T178" s="3244"/>
      <c r="U178" s="3229"/>
      <c r="V178" s="3244"/>
      <c r="W178" s="3608"/>
      <c r="X178" s="3606"/>
      <c r="Y178" s="3432"/>
      <c r="Z178" s="3610"/>
      <c r="AA178" s="3518"/>
      <c r="AB178" s="3419"/>
      <c r="AC178" s="2611"/>
      <c r="AE178">
        <v>0</v>
      </c>
      <c r="AF178" s="1402" t="n">
        <f t="shared" si="18"/>
        <v>0.0</v>
      </c>
    </row>
    <row r="179" spans="1:32" x14ac:dyDescent="0.15">
      <c r="A179" s="3579"/>
      <c r="B179" s="1160" t="s">
        <v>2071</v>
      </c>
      <c r="C179" s="1168" t="s">
        <v>4442</v>
      </c>
      <c r="D179" s="2771" t="s">
        <v>4444</v>
      </c>
      <c r="E179" s="3229"/>
      <c r="F179" s="3590"/>
      <c r="G179" s="3531"/>
      <c r="H179" s="3534"/>
      <c r="I179" s="3567"/>
      <c r="J179" s="3570"/>
      <c r="K179" s="3452"/>
      <c r="L179" s="3545"/>
      <c r="M179" s="3573"/>
      <c r="N179" s="3576"/>
      <c r="O179" s="3554"/>
      <c r="P179" s="3528"/>
      <c r="Q179" s="3603"/>
      <c r="R179" s="3244"/>
      <c r="S179" s="3229"/>
      <c r="T179" s="3244"/>
      <c r="U179" s="3229"/>
      <c r="V179" s="3244"/>
      <c r="W179" s="3608"/>
      <c r="X179" s="3606"/>
      <c r="Y179" s="3432"/>
      <c r="Z179" s="3610"/>
      <c r="AA179" s="3518"/>
      <c r="AB179" s="3419"/>
      <c r="AC179" s="2611"/>
      <c r="AE179">
        <v>0</v>
      </c>
      <c r="AF179" s="1402" t="n">
        <f t="shared" si="18"/>
        <v>0.0</v>
      </c>
    </row>
    <row r="180" spans="1:32" x14ac:dyDescent="0.15">
      <c r="A180" s="3579"/>
      <c r="B180" s="1160" t="s">
        <v>2077</v>
      </c>
      <c r="C180" s="1168" t="s">
        <v>4442</v>
      </c>
      <c r="D180" s="2771" t="s">
        <v>4445</v>
      </c>
      <c r="E180" s="3229"/>
      <c r="F180" s="3590"/>
      <c r="G180" s="3531"/>
      <c r="H180" s="3534"/>
      <c r="I180" s="3567"/>
      <c r="J180" s="3570"/>
      <c r="K180" s="3452"/>
      <c r="L180" s="3545"/>
      <c r="M180" s="3573"/>
      <c r="N180" s="3576"/>
      <c r="O180" s="3554"/>
      <c r="P180" s="3528"/>
      <c r="Q180" s="3603"/>
      <c r="R180" s="3244"/>
      <c r="S180" s="3229"/>
      <c r="T180" s="3244"/>
      <c r="U180" s="3229"/>
      <c r="V180" s="3244"/>
      <c r="W180" s="3608"/>
      <c r="X180" s="3606"/>
      <c r="Y180" s="3432"/>
      <c r="Z180" s="3610"/>
      <c r="AA180" s="3518"/>
      <c r="AB180" s="3419"/>
      <c r="AC180" s="2611"/>
      <c r="AE180">
        <v>0</v>
      </c>
      <c r="AF180" s="1402" t="n">
        <f t="shared" si="18"/>
        <v>0.0</v>
      </c>
    </row>
    <row r="181" spans="1:32" x14ac:dyDescent="0.15">
      <c r="A181" s="3579"/>
      <c r="B181" s="1160" t="s">
        <v>3192</v>
      </c>
      <c r="C181" s="1168" t="s">
        <v>4442</v>
      </c>
      <c r="D181" s="2771" t="s">
        <v>4446</v>
      </c>
      <c r="E181" s="3229"/>
      <c r="F181" s="3590"/>
      <c r="G181" s="3531"/>
      <c r="H181" s="3534"/>
      <c r="I181" s="3567"/>
      <c r="J181" s="3570"/>
      <c r="K181" s="3452"/>
      <c r="L181" s="3545"/>
      <c r="M181" s="3573"/>
      <c r="N181" s="3576"/>
      <c r="O181" s="3554"/>
      <c r="P181" s="3528"/>
      <c r="Q181" s="3603"/>
      <c r="R181" s="3244"/>
      <c r="S181" s="3229"/>
      <c r="T181" s="3244"/>
      <c r="U181" s="3229"/>
      <c r="V181" s="3244"/>
      <c r="W181" s="3608"/>
      <c r="X181" s="3606"/>
      <c r="Y181" s="3432"/>
      <c r="Z181" s="3610"/>
      <c r="AA181" s="3518"/>
      <c r="AB181" s="3419"/>
      <c r="AC181" s="2611"/>
      <c r="AE181">
        <v>0</v>
      </c>
      <c r="AF181" s="1402" t="n">
        <f t="shared" si="18"/>
        <v>0.0</v>
      </c>
    </row>
    <row r="182" spans="1:32" x14ac:dyDescent="0.15">
      <c r="A182" s="3579"/>
      <c r="B182" s="1160" t="s">
        <v>3194</v>
      </c>
      <c r="C182" s="1168" t="s">
        <v>4442</v>
      </c>
      <c r="D182" s="2771" t="s">
        <v>4447</v>
      </c>
      <c r="E182" s="3229"/>
      <c r="F182" s="3590"/>
      <c r="G182" s="3531"/>
      <c r="H182" s="3534"/>
      <c r="I182" s="3567"/>
      <c r="J182" s="3570"/>
      <c r="K182" s="3452"/>
      <c r="L182" s="3545"/>
      <c r="M182" s="3573"/>
      <c r="N182" s="3576"/>
      <c r="O182" s="3554"/>
      <c r="P182" s="3528"/>
      <c r="Q182" s="3603"/>
      <c r="R182" s="3244"/>
      <c r="S182" s="3229"/>
      <c r="T182" s="3244"/>
      <c r="U182" s="3229"/>
      <c r="V182" s="3244"/>
      <c r="W182" s="3608"/>
      <c r="X182" s="3606"/>
      <c r="Y182" s="3432"/>
      <c r="Z182" s="3610"/>
      <c r="AA182" s="3518"/>
      <c r="AB182" s="3419"/>
      <c r="AC182" s="2611"/>
      <c r="AE182">
        <v>0</v>
      </c>
      <c r="AF182" s="1402" t="n">
        <f t="shared" si="18"/>
        <v>0.0</v>
      </c>
    </row>
    <row r="183" spans="1:32" x14ac:dyDescent="0.15">
      <c r="A183" s="3579"/>
      <c r="B183" s="1160" t="s">
        <v>3196</v>
      </c>
      <c r="C183" s="1168" t="s">
        <v>4442</v>
      </c>
      <c r="D183" s="2771" t="s">
        <v>4448</v>
      </c>
      <c r="E183" s="3229"/>
      <c r="F183" s="3590"/>
      <c r="G183" s="3531"/>
      <c r="H183" s="3534"/>
      <c r="I183" s="3567"/>
      <c r="J183" s="3570"/>
      <c r="K183" s="3452"/>
      <c r="L183" s="3545"/>
      <c r="M183" s="3573"/>
      <c r="N183" s="3576"/>
      <c r="O183" s="3554"/>
      <c r="P183" s="3528"/>
      <c r="Q183" s="3603"/>
      <c r="R183" s="3244"/>
      <c r="S183" s="3229"/>
      <c r="T183" s="3244"/>
      <c r="U183" s="3229"/>
      <c r="V183" s="3244"/>
      <c r="W183" s="3608"/>
      <c r="X183" s="3606"/>
      <c r="Y183" s="3432"/>
      <c r="Z183" s="3610"/>
      <c r="AA183" s="3518"/>
      <c r="AB183" s="3419"/>
      <c r="AC183" s="2611"/>
      <c r="AE183">
        <v>0</v>
      </c>
      <c r="AF183" s="1402" t="n">
        <f t="shared" si="18"/>
        <v>0.0</v>
      </c>
    </row>
    <row r="184" spans="1:32" x14ac:dyDescent="0.15">
      <c r="A184" s="3579"/>
      <c r="B184" s="1160" t="s">
        <v>2109</v>
      </c>
      <c r="C184" s="1168" t="s">
        <v>4442</v>
      </c>
      <c r="D184" s="2771" t="s">
        <v>4449</v>
      </c>
      <c r="E184" s="3229"/>
      <c r="F184" s="3590"/>
      <c r="G184" s="3531"/>
      <c r="H184" s="3534"/>
      <c r="I184" s="3567"/>
      <c r="J184" s="3570"/>
      <c r="K184" s="3452"/>
      <c r="L184" s="3545"/>
      <c r="M184" s="3573"/>
      <c r="N184" s="3576"/>
      <c r="O184" s="3554"/>
      <c r="P184" s="3528"/>
      <c r="Q184" s="3603"/>
      <c r="R184" s="3244"/>
      <c r="S184" s="3229"/>
      <c r="T184" s="3244"/>
      <c r="U184" s="3229"/>
      <c r="V184" s="3244"/>
      <c r="W184" s="3608"/>
      <c r="X184" s="3606"/>
      <c r="Y184" s="3432"/>
      <c r="Z184" s="3610"/>
      <c r="AA184" s="3518"/>
      <c r="AB184" s="3419"/>
      <c r="AC184" s="2611"/>
      <c r="AE184">
        <v>0</v>
      </c>
      <c r="AF184" s="1402" t="n">
        <f t="shared" si="18"/>
        <v>0.0</v>
      </c>
    </row>
    <row r="185" spans="1:32" x14ac:dyDescent="0.15">
      <c r="A185" s="3579"/>
      <c r="B185" s="1160" t="s">
        <v>2111</v>
      </c>
      <c r="C185" s="1168" t="s">
        <v>4442</v>
      </c>
      <c r="D185" s="2771" t="s">
        <v>4450</v>
      </c>
      <c r="E185" s="3229"/>
      <c r="F185" s="3590"/>
      <c r="G185" s="3531"/>
      <c r="H185" s="3534"/>
      <c r="I185" s="3567"/>
      <c r="J185" s="3570"/>
      <c r="K185" s="3452"/>
      <c r="L185" s="3545"/>
      <c r="M185" s="3573"/>
      <c r="N185" s="3576"/>
      <c r="O185" s="3554"/>
      <c r="P185" s="3528"/>
      <c r="Q185" s="3603"/>
      <c r="R185" s="3244"/>
      <c r="S185" s="3229"/>
      <c r="T185" s="3244"/>
      <c r="U185" s="3229"/>
      <c r="V185" s="3244"/>
      <c r="W185" s="3608"/>
      <c r="X185" s="3606"/>
      <c r="Y185" s="3432"/>
      <c r="Z185" s="3610"/>
      <c r="AA185" s="3518"/>
      <c r="AB185" s="3419"/>
      <c r="AC185" s="2611"/>
      <c r="AE185">
        <v>0</v>
      </c>
      <c r="AF185" s="1402" t="n">
        <f t="shared" si="18"/>
        <v>0.0</v>
      </c>
    </row>
    <row r="186" spans="1:32" ht="14.25" thickBot="1" x14ac:dyDescent="0.2">
      <c r="A186" s="3286"/>
      <c r="B186" s="1158" t="s">
        <v>2113</v>
      </c>
      <c r="C186" s="1169" t="s">
        <v>4442</v>
      </c>
      <c r="D186" s="2792" t="s">
        <v>4451</v>
      </c>
      <c r="E186" s="3228"/>
      <c r="F186" s="3591"/>
      <c r="G186" s="3557"/>
      <c r="H186" s="3558"/>
      <c r="I186" s="3568"/>
      <c r="J186" s="3571"/>
      <c r="K186" s="3561"/>
      <c r="L186" s="3562"/>
      <c r="M186" s="3574"/>
      <c r="N186" s="3577"/>
      <c r="O186" s="3565"/>
      <c r="P186" s="3529"/>
      <c r="Q186" s="3604"/>
      <c r="R186" s="3240"/>
      <c r="S186" s="3228"/>
      <c r="T186" s="3240"/>
      <c r="U186" s="3228"/>
      <c r="V186" s="3240"/>
      <c r="W186" s="3609"/>
      <c r="X186" s="3607"/>
      <c r="Y186" s="3443"/>
      <c r="Z186" s="3611"/>
      <c r="AA186" s="3519"/>
      <c r="AB186" s="3418"/>
      <c r="AC186" s="2612"/>
      <c r="AE186">
        <v>0</v>
      </c>
      <c r="AF186" s="1402" t="n">
        <f t="shared" si="18"/>
        <v>0.0</v>
      </c>
    </row>
    <row r="187" spans="1:32" ht="34.5" thickTop="1" x14ac:dyDescent="0.15">
      <c r="A187" s="3578" t="s">
        <v>4452</v>
      </c>
      <c r="B187" s="1159" t="s">
        <v>4453</v>
      </c>
      <c r="C187" s="1167" t="s">
        <v>4345</v>
      </c>
      <c r="D187" s="2805" t="s">
        <v>4454</v>
      </c>
      <c r="E187" s="3245" t="s">
        <v>4455</v>
      </c>
      <c r="F187" s="3589" t="s">
        <v>4456</v>
      </c>
      <c r="G187" s="3530" t="str">
        <f>"4-DaHall 1-PDU-"&amp;K187&amp;"-"&amp;J187&amp;"-"&amp;L187</f>
        <v>4-DaHall 1-PDU-08-100-9</v>
      </c>
      <c r="H187" s="3533" t="str">
        <f>"4-DaHall 1-PDU-"&amp;O187&amp;"-"&amp;N187&amp;"-"&amp;P187</f>
        <v>4-DaHall 1-PDU-07-100-9</v>
      </c>
      <c r="I187" s="3566">
        <v>220</v>
      </c>
      <c r="J187" s="3569">
        <v>100</v>
      </c>
      <c r="K187" s="3542" t="s">
        <v>6932</v>
      </c>
      <c r="L187" s="3544">
        <v>9</v>
      </c>
      <c r="M187" s="3572">
        <v>220</v>
      </c>
      <c r="N187" s="3575">
        <v>100</v>
      </c>
      <c r="O187" s="3553" t="s">
        <v>6919</v>
      </c>
      <c r="P187" s="3527">
        <v>9</v>
      </c>
      <c r="Q187" s="3602" t="s">
        <v>4457</v>
      </c>
      <c r="R187" s="3233" t="s">
        <v>4458</v>
      </c>
      <c r="S187" s="3245" t="s">
        <v>4459</v>
      </c>
      <c r="T187" s="3233" t="s">
        <v>4460</v>
      </c>
      <c r="U187" s="3245" t="s">
        <v>4110</v>
      </c>
      <c r="V187" s="3233" t="s">
        <v>4117</v>
      </c>
      <c r="W187" s="3595" t="n">
        <f>SUM('4층_부하량(월간_AVG)'!N27:P27)</f>
        <v>0.0</v>
      </c>
      <c r="X187" s="3597" t="n">
        <f>SUM('4층_부하량(월간_AVG)'!D72:F72)</f>
        <v>0.0</v>
      </c>
      <c r="Y187" s="3599" t="n">
        <f>SUM(W187:X187)</f>
        <v>0.0</v>
      </c>
      <c r="Z187" s="3600" t="n" cm="1">
        <f t="array" ref="Z187">INDEX('각층분기별_유효전력량(전월)'!C2:C2020,MATCH(1,("4-DaHall 1-PDU-08"='각층분기별_유효전력량(전월)'!A2:A2020)*("[branch#009] [A] kWh last month"='각층분기별_유효전력량(전월)'!B2:B2020),0))</f>
        <v>18.4</v>
      </c>
      <c r="AA187" s="3517" t="n" cm="1">
        <f t="array" ref="AA187">INDEX('각층분기별_유효전력량(전월)'!C2:C2020,MATCH(1,("4-DaHall 1-PDU-07"='각층분기별_유효전력량(전월)'!A2:A2020)*("[branch#009] [A] kWh last month"='각층분기별_유효전력량(전월)'!B2:B2020),0))</f>
        <v>42.9</v>
      </c>
      <c r="AB187" s="3421" t="n">
        <f>SUM(Z187:AA188)</f>
        <v>61.3</v>
      </c>
      <c r="AC187" s="2620" t="s">
        <v>4461</v>
      </c>
      <c r="AE187">
        <v>1.4</v>
      </c>
      <c r="AF187" s="1402" t="n">
        <f t="shared" si="18"/>
        <v>-1.4</v>
      </c>
    </row>
    <row r="188" spans="1:32" ht="22.5" x14ac:dyDescent="0.15">
      <c r="A188" s="3579"/>
      <c r="B188" s="1160" t="s">
        <v>4344</v>
      </c>
      <c r="C188" s="1168" t="s">
        <v>4345</v>
      </c>
      <c r="D188" s="1011" t="s">
        <v>4346</v>
      </c>
      <c r="E188" s="3229"/>
      <c r="F188" s="3590"/>
      <c r="G188" s="3531"/>
      <c r="H188" s="3534"/>
      <c r="I188" s="3567"/>
      <c r="J188" s="3570"/>
      <c r="K188" s="3452"/>
      <c r="L188" s="3545"/>
      <c r="M188" s="3573"/>
      <c r="N188" s="3576"/>
      <c r="O188" s="3554"/>
      <c r="P188" s="3528"/>
      <c r="Q188" s="3603"/>
      <c r="R188" s="3244"/>
      <c r="S188" s="3229"/>
      <c r="T188" s="3244"/>
      <c r="U188" s="3229"/>
      <c r="V188" s="3244"/>
      <c r="W188" s="3596"/>
      <c r="X188" s="3598"/>
      <c r="Y188" s="3433"/>
      <c r="Z188" s="3601"/>
      <c r="AA188" s="3523"/>
      <c r="AB188" s="3410"/>
      <c r="AC188" s="2621" t="s">
        <v>4462</v>
      </c>
      <c r="AE188">
        <v>0</v>
      </c>
      <c r="AF188" s="1402" t="n">
        <f t="shared" si="18"/>
        <v>0.0</v>
      </c>
    </row>
    <row r="189" spans="1:32" x14ac:dyDescent="0.15">
      <c r="A189" s="3579"/>
      <c r="B189" s="1160"/>
      <c r="C189" s="1168"/>
      <c r="D189" s="2765"/>
      <c r="E189" s="3229"/>
      <c r="F189" s="3590"/>
      <c r="G189" s="3531"/>
      <c r="H189" s="3534"/>
      <c r="I189" s="3567"/>
      <c r="J189" s="3570"/>
      <c r="K189" s="3452"/>
      <c r="L189" s="3545"/>
      <c r="M189" s="3573"/>
      <c r="N189" s="3576"/>
      <c r="O189" s="3554"/>
      <c r="P189" s="3528"/>
      <c r="Q189" s="3603"/>
      <c r="R189" s="3244"/>
      <c r="S189" s="3229"/>
      <c r="T189" s="3244"/>
      <c r="U189" s="3229"/>
      <c r="V189" s="3244"/>
      <c r="W189" s="3615"/>
      <c r="X189" s="3618"/>
      <c r="Y189" s="3621"/>
      <c r="Z189" s="3624"/>
      <c r="AA189" s="3520"/>
      <c r="AB189" s="3592"/>
      <c r="AC189" s="3508"/>
      <c r="AE189">
        <v>0</v>
      </c>
      <c r="AF189" s="1402" t="n">
        <f t="shared" si="18"/>
        <v>0.0</v>
      </c>
    </row>
    <row r="190" spans="1:32" x14ac:dyDescent="0.15">
      <c r="A190" s="3579"/>
      <c r="B190" s="1160"/>
      <c r="C190" s="1168"/>
      <c r="D190" s="2765"/>
      <c r="E190" s="3229"/>
      <c r="F190" s="3590"/>
      <c r="G190" s="3531"/>
      <c r="H190" s="3534"/>
      <c r="I190" s="3567"/>
      <c r="J190" s="3570"/>
      <c r="K190" s="3452"/>
      <c r="L190" s="3545"/>
      <c r="M190" s="3573"/>
      <c r="N190" s="3576"/>
      <c r="O190" s="3554"/>
      <c r="P190" s="3528"/>
      <c r="Q190" s="3603"/>
      <c r="R190" s="3244"/>
      <c r="S190" s="3229"/>
      <c r="T190" s="3244"/>
      <c r="U190" s="3229"/>
      <c r="V190" s="3244"/>
      <c r="W190" s="3616"/>
      <c r="X190" s="3619"/>
      <c r="Y190" s="3622"/>
      <c r="Z190" s="3625"/>
      <c r="AA190" s="3521"/>
      <c r="AB190" s="3593"/>
      <c r="AC190" s="3506"/>
      <c r="AE190">
        <v>0</v>
      </c>
      <c r="AF190" s="1402" t="n">
        <f t="shared" si="18"/>
        <v>0.0</v>
      </c>
    </row>
    <row r="191" spans="1:32" x14ac:dyDescent="0.15">
      <c r="A191" s="3579"/>
      <c r="B191" s="1160"/>
      <c r="C191" s="1168"/>
      <c r="D191" s="2765"/>
      <c r="E191" s="3229"/>
      <c r="F191" s="3590"/>
      <c r="G191" s="3531"/>
      <c r="H191" s="3534"/>
      <c r="I191" s="3567"/>
      <c r="J191" s="3570"/>
      <c r="K191" s="3452"/>
      <c r="L191" s="3545"/>
      <c r="M191" s="3573"/>
      <c r="N191" s="3576"/>
      <c r="O191" s="3554"/>
      <c r="P191" s="3528"/>
      <c r="Q191" s="3603"/>
      <c r="R191" s="3244"/>
      <c r="S191" s="3229"/>
      <c r="T191" s="3244"/>
      <c r="U191" s="3229"/>
      <c r="V191" s="3244"/>
      <c r="W191" s="3616"/>
      <c r="X191" s="3619"/>
      <c r="Y191" s="3622"/>
      <c r="Z191" s="3625"/>
      <c r="AA191" s="3521"/>
      <c r="AB191" s="3593"/>
      <c r="AC191" s="3506"/>
      <c r="AE191">
        <v>0</v>
      </c>
      <c r="AF191" s="1402" t="n">
        <f t="shared" si="18"/>
        <v>0.0</v>
      </c>
    </row>
    <row r="192" spans="1:32" x14ac:dyDescent="0.15">
      <c r="A192" s="3579"/>
      <c r="B192" s="1160"/>
      <c r="C192" s="1168"/>
      <c r="D192" s="2765"/>
      <c r="E192" s="3229"/>
      <c r="F192" s="3590"/>
      <c r="G192" s="3531"/>
      <c r="H192" s="3534"/>
      <c r="I192" s="3567"/>
      <c r="J192" s="3570"/>
      <c r="K192" s="3452"/>
      <c r="L192" s="3545"/>
      <c r="M192" s="3573"/>
      <c r="N192" s="3576"/>
      <c r="O192" s="3554"/>
      <c r="P192" s="3528"/>
      <c r="Q192" s="3603"/>
      <c r="R192" s="3244"/>
      <c r="S192" s="3229"/>
      <c r="T192" s="3244"/>
      <c r="U192" s="3229"/>
      <c r="V192" s="3244"/>
      <c r="W192" s="3616"/>
      <c r="X192" s="3619"/>
      <c r="Y192" s="3622"/>
      <c r="Z192" s="3625"/>
      <c r="AA192" s="3521"/>
      <c r="AB192" s="3593"/>
      <c r="AC192" s="3506"/>
      <c r="AE192">
        <v>0</v>
      </c>
      <c r="AF192" s="1402" t="n">
        <f t="shared" si="18"/>
        <v>0.0</v>
      </c>
    </row>
    <row r="193" spans="1:32" x14ac:dyDescent="0.15">
      <c r="A193" s="3579"/>
      <c r="B193" s="1160"/>
      <c r="C193" s="1168"/>
      <c r="D193" s="2765"/>
      <c r="E193" s="3229"/>
      <c r="F193" s="3590"/>
      <c r="G193" s="3531"/>
      <c r="H193" s="3534"/>
      <c r="I193" s="3567"/>
      <c r="J193" s="3570"/>
      <c r="K193" s="3452"/>
      <c r="L193" s="3545"/>
      <c r="M193" s="3573"/>
      <c r="N193" s="3576"/>
      <c r="O193" s="3554"/>
      <c r="P193" s="3528"/>
      <c r="Q193" s="3603"/>
      <c r="R193" s="3244"/>
      <c r="S193" s="3229"/>
      <c r="T193" s="3244"/>
      <c r="U193" s="3229"/>
      <c r="V193" s="3244"/>
      <c r="W193" s="3616"/>
      <c r="X193" s="3619"/>
      <c r="Y193" s="3622"/>
      <c r="Z193" s="3625"/>
      <c r="AA193" s="3521"/>
      <c r="AB193" s="3593"/>
      <c r="AC193" s="3506"/>
      <c r="AE193">
        <v>0</v>
      </c>
      <c r="AF193" s="1402" t="n">
        <f t="shared" si="18"/>
        <v>0.0</v>
      </c>
    </row>
    <row r="194" spans="1:32" ht="14.25" thickBot="1" x14ac:dyDescent="0.2">
      <c r="A194" s="3286"/>
      <c r="B194" s="1158"/>
      <c r="C194" s="1169"/>
      <c r="D194" s="2780"/>
      <c r="E194" s="3228"/>
      <c r="F194" s="3591"/>
      <c r="G194" s="3557"/>
      <c r="H194" s="3558"/>
      <c r="I194" s="3568"/>
      <c r="J194" s="3571"/>
      <c r="K194" s="3561"/>
      <c r="L194" s="3562"/>
      <c r="M194" s="3574"/>
      <c r="N194" s="3577"/>
      <c r="O194" s="3565"/>
      <c r="P194" s="3529"/>
      <c r="Q194" s="3604"/>
      <c r="R194" s="3240"/>
      <c r="S194" s="3228"/>
      <c r="T194" s="3240"/>
      <c r="U194" s="3228"/>
      <c r="V194" s="3240"/>
      <c r="W194" s="3617"/>
      <c r="X194" s="3620"/>
      <c r="Y194" s="3623"/>
      <c r="Z194" s="3626"/>
      <c r="AA194" s="3522"/>
      <c r="AB194" s="3594"/>
      <c r="AC194" s="3507"/>
      <c r="AE194">
        <v>0</v>
      </c>
      <c r="AF194" s="1402" t="n">
        <f t="shared" si="18"/>
        <v>0.0</v>
      </c>
    </row>
    <row r="195" spans="1:32" ht="14.25" thickTop="1" x14ac:dyDescent="0.15">
      <c r="A195" s="3578" t="s">
        <v>4463</v>
      </c>
      <c r="B195" s="1159"/>
      <c r="C195" s="1167"/>
      <c r="D195" s="331"/>
      <c r="E195" s="3245" t="s">
        <v>4464</v>
      </c>
      <c r="F195" s="3589" t="s">
        <v>4465</v>
      </c>
      <c r="G195" s="3530" t="str">
        <f>"4-DaHall 1-PDU-"&amp;K195&amp;"-"&amp;J195&amp;"-"&amp;L195</f>
        <v>4-DaHall 1-PDU-08-100-10</v>
      </c>
      <c r="H195" s="3533" t="str">
        <f>"4-DaHall 1-PDU-"&amp;O195&amp;"-"&amp;N195&amp;"-"&amp;P195</f>
        <v>4-DaHall 1-PDU-07-100-10</v>
      </c>
      <c r="I195" s="3536">
        <v>220</v>
      </c>
      <c r="J195" s="3539">
        <v>100</v>
      </c>
      <c r="K195" s="3542" t="s">
        <v>6932</v>
      </c>
      <c r="L195" s="3544">
        <v>10</v>
      </c>
      <c r="M195" s="3547">
        <v>220</v>
      </c>
      <c r="N195" s="3550">
        <v>100</v>
      </c>
      <c r="O195" s="3553" t="s">
        <v>6919</v>
      </c>
      <c r="P195" s="3527">
        <v>10</v>
      </c>
      <c r="Q195" s="3602" t="s">
        <v>4457</v>
      </c>
      <c r="R195" s="3233" t="s">
        <v>4458</v>
      </c>
      <c r="S195" s="3245" t="s">
        <v>4459</v>
      </c>
      <c r="T195" s="3233" t="s">
        <v>4460</v>
      </c>
      <c r="U195" s="3245" t="s">
        <v>4110</v>
      </c>
      <c r="V195" s="3233" t="s">
        <v>4117</v>
      </c>
      <c r="W195" s="3586" t="n">
        <f>SUM('4층_부하량(월간_AVG)'!N28:P28)</f>
        <v>0.0</v>
      </c>
      <c r="X195" s="3583" t="n">
        <f>SUM('4층_부하량(월간_AVG)'!D73:F73)</f>
        <v>0.0</v>
      </c>
      <c r="Y195" s="3420" t="n">
        <f>SUM(W195:X195)</f>
        <v>0.0</v>
      </c>
      <c r="Z195" s="3580" t="n" cm="1">
        <f t="array" ref="Z195">INDEX('각층분기별_유효전력량(전월)'!C2:C2020,MATCH(1,("4-DaHall 1-PDU-08"='각층분기별_유효전력량(전월)'!A2:A2020)*("[branch#010] [A] kWh last month"='각층분기별_유효전력량(전월)'!B2:B2020),0))</f>
        <v>0.0</v>
      </c>
      <c r="AA195" s="3517" t="n" cm="1">
        <f t="array" ref="AA195">INDEX('각층분기별_유효전력량(전월)'!C2:C2020,MATCH(1,("4-DaHall 1-PDU-07"='각층분기별_유효전력량(전월)'!A2:A2020)*("[branch#010] [A] kWh last month"='각층분기별_유효전력량(전월)'!B2:B2020),0))</f>
        <v>0.0</v>
      </c>
      <c r="AB195" s="3421" t="n">
        <f>SUM(Z195:AA197)</f>
        <v>0.0</v>
      </c>
      <c r="AC195" s="3505"/>
      <c r="AE195">
        <v>0</v>
      </c>
      <c r="AF195" s="1402" t="n">
        <f t="shared" si="18"/>
        <v>0.0</v>
      </c>
    </row>
    <row r="196" spans="1:32" x14ac:dyDescent="0.15">
      <c r="A196" s="3579"/>
      <c r="B196" s="1160"/>
      <c r="C196" s="1168"/>
      <c r="D196" s="2765"/>
      <c r="E196" s="3229"/>
      <c r="F196" s="3590"/>
      <c r="G196" s="3531"/>
      <c r="H196" s="3534"/>
      <c r="I196" s="3537"/>
      <c r="J196" s="3540"/>
      <c r="K196" s="3452"/>
      <c r="L196" s="3545"/>
      <c r="M196" s="3548"/>
      <c r="N196" s="3551"/>
      <c r="O196" s="3554"/>
      <c r="P196" s="3528"/>
      <c r="Q196" s="3603"/>
      <c r="R196" s="3244"/>
      <c r="S196" s="3229"/>
      <c r="T196" s="3244"/>
      <c r="U196" s="3229"/>
      <c r="V196" s="3244"/>
      <c r="W196" s="3587"/>
      <c r="X196" s="3584"/>
      <c r="Y196" s="3251"/>
      <c r="Z196" s="3581"/>
      <c r="AA196" s="3518"/>
      <c r="AB196" s="3419"/>
      <c r="AC196" s="3506"/>
      <c r="AE196">
        <v>0</v>
      </c>
      <c r="AF196" s="1402" t="n">
        <f t="shared" si="18"/>
        <v>0.0</v>
      </c>
    </row>
    <row r="197" spans="1:32" ht="14.25" thickBot="1" x14ac:dyDescent="0.2">
      <c r="A197" s="3286"/>
      <c r="B197" s="1158"/>
      <c r="C197" s="1169"/>
      <c r="D197" s="2780"/>
      <c r="E197" s="3228"/>
      <c r="F197" s="3591"/>
      <c r="G197" s="3557"/>
      <c r="H197" s="3558"/>
      <c r="I197" s="3559"/>
      <c r="J197" s="3560"/>
      <c r="K197" s="3561"/>
      <c r="L197" s="3562"/>
      <c r="M197" s="3563"/>
      <c r="N197" s="3564"/>
      <c r="O197" s="3565"/>
      <c r="P197" s="3529"/>
      <c r="Q197" s="3604"/>
      <c r="R197" s="3240"/>
      <c r="S197" s="3228"/>
      <c r="T197" s="3240"/>
      <c r="U197" s="3228"/>
      <c r="V197" s="3240"/>
      <c r="W197" s="3588"/>
      <c r="X197" s="3585"/>
      <c r="Y197" s="3253"/>
      <c r="Z197" s="3582"/>
      <c r="AA197" s="3519"/>
      <c r="AB197" s="3418"/>
      <c r="AC197" s="3507"/>
      <c r="AE197">
        <v>0</v>
      </c>
      <c r="AF197" s="1402" t="n">
        <f t="shared" si="18"/>
        <v>0.0</v>
      </c>
    </row>
    <row r="198" spans="1:32" ht="14.25" thickTop="1" x14ac:dyDescent="0.15">
      <c r="A198" s="3578" t="s">
        <v>4466</v>
      </c>
      <c r="B198" s="1159" t="s">
        <v>4467</v>
      </c>
      <c r="C198" s="1167" t="s">
        <v>4202</v>
      </c>
      <c r="D198" s="331" t="s">
        <v>4468</v>
      </c>
      <c r="E198" s="3245" t="s">
        <v>4469</v>
      </c>
      <c r="F198" s="3589" t="s">
        <v>4470</v>
      </c>
      <c r="G198" s="3530" t="str">
        <f>"4-DaHall 1-PDU-"&amp;K198&amp;"-"&amp;J198&amp;"-"&amp;L198</f>
        <v>4-DaHall 1-PDU-08-100-1</v>
      </c>
      <c r="H198" s="3533" t="str">
        <f>"4-DaHall 1-PDU-"&amp;O198&amp;"-"&amp;N198&amp;"-"&amp;P198</f>
        <v>4-DaHall 1-PDU-07-100-1</v>
      </c>
      <c r="I198" s="3536">
        <v>220</v>
      </c>
      <c r="J198" s="3539">
        <v>100</v>
      </c>
      <c r="K198" s="3542" t="s">
        <v>6932</v>
      </c>
      <c r="L198" s="3544">
        <v>1</v>
      </c>
      <c r="M198" s="3547">
        <v>220</v>
      </c>
      <c r="N198" s="3550">
        <v>100</v>
      </c>
      <c r="O198" s="3553" t="s">
        <v>6919</v>
      </c>
      <c r="P198" s="3527">
        <v>1</v>
      </c>
      <c r="Q198" s="3602" t="s">
        <v>4457</v>
      </c>
      <c r="R198" s="3233" t="s">
        <v>4458</v>
      </c>
      <c r="S198" s="3245" t="s">
        <v>4459</v>
      </c>
      <c r="T198" s="3233" t="s">
        <v>4460</v>
      </c>
      <c r="U198" s="3245" t="s">
        <v>4110</v>
      </c>
      <c r="V198" s="3233" t="s">
        <v>4117</v>
      </c>
      <c r="W198" s="3586" t="n">
        <f>SUM('4층_부하량(월간_AVG)'!N19:P19)</f>
        <v>22.660402651884617</v>
      </c>
      <c r="X198" s="3583" t="n">
        <f>SUM('4층_부하량(월간_AVG)'!D64:F64)</f>
        <v>20.38381554439668</v>
      </c>
      <c r="Y198" s="3420" t="n">
        <f>SUM(W198:X198)</f>
        <v>43.04421819628129</v>
      </c>
      <c r="Z198" s="3580" t="n" cm="1">
        <f t="array" ref="Z198">INDEX('각층분기별_유효전력량(전월)'!C2:C2020,MATCH(1,("4-DaHall 1-PDU-08"='각층분기별_유효전력량(전월)'!A2:A2020)*("[branch#001] [A] kWh last month"='각층분기별_유효전력량(전월)'!B2:B2020),0))</f>
        <v>3522.1</v>
      </c>
      <c r="AA198" s="3517" t="n" cm="1">
        <f t="array" ref="AA198">INDEX('각층분기별_유효전력량(전월)'!C2:C2020,MATCH(1,("4-DaHall 1-PDU-07"='각층분기별_유효전력량(전월)'!A2:A2020)*("[branch#001] [A] kWh last month"='각층분기별_유효전력량(전월)'!B2:B2020),0))</f>
        <v>3135.8</v>
      </c>
      <c r="AB198" s="3421" t="n">
        <f>SUM(Z198:AA203)</f>
        <v>6657.9</v>
      </c>
      <c r="AC198" s="3505" t="s">
        <v>4202</v>
      </c>
      <c r="AE198">
        <v>44.2</v>
      </c>
      <c r="AF198" s="1402" t="n">
        <f t="shared" ref="AF198:AF233" si="23">Y198-AE198</f>
        <v>-1.1557818037187104</v>
      </c>
    </row>
    <row r="199" spans="1:32" x14ac:dyDescent="0.15">
      <c r="A199" s="3579"/>
      <c r="B199" s="1160" t="s">
        <v>4471</v>
      </c>
      <c r="C199" s="1168" t="s">
        <v>4202</v>
      </c>
      <c r="D199" s="2765" t="s">
        <v>4472</v>
      </c>
      <c r="E199" s="3229"/>
      <c r="F199" s="3590"/>
      <c r="G199" s="3531"/>
      <c r="H199" s="3534"/>
      <c r="I199" s="3537"/>
      <c r="J199" s="3540"/>
      <c r="K199" s="3452"/>
      <c r="L199" s="3545"/>
      <c r="M199" s="3548"/>
      <c r="N199" s="3551"/>
      <c r="O199" s="3554"/>
      <c r="P199" s="3528"/>
      <c r="Q199" s="3603"/>
      <c r="R199" s="3244"/>
      <c r="S199" s="3229"/>
      <c r="T199" s="3244"/>
      <c r="U199" s="3229"/>
      <c r="V199" s="3244"/>
      <c r="W199" s="3587"/>
      <c r="X199" s="3584"/>
      <c r="Y199" s="3251"/>
      <c r="Z199" s="3581"/>
      <c r="AA199" s="3518"/>
      <c r="AB199" s="3419"/>
      <c r="AC199" s="3506"/>
      <c r="AE199">
        <v>0</v>
      </c>
      <c r="AF199" s="1402" t="n">
        <f t="shared" si="23"/>
        <v>0.0</v>
      </c>
    </row>
    <row r="200" spans="1:32" x14ac:dyDescent="0.15">
      <c r="A200" s="3579"/>
      <c r="B200" s="1160" t="s">
        <v>4473</v>
      </c>
      <c r="C200" s="1168" t="s">
        <v>4202</v>
      </c>
      <c r="D200" s="2765" t="s">
        <v>4474</v>
      </c>
      <c r="E200" s="3229"/>
      <c r="F200" s="3590"/>
      <c r="G200" s="3531"/>
      <c r="H200" s="3534"/>
      <c r="I200" s="3537"/>
      <c r="J200" s="3540"/>
      <c r="K200" s="3452"/>
      <c r="L200" s="3545"/>
      <c r="M200" s="3548"/>
      <c r="N200" s="3551"/>
      <c r="O200" s="3554"/>
      <c r="P200" s="3528"/>
      <c r="Q200" s="3603"/>
      <c r="R200" s="3244"/>
      <c r="S200" s="3229"/>
      <c r="T200" s="3244"/>
      <c r="U200" s="3229"/>
      <c r="V200" s="3244"/>
      <c r="W200" s="3587"/>
      <c r="X200" s="3584"/>
      <c r="Y200" s="3251"/>
      <c r="Z200" s="3581"/>
      <c r="AA200" s="3518"/>
      <c r="AB200" s="3419"/>
      <c r="AC200" s="3506"/>
      <c r="AE200">
        <v>0</v>
      </c>
      <c r="AF200" s="1402" t="n">
        <f t="shared" si="23"/>
        <v>0.0</v>
      </c>
    </row>
    <row r="201" spans="1:32" x14ac:dyDescent="0.15">
      <c r="A201" s="3579"/>
      <c r="B201" s="1160" t="s">
        <v>4475</v>
      </c>
      <c r="C201" s="1168" t="s">
        <v>4202</v>
      </c>
      <c r="D201" s="2765" t="s">
        <v>4476</v>
      </c>
      <c r="E201" s="3229"/>
      <c r="F201" s="3590"/>
      <c r="G201" s="3531"/>
      <c r="H201" s="3534"/>
      <c r="I201" s="3537"/>
      <c r="J201" s="3540"/>
      <c r="K201" s="3452"/>
      <c r="L201" s="3545"/>
      <c r="M201" s="3548"/>
      <c r="N201" s="3551"/>
      <c r="O201" s="3554"/>
      <c r="P201" s="3528"/>
      <c r="Q201" s="3603"/>
      <c r="R201" s="3244"/>
      <c r="S201" s="3229"/>
      <c r="T201" s="3244"/>
      <c r="U201" s="3229"/>
      <c r="V201" s="3244"/>
      <c r="W201" s="3587"/>
      <c r="X201" s="3584"/>
      <c r="Y201" s="3251"/>
      <c r="Z201" s="3581"/>
      <c r="AA201" s="3518"/>
      <c r="AB201" s="3419"/>
      <c r="AC201" s="3506"/>
      <c r="AE201">
        <v>0</v>
      </c>
      <c r="AF201" s="1402" t="n">
        <f t="shared" si="23"/>
        <v>0.0</v>
      </c>
    </row>
    <row r="202" spans="1:32" x14ac:dyDescent="0.15">
      <c r="A202" s="3579"/>
      <c r="B202" s="1160" t="s">
        <v>4477</v>
      </c>
      <c r="C202" s="1168" t="s">
        <v>4202</v>
      </c>
      <c r="D202" s="2765" t="s">
        <v>4478</v>
      </c>
      <c r="E202" s="3229"/>
      <c r="F202" s="3590"/>
      <c r="G202" s="3531"/>
      <c r="H202" s="3534"/>
      <c r="I202" s="3537"/>
      <c r="J202" s="3540"/>
      <c r="K202" s="3452"/>
      <c r="L202" s="3545"/>
      <c r="M202" s="3548"/>
      <c r="N202" s="3551"/>
      <c r="O202" s="3554"/>
      <c r="P202" s="3528"/>
      <c r="Q202" s="3603"/>
      <c r="R202" s="3244"/>
      <c r="S202" s="3229"/>
      <c r="T202" s="3244"/>
      <c r="U202" s="3229"/>
      <c r="V202" s="3244"/>
      <c r="W202" s="3587"/>
      <c r="X202" s="3584"/>
      <c r="Y202" s="3251"/>
      <c r="Z202" s="3581"/>
      <c r="AA202" s="3518"/>
      <c r="AB202" s="3419"/>
      <c r="AC202" s="3506"/>
      <c r="AE202">
        <v>0</v>
      </c>
      <c r="AF202" s="1402" t="n">
        <f t="shared" si="23"/>
        <v>0.0</v>
      </c>
    </row>
    <row r="203" spans="1:32" ht="14.25" thickBot="1" x14ac:dyDescent="0.2">
      <c r="A203" s="3286"/>
      <c r="B203" s="1158" t="s">
        <v>4479</v>
      </c>
      <c r="C203" s="1169" t="s">
        <v>4202</v>
      </c>
      <c r="D203" s="2780" t="s">
        <v>4480</v>
      </c>
      <c r="E203" s="3228"/>
      <c r="F203" s="3591"/>
      <c r="G203" s="3557"/>
      <c r="H203" s="3558"/>
      <c r="I203" s="3559"/>
      <c r="J203" s="3560"/>
      <c r="K203" s="3561"/>
      <c r="L203" s="3562"/>
      <c r="M203" s="3563"/>
      <c r="N203" s="3564"/>
      <c r="O203" s="3565"/>
      <c r="P203" s="3529"/>
      <c r="Q203" s="3604"/>
      <c r="R203" s="3240"/>
      <c r="S203" s="3228"/>
      <c r="T203" s="3240"/>
      <c r="U203" s="3228"/>
      <c r="V203" s="3240"/>
      <c r="W203" s="3588"/>
      <c r="X203" s="3585"/>
      <c r="Y203" s="3253"/>
      <c r="Z203" s="3582"/>
      <c r="AA203" s="3519"/>
      <c r="AB203" s="3418"/>
      <c r="AC203" s="3507"/>
      <c r="AE203">
        <v>0</v>
      </c>
      <c r="AF203" s="1402" t="n">
        <f t="shared" si="23"/>
        <v>0.0</v>
      </c>
    </row>
    <row r="204" spans="1:32" ht="14.25" thickTop="1" x14ac:dyDescent="0.15">
      <c r="A204" s="3578" t="s">
        <v>4481</v>
      </c>
      <c r="B204" s="1159" t="s">
        <v>4482</v>
      </c>
      <c r="C204" s="1167" t="s">
        <v>4202</v>
      </c>
      <c r="D204" s="331" t="s">
        <v>4483</v>
      </c>
      <c r="E204" s="3245" t="s">
        <v>4484</v>
      </c>
      <c r="F204" s="3589" t="s">
        <v>4485</v>
      </c>
      <c r="G204" s="3530" t="str">
        <f>"4-DaHall 1-PDU-"&amp;K204&amp;"-"&amp;J204&amp;"-"&amp;L204</f>
        <v>4-DaHall 1-PDU-08-100-3</v>
      </c>
      <c r="H204" s="3533" t="str">
        <f>"4-DaHall 1-PDU-"&amp;O204&amp;"-"&amp;N204&amp;"-"&amp;P204</f>
        <v>4-DaHall 1-PDU-07-100-3</v>
      </c>
      <c r="I204" s="3536">
        <v>220</v>
      </c>
      <c r="J204" s="3539">
        <v>100</v>
      </c>
      <c r="K204" s="3542" t="s">
        <v>6932</v>
      </c>
      <c r="L204" s="3544">
        <v>3</v>
      </c>
      <c r="M204" s="3547">
        <v>220</v>
      </c>
      <c r="N204" s="3550">
        <v>100</v>
      </c>
      <c r="O204" s="3553" t="s">
        <v>6919</v>
      </c>
      <c r="P204" s="3527">
        <v>3</v>
      </c>
      <c r="Q204" s="3602" t="s">
        <v>4457</v>
      </c>
      <c r="R204" s="3233" t="s">
        <v>4458</v>
      </c>
      <c r="S204" s="3245" t="s">
        <v>4459</v>
      </c>
      <c r="T204" s="3233" t="s">
        <v>4460</v>
      </c>
      <c r="U204" s="3245" t="s">
        <v>4110</v>
      </c>
      <c r="V204" s="3233" t="s">
        <v>4117</v>
      </c>
      <c r="W204" s="3586" t="n">
        <f>SUM('4층_부하량(월간_AVG)'!N21:P21)</f>
        <v>5.402414315157449</v>
      </c>
      <c r="X204" s="3583" t="n">
        <f>SUM('4층_부하량(월간_AVG)'!D66:F66)</f>
        <v>5.300606315537995</v>
      </c>
      <c r="Y204" s="3420" t="n">
        <f>SUM(W204:X204)</f>
        <v>10.703020630695445</v>
      </c>
      <c r="Z204" s="3580" t="n" cm="1">
        <f t="array" ref="Z204">INDEX('각층분기별_유효전력량(전월)'!C2:C2020,MATCH(1,("4-DaHall 1-PDU-08"='각층분기별_유효전력량(전월)'!A2:A2020)*("[branch#003] [A] kWh last month"='각층분기별_유효전력량(전월)'!B2:B2020),0))</f>
        <v>827.5</v>
      </c>
      <c r="AA204" s="3517" t="n" cm="1">
        <f t="array" ref="AA204">INDEX('각층분기별_유효전력량(전월)'!C2:C2020,MATCH(1,("4-DaHall 1-PDU-07"='각층분기별_유효전력량(전월)'!A2:A2020)*("[branch#003] [A] kWh last month"='각층분기별_유효전력량(전월)'!B2:B2020),0))</f>
        <v>804.0</v>
      </c>
      <c r="AB204" s="3421" t="n">
        <f>SUM(Z204:AA206)</f>
        <v>1631.5</v>
      </c>
      <c r="AC204" s="3505" t="s">
        <v>4202</v>
      </c>
      <c r="AE204">
        <v>10.8</v>
      </c>
      <c r="AF204" s="1402" t="n">
        <f t="shared" si="23"/>
        <v>-0.09697936930455597</v>
      </c>
    </row>
    <row r="205" spans="1:32" x14ac:dyDescent="0.15">
      <c r="A205" s="3579"/>
      <c r="B205" s="1160" t="s">
        <v>3646</v>
      </c>
      <c r="C205" s="1168" t="s">
        <v>4202</v>
      </c>
      <c r="D205" s="2765" t="s">
        <v>4486</v>
      </c>
      <c r="E205" s="3229"/>
      <c r="F205" s="3590"/>
      <c r="G205" s="3531"/>
      <c r="H205" s="3534"/>
      <c r="I205" s="3537"/>
      <c r="J205" s="3540"/>
      <c r="K205" s="3452"/>
      <c r="L205" s="3545"/>
      <c r="M205" s="3548"/>
      <c r="N205" s="3551"/>
      <c r="O205" s="3554"/>
      <c r="P205" s="3528"/>
      <c r="Q205" s="3603"/>
      <c r="R205" s="3244"/>
      <c r="S205" s="3229"/>
      <c r="T205" s="3244"/>
      <c r="U205" s="3229"/>
      <c r="V205" s="3244"/>
      <c r="W205" s="3587"/>
      <c r="X205" s="3584"/>
      <c r="Y205" s="3251"/>
      <c r="Z205" s="3581"/>
      <c r="AA205" s="3518"/>
      <c r="AB205" s="3419"/>
      <c r="AC205" s="3506"/>
      <c r="AE205">
        <v>0</v>
      </c>
      <c r="AF205" s="1402" t="n">
        <f t="shared" si="23"/>
        <v>0.0</v>
      </c>
    </row>
    <row r="206" spans="1:32" ht="14.25" thickBot="1" x14ac:dyDescent="0.2">
      <c r="A206" s="3286"/>
      <c r="B206" s="1158" t="s">
        <v>4487</v>
      </c>
      <c r="C206" s="1169" t="s">
        <v>4202</v>
      </c>
      <c r="D206" s="2780" t="s">
        <v>4488</v>
      </c>
      <c r="E206" s="3228"/>
      <c r="F206" s="3591"/>
      <c r="G206" s="3557"/>
      <c r="H206" s="3558"/>
      <c r="I206" s="3559"/>
      <c r="J206" s="3560"/>
      <c r="K206" s="3561"/>
      <c r="L206" s="3562"/>
      <c r="M206" s="3563"/>
      <c r="N206" s="3564"/>
      <c r="O206" s="3565"/>
      <c r="P206" s="3529"/>
      <c r="Q206" s="3604"/>
      <c r="R206" s="3240"/>
      <c r="S206" s="3228"/>
      <c r="T206" s="3240"/>
      <c r="U206" s="3228"/>
      <c r="V206" s="3240"/>
      <c r="W206" s="3588"/>
      <c r="X206" s="3585"/>
      <c r="Y206" s="3253"/>
      <c r="Z206" s="3582"/>
      <c r="AA206" s="3519"/>
      <c r="AB206" s="3418"/>
      <c r="AC206" s="3507"/>
      <c r="AE206">
        <v>0</v>
      </c>
      <c r="AF206" s="1402" t="n">
        <f t="shared" si="23"/>
        <v>0.0</v>
      </c>
    </row>
    <row r="207" spans="1:32" ht="14.25" thickTop="1" x14ac:dyDescent="0.15">
      <c r="A207" s="3578" t="s">
        <v>4489</v>
      </c>
      <c r="B207" s="1159" t="s">
        <v>4490</v>
      </c>
      <c r="C207" s="1167" t="s">
        <v>4202</v>
      </c>
      <c r="D207" s="331" t="s">
        <v>4491</v>
      </c>
      <c r="E207" s="3245" t="s">
        <v>4492</v>
      </c>
      <c r="F207" s="3589" t="s">
        <v>4493</v>
      </c>
      <c r="G207" s="3530" t="str">
        <f>"4-DaHall 1-PDU-"&amp;K207&amp;"-"&amp;J207&amp;"-"&amp;L207</f>
        <v>4-DaHall 1-PDU-08-100-5</v>
      </c>
      <c r="H207" s="3533" t="str">
        <f>"4-DaHall 1-PDU-"&amp;O207&amp;"-"&amp;N207&amp;"-"&amp;P207</f>
        <v>4-DaHall 1-PDU-07-100-5</v>
      </c>
      <c r="I207" s="3536">
        <v>220</v>
      </c>
      <c r="J207" s="3539">
        <v>100</v>
      </c>
      <c r="K207" s="3542" t="s">
        <v>6932</v>
      </c>
      <c r="L207" s="3544">
        <v>5</v>
      </c>
      <c r="M207" s="3547">
        <v>220</v>
      </c>
      <c r="N207" s="3550">
        <v>100</v>
      </c>
      <c r="O207" s="3553" t="s">
        <v>6919</v>
      </c>
      <c r="P207" s="3527">
        <v>5</v>
      </c>
      <c r="Q207" s="3602" t="s">
        <v>4457</v>
      </c>
      <c r="R207" s="3233" t="s">
        <v>4458</v>
      </c>
      <c r="S207" s="3245" t="s">
        <v>4459</v>
      </c>
      <c r="T207" s="3233" t="s">
        <v>4460</v>
      </c>
      <c r="U207" s="3245" t="s">
        <v>4110</v>
      </c>
      <c r="V207" s="3233" t="s">
        <v>4117</v>
      </c>
      <c r="W207" s="3586" t="n">
        <f>SUM('4층_부하량(월간_AVG)'!N23:P23)</f>
        <v>7.467902845422945</v>
      </c>
      <c r="X207" s="3583" t="n">
        <f>SUM('4층_부하량(월간_AVG)'!D68:F68)</f>
        <v>6.01863954390584</v>
      </c>
      <c r="Y207" s="3420" t="n">
        <f>SUM(W207:X207)</f>
        <v>13.486542389328784</v>
      </c>
      <c r="Z207" s="3580" t="n" cm="1">
        <f t="array" ref="Z207">INDEX('각층분기별_유효전력량(전월)'!C2:C2020,MATCH(1,("4-DaHall 1-PDU-08"='각층분기별_유효전력량(전월)'!A2:A2020)*("[branch#005] [A] kWh last month"='각층분기별_유효전력량(전월)'!B2:B2020),0))</f>
        <v>1145.5</v>
      </c>
      <c r="AA207" s="3517" t="n" cm="1">
        <f t="array" ref="AA207">INDEX('각층분기별_유효전력량(전월)'!C2:C2020,MATCH(1,("4-DaHall 1-PDU-07"='각층분기별_유효전력량(전월)'!A2:A2020)*("[branch#005] [A] kWh last month"='각층분기별_유효전력량(전월)'!B2:B2020),0))</f>
        <v>893.2</v>
      </c>
      <c r="AB207" s="3421" t="n">
        <f>SUM(Z207:AA209)</f>
        <v>2038.7</v>
      </c>
      <c r="AC207" s="3505" t="s">
        <v>4202</v>
      </c>
      <c r="AE207">
        <v>13.5</v>
      </c>
      <c r="AF207" s="1402" t="n">
        <f t="shared" si="23"/>
        <v>-0.013457610671215647</v>
      </c>
    </row>
    <row r="208" spans="1:32" x14ac:dyDescent="0.15">
      <c r="A208" s="3579"/>
      <c r="B208" s="1160" t="s">
        <v>4494</v>
      </c>
      <c r="C208" s="1168" t="s">
        <v>4202</v>
      </c>
      <c r="D208" s="2765" t="s">
        <v>4495</v>
      </c>
      <c r="E208" s="3229"/>
      <c r="F208" s="3590"/>
      <c r="G208" s="3531"/>
      <c r="H208" s="3534"/>
      <c r="I208" s="3537"/>
      <c r="J208" s="3540"/>
      <c r="K208" s="3452"/>
      <c r="L208" s="3545"/>
      <c r="M208" s="3548"/>
      <c r="N208" s="3551"/>
      <c r="O208" s="3554"/>
      <c r="P208" s="3528"/>
      <c r="Q208" s="3603"/>
      <c r="R208" s="3244"/>
      <c r="S208" s="3229"/>
      <c r="T208" s="3244"/>
      <c r="U208" s="3229"/>
      <c r="V208" s="3244"/>
      <c r="W208" s="3587"/>
      <c r="X208" s="3584"/>
      <c r="Y208" s="3251"/>
      <c r="Z208" s="3581"/>
      <c r="AA208" s="3518"/>
      <c r="AB208" s="3419"/>
      <c r="AC208" s="3506"/>
      <c r="AE208">
        <v>0</v>
      </c>
      <c r="AF208" s="1402" t="n">
        <f t="shared" si="23"/>
        <v>0.0</v>
      </c>
    </row>
    <row r="209" spans="1:32" ht="14.25" thickBot="1" x14ac:dyDescent="0.2">
      <c r="A209" s="3286"/>
      <c r="B209" s="1158" t="s">
        <v>4496</v>
      </c>
      <c r="C209" s="1169" t="s">
        <v>4202</v>
      </c>
      <c r="D209" s="2780" t="s">
        <v>4497</v>
      </c>
      <c r="E209" s="3228"/>
      <c r="F209" s="3591"/>
      <c r="G209" s="3557"/>
      <c r="H209" s="3558"/>
      <c r="I209" s="3559"/>
      <c r="J209" s="3560"/>
      <c r="K209" s="3561"/>
      <c r="L209" s="3562"/>
      <c r="M209" s="3563"/>
      <c r="N209" s="3564"/>
      <c r="O209" s="3565"/>
      <c r="P209" s="3529"/>
      <c r="Q209" s="3604"/>
      <c r="R209" s="3240"/>
      <c r="S209" s="3228"/>
      <c r="T209" s="3240"/>
      <c r="U209" s="3228"/>
      <c r="V209" s="3240"/>
      <c r="W209" s="3588"/>
      <c r="X209" s="3585"/>
      <c r="Y209" s="3253"/>
      <c r="Z209" s="3582"/>
      <c r="AA209" s="3519"/>
      <c r="AB209" s="3418"/>
      <c r="AC209" s="3507"/>
      <c r="AE209">
        <v>0</v>
      </c>
      <c r="AF209" s="1402" t="n">
        <f t="shared" si="23"/>
        <v>0.0</v>
      </c>
    </row>
    <row r="210" spans="1:32" ht="14.25" thickTop="1" x14ac:dyDescent="0.15">
      <c r="A210" s="3578" t="s">
        <v>4498</v>
      </c>
      <c r="B210" s="1159" t="s">
        <v>4499</v>
      </c>
      <c r="C210" s="1167" t="s">
        <v>4202</v>
      </c>
      <c r="D210" s="331" t="s">
        <v>4500</v>
      </c>
      <c r="E210" s="3245" t="s">
        <v>4501</v>
      </c>
      <c r="F210" s="3589" t="s">
        <v>4502</v>
      </c>
      <c r="G210" s="3530" t="str">
        <f>"4-DaHall 1-PDU-"&amp;K210&amp;"-"&amp;J210&amp;"-"&amp;L210</f>
        <v>4-DaHall 1-PDU-08-100-7</v>
      </c>
      <c r="H210" s="3533" t="str">
        <f>"4-DaHall 1-PDU-"&amp;O210&amp;"-"&amp;N210&amp;"-"&amp;P210</f>
        <v>4-DaHall 1-PDU-07-100-7</v>
      </c>
      <c r="I210" s="3536">
        <v>220</v>
      </c>
      <c r="J210" s="3539">
        <v>100</v>
      </c>
      <c r="K210" s="3542" t="s">
        <v>6932</v>
      </c>
      <c r="L210" s="3544">
        <v>7</v>
      </c>
      <c r="M210" s="3547">
        <v>220</v>
      </c>
      <c r="N210" s="3550">
        <v>100</v>
      </c>
      <c r="O210" s="3553" t="s">
        <v>6919</v>
      </c>
      <c r="P210" s="3527">
        <v>7</v>
      </c>
      <c r="Q210" s="3602" t="s">
        <v>4457</v>
      </c>
      <c r="R210" s="3233" t="s">
        <v>4458</v>
      </c>
      <c r="S210" s="3245" t="s">
        <v>4459</v>
      </c>
      <c r="T210" s="3233" t="s">
        <v>4460</v>
      </c>
      <c r="U210" s="3245" t="s">
        <v>4110</v>
      </c>
      <c r="V210" s="3233" t="s">
        <v>4117</v>
      </c>
      <c r="W210" s="3586" t="n">
        <f>SUM('4층_부하량(월간_AVG)'!N25:P25)</f>
        <v>13.052915323668921</v>
      </c>
      <c r="X210" s="3583" t="n">
        <f>SUM('4층_부하량(월간_AVG)'!D70:F70)</f>
        <v>13.823360711382549</v>
      </c>
      <c r="Y210" s="3420" t="n">
        <f>SUM(W210:X210)</f>
        <v>26.87627603505147</v>
      </c>
      <c r="Z210" s="3580" t="n" cm="1">
        <f t="array" ref="Z210">INDEX('각층분기별_유효전력량(전월)'!C2:C2020,MATCH(1,("4-DaHall 1-PDU-08"='각층분기별_유효전력량(전월)'!A2:A2020)*("[branch#007] [A] kWh last month"='각층분기별_유효전력량(전월)'!B2:B2020),0))</f>
        <v>1800.8</v>
      </c>
      <c r="AA210" s="3517" t="n" cm="1">
        <f t="array" ref="AA210">INDEX('각층분기별_유효전력량(전월)'!C2:C2020,MATCH(1,("4-DaHall 1-PDU-07"='각층분기별_유효전력량(전월)'!A2:A2020)*("[branch#007] [A] kWh last month"='각층분기별_유효전력량(전월)'!B2:B2020),0))</f>
        <v>1919.7</v>
      </c>
      <c r="AB210" s="3421" t="n">
        <f>SUM(Z210:AA213)</f>
        <v>3720.5</v>
      </c>
      <c r="AC210" s="3505" t="s">
        <v>4202</v>
      </c>
      <c r="AE210">
        <v>27.4</v>
      </c>
      <c r="AF210" s="1402" t="n">
        <f t="shared" si="23"/>
        <v>-0.5237239649485304</v>
      </c>
    </row>
    <row r="211" spans="1:32" x14ac:dyDescent="0.15">
      <c r="A211" s="3579"/>
      <c r="B211" s="1160" t="s">
        <v>4503</v>
      </c>
      <c r="C211" s="1168" t="s">
        <v>4202</v>
      </c>
      <c r="D211" s="2765" t="s">
        <v>4504</v>
      </c>
      <c r="E211" s="3229"/>
      <c r="F211" s="3590"/>
      <c r="G211" s="3531"/>
      <c r="H211" s="3534"/>
      <c r="I211" s="3537"/>
      <c r="J211" s="3540"/>
      <c r="K211" s="3452"/>
      <c r="L211" s="3545"/>
      <c r="M211" s="3548"/>
      <c r="N211" s="3551"/>
      <c r="O211" s="3554"/>
      <c r="P211" s="3528"/>
      <c r="Q211" s="3603"/>
      <c r="R211" s="3244"/>
      <c r="S211" s="3229"/>
      <c r="T211" s="3244"/>
      <c r="U211" s="3229"/>
      <c r="V211" s="3244"/>
      <c r="W211" s="3587"/>
      <c r="X211" s="3584"/>
      <c r="Y211" s="3251"/>
      <c r="Z211" s="3581"/>
      <c r="AA211" s="3518"/>
      <c r="AB211" s="3419"/>
      <c r="AC211" s="3506"/>
      <c r="AE211">
        <v>0</v>
      </c>
      <c r="AF211" s="1402" t="n">
        <f t="shared" si="23"/>
        <v>0.0</v>
      </c>
    </row>
    <row r="212" spans="1:32" x14ac:dyDescent="0.15">
      <c r="A212" s="3579"/>
      <c r="B212" s="1160" t="s">
        <v>4505</v>
      </c>
      <c r="C212" s="1168" t="s">
        <v>4202</v>
      </c>
      <c r="D212" s="2765" t="s">
        <v>4506</v>
      </c>
      <c r="E212" s="3229"/>
      <c r="F212" s="3590"/>
      <c r="G212" s="3531"/>
      <c r="H212" s="3534"/>
      <c r="I212" s="3537"/>
      <c r="J212" s="3540"/>
      <c r="K212" s="3452"/>
      <c r="L212" s="3545"/>
      <c r="M212" s="3548"/>
      <c r="N212" s="3551"/>
      <c r="O212" s="3554"/>
      <c r="P212" s="3528"/>
      <c r="Q212" s="3603"/>
      <c r="R212" s="3244"/>
      <c r="S212" s="3229"/>
      <c r="T212" s="3244"/>
      <c r="U212" s="3229"/>
      <c r="V212" s="3244"/>
      <c r="W212" s="3587"/>
      <c r="X212" s="3584"/>
      <c r="Y212" s="3251"/>
      <c r="Z212" s="3581"/>
      <c r="AA212" s="3518"/>
      <c r="AB212" s="3419"/>
      <c r="AC212" s="3506"/>
      <c r="AE212">
        <v>0</v>
      </c>
      <c r="AF212" s="1402" t="n">
        <f t="shared" si="23"/>
        <v>0.0</v>
      </c>
    </row>
    <row r="213" spans="1:32" ht="14.25" thickBot="1" x14ac:dyDescent="0.2">
      <c r="A213" s="3286"/>
      <c r="B213" s="1158" t="s">
        <v>4507</v>
      </c>
      <c r="C213" s="1169" t="s">
        <v>4202</v>
      </c>
      <c r="D213" s="2780" t="s">
        <v>4508</v>
      </c>
      <c r="E213" s="3228"/>
      <c r="F213" s="3591"/>
      <c r="G213" s="3557"/>
      <c r="H213" s="3558"/>
      <c r="I213" s="3559"/>
      <c r="J213" s="3560"/>
      <c r="K213" s="3561"/>
      <c r="L213" s="3562"/>
      <c r="M213" s="3563"/>
      <c r="N213" s="3564"/>
      <c r="O213" s="3565"/>
      <c r="P213" s="3529"/>
      <c r="Q213" s="3604"/>
      <c r="R213" s="3240"/>
      <c r="S213" s="3228"/>
      <c r="T213" s="3240"/>
      <c r="U213" s="3228"/>
      <c r="V213" s="3240"/>
      <c r="W213" s="3588"/>
      <c r="X213" s="3585"/>
      <c r="Y213" s="3253"/>
      <c r="Z213" s="3582"/>
      <c r="AA213" s="3519"/>
      <c r="AB213" s="3418"/>
      <c r="AC213" s="3507"/>
      <c r="AE213">
        <v>0</v>
      </c>
      <c r="AF213" s="1402" t="n">
        <f t="shared" si="23"/>
        <v>0.0</v>
      </c>
    </row>
    <row r="214" spans="1:32" ht="14.25" thickTop="1" x14ac:dyDescent="0.15">
      <c r="A214" s="3578" t="s">
        <v>4509</v>
      </c>
      <c r="B214" s="1157" t="s">
        <v>2704</v>
      </c>
      <c r="C214" s="1171" t="s">
        <v>4510</v>
      </c>
      <c r="D214" s="331" t="s">
        <v>4511</v>
      </c>
      <c r="E214" s="3245" t="s">
        <v>4512</v>
      </c>
      <c r="F214" s="3589" t="s">
        <v>4513</v>
      </c>
      <c r="G214" s="3530" t="str">
        <f>"4-DaHall 1-PDU-"&amp;K214&amp;"-"&amp;J214&amp;"-"&amp;L214</f>
        <v>4-DaHall 1-PDU-08-100-2</v>
      </c>
      <c r="H214" s="3533" t="str">
        <f>"4-DaHall 1-PDU-"&amp;O214&amp;"-"&amp;N214&amp;"-"&amp;P214</f>
        <v>4-DaHall 1-PDU-07-100-2</v>
      </c>
      <c r="I214" s="3536">
        <v>220</v>
      </c>
      <c r="J214" s="3539">
        <v>100</v>
      </c>
      <c r="K214" s="3542" t="s">
        <v>6932</v>
      </c>
      <c r="L214" s="3544">
        <v>2</v>
      </c>
      <c r="M214" s="3547">
        <v>220</v>
      </c>
      <c r="N214" s="3550">
        <v>100</v>
      </c>
      <c r="O214" s="3553" t="s">
        <v>6919</v>
      </c>
      <c r="P214" s="3527">
        <v>2</v>
      </c>
      <c r="Q214" s="3602" t="s">
        <v>4457</v>
      </c>
      <c r="R214" s="3233" t="s">
        <v>4458</v>
      </c>
      <c r="S214" s="3245" t="s">
        <v>4459</v>
      </c>
      <c r="T214" s="3233" t="s">
        <v>4460</v>
      </c>
      <c r="U214" s="3245" t="s">
        <v>4110</v>
      </c>
      <c r="V214" s="3233" t="s">
        <v>4117</v>
      </c>
      <c r="W214" s="3586" t="n">
        <f>SUM('4층_부하량(월간_AVG)'!N20:P20)</f>
        <v>33.27912483002352</v>
      </c>
      <c r="X214" s="3583" t="n">
        <f>SUM('4층_부하량(월간_AVG)'!D65:F65)</f>
        <v>33.56346161897781</v>
      </c>
      <c r="Y214" s="3420" t="n">
        <f>SUM(W214:X214)</f>
        <v>66.84258644900133</v>
      </c>
      <c r="Z214" s="3580" t="n" cm="1">
        <f t="array" ref="Z214">INDEX('각층분기별_유효전력량(전월)'!C2:C2020,MATCH(1,("4-DaHall 1-PDU-08"='각층분기별_유효전력량(전월)'!A2:A2020)*("[branch#002] [A] kWh last month"='각층분기별_유효전력량(전월)'!B2:B2020),0))</f>
        <v>5231.7</v>
      </c>
      <c r="AA214" s="3517" t="n" cm="1">
        <f t="array" ref="AA214">INDEX('각층분기별_유효전력량(전월)'!C2:C2020,MATCH(1,("4-DaHall 1-PDU-07"='각층분기별_유효전력량(전월)'!A2:A2020)*("[branch#002] [A] kWh last month"='각층분기별_유효전력량(전월)'!B2:B2020),0))</f>
        <v>5331.0</v>
      </c>
      <c r="AB214" s="3421" t="n">
        <f>SUM(Z214:AA219)</f>
        <v>10562.7</v>
      </c>
      <c r="AC214" s="3505" t="s">
        <v>4514</v>
      </c>
      <c r="AE214">
        <v>67.900000000000006</v>
      </c>
      <c r="AF214" s="1402" t="n">
        <f t="shared" si="23"/>
        <v>-1.0574135509986746</v>
      </c>
    </row>
    <row r="215" spans="1:32" x14ac:dyDescent="0.15">
      <c r="A215" s="3579"/>
      <c r="B215" s="2772" t="s">
        <v>4515</v>
      </c>
      <c r="C215" s="1172" t="s">
        <v>4510</v>
      </c>
      <c r="D215" s="2765" t="s">
        <v>4516</v>
      </c>
      <c r="E215" s="3229"/>
      <c r="F215" s="3590"/>
      <c r="G215" s="3531"/>
      <c r="H215" s="3534"/>
      <c r="I215" s="3537"/>
      <c r="J215" s="3540"/>
      <c r="K215" s="3452"/>
      <c r="L215" s="3545"/>
      <c r="M215" s="3548"/>
      <c r="N215" s="3551"/>
      <c r="O215" s="3554"/>
      <c r="P215" s="3528"/>
      <c r="Q215" s="3603"/>
      <c r="R215" s="3244"/>
      <c r="S215" s="3229"/>
      <c r="T215" s="3244"/>
      <c r="U215" s="3229"/>
      <c r="V215" s="3244"/>
      <c r="W215" s="3587"/>
      <c r="X215" s="3584"/>
      <c r="Y215" s="3251"/>
      <c r="Z215" s="3581"/>
      <c r="AA215" s="3518"/>
      <c r="AB215" s="3419"/>
      <c r="AC215" s="3506"/>
      <c r="AE215">
        <v>0</v>
      </c>
      <c r="AF215" s="1402" t="n">
        <f t="shared" si="23"/>
        <v>0.0</v>
      </c>
    </row>
    <row r="216" spans="1:32" x14ac:dyDescent="0.15">
      <c r="A216" s="3579"/>
      <c r="B216" s="2772" t="s">
        <v>4517</v>
      </c>
      <c r="C216" s="1172" t="s">
        <v>4510</v>
      </c>
      <c r="D216" s="2765" t="s">
        <v>4518</v>
      </c>
      <c r="E216" s="3229"/>
      <c r="F216" s="3590"/>
      <c r="G216" s="3531"/>
      <c r="H216" s="3534"/>
      <c r="I216" s="3537"/>
      <c r="J216" s="3540"/>
      <c r="K216" s="3452"/>
      <c r="L216" s="3545"/>
      <c r="M216" s="3548"/>
      <c r="N216" s="3551"/>
      <c r="O216" s="3554"/>
      <c r="P216" s="3528"/>
      <c r="Q216" s="3603"/>
      <c r="R216" s="3244"/>
      <c r="S216" s="3229"/>
      <c r="T216" s="3244"/>
      <c r="U216" s="3229"/>
      <c r="V216" s="3244"/>
      <c r="W216" s="3587"/>
      <c r="X216" s="3584"/>
      <c r="Y216" s="3251"/>
      <c r="Z216" s="3581"/>
      <c r="AA216" s="3518"/>
      <c r="AB216" s="3419"/>
      <c r="AC216" s="3506"/>
      <c r="AE216">
        <v>0</v>
      </c>
      <c r="AF216" s="1402" t="n">
        <f t="shared" si="23"/>
        <v>0.0</v>
      </c>
    </row>
    <row r="217" spans="1:32" x14ac:dyDescent="0.15">
      <c r="A217" s="3579"/>
      <c r="B217" s="2772" t="s">
        <v>4519</v>
      </c>
      <c r="C217" s="1172" t="s">
        <v>4510</v>
      </c>
      <c r="D217" s="2765" t="s">
        <v>4520</v>
      </c>
      <c r="E217" s="3229"/>
      <c r="F217" s="3590"/>
      <c r="G217" s="3531"/>
      <c r="H217" s="3534"/>
      <c r="I217" s="3537"/>
      <c r="J217" s="3540"/>
      <c r="K217" s="3452"/>
      <c r="L217" s="3545"/>
      <c r="M217" s="3548"/>
      <c r="N217" s="3551"/>
      <c r="O217" s="3554"/>
      <c r="P217" s="3528"/>
      <c r="Q217" s="3603"/>
      <c r="R217" s="3244"/>
      <c r="S217" s="3229"/>
      <c r="T217" s="3244"/>
      <c r="U217" s="3229"/>
      <c r="V217" s="3244"/>
      <c r="W217" s="3587"/>
      <c r="X217" s="3584"/>
      <c r="Y217" s="3251"/>
      <c r="Z217" s="3581"/>
      <c r="AA217" s="3518"/>
      <c r="AB217" s="3419"/>
      <c r="AC217" s="3506"/>
      <c r="AE217">
        <v>0</v>
      </c>
      <c r="AF217" s="1402" t="n">
        <f t="shared" si="23"/>
        <v>0.0</v>
      </c>
    </row>
    <row r="218" spans="1:32" x14ac:dyDescent="0.15">
      <c r="A218" s="3579"/>
      <c r="B218" s="2772" t="s">
        <v>4521</v>
      </c>
      <c r="C218" s="1172" t="s">
        <v>4510</v>
      </c>
      <c r="D218" s="2765" t="s">
        <v>4522</v>
      </c>
      <c r="E218" s="3229"/>
      <c r="F218" s="3590"/>
      <c r="G218" s="3531"/>
      <c r="H218" s="3534"/>
      <c r="I218" s="3537"/>
      <c r="J218" s="3540"/>
      <c r="K218" s="3452"/>
      <c r="L218" s="3545"/>
      <c r="M218" s="3548"/>
      <c r="N218" s="3551"/>
      <c r="O218" s="3554"/>
      <c r="P218" s="3528"/>
      <c r="Q218" s="3603"/>
      <c r="R218" s="3244"/>
      <c r="S218" s="3229"/>
      <c r="T218" s="3244"/>
      <c r="U218" s="3229"/>
      <c r="V218" s="3244"/>
      <c r="W218" s="3587"/>
      <c r="X218" s="3584"/>
      <c r="Y218" s="3251"/>
      <c r="Z218" s="3581"/>
      <c r="AA218" s="3518"/>
      <c r="AB218" s="3419"/>
      <c r="AC218" s="3506"/>
      <c r="AE218">
        <v>0</v>
      </c>
      <c r="AF218" s="1402" t="n">
        <f t="shared" si="23"/>
        <v>0.0</v>
      </c>
    </row>
    <row r="219" spans="1:32" ht="14.25" thickBot="1" x14ac:dyDescent="0.2">
      <c r="A219" s="3286"/>
      <c r="B219" s="1158" t="s">
        <v>4523</v>
      </c>
      <c r="C219" s="1169" t="s">
        <v>4510</v>
      </c>
      <c r="D219" s="2780" t="s">
        <v>4524</v>
      </c>
      <c r="E219" s="3228"/>
      <c r="F219" s="3591"/>
      <c r="G219" s="3557"/>
      <c r="H219" s="3558"/>
      <c r="I219" s="3559"/>
      <c r="J219" s="3560"/>
      <c r="K219" s="3561"/>
      <c r="L219" s="3562"/>
      <c r="M219" s="3563"/>
      <c r="N219" s="3564"/>
      <c r="O219" s="3565"/>
      <c r="P219" s="3529"/>
      <c r="Q219" s="3604"/>
      <c r="R219" s="3240"/>
      <c r="S219" s="3228"/>
      <c r="T219" s="3240"/>
      <c r="U219" s="3228"/>
      <c r="V219" s="3240"/>
      <c r="W219" s="3588"/>
      <c r="X219" s="3585"/>
      <c r="Y219" s="3253"/>
      <c r="Z219" s="3582"/>
      <c r="AA219" s="3519"/>
      <c r="AB219" s="3418"/>
      <c r="AC219" s="3507"/>
      <c r="AE219">
        <v>0</v>
      </c>
      <c r="AF219" s="1402" t="n">
        <f t="shared" si="23"/>
        <v>0.0</v>
      </c>
    </row>
    <row r="220" spans="1:32" ht="14.25" thickTop="1" x14ac:dyDescent="0.15">
      <c r="A220" s="3578" t="s">
        <v>4525</v>
      </c>
      <c r="B220" s="1157" t="s">
        <v>4526</v>
      </c>
      <c r="C220" s="1171" t="s">
        <v>4510</v>
      </c>
      <c r="D220" s="331" t="s">
        <v>4527</v>
      </c>
      <c r="E220" s="3245" t="s">
        <v>4528</v>
      </c>
      <c r="F220" s="3589" t="s">
        <v>4529</v>
      </c>
      <c r="G220" s="3530" t="str">
        <f>"4-DaHall 1-PDU-"&amp;K220&amp;"-"&amp;J220&amp;"-"&amp;L220</f>
        <v>4-DaHall 1-PDU-08-100-4</v>
      </c>
      <c r="H220" s="3533" t="str">
        <f>"4-DaHall 1-PDU-"&amp;O220&amp;"-"&amp;N220&amp;"-"&amp;P220</f>
        <v>4-DaHall 1-PDU-07-100-4</v>
      </c>
      <c r="I220" s="3536">
        <v>220</v>
      </c>
      <c r="J220" s="3539">
        <v>100</v>
      </c>
      <c r="K220" s="3542" t="s">
        <v>6932</v>
      </c>
      <c r="L220" s="3544">
        <v>4</v>
      </c>
      <c r="M220" s="3547">
        <v>220</v>
      </c>
      <c r="N220" s="3550">
        <v>100</v>
      </c>
      <c r="O220" s="3553" t="s">
        <v>6919</v>
      </c>
      <c r="P220" s="3527">
        <v>4</v>
      </c>
      <c r="Q220" s="3602" t="s">
        <v>4457</v>
      </c>
      <c r="R220" s="3233" t="s">
        <v>4458</v>
      </c>
      <c r="S220" s="3245" t="s">
        <v>4459</v>
      </c>
      <c r="T220" s="3233" t="s">
        <v>4460</v>
      </c>
      <c r="U220" s="3245" t="s">
        <v>4110</v>
      </c>
      <c r="V220" s="3233" t="s">
        <v>4117</v>
      </c>
      <c r="W220" s="3586" t="n">
        <f>SUM('4층_부하량(월간_AVG)'!N22:P22)</f>
        <v>9.47181509035067</v>
      </c>
      <c r="X220" s="3583" t="n">
        <f>SUM('4층_부하량(월간_AVG)'!D67:F67)</f>
        <v>10.376700290826985</v>
      </c>
      <c r="Y220" s="3420" t="n">
        <f>SUM(W220:X220)</f>
        <v>19.848515381177656</v>
      </c>
      <c r="Z220" s="3580" t="n" cm="1">
        <f t="array" ref="Z220">INDEX('각층분기별_유효전력량(전월)'!C2:C2020,MATCH(1,("4-DaHall 1-PDU-08"='각층분기별_유효전력량(전월)'!A2:A2020)*("[branch#004] [A] kWh last month"='각층분기별_유효전력량(전월)'!B2:B2020),0))</f>
        <v>1483.6</v>
      </c>
      <c r="AA220" s="3517" t="n" cm="1">
        <f t="array" ref="AA220">INDEX('각층분기별_유효전력량(전월)'!C2:C2020,MATCH(1,("4-DaHall 1-PDU-07"='각층분기별_유효전력량(전월)'!A2:A2020)*("[branch#004] [A] kWh last month"='각층분기별_유효전력량(전월)'!B2:B2020),0))</f>
        <v>1570.4</v>
      </c>
      <c r="AB220" s="3421" t="n">
        <f>SUM(Z220:AA224)</f>
        <v>3054.0</v>
      </c>
      <c r="AC220" s="3505" t="s">
        <v>4514</v>
      </c>
      <c r="AE220">
        <v>20.2</v>
      </c>
      <c r="AF220" s="1402" t="n">
        <f t="shared" si="23"/>
        <v>-0.3514846188223437</v>
      </c>
    </row>
    <row r="221" spans="1:32" x14ac:dyDescent="0.15">
      <c r="A221" s="3579"/>
      <c r="B221" s="2772" t="s">
        <v>3582</v>
      </c>
      <c r="C221" s="1172" t="s">
        <v>4510</v>
      </c>
      <c r="D221" s="2765" t="s">
        <v>4530</v>
      </c>
      <c r="E221" s="3229"/>
      <c r="F221" s="3590"/>
      <c r="G221" s="3531"/>
      <c r="H221" s="3534"/>
      <c r="I221" s="3537"/>
      <c r="J221" s="3540"/>
      <c r="K221" s="3452"/>
      <c r="L221" s="3545"/>
      <c r="M221" s="3548"/>
      <c r="N221" s="3551"/>
      <c r="O221" s="3554"/>
      <c r="P221" s="3528"/>
      <c r="Q221" s="3603"/>
      <c r="R221" s="3244"/>
      <c r="S221" s="3229"/>
      <c r="T221" s="3244"/>
      <c r="U221" s="3229"/>
      <c r="V221" s="3244"/>
      <c r="W221" s="3587"/>
      <c r="X221" s="3584"/>
      <c r="Y221" s="3251"/>
      <c r="Z221" s="3581"/>
      <c r="AA221" s="3518"/>
      <c r="AB221" s="3419"/>
      <c r="AC221" s="3506"/>
      <c r="AE221">
        <v>0</v>
      </c>
      <c r="AF221" s="1402" t="n">
        <f t="shared" si="23"/>
        <v>0.0</v>
      </c>
    </row>
    <row r="222" spans="1:32" x14ac:dyDescent="0.15">
      <c r="A222" s="3579"/>
      <c r="B222" s="2772" t="s">
        <v>3588</v>
      </c>
      <c r="C222" s="1172" t="s">
        <v>4510</v>
      </c>
      <c r="D222" s="2765" t="s">
        <v>4531</v>
      </c>
      <c r="E222" s="3229"/>
      <c r="F222" s="3590"/>
      <c r="G222" s="3531"/>
      <c r="H222" s="3534"/>
      <c r="I222" s="3537"/>
      <c r="J222" s="3540"/>
      <c r="K222" s="3452"/>
      <c r="L222" s="3545"/>
      <c r="M222" s="3548"/>
      <c r="N222" s="3551"/>
      <c r="O222" s="3554"/>
      <c r="P222" s="3528"/>
      <c r="Q222" s="3603"/>
      <c r="R222" s="3244"/>
      <c r="S222" s="3229"/>
      <c r="T222" s="3244"/>
      <c r="U222" s="3229"/>
      <c r="V222" s="3244"/>
      <c r="W222" s="3587"/>
      <c r="X222" s="3584"/>
      <c r="Y222" s="3251"/>
      <c r="Z222" s="3581"/>
      <c r="AA222" s="3518"/>
      <c r="AB222" s="3419"/>
      <c r="AC222" s="3506"/>
      <c r="AE222">
        <v>0</v>
      </c>
      <c r="AF222" s="1402" t="n">
        <f t="shared" si="23"/>
        <v>0.0</v>
      </c>
    </row>
    <row r="223" spans="1:32" x14ac:dyDescent="0.15">
      <c r="A223" s="3579"/>
      <c r="B223" s="2772" t="s">
        <v>4532</v>
      </c>
      <c r="C223" s="1172" t="s">
        <v>4510</v>
      </c>
      <c r="D223" s="2765" t="s">
        <v>4533</v>
      </c>
      <c r="E223" s="3229"/>
      <c r="F223" s="3590"/>
      <c r="G223" s="3531"/>
      <c r="H223" s="3534"/>
      <c r="I223" s="3537"/>
      <c r="J223" s="3540"/>
      <c r="K223" s="3452"/>
      <c r="L223" s="3545"/>
      <c r="M223" s="3548"/>
      <c r="N223" s="3551"/>
      <c r="O223" s="3554"/>
      <c r="P223" s="3528"/>
      <c r="Q223" s="3603"/>
      <c r="R223" s="3244"/>
      <c r="S223" s="3229"/>
      <c r="T223" s="3244"/>
      <c r="U223" s="3229"/>
      <c r="V223" s="3244"/>
      <c r="W223" s="3587"/>
      <c r="X223" s="3584"/>
      <c r="Y223" s="3251"/>
      <c r="Z223" s="3581"/>
      <c r="AA223" s="3518"/>
      <c r="AB223" s="3419"/>
      <c r="AC223" s="3506"/>
      <c r="AE223">
        <v>0</v>
      </c>
      <c r="AF223" s="1402" t="n">
        <f t="shared" si="23"/>
        <v>0.0</v>
      </c>
    </row>
    <row r="224" spans="1:32" ht="14.25" thickBot="1" x14ac:dyDescent="0.2">
      <c r="A224" s="3286"/>
      <c r="B224" s="1158" t="s">
        <v>4534</v>
      </c>
      <c r="C224" s="1169" t="s">
        <v>4510</v>
      </c>
      <c r="D224" s="2780" t="s">
        <v>4535</v>
      </c>
      <c r="E224" s="3228"/>
      <c r="F224" s="3591"/>
      <c r="G224" s="3557"/>
      <c r="H224" s="3558"/>
      <c r="I224" s="3559"/>
      <c r="J224" s="3560"/>
      <c r="K224" s="3561"/>
      <c r="L224" s="3562"/>
      <c r="M224" s="3563"/>
      <c r="N224" s="3564"/>
      <c r="O224" s="3565"/>
      <c r="P224" s="3529"/>
      <c r="Q224" s="3604"/>
      <c r="R224" s="3240"/>
      <c r="S224" s="3228"/>
      <c r="T224" s="3240"/>
      <c r="U224" s="3228"/>
      <c r="V224" s="3240"/>
      <c r="W224" s="3588"/>
      <c r="X224" s="3585"/>
      <c r="Y224" s="3253"/>
      <c r="Z224" s="3582"/>
      <c r="AA224" s="3519"/>
      <c r="AB224" s="3418"/>
      <c r="AC224" s="3507"/>
      <c r="AE224">
        <v>0</v>
      </c>
      <c r="AF224" s="1402" t="n">
        <f t="shared" si="23"/>
        <v>0.0</v>
      </c>
    </row>
    <row r="225" spans="1:32" ht="14.25" thickTop="1" x14ac:dyDescent="0.15">
      <c r="A225" s="3578" t="s">
        <v>4536</v>
      </c>
      <c r="B225" s="1157" t="s">
        <v>3564</v>
      </c>
      <c r="C225" s="1171" t="s">
        <v>4510</v>
      </c>
      <c r="D225" s="331" t="s">
        <v>4537</v>
      </c>
      <c r="E225" s="3245" t="s">
        <v>4538</v>
      </c>
      <c r="F225" s="3589" t="s">
        <v>4539</v>
      </c>
      <c r="G225" s="3530" t="str">
        <f>"4-DaHall 1-PDU-"&amp;K225&amp;"-"&amp;J225&amp;"-"&amp;L225</f>
        <v>4-DaHall 1-PDU-08-100-6</v>
      </c>
      <c r="H225" s="3533" t="str">
        <f>"4-DaHall 1-PDU-"&amp;O225&amp;"-"&amp;N225&amp;"-"&amp;P225</f>
        <v>4-DaHall 1-PDU-07-100-6</v>
      </c>
      <c r="I225" s="3536">
        <v>220</v>
      </c>
      <c r="J225" s="3539">
        <v>100</v>
      </c>
      <c r="K225" s="3542" t="s">
        <v>6932</v>
      </c>
      <c r="L225" s="3544">
        <v>6</v>
      </c>
      <c r="M225" s="3547">
        <v>220</v>
      </c>
      <c r="N225" s="3550">
        <v>100</v>
      </c>
      <c r="O225" s="3553" t="s">
        <v>6919</v>
      </c>
      <c r="P225" s="3527">
        <v>6</v>
      </c>
      <c r="Q225" s="3602" t="s">
        <v>4457</v>
      </c>
      <c r="R225" s="3233" t="s">
        <v>4458</v>
      </c>
      <c r="S225" s="3245" t="s">
        <v>4459</v>
      </c>
      <c r="T225" s="3233" t="s">
        <v>4460</v>
      </c>
      <c r="U225" s="3245" t="s">
        <v>4110</v>
      </c>
      <c r="V225" s="3233" t="s">
        <v>4117</v>
      </c>
      <c r="W225" s="3586" t="n">
        <f>SUM('4층_부하량(월간_AVG)'!N24:P24)</f>
        <v>12.23997051927883</v>
      </c>
      <c r="X225" s="3583" t="n">
        <f>SUM('4층_부하량(월간_AVG)'!D69:F69)</f>
        <v>15.678262666342668</v>
      </c>
      <c r="Y225" s="3420" t="n">
        <f>SUM(W225:X225)</f>
        <v>27.918233185621496</v>
      </c>
      <c r="Z225" s="3580" t="n" cm="1">
        <f t="array" ref="Z225">INDEX('각층분기별_유효전력량(전월)'!C2:C2020,MATCH(1,("4-DaHall 1-PDU-08"='각층분기별_유효전력량(전월)'!A2:A2020)*("[branch#006] [A] kWh last month"='각층분기별_유효전력량(전월)'!B2:B2020),0))</f>
        <v>1726.6</v>
      </c>
      <c r="AA225" s="3517" t="n" cm="1">
        <f t="array" ref="AA225">INDEX('각층분기별_유효전력량(전월)'!C2:C2020,MATCH(1,("4-DaHall 1-PDU-07"='각층분기별_유효전력량(전월)'!A2:A2020)*("[branch#006] [A] kWh last month"='각층분기별_유효전력량(전월)'!B2:B2020),0))</f>
        <v>2257.7</v>
      </c>
      <c r="AB225" s="3421" t="n">
        <f>SUM(Z225:AA227)</f>
        <v>3984.2999999999997</v>
      </c>
      <c r="AC225" s="3505" t="s">
        <v>4514</v>
      </c>
      <c r="AE225">
        <v>28.200000000000003</v>
      </c>
      <c r="AF225" s="1402" t="n">
        <f t="shared" si="23"/>
        <v>-0.28176681437850704</v>
      </c>
    </row>
    <row r="226" spans="1:32" x14ac:dyDescent="0.15">
      <c r="A226" s="3579"/>
      <c r="B226" s="2772" t="s">
        <v>3570</v>
      </c>
      <c r="C226" s="1172" t="s">
        <v>4510</v>
      </c>
      <c r="D226" s="2765" t="s">
        <v>4540</v>
      </c>
      <c r="E226" s="3229"/>
      <c r="F226" s="3590"/>
      <c r="G226" s="3531"/>
      <c r="H226" s="3534"/>
      <c r="I226" s="3537"/>
      <c r="J226" s="3540"/>
      <c r="K226" s="3452"/>
      <c r="L226" s="3545"/>
      <c r="M226" s="3548"/>
      <c r="N226" s="3551"/>
      <c r="O226" s="3554"/>
      <c r="P226" s="3528"/>
      <c r="Q226" s="3603"/>
      <c r="R226" s="3244"/>
      <c r="S226" s="3229"/>
      <c r="T226" s="3244"/>
      <c r="U226" s="3229"/>
      <c r="V226" s="3244"/>
      <c r="W226" s="3587"/>
      <c r="X226" s="3584"/>
      <c r="Y226" s="3251"/>
      <c r="Z226" s="3581"/>
      <c r="AA226" s="3518"/>
      <c r="AB226" s="3419"/>
      <c r="AC226" s="3506"/>
      <c r="AE226">
        <v>0</v>
      </c>
      <c r="AF226" s="1402" t="n">
        <f t="shared" si="23"/>
        <v>0.0</v>
      </c>
    </row>
    <row r="227" spans="1:32" ht="14.25" thickBot="1" x14ac:dyDescent="0.2">
      <c r="A227" s="3286"/>
      <c r="B227" s="2777" t="s">
        <v>4541</v>
      </c>
      <c r="C227" s="1169" t="s">
        <v>4510</v>
      </c>
      <c r="D227" s="1162" t="s">
        <v>4542</v>
      </c>
      <c r="E227" s="3228"/>
      <c r="F227" s="3591"/>
      <c r="G227" s="3557"/>
      <c r="H227" s="3558"/>
      <c r="I227" s="3559"/>
      <c r="J227" s="3560"/>
      <c r="K227" s="3561"/>
      <c r="L227" s="3562"/>
      <c r="M227" s="3563"/>
      <c r="N227" s="3564"/>
      <c r="O227" s="3565"/>
      <c r="P227" s="3529"/>
      <c r="Q227" s="3604"/>
      <c r="R227" s="3240"/>
      <c r="S227" s="3228"/>
      <c r="T227" s="3240"/>
      <c r="U227" s="3228"/>
      <c r="V227" s="3240"/>
      <c r="W227" s="3588"/>
      <c r="X227" s="3585"/>
      <c r="Y227" s="3253"/>
      <c r="Z227" s="3582"/>
      <c r="AA227" s="3519"/>
      <c r="AB227" s="3418"/>
      <c r="AC227" s="3507"/>
      <c r="AE227">
        <v>0</v>
      </c>
      <c r="AF227" s="1402" t="n">
        <f t="shared" si="23"/>
        <v>0.0</v>
      </c>
    </row>
    <row r="228" spans="1:32" ht="14.25" thickTop="1" x14ac:dyDescent="0.15">
      <c r="A228" s="3578" t="s">
        <v>4543</v>
      </c>
      <c r="B228" s="1157" t="s">
        <v>4544</v>
      </c>
      <c r="C228" s="1171" t="s">
        <v>4510</v>
      </c>
      <c r="D228" s="331" t="s">
        <v>4545</v>
      </c>
      <c r="E228" s="3245" t="s">
        <v>4546</v>
      </c>
      <c r="F228" s="3589" t="s">
        <v>4547</v>
      </c>
      <c r="G228" s="3530" t="str">
        <f>"4-DaHall 1-PDU-"&amp;K228&amp;"-"&amp;J228&amp;"-"&amp;L228</f>
        <v>4-DaHall 1-PDU-08-100-8</v>
      </c>
      <c r="H228" s="3533" t="str">
        <f>"4-DaHall 1-PDU-"&amp;O228&amp;"-"&amp;N228&amp;"-"&amp;P228</f>
        <v>4-DaHall 1-PDU-07-100-8</v>
      </c>
      <c r="I228" s="3536">
        <v>220</v>
      </c>
      <c r="J228" s="3539">
        <v>100</v>
      </c>
      <c r="K228" s="3542" t="s">
        <v>6932</v>
      </c>
      <c r="L228" s="3544">
        <v>8</v>
      </c>
      <c r="M228" s="3547">
        <v>220</v>
      </c>
      <c r="N228" s="3550">
        <v>100</v>
      </c>
      <c r="O228" s="3553" t="s">
        <v>6919</v>
      </c>
      <c r="P228" s="3527">
        <v>8</v>
      </c>
      <c r="Q228" s="3602" t="s">
        <v>4457</v>
      </c>
      <c r="R228" s="3233" t="s">
        <v>4458</v>
      </c>
      <c r="S228" s="3245" t="s">
        <v>4459</v>
      </c>
      <c r="T228" s="3233" t="s">
        <v>4460</v>
      </c>
      <c r="U228" s="3245" t="s">
        <v>4110</v>
      </c>
      <c r="V228" s="3233" t="s">
        <v>4117</v>
      </c>
      <c r="W228" s="3586" t="n">
        <f>SUM('4층_부하량(월간_AVG)'!N26:P26)</f>
        <v>27.022251295741725</v>
      </c>
      <c r="X228" s="3583" t="n">
        <f>SUM('4층_부하량(월간_AVG)'!D71:F71)</f>
        <v>34.30542156451713</v>
      </c>
      <c r="Y228" s="3420" t="n">
        <f>SUM(W228:X228)</f>
        <v>61.32767286025886</v>
      </c>
      <c r="Z228" s="3580" t="n" cm="1">
        <f t="array" ref="Z228">INDEX('각층분기별_유효전력량(전월)'!C2:C2020,MATCH(1,("4-DaHall 1-PDU-08"='각층분기별_유효전력량(전월)'!A2:A2020)*("[branch#008] [A] kWh last month"='각층분기별_유효전력량(전월)'!B2:B2020),0))</f>
        <v>4019.6</v>
      </c>
      <c r="AA228" s="3517" t="n" cm="1">
        <f t="array" ref="AA228">INDEX('각층분기별_유효전력량(전월)'!C2:C2020,MATCH(1,("4-DaHall 1-PDU-07"='각층분기별_유효전력량(전월)'!A2:A2020)*("[branch#008] [A] kWh last month"='각층분기별_유효전력량(전월)'!B2:B2020),0))</f>
        <v>5268.4</v>
      </c>
      <c r="AB228" s="3421" t="n">
        <f>SUM(Z228:AA233)</f>
        <v>9288.0</v>
      </c>
      <c r="AC228" s="3505" t="s">
        <v>4548</v>
      </c>
      <c r="AE228">
        <v>61.3</v>
      </c>
      <c r="AF228" s="1402" t="n">
        <f t="shared" si="23"/>
        <v>0.02767286025886051</v>
      </c>
    </row>
    <row r="229" spans="1:32" x14ac:dyDescent="0.15">
      <c r="A229" s="3579"/>
      <c r="B229" s="2773" t="s">
        <v>4549</v>
      </c>
      <c r="C229" s="1172" t="s">
        <v>4510</v>
      </c>
      <c r="D229" s="2765" t="s">
        <v>4550</v>
      </c>
      <c r="E229" s="3229"/>
      <c r="F229" s="3590"/>
      <c r="G229" s="3531"/>
      <c r="H229" s="3534"/>
      <c r="I229" s="3537"/>
      <c r="J229" s="3540"/>
      <c r="K229" s="3452"/>
      <c r="L229" s="3545"/>
      <c r="M229" s="3548"/>
      <c r="N229" s="3551"/>
      <c r="O229" s="3554"/>
      <c r="P229" s="3528"/>
      <c r="Q229" s="3603"/>
      <c r="R229" s="3244"/>
      <c r="S229" s="3229"/>
      <c r="T229" s="3244"/>
      <c r="U229" s="3229"/>
      <c r="V229" s="3244"/>
      <c r="W229" s="3587"/>
      <c r="X229" s="3584"/>
      <c r="Y229" s="3251"/>
      <c r="Z229" s="3581"/>
      <c r="AA229" s="3518"/>
      <c r="AB229" s="3419"/>
      <c r="AC229" s="3506"/>
      <c r="AE229">
        <v>0</v>
      </c>
      <c r="AF229" s="1402" t="n">
        <f t="shared" si="23"/>
        <v>0.0</v>
      </c>
    </row>
    <row r="230" spans="1:32" x14ac:dyDescent="0.15">
      <c r="A230" s="3579"/>
      <c r="B230" s="2773" t="s">
        <v>4551</v>
      </c>
      <c r="C230" s="1172" t="s">
        <v>4510</v>
      </c>
      <c r="D230" s="2765" t="s">
        <v>4552</v>
      </c>
      <c r="E230" s="3229"/>
      <c r="F230" s="3590"/>
      <c r="G230" s="3531"/>
      <c r="H230" s="3534"/>
      <c r="I230" s="3537"/>
      <c r="J230" s="3540"/>
      <c r="K230" s="3452"/>
      <c r="L230" s="3545"/>
      <c r="M230" s="3548"/>
      <c r="N230" s="3551"/>
      <c r="O230" s="3554"/>
      <c r="P230" s="3528"/>
      <c r="Q230" s="3603"/>
      <c r="R230" s="3244"/>
      <c r="S230" s="3229"/>
      <c r="T230" s="3244"/>
      <c r="U230" s="3229"/>
      <c r="V230" s="3244"/>
      <c r="W230" s="3587"/>
      <c r="X230" s="3584"/>
      <c r="Y230" s="3251"/>
      <c r="Z230" s="3581"/>
      <c r="AA230" s="3518"/>
      <c r="AB230" s="3419"/>
      <c r="AC230" s="3506"/>
      <c r="AE230">
        <v>0</v>
      </c>
      <c r="AF230" s="1402" t="n">
        <f t="shared" si="23"/>
        <v>0.0</v>
      </c>
    </row>
    <row r="231" spans="1:32" x14ac:dyDescent="0.15">
      <c r="A231" s="3579"/>
      <c r="B231" s="2773" t="s">
        <v>4553</v>
      </c>
      <c r="C231" s="1172" t="s">
        <v>4510</v>
      </c>
      <c r="D231" s="2765" t="s">
        <v>4554</v>
      </c>
      <c r="E231" s="3229"/>
      <c r="F231" s="3590"/>
      <c r="G231" s="3531"/>
      <c r="H231" s="3534"/>
      <c r="I231" s="3537"/>
      <c r="J231" s="3540"/>
      <c r="K231" s="3452"/>
      <c r="L231" s="3545"/>
      <c r="M231" s="3548"/>
      <c r="N231" s="3551"/>
      <c r="O231" s="3554"/>
      <c r="P231" s="3528"/>
      <c r="Q231" s="3603"/>
      <c r="R231" s="3244"/>
      <c r="S231" s="3229"/>
      <c r="T231" s="3244"/>
      <c r="U231" s="3229"/>
      <c r="V231" s="3244"/>
      <c r="W231" s="3587"/>
      <c r="X231" s="3584"/>
      <c r="Y231" s="3251"/>
      <c r="Z231" s="3581"/>
      <c r="AA231" s="3518"/>
      <c r="AB231" s="3419"/>
      <c r="AC231" s="3506"/>
      <c r="AE231">
        <v>0</v>
      </c>
      <c r="AF231" s="1402" t="n">
        <f t="shared" si="23"/>
        <v>0.0</v>
      </c>
    </row>
    <row r="232" spans="1:32" x14ac:dyDescent="0.15">
      <c r="A232" s="3579"/>
      <c r="B232" s="2773" t="s">
        <v>4555</v>
      </c>
      <c r="C232" s="1172" t="s">
        <v>4510</v>
      </c>
      <c r="D232" s="2765" t="s">
        <v>4556</v>
      </c>
      <c r="E232" s="3229"/>
      <c r="F232" s="3590"/>
      <c r="G232" s="3531"/>
      <c r="H232" s="3534"/>
      <c r="I232" s="3537"/>
      <c r="J232" s="3540"/>
      <c r="K232" s="3452"/>
      <c r="L232" s="3545"/>
      <c r="M232" s="3548"/>
      <c r="N232" s="3551"/>
      <c r="O232" s="3554"/>
      <c r="P232" s="3528"/>
      <c r="Q232" s="3603"/>
      <c r="R232" s="3244"/>
      <c r="S232" s="3229"/>
      <c r="T232" s="3244"/>
      <c r="U232" s="3229"/>
      <c r="V232" s="3244"/>
      <c r="W232" s="3587"/>
      <c r="X232" s="3584"/>
      <c r="Y232" s="3251"/>
      <c r="Z232" s="3581"/>
      <c r="AA232" s="3518"/>
      <c r="AB232" s="3419"/>
      <c r="AC232" s="3506"/>
      <c r="AE232">
        <v>0</v>
      </c>
      <c r="AF232" s="1402" t="n">
        <f t="shared" si="23"/>
        <v>0.0</v>
      </c>
    </row>
    <row r="233" spans="1:32" ht="14.25" thickBot="1" x14ac:dyDescent="0.2">
      <c r="A233" s="3286"/>
      <c r="B233" s="2777" t="s">
        <v>4557</v>
      </c>
      <c r="C233" s="1169" t="s">
        <v>4510</v>
      </c>
      <c r="D233" s="2780" t="s">
        <v>4558</v>
      </c>
      <c r="E233" s="3228"/>
      <c r="F233" s="3591"/>
      <c r="G233" s="3532"/>
      <c r="H233" s="3535"/>
      <c r="I233" s="3538"/>
      <c r="J233" s="3541"/>
      <c r="K233" s="3543"/>
      <c r="L233" s="3546"/>
      <c r="M233" s="3549"/>
      <c r="N233" s="3552"/>
      <c r="O233" s="3555"/>
      <c r="P233" s="3556"/>
      <c r="Q233" s="3604"/>
      <c r="R233" s="3240"/>
      <c r="S233" s="3228"/>
      <c r="T233" s="3240"/>
      <c r="U233" s="3228"/>
      <c r="V233" s="3240"/>
      <c r="W233" s="3588"/>
      <c r="X233" s="3585"/>
      <c r="Y233" s="3253"/>
      <c r="Z233" s="3582"/>
      <c r="AA233" s="3519"/>
      <c r="AB233" s="3605"/>
      <c r="AC233" s="3507"/>
      <c r="AE233">
        <v>0</v>
      </c>
      <c r="AF233" s="1402" t="n">
        <f t="shared" si="23"/>
        <v>0.0</v>
      </c>
    </row>
    <row r="234" spans="1:32" ht="14.25" thickTop="1" x14ac:dyDescent="0.15">
      <c r="AF234" s="1402" t="n">
        <f>SUM(AF5:AF233)</f>
        <v>-56.696320418885016</v>
      </c>
    </row>
    <row r="235" spans="1:32" x14ac:dyDescent="0.15">
      <c r="Y235" s="882" t="n">
        <f>SUM(Y5:Y233)-SUM(Y7:Y8)</f>
        <v>1088.341348207462</v>
      </c>
      <c r="Z235" s="1397" t="n">
        <f>SUM(Z5:Z233)/1000</f>
        <v>105.48800000000003</v>
      </c>
      <c r="AA235" s="1397"/>
      <c r="AB235" s="1397"/>
    </row>
    <row r="236" spans="1:32" x14ac:dyDescent="0.15">
      <c r="X236" s="2147" t="s">
        <v>2808</v>
      </c>
      <c r="Y236" s="1402" t="e">
        <f>Y235-#REF!</f>
        <v>#REF!</v>
      </c>
    </row>
  </sheetData>
  <mergeCells count="701">
    <mergeCell ref="U28:U39"/>
    <mergeCell ref="V28:V39"/>
    <mergeCell ref="U16:U27"/>
    <mergeCell ref="V16:V27"/>
    <mergeCell ref="U13:U15"/>
    <mergeCell ref="V13:V15"/>
    <mergeCell ref="U9:U12"/>
    <mergeCell ref="V9:V12"/>
    <mergeCell ref="V95:V104"/>
    <mergeCell ref="U85:U94"/>
    <mergeCell ref="V85:V94"/>
    <mergeCell ref="U75:U84"/>
    <mergeCell ref="V75:V84"/>
    <mergeCell ref="U64:U74"/>
    <mergeCell ref="V64:V74"/>
    <mergeCell ref="U52:U63"/>
    <mergeCell ref="V52:V63"/>
    <mergeCell ref="V177:V186"/>
    <mergeCell ref="U177:U186"/>
    <mergeCell ref="U167:U176"/>
    <mergeCell ref="V167:V176"/>
    <mergeCell ref="V157:V166"/>
    <mergeCell ref="U157:U166"/>
    <mergeCell ref="U147:U156"/>
    <mergeCell ref="V147:V156"/>
    <mergeCell ref="U135:U146"/>
    <mergeCell ref="V135:V146"/>
    <mergeCell ref="T204:T206"/>
    <mergeCell ref="T198:T203"/>
    <mergeCell ref="S198:S203"/>
    <mergeCell ref="R198:R203"/>
    <mergeCell ref="Q198:Q203"/>
    <mergeCell ref="V228:V233"/>
    <mergeCell ref="U225:U227"/>
    <mergeCell ref="V225:V227"/>
    <mergeCell ref="V220:V224"/>
    <mergeCell ref="U220:U224"/>
    <mergeCell ref="U214:U219"/>
    <mergeCell ref="V214:V219"/>
    <mergeCell ref="V210:V213"/>
    <mergeCell ref="U210:U213"/>
    <mergeCell ref="V207:V209"/>
    <mergeCell ref="V204:V206"/>
    <mergeCell ref="U204:U206"/>
    <mergeCell ref="U198:U203"/>
    <mergeCell ref="V198:V203"/>
    <mergeCell ref="S85:S94"/>
    <mergeCell ref="T85:T94"/>
    <mergeCell ref="Q228:Q233"/>
    <mergeCell ref="R228:R233"/>
    <mergeCell ref="S228:S233"/>
    <mergeCell ref="T228:T233"/>
    <mergeCell ref="Q225:Q227"/>
    <mergeCell ref="R225:R227"/>
    <mergeCell ref="S225:S227"/>
    <mergeCell ref="T225:T227"/>
    <mergeCell ref="T220:T224"/>
    <mergeCell ref="S220:S224"/>
    <mergeCell ref="R220:R224"/>
    <mergeCell ref="Q220:Q224"/>
    <mergeCell ref="Q214:Q219"/>
    <mergeCell ref="R214:R219"/>
    <mergeCell ref="S214:S219"/>
    <mergeCell ref="T214:T219"/>
    <mergeCell ref="Q210:Q213"/>
    <mergeCell ref="R210:R213"/>
    <mergeCell ref="S210:S213"/>
    <mergeCell ref="T210:T213"/>
    <mergeCell ref="Q195:Q197"/>
    <mergeCell ref="R195:R197"/>
    <mergeCell ref="S177:S186"/>
    <mergeCell ref="T177:T186"/>
    <mergeCell ref="Q167:Q176"/>
    <mergeCell ref="R167:R176"/>
    <mergeCell ref="S167:S176"/>
    <mergeCell ref="T167:T176"/>
    <mergeCell ref="Q157:Q166"/>
    <mergeCell ref="R157:R166"/>
    <mergeCell ref="S157:S166"/>
    <mergeCell ref="T157:T166"/>
    <mergeCell ref="B3:B4"/>
    <mergeCell ref="C3:C4"/>
    <mergeCell ref="Q13:Q15"/>
    <mergeCell ref="R13:R15"/>
    <mergeCell ref="S13:S15"/>
    <mergeCell ref="T13:T15"/>
    <mergeCell ref="Q16:Q27"/>
    <mergeCell ref="R16:R27"/>
    <mergeCell ref="S16:S27"/>
    <mergeCell ref="T16:T27"/>
    <mergeCell ref="G3:H3"/>
    <mergeCell ref="I3:P3"/>
    <mergeCell ref="I4:L4"/>
    <mergeCell ref="M4:P4"/>
    <mergeCell ref="G16:G27"/>
    <mergeCell ref="H16:H27"/>
    <mergeCell ref="I16:I27"/>
    <mergeCell ref="J16:J27"/>
    <mergeCell ref="K16:K27"/>
    <mergeCell ref="L16:L27"/>
    <mergeCell ref="M16:M27"/>
    <mergeCell ref="N16:N27"/>
    <mergeCell ref="O16:O27"/>
    <mergeCell ref="P16:P27"/>
    <mergeCell ref="Q7:Q8"/>
    <mergeCell ref="S7:S8"/>
    <mergeCell ref="U7:U8"/>
    <mergeCell ref="Q9:Q12"/>
    <mergeCell ref="E40:E51"/>
    <mergeCell ref="A52:A63"/>
    <mergeCell ref="F214:F219"/>
    <mergeCell ref="E214:E219"/>
    <mergeCell ref="A214:A219"/>
    <mergeCell ref="F177:F186"/>
    <mergeCell ref="E177:E186"/>
    <mergeCell ref="A177:A186"/>
    <mergeCell ref="Q28:Q39"/>
    <mergeCell ref="R28:R39"/>
    <mergeCell ref="S28:S39"/>
    <mergeCell ref="T28:T39"/>
    <mergeCell ref="Q40:Q51"/>
    <mergeCell ref="R40:R51"/>
    <mergeCell ref="S40:S51"/>
    <mergeCell ref="T40:T51"/>
    <mergeCell ref="Q52:Q63"/>
    <mergeCell ref="R52:R63"/>
    <mergeCell ref="Q177:Q186"/>
    <mergeCell ref="R177:R186"/>
    <mergeCell ref="Z214:Z219"/>
    <mergeCell ref="Y214:Y219"/>
    <mergeCell ref="Z204:Z206"/>
    <mergeCell ref="Y204:Y206"/>
    <mergeCell ref="X204:X206"/>
    <mergeCell ref="X214:X219"/>
    <mergeCell ref="W214:W219"/>
    <mergeCell ref="R9:R12"/>
    <mergeCell ref="T9:T12"/>
    <mergeCell ref="Z167:Z176"/>
    <mergeCell ref="Y167:Y176"/>
    <mergeCell ref="X167:X176"/>
    <mergeCell ref="S52:S63"/>
    <mergeCell ref="T52:T63"/>
    <mergeCell ref="R64:R74"/>
    <mergeCell ref="S64:S74"/>
    <mergeCell ref="T64:T74"/>
    <mergeCell ref="R75:R84"/>
    <mergeCell ref="T75:T84"/>
    <mergeCell ref="S75:S84"/>
    <mergeCell ref="R147:R156"/>
    <mergeCell ref="S147:S156"/>
    <mergeCell ref="T147:T156"/>
    <mergeCell ref="R85:R94"/>
    <mergeCell ref="E198:E203"/>
    <mergeCell ref="A198:A203"/>
    <mergeCell ref="Z210:Z213"/>
    <mergeCell ref="Y210:Y213"/>
    <mergeCell ref="X210:X213"/>
    <mergeCell ref="W210:W213"/>
    <mergeCell ref="F210:F213"/>
    <mergeCell ref="E210:E213"/>
    <mergeCell ref="A210:A213"/>
    <mergeCell ref="Z207:Z209"/>
    <mergeCell ref="Y207:Y209"/>
    <mergeCell ref="X207:X209"/>
    <mergeCell ref="W207:W209"/>
    <mergeCell ref="F207:F209"/>
    <mergeCell ref="E207:E209"/>
    <mergeCell ref="A207:A209"/>
    <mergeCell ref="U207:U209"/>
    <mergeCell ref="Q207:Q209"/>
    <mergeCell ref="R207:R209"/>
    <mergeCell ref="S207:S209"/>
    <mergeCell ref="T207:T209"/>
    <mergeCell ref="Q204:Q206"/>
    <mergeCell ref="R204:R206"/>
    <mergeCell ref="S204:S206"/>
    <mergeCell ref="W167:W176"/>
    <mergeCell ref="F167:F176"/>
    <mergeCell ref="E167:E176"/>
    <mergeCell ref="A167:A176"/>
    <mergeCell ref="F147:F156"/>
    <mergeCell ref="E147:E156"/>
    <mergeCell ref="A147:A156"/>
    <mergeCell ref="A116:A126"/>
    <mergeCell ref="A95:A104"/>
    <mergeCell ref="R135:R146"/>
    <mergeCell ref="S135:S146"/>
    <mergeCell ref="T135:T146"/>
    <mergeCell ref="Q127:Q134"/>
    <mergeCell ref="R127:R134"/>
    <mergeCell ref="S127:S134"/>
    <mergeCell ref="T127:T134"/>
    <mergeCell ref="Q116:Q126"/>
    <mergeCell ref="R116:R126"/>
    <mergeCell ref="S116:S126"/>
    <mergeCell ref="T116:T126"/>
    <mergeCell ref="Q147:Q156"/>
    <mergeCell ref="Q135:Q146"/>
    <mergeCell ref="F105:F115"/>
    <mergeCell ref="E105:E115"/>
    <mergeCell ref="W135:W146"/>
    <mergeCell ref="F135:F146"/>
    <mergeCell ref="E157:E166"/>
    <mergeCell ref="A157:A166"/>
    <mergeCell ref="Z157:Z166"/>
    <mergeCell ref="Y157:Y166"/>
    <mergeCell ref="X157:X166"/>
    <mergeCell ref="W157:W166"/>
    <mergeCell ref="F157:F166"/>
    <mergeCell ref="E135:E146"/>
    <mergeCell ref="A135:A146"/>
    <mergeCell ref="Z147:Z156"/>
    <mergeCell ref="Y147:Y156"/>
    <mergeCell ref="G147:G156"/>
    <mergeCell ref="H147:H156"/>
    <mergeCell ref="I147:I156"/>
    <mergeCell ref="J147:J156"/>
    <mergeCell ref="K147:K156"/>
    <mergeCell ref="L147:L156"/>
    <mergeCell ref="M147:M156"/>
    <mergeCell ref="N147:N156"/>
    <mergeCell ref="A127:A134"/>
    <mergeCell ref="Z116:Z126"/>
    <mergeCell ref="Y116:Y126"/>
    <mergeCell ref="X116:X126"/>
    <mergeCell ref="W116:W126"/>
    <mergeCell ref="F116:F126"/>
    <mergeCell ref="E116:E126"/>
    <mergeCell ref="E127:E134"/>
    <mergeCell ref="F127:F134"/>
    <mergeCell ref="U127:U134"/>
    <mergeCell ref="V127:V134"/>
    <mergeCell ref="U116:U126"/>
    <mergeCell ref="V116:V126"/>
    <mergeCell ref="G127:G134"/>
    <mergeCell ref="H127:H134"/>
    <mergeCell ref="I127:I134"/>
    <mergeCell ref="J127:J134"/>
    <mergeCell ref="K127:K134"/>
    <mergeCell ref="L127:L134"/>
    <mergeCell ref="M127:M134"/>
    <mergeCell ref="A105:A115"/>
    <mergeCell ref="Z95:Z104"/>
    <mergeCell ref="Y95:Y104"/>
    <mergeCell ref="X95:X104"/>
    <mergeCell ref="W95:W104"/>
    <mergeCell ref="F95:F104"/>
    <mergeCell ref="E95:E104"/>
    <mergeCell ref="Q105:Q115"/>
    <mergeCell ref="R105:R115"/>
    <mergeCell ref="S105:S115"/>
    <mergeCell ref="T105:T115"/>
    <mergeCell ref="Q95:Q104"/>
    <mergeCell ref="R95:R104"/>
    <mergeCell ref="S95:S104"/>
    <mergeCell ref="T95:T104"/>
    <mergeCell ref="U105:U115"/>
    <mergeCell ref="V105:V115"/>
    <mergeCell ref="U95:U104"/>
    <mergeCell ref="G105:G115"/>
    <mergeCell ref="H105:H115"/>
    <mergeCell ref="I105:I115"/>
    <mergeCell ref="J105:J115"/>
    <mergeCell ref="K105:K115"/>
    <mergeCell ref="L105:L115"/>
    <mergeCell ref="E64:E74"/>
    <mergeCell ref="A64:A74"/>
    <mergeCell ref="Z85:Z94"/>
    <mergeCell ref="Y85:Y94"/>
    <mergeCell ref="X85:X94"/>
    <mergeCell ref="W85:W94"/>
    <mergeCell ref="F85:F94"/>
    <mergeCell ref="E85:E94"/>
    <mergeCell ref="A85:A94"/>
    <mergeCell ref="Z64:Z74"/>
    <mergeCell ref="Y64:Y74"/>
    <mergeCell ref="X64:X74"/>
    <mergeCell ref="W64:W74"/>
    <mergeCell ref="F64:F74"/>
    <mergeCell ref="A75:A84"/>
    <mergeCell ref="E75:E84"/>
    <mergeCell ref="F75:F84"/>
    <mergeCell ref="W75:W84"/>
    <mergeCell ref="X75:X84"/>
    <mergeCell ref="Y75:Y84"/>
    <mergeCell ref="Z75:Z84"/>
    <mergeCell ref="Q64:Q74"/>
    <mergeCell ref="Q75:Q84"/>
    <mergeCell ref="Q85:Q94"/>
    <mergeCell ref="F52:F63"/>
    <mergeCell ref="E52:E63"/>
    <mergeCell ref="A40:A51"/>
    <mergeCell ref="Z40:Z51"/>
    <mergeCell ref="Y40:Y51"/>
    <mergeCell ref="X40:X51"/>
    <mergeCell ref="W40:W51"/>
    <mergeCell ref="F40:F51"/>
    <mergeCell ref="U40:U51"/>
    <mergeCell ref="V40:V51"/>
    <mergeCell ref="G52:G63"/>
    <mergeCell ref="H52:H63"/>
    <mergeCell ref="I52:I63"/>
    <mergeCell ref="J52:J63"/>
    <mergeCell ref="K52:K63"/>
    <mergeCell ref="L52:L63"/>
    <mergeCell ref="M52:M63"/>
    <mergeCell ref="N52:N63"/>
    <mergeCell ref="O52:O63"/>
    <mergeCell ref="P52:P63"/>
    <mergeCell ref="A3:A4"/>
    <mergeCell ref="E3:F3"/>
    <mergeCell ref="W3:Y3"/>
    <mergeCell ref="AB3:AB4"/>
    <mergeCell ref="D3:D4"/>
    <mergeCell ref="A16:A27"/>
    <mergeCell ref="A28:A39"/>
    <mergeCell ref="E28:E39"/>
    <mergeCell ref="F28:F39"/>
    <mergeCell ref="Z28:Z39"/>
    <mergeCell ref="Y28:Y39"/>
    <mergeCell ref="X28:X39"/>
    <mergeCell ref="W28:W39"/>
    <mergeCell ref="E16:E27"/>
    <mergeCell ref="F16:F27"/>
    <mergeCell ref="W16:W27"/>
    <mergeCell ref="X16:X27"/>
    <mergeCell ref="Y16:Y27"/>
    <mergeCell ref="Z16:Z27"/>
    <mergeCell ref="S3:T3"/>
    <mergeCell ref="U3:V3"/>
    <mergeCell ref="Q3:R3"/>
    <mergeCell ref="A5:A6"/>
    <mergeCell ref="A7:A8"/>
    <mergeCell ref="A220:A224"/>
    <mergeCell ref="E220:E224"/>
    <mergeCell ref="F220:F224"/>
    <mergeCell ref="W189:W194"/>
    <mergeCell ref="X189:X194"/>
    <mergeCell ref="Y189:Y194"/>
    <mergeCell ref="Z189:Z194"/>
    <mergeCell ref="W220:W224"/>
    <mergeCell ref="X220:X224"/>
    <mergeCell ref="Y220:Y224"/>
    <mergeCell ref="Z220:Z224"/>
    <mergeCell ref="Z198:Z203"/>
    <mergeCell ref="Y198:Y203"/>
    <mergeCell ref="X198:X203"/>
    <mergeCell ref="W198:W203"/>
    <mergeCell ref="F198:F203"/>
    <mergeCell ref="E204:E206"/>
    <mergeCell ref="A204:A206"/>
    <mergeCell ref="E187:E194"/>
    <mergeCell ref="A187:A194"/>
    <mergeCell ref="Z195:Z197"/>
    <mergeCell ref="Y195:Y197"/>
    <mergeCell ref="W204:W206"/>
    <mergeCell ref="F204:F206"/>
    <mergeCell ref="S9:S12"/>
    <mergeCell ref="X147:X156"/>
    <mergeCell ref="W147:W156"/>
    <mergeCell ref="Z177:Z186"/>
    <mergeCell ref="Y177:Y186"/>
    <mergeCell ref="X177:X186"/>
    <mergeCell ref="W177:W186"/>
    <mergeCell ref="AB198:AB203"/>
    <mergeCell ref="AB204:AB206"/>
    <mergeCell ref="Z52:Z63"/>
    <mergeCell ref="Y52:Y63"/>
    <mergeCell ref="X52:X63"/>
    <mergeCell ref="W52:W63"/>
    <mergeCell ref="Z105:Z115"/>
    <mergeCell ref="Y105:Y115"/>
    <mergeCell ref="X105:X115"/>
    <mergeCell ref="W105:W115"/>
    <mergeCell ref="Z127:Z134"/>
    <mergeCell ref="Y127:Y134"/>
    <mergeCell ref="X127:X134"/>
    <mergeCell ref="W127:W134"/>
    <mergeCell ref="Z135:Z146"/>
    <mergeCell ref="Y135:Y146"/>
    <mergeCell ref="X135:X146"/>
    <mergeCell ref="A195:A197"/>
    <mergeCell ref="E195:E197"/>
    <mergeCell ref="F195:F197"/>
    <mergeCell ref="AB189:AB194"/>
    <mergeCell ref="AB195:AB197"/>
    <mergeCell ref="W187:W188"/>
    <mergeCell ref="X187:X188"/>
    <mergeCell ref="Y187:Y188"/>
    <mergeCell ref="Z187:Z188"/>
    <mergeCell ref="X195:X197"/>
    <mergeCell ref="W195:W197"/>
    <mergeCell ref="F187:F194"/>
    <mergeCell ref="S195:S197"/>
    <mergeCell ref="T195:T197"/>
    <mergeCell ref="Q187:Q194"/>
    <mergeCell ref="R187:R194"/>
    <mergeCell ref="S187:S194"/>
    <mergeCell ref="T187:T194"/>
    <mergeCell ref="V195:V197"/>
    <mergeCell ref="U195:U197"/>
    <mergeCell ref="U187:U194"/>
    <mergeCell ref="V187:V194"/>
    <mergeCell ref="G187:G194"/>
    <mergeCell ref="H187:H194"/>
    <mergeCell ref="E225:E227"/>
    <mergeCell ref="A225:A227"/>
    <mergeCell ref="Z228:Z233"/>
    <mergeCell ref="Y228:Y233"/>
    <mergeCell ref="X228:X233"/>
    <mergeCell ref="W228:W233"/>
    <mergeCell ref="F228:F233"/>
    <mergeCell ref="E228:E233"/>
    <mergeCell ref="A228:A233"/>
    <mergeCell ref="Z225:Z227"/>
    <mergeCell ref="Y225:Y227"/>
    <mergeCell ref="X225:X227"/>
    <mergeCell ref="W225:W227"/>
    <mergeCell ref="F225:F227"/>
    <mergeCell ref="U228:U233"/>
    <mergeCell ref="G225:G227"/>
    <mergeCell ref="H225:H227"/>
    <mergeCell ref="I225:I227"/>
    <mergeCell ref="J225:J227"/>
    <mergeCell ref="K225:K227"/>
    <mergeCell ref="L225:L227"/>
    <mergeCell ref="M225:M227"/>
    <mergeCell ref="N225:N227"/>
    <mergeCell ref="O225:O227"/>
    <mergeCell ref="O40:O51"/>
    <mergeCell ref="P40:P51"/>
    <mergeCell ref="G28:G39"/>
    <mergeCell ref="H28:H39"/>
    <mergeCell ref="I28:I39"/>
    <mergeCell ref="J28:J39"/>
    <mergeCell ref="K28:K39"/>
    <mergeCell ref="L28:L39"/>
    <mergeCell ref="M28:M39"/>
    <mergeCell ref="N28:N39"/>
    <mergeCell ref="O28:O39"/>
    <mergeCell ref="P75:P84"/>
    <mergeCell ref="G64:G74"/>
    <mergeCell ref="H64:H74"/>
    <mergeCell ref="I64:I74"/>
    <mergeCell ref="J64:J74"/>
    <mergeCell ref="K64:K74"/>
    <mergeCell ref="L64:L74"/>
    <mergeCell ref="M64:M74"/>
    <mergeCell ref="N64:N74"/>
    <mergeCell ref="O64:O74"/>
    <mergeCell ref="G75:G84"/>
    <mergeCell ref="H75:H84"/>
    <mergeCell ref="I75:I84"/>
    <mergeCell ref="J75:J84"/>
    <mergeCell ref="K75:K84"/>
    <mergeCell ref="L75:L84"/>
    <mergeCell ref="M75:M84"/>
    <mergeCell ref="N75:N84"/>
    <mergeCell ref="O75:O84"/>
    <mergeCell ref="P85:P94"/>
    <mergeCell ref="G95:G104"/>
    <mergeCell ref="H95:H104"/>
    <mergeCell ref="I95:I104"/>
    <mergeCell ref="J95:J104"/>
    <mergeCell ref="K95:K104"/>
    <mergeCell ref="L95:L104"/>
    <mergeCell ref="M95:M104"/>
    <mergeCell ref="N95:N104"/>
    <mergeCell ref="O95:O104"/>
    <mergeCell ref="P95:P104"/>
    <mergeCell ref="G85:G94"/>
    <mergeCell ref="H85:H94"/>
    <mergeCell ref="I85:I94"/>
    <mergeCell ref="J85:J94"/>
    <mergeCell ref="K85:K94"/>
    <mergeCell ref="L85:L94"/>
    <mergeCell ref="M85:M94"/>
    <mergeCell ref="N85:N94"/>
    <mergeCell ref="O85:O94"/>
    <mergeCell ref="M105:M115"/>
    <mergeCell ref="N105:N115"/>
    <mergeCell ref="O105:O115"/>
    <mergeCell ref="P105:P115"/>
    <mergeCell ref="G116:G126"/>
    <mergeCell ref="H116:H126"/>
    <mergeCell ref="I116:I126"/>
    <mergeCell ref="J116:J126"/>
    <mergeCell ref="K116:K126"/>
    <mergeCell ref="L116:L126"/>
    <mergeCell ref="M116:M126"/>
    <mergeCell ref="N116:N126"/>
    <mergeCell ref="O116:O126"/>
    <mergeCell ref="P116:P126"/>
    <mergeCell ref="N127:N134"/>
    <mergeCell ref="O127:O134"/>
    <mergeCell ref="P127:P134"/>
    <mergeCell ref="G135:G146"/>
    <mergeCell ref="H135:H146"/>
    <mergeCell ref="I135:I146"/>
    <mergeCell ref="J135:J146"/>
    <mergeCell ref="K135:K146"/>
    <mergeCell ref="L135:L146"/>
    <mergeCell ref="M135:M146"/>
    <mergeCell ref="N135:N146"/>
    <mergeCell ref="O135:O146"/>
    <mergeCell ref="P135:P146"/>
    <mergeCell ref="O147:O156"/>
    <mergeCell ref="P147:P156"/>
    <mergeCell ref="G157:G166"/>
    <mergeCell ref="H157:H166"/>
    <mergeCell ref="I157:I166"/>
    <mergeCell ref="J157:J166"/>
    <mergeCell ref="K157:K166"/>
    <mergeCell ref="L157:L166"/>
    <mergeCell ref="M157:M166"/>
    <mergeCell ref="N157:N166"/>
    <mergeCell ref="O157:O166"/>
    <mergeCell ref="P157:P166"/>
    <mergeCell ref="P167:P176"/>
    <mergeCell ref="G177:G186"/>
    <mergeCell ref="H177:H186"/>
    <mergeCell ref="I177:I186"/>
    <mergeCell ref="J177:J186"/>
    <mergeCell ref="K177:K186"/>
    <mergeCell ref="L177:L186"/>
    <mergeCell ref="M177:M186"/>
    <mergeCell ref="N177:N186"/>
    <mergeCell ref="O177:O186"/>
    <mergeCell ref="P177:P186"/>
    <mergeCell ref="G167:G176"/>
    <mergeCell ref="H167:H176"/>
    <mergeCell ref="I167:I176"/>
    <mergeCell ref="J167:J176"/>
    <mergeCell ref="K167:K176"/>
    <mergeCell ref="L167:L176"/>
    <mergeCell ref="M167:M176"/>
    <mergeCell ref="N167:N176"/>
    <mergeCell ref="O167:O176"/>
    <mergeCell ref="I187:I194"/>
    <mergeCell ref="J187:J194"/>
    <mergeCell ref="K187:K194"/>
    <mergeCell ref="L187:L194"/>
    <mergeCell ref="M187:M194"/>
    <mergeCell ref="N187:N194"/>
    <mergeCell ref="O187:O194"/>
    <mergeCell ref="P187:P194"/>
    <mergeCell ref="G195:G197"/>
    <mergeCell ref="H195:H197"/>
    <mergeCell ref="I195:I197"/>
    <mergeCell ref="J195:J197"/>
    <mergeCell ref="K195:K197"/>
    <mergeCell ref="L195:L197"/>
    <mergeCell ref="M195:M197"/>
    <mergeCell ref="N195:N197"/>
    <mergeCell ref="O195:O197"/>
    <mergeCell ref="P195:P197"/>
    <mergeCell ref="P198:P203"/>
    <mergeCell ref="G204:G206"/>
    <mergeCell ref="H204:H206"/>
    <mergeCell ref="I204:I206"/>
    <mergeCell ref="J204:J206"/>
    <mergeCell ref="K204:K206"/>
    <mergeCell ref="L204:L206"/>
    <mergeCell ref="M204:M206"/>
    <mergeCell ref="N204:N206"/>
    <mergeCell ref="O204:O206"/>
    <mergeCell ref="P204:P206"/>
    <mergeCell ref="G198:G203"/>
    <mergeCell ref="H198:H203"/>
    <mergeCell ref="I198:I203"/>
    <mergeCell ref="J198:J203"/>
    <mergeCell ref="K198:K203"/>
    <mergeCell ref="L198:L203"/>
    <mergeCell ref="M198:M203"/>
    <mergeCell ref="N198:N203"/>
    <mergeCell ref="O198:O203"/>
    <mergeCell ref="P207:P209"/>
    <mergeCell ref="G210:G213"/>
    <mergeCell ref="H210:H213"/>
    <mergeCell ref="I210:I213"/>
    <mergeCell ref="J210:J213"/>
    <mergeCell ref="K210:K213"/>
    <mergeCell ref="L210:L213"/>
    <mergeCell ref="M210:M213"/>
    <mergeCell ref="N210:N213"/>
    <mergeCell ref="O210:O213"/>
    <mergeCell ref="P210:P213"/>
    <mergeCell ref="G207:G209"/>
    <mergeCell ref="H207:H209"/>
    <mergeCell ref="I207:I209"/>
    <mergeCell ref="J207:J209"/>
    <mergeCell ref="K207:K209"/>
    <mergeCell ref="L207:L209"/>
    <mergeCell ref="M207:M209"/>
    <mergeCell ref="N207:N209"/>
    <mergeCell ref="O207:O209"/>
    <mergeCell ref="P220:P224"/>
    <mergeCell ref="G214:G219"/>
    <mergeCell ref="H214:H219"/>
    <mergeCell ref="I214:I219"/>
    <mergeCell ref="J214:J219"/>
    <mergeCell ref="K214:K219"/>
    <mergeCell ref="L214:L219"/>
    <mergeCell ref="M214:M219"/>
    <mergeCell ref="N214:N219"/>
    <mergeCell ref="O214:O219"/>
    <mergeCell ref="AA75:AA84"/>
    <mergeCell ref="AA85:AA94"/>
    <mergeCell ref="AA95:AA104"/>
    <mergeCell ref="P225:P227"/>
    <mergeCell ref="G228:G233"/>
    <mergeCell ref="H228:H233"/>
    <mergeCell ref="I228:I233"/>
    <mergeCell ref="J228:J233"/>
    <mergeCell ref="K228:K233"/>
    <mergeCell ref="L228:L233"/>
    <mergeCell ref="M228:M233"/>
    <mergeCell ref="N228:N233"/>
    <mergeCell ref="O228:O233"/>
    <mergeCell ref="P228:P233"/>
    <mergeCell ref="P214:P219"/>
    <mergeCell ref="G220:G224"/>
    <mergeCell ref="H220:H224"/>
    <mergeCell ref="I220:I224"/>
    <mergeCell ref="J220:J224"/>
    <mergeCell ref="K220:K224"/>
    <mergeCell ref="L220:L224"/>
    <mergeCell ref="M220:M224"/>
    <mergeCell ref="N220:N224"/>
    <mergeCell ref="O220:O224"/>
    <mergeCell ref="AA105:AA115"/>
    <mergeCell ref="AA116:AA126"/>
    <mergeCell ref="AA127:AA134"/>
    <mergeCell ref="AA135:AA146"/>
    <mergeCell ref="AA147:AA156"/>
    <mergeCell ref="AA157:AA166"/>
    <mergeCell ref="AA167:AA176"/>
    <mergeCell ref="AA177:AA186"/>
    <mergeCell ref="AA187:AA188"/>
    <mergeCell ref="AA228:AA233"/>
    <mergeCell ref="AA189:AA194"/>
    <mergeCell ref="AA195:AA197"/>
    <mergeCell ref="AA198:AA203"/>
    <mergeCell ref="AA204:AA206"/>
    <mergeCell ref="AA207:AA209"/>
    <mergeCell ref="AA210:AA213"/>
    <mergeCell ref="AA214:AA219"/>
    <mergeCell ref="AA220:AA224"/>
    <mergeCell ref="AA225:AA227"/>
    <mergeCell ref="A1:AC1"/>
    <mergeCell ref="Z3:AA3"/>
    <mergeCell ref="AC3:AC4"/>
    <mergeCell ref="AC9:AC14"/>
    <mergeCell ref="AB16:AB27"/>
    <mergeCell ref="AB28:AB39"/>
    <mergeCell ref="AB40:AB51"/>
    <mergeCell ref="AB52:AB63"/>
    <mergeCell ref="AB64:AB74"/>
    <mergeCell ref="AA16:AA27"/>
    <mergeCell ref="AA28:AA39"/>
    <mergeCell ref="AA40:AA51"/>
    <mergeCell ref="AA52:AA63"/>
    <mergeCell ref="AA64:AA74"/>
    <mergeCell ref="P64:P74"/>
    <mergeCell ref="P28:P39"/>
    <mergeCell ref="G40:G51"/>
    <mergeCell ref="H40:H51"/>
    <mergeCell ref="I40:I51"/>
    <mergeCell ref="J40:J51"/>
    <mergeCell ref="K40:K51"/>
    <mergeCell ref="L40:L51"/>
    <mergeCell ref="M40:M51"/>
    <mergeCell ref="N40:N51"/>
    <mergeCell ref="AB75:AB84"/>
    <mergeCell ref="AB85:AB94"/>
    <mergeCell ref="AB95:AB104"/>
    <mergeCell ref="AB105:AB115"/>
    <mergeCell ref="AB116:AB126"/>
    <mergeCell ref="AB127:AB134"/>
    <mergeCell ref="AB135:AB146"/>
    <mergeCell ref="AB147:AB156"/>
    <mergeCell ref="AB157:AB166"/>
    <mergeCell ref="AC214:AC219"/>
    <mergeCell ref="AC220:AC224"/>
    <mergeCell ref="AC225:AC227"/>
    <mergeCell ref="AC228:AC233"/>
    <mergeCell ref="AB167:AB176"/>
    <mergeCell ref="AB177:AB186"/>
    <mergeCell ref="AB187:AB188"/>
    <mergeCell ref="AC189:AC194"/>
    <mergeCell ref="AC195:AC197"/>
    <mergeCell ref="AC198:AC203"/>
    <mergeCell ref="AC204:AC206"/>
    <mergeCell ref="AC207:AC209"/>
    <mergeCell ref="AC210:AC213"/>
    <mergeCell ref="AB225:AB227"/>
    <mergeCell ref="AB228:AB233"/>
    <mergeCell ref="AB207:AB209"/>
    <mergeCell ref="AB210:AB213"/>
    <mergeCell ref="AB214:AB219"/>
    <mergeCell ref="AB220:AB224"/>
  </mergeCells>
  <phoneticPr fontId="1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>
      <selection activeCell="A33" sqref="A33:B33"/>
    </sheetView>
  </sheetViews>
  <sheetFormatPr defaultRowHeight="13.5" x14ac:dyDescent="0.15"/>
  <cols>
    <col min="1" max="1" bestFit="true" customWidth="true" width="20.44140625" collapsed="false"/>
    <col min="2" max="3" customWidth="true" style="2693" width="29.77734375" collapsed="false"/>
    <col min="4" max="4" bestFit="true" customWidth="true" width="20.44140625" collapsed="false"/>
    <col min="5" max="6" customWidth="true" style="2693" width="31.88671875" collapsed="false"/>
    <col min="7" max="7" bestFit="true" customWidth="true" width="20.44140625" collapsed="false"/>
    <col min="8" max="9" customWidth="true" style="2693" width="28.109375" collapsed="false"/>
    <col min="10" max="10" bestFit="true" customWidth="true" width="20.44140625" collapsed="false"/>
    <col min="11" max="11" customWidth="true" style="2693" width="27.88671875" collapsed="false"/>
    <col min="12" max="12" customWidth="true" style="2693" width="28.109375" collapsed="false"/>
  </cols>
  <sheetData>
    <row r="1" spans="1:14" x14ac:dyDescent="0.15">
      <c r="A1" s="2694" t="s">
        <v>9602</v>
      </c>
      <c r="B1" s="2692"/>
      <c r="C1" s="2692"/>
    </row>
    <row r="2" spans="1:14" x14ac:dyDescent="0.15">
      <c r="A2" s="3657" t="s">
        <v>7061</v>
      </c>
      <c r="B2" s="3656" t="s">
        <v>9143</v>
      </c>
      <c r="C2" s="3656" t="s">
        <v>7060</v>
      </c>
      <c r="D2" s="3657" t="s">
        <v>7062</v>
      </c>
      <c r="E2" s="3656" t="s">
        <v>9143</v>
      </c>
      <c r="F2" s="3656" t="s">
        <v>7060</v>
      </c>
      <c r="G2" s="3657" t="s">
        <v>7966</v>
      </c>
      <c r="H2" s="3656" t="s">
        <v>9143</v>
      </c>
      <c r="I2" s="3656" t="s">
        <v>7060</v>
      </c>
      <c r="J2" s="3657" t="s">
        <v>7967</v>
      </c>
      <c r="K2" s="3656" t="s">
        <v>9143</v>
      </c>
      <c r="L2" s="3656" t="s">
        <v>7060</v>
      </c>
    </row>
    <row r="3" spans="1:14" x14ac:dyDescent="0.15">
      <c r="A3" s="3657"/>
      <c r="B3" s="3656"/>
      <c r="C3" s="3656"/>
      <c r="D3" s="3657"/>
      <c r="E3" s="3656"/>
      <c r="F3" s="3656"/>
      <c r="G3" s="3657"/>
      <c r="H3" s="3656"/>
      <c r="I3" s="3656"/>
      <c r="J3" s="3657"/>
      <c r="K3" s="3656"/>
      <c r="L3" s="3656"/>
    </row>
    <row r="4" spans="1:14" x14ac:dyDescent="0.15">
      <c r="A4" s="2835" t="s">
        <v>9603</v>
      </c>
      <c r="B4" s="2835" t="s">
        <v>9604</v>
      </c>
      <c r="C4" s="2835" t="n">
        <v>4.4</v>
      </c>
      <c r="D4" s="2835" t="s">
        <v>9631</v>
      </c>
      <c r="E4" s="2835" t="s">
        <v>9604</v>
      </c>
      <c r="F4" s="2835" t="n">
        <v>19.4</v>
      </c>
      <c r="G4" s="2835" t="s">
        <v>6978</v>
      </c>
      <c r="H4" s="2835" t="s">
        <v>9618</v>
      </c>
      <c r="I4" s="2835" t="n">
        <v>204.7</v>
      </c>
      <c r="J4" s="2835" t="s">
        <v>7020</v>
      </c>
      <c r="K4" s="2835" t="s">
        <v>9618</v>
      </c>
      <c r="L4" s="2835" t="n">
        <v>0.0</v>
      </c>
      <c r="M4" s="2835"/>
      <c r="N4" s="2835"/>
    </row>
    <row r="5" spans="1:14" x14ac:dyDescent="0.15" ht="13.5" customHeight="true" hidden="false">
      <c r="A5" s="2835" t="s">
        <v>9603</v>
      </c>
      <c r="B5" s="2835" t="s">
        <v>9605</v>
      </c>
      <c r="C5" s="2835" t="n">
        <v>5162.1</v>
      </c>
      <c r="D5" s="2835" t="s">
        <v>9631</v>
      </c>
      <c r="E5" s="2835" t="s">
        <v>9605</v>
      </c>
      <c r="F5" s="2835" t="n">
        <v>13299.8</v>
      </c>
      <c r="G5" s="2835" t="s">
        <v>6978</v>
      </c>
      <c r="H5" s="2835" t="s">
        <v>9619</v>
      </c>
      <c r="I5" s="2835" t="n">
        <v>6.3</v>
      </c>
      <c r="J5" s="2835" t="s">
        <v>7020</v>
      </c>
      <c r="K5" s="2835" t="s">
        <v>9619</v>
      </c>
      <c r="L5" s="2835" t="n">
        <v>346.4</v>
      </c>
      <c r="M5" s="2835"/>
      <c r="N5" s="2835"/>
    </row>
    <row r="6" spans="1:14" x14ac:dyDescent="0.15" ht="13.5" customHeight="true" hidden="false">
      <c r="A6" s="2835" t="s">
        <v>9603</v>
      </c>
      <c r="B6" s="2835" t="s">
        <v>9606</v>
      </c>
      <c r="C6" s="2835" t="n">
        <v>4.4</v>
      </c>
      <c r="D6" s="2835" t="s">
        <v>9631</v>
      </c>
      <c r="E6" s="2835" t="s">
        <v>9606</v>
      </c>
      <c r="F6" s="2835" t="n">
        <v>17.9</v>
      </c>
      <c r="G6" s="2835" t="s">
        <v>6978</v>
      </c>
      <c r="H6" s="2835" t="s">
        <v>9620</v>
      </c>
      <c r="I6" s="2835" t="n">
        <v>9.2</v>
      </c>
      <c r="J6" s="2835" t="s">
        <v>7020</v>
      </c>
      <c r="K6" s="2835" t="s">
        <v>9620</v>
      </c>
      <c r="L6" s="2835" t="n">
        <v>764.9</v>
      </c>
      <c r="M6" s="2835"/>
      <c r="N6" s="2835"/>
    </row>
    <row r="7" spans="1:14" x14ac:dyDescent="0.15" ht="13.5" customHeight="true" hidden="false">
      <c r="A7" s="2835" t="s">
        <v>9603</v>
      </c>
      <c r="B7" s="2835" t="s">
        <v>9607</v>
      </c>
      <c r="C7" s="2835" t="n">
        <v>5162.1</v>
      </c>
      <c r="D7" s="2835" t="s">
        <v>9631</v>
      </c>
      <c r="E7" s="2835" t="s">
        <v>9607</v>
      </c>
      <c r="F7" s="2835" t="n">
        <v>13614.9</v>
      </c>
      <c r="G7" s="2835" t="s">
        <v>6978</v>
      </c>
      <c r="H7" s="2835" t="s">
        <v>9621</v>
      </c>
      <c r="I7" s="2835" t="n">
        <v>9.2</v>
      </c>
      <c r="J7" s="2835" t="s">
        <v>7020</v>
      </c>
      <c r="K7" s="2835" t="s">
        <v>9621</v>
      </c>
      <c r="L7" s="2835" t="n">
        <v>951.9</v>
      </c>
      <c r="M7" s="2835"/>
      <c r="N7" s="2835"/>
    </row>
    <row r="8" spans="1:14" x14ac:dyDescent="0.15" ht="13.5" customHeight="true" hidden="false">
      <c r="A8" s="2835" t="s">
        <v>9608</v>
      </c>
      <c r="B8" s="2835" t="s">
        <v>9604</v>
      </c>
      <c r="C8" s="2835" t="n">
        <v>15972.7</v>
      </c>
      <c r="D8" s="2835" t="s">
        <v>9632</v>
      </c>
      <c r="E8" s="2835" t="s">
        <v>9604</v>
      </c>
      <c r="F8" s="2835" t="n">
        <v>9477.8</v>
      </c>
      <c r="G8" s="2835" t="s">
        <v>6978</v>
      </c>
      <c r="H8" s="2835" t="s">
        <v>9622</v>
      </c>
      <c r="I8" s="2835" t="n">
        <v>0.0</v>
      </c>
      <c r="J8" s="2835" t="s">
        <v>7020</v>
      </c>
      <c r="K8" s="2835" t="s">
        <v>9622</v>
      </c>
      <c r="L8" s="2835" t="n">
        <v>968.8</v>
      </c>
      <c r="M8" s="2835"/>
      <c r="N8" s="2835"/>
    </row>
    <row r="9" spans="1:14" x14ac:dyDescent="0.15" ht="13.5" customHeight="true" hidden="false">
      <c r="A9" s="2835" t="s">
        <v>9608</v>
      </c>
      <c r="B9" s="2835" t="s">
        <v>9605</v>
      </c>
      <c r="C9" s="2835" t="n">
        <v>18.9</v>
      </c>
      <c r="D9" s="2835" t="s">
        <v>9632</v>
      </c>
      <c r="E9" s="2835" t="s">
        <v>9605</v>
      </c>
      <c r="F9" s="2835" t="n">
        <v>18.7</v>
      </c>
      <c r="G9" s="2835" t="s">
        <v>6978</v>
      </c>
      <c r="H9" s="2835" t="s">
        <v>9623</v>
      </c>
      <c r="I9" s="2835" t="n">
        <v>0.4</v>
      </c>
      <c r="J9" s="2835" t="s">
        <v>7020</v>
      </c>
      <c r="K9" s="2835" t="s">
        <v>9623</v>
      </c>
      <c r="L9" s="2835" t="n">
        <v>1007.2</v>
      </c>
      <c r="M9" s="2835"/>
      <c r="N9" s="2835"/>
    </row>
    <row r="10" spans="1:14" x14ac:dyDescent="0.15" ht="13.5" customHeight="true" hidden="false">
      <c r="A10" s="2835" t="s">
        <v>9608</v>
      </c>
      <c r="B10" s="2835" t="s">
        <v>9606</v>
      </c>
      <c r="C10" s="2835" t="n">
        <v>13938.9</v>
      </c>
      <c r="D10" s="2835" t="s">
        <v>9632</v>
      </c>
      <c r="E10" s="2835" t="s">
        <v>9606</v>
      </c>
      <c r="F10" s="2835" t="n">
        <v>25399.8</v>
      </c>
      <c r="G10" s="2835" t="s">
        <v>6978</v>
      </c>
      <c r="H10" s="2835" t="s">
        <v>9624</v>
      </c>
      <c r="I10" s="2835" t="n">
        <v>0.0</v>
      </c>
      <c r="J10" s="2835" t="s">
        <v>7020</v>
      </c>
      <c r="K10" s="2835" t="s">
        <v>9624</v>
      </c>
      <c r="L10" s="2835" t="n">
        <v>1054.1</v>
      </c>
      <c r="M10" s="2835"/>
      <c r="N10" s="2835"/>
    </row>
    <row r="11" spans="1:14" x14ac:dyDescent="0.15" ht="13.5" customHeight="true" hidden="false">
      <c r="A11" s="2835" t="s">
        <v>9608</v>
      </c>
      <c r="B11" s="2835" t="s">
        <v>9607</v>
      </c>
      <c r="C11" s="2835" t="n">
        <v>16.3</v>
      </c>
      <c r="D11" s="2835" t="s">
        <v>9632</v>
      </c>
      <c r="E11" s="2835" t="s">
        <v>9607</v>
      </c>
      <c r="F11" s="2835" t="n">
        <v>14.7</v>
      </c>
      <c r="G11" s="2835" t="s">
        <v>6978</v>
      </c>
      <c r="H11" s="2835" t="s">
        <v>9625</v>
      </c>
      <c r="I11" s="2835" t="n">
        <v>0.0</v>
      </c>
      <c r="J11" s="2835" t="s">
        <v>7020</v>
      </c>
      <c r="K11" s="2835" t="s">
        <v>9625</v>
      </c>
      <c r="L11" s="2835" t="n">
        <v>273.3</v>
      </c>
      <c r="M11" s="2835"/>
      <c r="N11" s="2835"/>
    </row>
    <row r="12" spans="1:14" x14ac:dyDescent="0.15" ht="13.5" customHeight="true" hidden="false">
      <c r="A12" s="2835" t="s">
        <v>9609</v>
      </c>
      <c r="B12" s="2835" t="s">
        <v>9604</v>
      </c>
      <c r="C12" s="2835" t="n">
        <v>0.0</v>
      </c>
      <c r="D12" s="2835" t="s">
        <v>6943</v>
      </c>
      <c r="E12" s="2835" t="s">
        <v>9618</v>
      </c>
      <c r="F12" s="2835" t="n">
        <v>25.1</v>
      </c>
      <c r="G12" s="2835" t="s">
        <v>6978</v>
      </c>
      <c r="H12" s="2835" t="s">
        <v>9626</v>
      </c>
      <c r="I12" s="2835" t="n">
        <v>0.0</v>
      </c>
      <c r="J12" s="2835" t="s">
        <v>7020</v>
      </c>
      <c r="K12" s="2835" t="s">
        <v>9626</v>
      </c>
      <c r="L12" s="2835" t="n">
        <v>968.8</v>
      </c>
      <c r="M12" s="2835"/>
      <c r="N12" s="2835"/>
    </row>
    <row r="13" spans="1:14" x14ac:dyDescent="0.15" ht="13.5" customHeight="true" hidden="false">
      <c r="A13" s="2835" t="s">
        <v>9609</v>
      </c>
      <c r="B13" s="2835" t="s">
        <v>9605</v>
      </c>
      <c r="C13" s="2835" t="n">
        <v>0.0</v>
      </c>
      <c r="D13" s="2835" t="s">
        <v>6943</v>
      </c>
      <c r="E13" s="2835" t="s">
        <v>9619</v>
      </c>
      <c r="F13" s="2835" t="n">
        <v>51.4</v>
      </c>
      <c r="G13" s="2835" t="s">
        <v>6978</v>
      </c>
      <c r="H13" s="2835" t="s">
        <v>9627</v>
      </c>
      <c r="I13" s="2835" t="n">
        <v>0.0</v>
      </c>
      <c r="J13" s="2835" t="s">
        <v>7020</v>
      </c>
      <c r="K13" s="2835" t="s">
        <v>9627</v>
      </c>
      <c r="L13" s="2835" t="n">
        <v>576.5</v>
      </c>
      <c r="M13" s="2835"/>
      <c r="N13" s="2835"/>
    </row>
    <row r="14" spans="1:14" x14ac:dyDescent="0.15" ht="13.5" customHeight="true" hidden="false">
      <c r="A14" s="2835" t="s">
        <v>9609</v>
      </c>
      <c r="B14" s="2835" t="s">
        <v>9606</v>
      </c>
      <c r="C14" s="2835" t="n">
        <v>0.0</v>
      </c>
      <c r="D14" s="2835" t="s">
        <v>6943</v>
      </c>
      <c r="E14" s="2835" t="s">
        <v>9620</v>
      </c>
      <c r="F14" s="2835" t="n">
        <v>69.8</v>
      </c>
      <c r="G14" s="2835" t="s">
        <v>6978</v>
      </c>
      <c r="H14" s="2835" t="s">
        <v>9628</v>
      </c>
      <c r="I14" s="2835" t="n">
        <v>1777.9</v>
      </c>
      <c r="J14" s="2835" t="s">
        <v>7020</v>
      </c>
      <c r="K14" s="2835" t="s">
        <v>9628</v>
      </c>
      <c r="L14" s="2835" t="n">
        <v>1007.2</v>
      </c>
      <c r="M14" s="2835"/>
      <c r="N14" s="2835"/>
    </row>
    <row r="15" spans="1:14" x14ac:dyDescent="0.15" ht="13.5" customHeight="true" hidden="false">
      <c r="A15" s="2835" t="s">
        <v>9609</v>
      </c>
      <c r="B15" s="2835" t="s">
        <v>9607</v>
      </c>
      <c r="C15" s="2835" t="n">
        <v>0.0</v>
      </c>
      <c r="D15" s="2835" t="s">
        <v>6943</v>
      </c>
      <c r="E15" s="2835" t="s">
        <v>9621</v>
      </c>
      <c r="F15" s="2835" t="n">
        <v>8201.7</v>
      </c>
      <c r="G15" s="2835" t="s">
        <v>6978</v>
      </c>
      <c r="H15" s="2835" t="s">
        <v>9629</v>
      </c>
      <c r="I15" s="2835" t="n">
        <v>0.0</v>
      </c>
      <c r="J15" s="2835" t="s">
        <v>7020</v>
      </c>
      <c r="K15" s="2835" t="s">
        <v>9629</v>
      </c>
      <c r="L15" s="2835" t="n">
        <v>321.0</v>
      </c>
      <c r="M15" s="2835"/>
      <c r="N15" s="2835"/>
    </row>
    <row r="16" spans="1:14" x14ac:dyDescent="0.15" ht="13.5" customHeight="true" hidden="false">
      <c r="A16" s="2835" t="s">
        <v>9609</v>
      </c>
      <c r="B16" s="2835" t="s">
        <v>9610</v>
      </c>
      <c r="C16" s="2835" t="n">
        <v>0.0</v>
      </c>
      <c r="D16" s="2835" t="s">
        <v>6943</v>
      </c>
      <c r="E16" s="2835" t="s">
        <v>9622</v>
      </c>
      <c r="F16" s="2835" t="n">
        <v>69.8</v>
      </c>
      <c r="G16" s="2835" t="s">
        <v>6978</v>
      </c>
      <c r="H16" s="2835" t="s">
        <v>9633</v>
      </c>
      <c r="I16" s="2835" t="n">
        <v>0.2</v>
      </c>
      <c r="J16" s="2835" t="s">
        <v>7020</v>
      </c>
      <c r="K16" s="2835" t="s">
        <v>9633</v>
      </c>
      <c r="L16" s="2835" t="n">
        <v>1054.1</v>
      </c>
      <c r="M16" s="2835"/>
      <c r="N16" s="2835"/>
    </row>
    <row r="17" spans="1:14" x14ac:dyDescent="0.15" ht="13.5" customHeight="true" hidden="false">
      <c r="A17" s="2835" t="s">
        <v>9609</v>
      </c>
      <c r="B17" s="2835" t="s">
        <v>9611</v>
      </c>
      <c r="C17" s="2835" t="n">
        <v>0.0</v>
      </c>
      <c r="D17" s="2835" t="s">
        <v>6943</v>
      </c>
      <c r="E17" s="2835" t="s">
        <v>9623</v>
      </c>
      <c r="F17" s="2835" t="n">
        <v>8771.8</v>
      </c>
      <c r="G17" s="2835" t="s">
        <v>6978</v>
      </c>
      <c r="H17" s="2835" t="s">
        <v>9634</v>
      </c>
      <c r="I17" s="2835" t="n">
        <v>314.4</v>
      </c>
      <c r="J17" s="2835" t="s">
        <v>7020</v>
      </c>
      <c r="K17" s="2835" t="s">
        <v>9634</v>
      </c>
      <c r="L17" s="2835" t="n">
        <v>599.3</v>
      </c>
      <c r="M17" s="2835"/>
      <c r="N17" s="2835"/>
    </row>
    <row r="18" spans="1:14" x14ac:dyDescent="0.15" ht="13.5" customHeight="true" hidden="false">
      <c r="A18" s="2835" t="s">
        <v>9609</v>
      </c>
      <c r="B18" s="2835" t="s">
        <v>9612</v>
      </c>
      <c r="C18" s="2835" t="n">
        <v>0.0</v>
      </c>
      <c r="D18" s="2835" t="s">
        <v>6943</v>
      </c>
      <c r="E18" s="2835" t="s">
        <v>9624</v>
      </c>
      <c r="F18" s="2835" t="n">
        <v>6667.0</v>
      </c>
      <c r="G18" s="2835" t="s">
        <v>6978</v>
      </c>
      <c r="H18" s="2835" t="s">
        <v>9635</v>
      </c>
      <c r="I18" s="2835" t="n">
        <v>1419.0</v>
      </c>
      <c r="J18" s="2835" t="s">
        <v>7020</v>
      </c>
      <c r="K18" s="2835" t="s">
        <v>9635</v>
      </c>
      <c r="L18" s="2835" t="n">
        <v>71.2</v>
      </c>
      <c r="M18" s="2835"/>
      <c r="N18" s="2835"/>
    </row>
    <row r="19" spans="1:14" x14ac:dyDescent="0.15" ht="13.5" customHeight="true" hidden="false">
      <c r="A19" s="2835" t="s">
        <v>9609</v>
      </c>
      <c r="B19" s="2835" t="s">
        <v>9613</v>
      </c>
      <c r="C19" s="2835" t="n">
        <v>0.0</v>
      </c>
      <c r="D19" s="2835" t="s">
        <v>6943</v>
      </c>
      <c r="E19" s="2835" t="s">
        <v>9625</v>
      </c>
      <c r="F19" s="2835" t="n">
        <v>4809.7</v>
      </c>
      <c r="G19" s="2835" t="s">
        <v>6978</v>
      </c>
      <c r="H19" s="2835" t="s">
        <v>9636</v>
      </c>
      <c r="I19" s="2835" t="n">
        <v>452.9</v>
      </c>
      <c r="J19" s="2835" t="s">
        <v>7020</v>
      </c>
      <c r="K19" s="2835" t="s">
        <v>9636</v>
      </c>
      <c r="L19" s="2835" t="n">
        <v>687.5</v>
      </c>
      <c r="M19" s="2835"/>
      <c r="N19" s="2835"/>
    </row>
    <row r="20" spans="1:14" x14ac:dyDescent="0.15" ht="13.5" customHeight="true" hidden="false">
      <c r="A20" s="2835" t="s">
        <v>9609</v>
      </c>
      <c r="B20" s="2835" t="s">
        <v>9614</v>
      </c>
      <c r="C20" s="2835" t="n">
        <v>0.0</v>
      </c>
      <c r="D20" s="2835" t="s">
        <v>6943</v>
      </c>
      <c r="E20" s="2835" t="s">
        <v>9626</v>
      </c>
      <c r="F20" s="2835" t="n">
        <v>69.4</v>
      </c>
      <c r="G20" s="2835" t="s">
        <v>6978</v>
      </c>
      <c r="H20" s="2835" t="s">
        <v>9637</v>
      </c>
      <c r="I20" s="2835" t="n">
        <v>881.5</v>
      </c>
      <c r="J20" s="2835" t="s">
        <v>7020</v>
      </c>
      <c r="K20" s="2835" t="s">
        <v>9637</v>
      </c>
      <c r="L20" s="2835" t="n">
        <v>1333.7</v>
      </c>
      <c r="M20" s="2835"/>
      <c r="N20" s="2835"/>
    </row>
    <row r="21" spans="1:14" x14ac:dyDescent="0.15" ht="13.5" customHeight="true" hidden="false">
      <c r="A21" s="2835" t="s">
        <v>9609</v>
      </c>
      <c r="B21" s="2835" t="s">
        <v>9615</v>
      </c>
      <c r="C21" s="2835" t="n">
        <v>0.0</v>
      </c>
      <c r="D21" s="2835" t="s">
        <v>6943</v>
      </c>
      <c r="E21" s="2835" t="s">
        <v>9627</v>
      </c>
      <c r="F21" s="2835" t="n">
        <v>69.9</v>
      </c>
      <c r="G21" s="2835" t="s">
        <v>7003</v>
      </c>
      <c r="H21" s="2835" t="s">
        <v>9618</v>
      </c>
      <c r="I21" s="2835" t="n">
        <v>0.0</v>
      </c>
      <c r="J21" s="2835" t="s">
        <v>7020</v>
      </c>
      <c r="K21" s="2835" t="s">
        <v>9638</v>
      </c>
      <c r="L21" s="2835" t="n">
        <v>1080.1</v>
      </c>
      <c r="M21" s="2835"/>
      <c r="N21" s="2835"/>
    </row>
    <row r="22" spans="1:14" x14ac:dyDescent="0.15" ht="13.5" customHeight="true" hidden="false">
      <c r="A22" s="2835" t="s">
        <v>9609</v>
      </c>
      <c r="B22" s="2835" t="s">
        <v>9616</v>
      </c>
      <c r="C22" s="2835" t="n">
        <v>0.0</v>
      </c>
      <c r="D22" s="2835" t="s">
        <v>6943</v>
      </c>
      <c r="E22" s="2835" t="s">
        <v>9628</v>
      </c>
      <c r="F22" s="2835" t="n">
        <v>3084.9</v>
      </c>
      <c r="G22" s="2835" t="s">
        <v>7003</v>
      </c>
      <c r="H22" s="2835" t="s">
        <v>9619</v>
      </c>
      <c r="I22" s="2835" t="n">
        <v>245.4</v>
      </c>
      <c r="J22" s="2835" t="s">
        <v>7020</v>
      </c>
      <c r="K22" s="2835" t="s">
        <v>9657</v>
      </c>
      <c r="L22" s="2835" t="n">
        <v>576.5</v>
      </c>
      <c r="M22" s="2835"/>
      <c r="N22" s="2835"/>
    </row>
    <row r="23" spans="1:14" x14ac:dyDescent="0.15" ht="13.5" customHeight="true" hidden="false">
      <c r="A23" s="2835" t="s">
        <v>9609</v>
      </c>
      <c r="B23" s="2835" t="s">
        <v>9617</v>
      </c>
      <c r="C23" s="2835" t="n">
        <v>0.0</v>
      </c>
      <c r="D23" s="2835" t="s">
        <v>6943</v>
      </c>
      <c r="E23" s="2835" t="s">
        <v>9629</v>
      </c>
      <c r="F23" s="2835" t="n">
        <v>3693.3</v>
      </c>
      <c r="G23" s="2835" t="s">
        <v>7003</v>
      </c>
      <c r="H23" s="2835" t="s">
        <v>9620</v>
      </c>
      <c r="I23" s="2835" t="n">
        <v>0.0</v>
      </c>
      <c r="J23" s="2835" t="s">
        <v>7020</v>
      </c>
      <c r="K23" s="2835" t="s">
        <v>9659</v>
      </c>
      <c r="L23" s="2835" t="n">
        <v>291.5</v>
      </c>
      <c r="M23" s="2835"/>
      <c r="N23" s="2835"/>
    </row>
    <row r="24" spans="1:14" x14ac:dyDescent="0.15" ht="13.5" customHeight="true" hidden="false">
      <c r="A24" s="2835" t="s">
        <v>6938</v>
      </c>
      <c r="B24" s="2835" t="s">
        <v>9618</v>
      </c>
      <c r="C24" s="2835" t="n">
        <v>395.8</v>
      </c>
      <c r="D24" s="2835" t="s">
        <v>6943</v>
      </c>
      <c r="E24" s="2835" t="s">
        <v>9633</v>
      </c>
      <c r="F24" s="2835" t="n">
        <v>2001.3</v>
      </c>
      <c r="G24" s="2835" t="s">
        <v>7003</v>
      </c>
      <c r="H24" s="2835" t="s">
        <v>9621</v>
      </c>
      <c r="I24" s="2835" t="n">
        <v>508.0</v>
      </c>
      <c r="J24" s="2835" t="s">
        <v>7020</v>
      </c>
      <c r="K24" s="2835" t="s">
        <v>9661</v>
      </c>
      <c r="L24" s="2835" t="n">
        <v>651.4</v>
      </c>
      <c r="M24" s="2835"/>
      <c r="N24" s="2835"/>
    </row>
    <row r="25" spans="1:14" x14ac:dyDescent="0.15" ht="13.5" customHeight="true" hidden="false">
      <c r="A25" s="2835" t="s">
        <v>6938</v>
      </c>
      <c r="B25" s="2835" t="s">
        <v>9619</v>
      </c>
      <c r="C25" s="2835" t="n">
        <v>5948.6</v>
      </c>
      <c r="D25" s="2835" t="s">
        <v>6943</v>
      </c>
      <c r="E25" s="2835" t="s">
        <v>9634</v>
      </c>
      <c r="F25" s="2835" t="n">
        <v>30.0</v>
      </c>
      <c r="G25" s="2835" t="s">
        <v>7003</v>
      </c>
      <c r="H25" s="2835" t="s">
        <v>9622</v>
      </c>
      <c r="I25" s="2835" t="n">
        <v>0.0</v>
      </c>
      <c r="J25" s="2835" t="s">
        <v>7020</v>
      </c>
      <c r="K25" s="2835" t="s">
        <v>9663</v>
      </c>
      <c r="L25" s="2835" t="n">
        <v>270.1</v>
      </c>
      <c r="M25" s="2835"/>
      <c r="N25" s="2835"/>
    </row>
    <row r="26" spans="1:14" x14ac:dyDescent="0.15" ht="13.5" customHeight="true" hidden="false">
      <c r="A26" s="2835" t="s">
        <v>6938</v>
      </c>
      <c r="B26" s="2835" t="s">
        <v>9620</v>
      </c>
      <c r="C26" s="2835" t="n">
        <v>5381.2</v>
      </c>
      <c r="D26" s="2835" t="s">
        <v>6943</v>
      </c>
      <c r="E26" s="2835" t="s">
        <v>9635</v>
      </c>
      <c r="F26" s="2835" t="n">
        <v>13.3</v>
      </c>
      <c r="G26" s="2835" t="s">
        <v>7003</v>
      </c>
      <c r="H26" s="2835" t="s">
        <v>9623</v>
      </c>
      <c r="I26" s="2835" t="n">
        <v>413.2</v>
      </c>
      <c r="J26" s="2835" t="s">
        <v>7020</v>
      </c>
      <c r="K26" s="2835" t="s">
        <v>9665</v>
      </c>
      <c r="L26" s="2835" t="n">
        <v>321.0</v>
      </c>
      <c r="M26" s="2835"/>
      <c r="N26" s="2835"/>
    </row>
    <row r="27" spans="1:14" x14ac:dyDescent="0.15" ht="13.5" customHeight="true" hidden="false">
      <c r="A27" s="2835" t="s">
        <v>6938</v>
      </c>
      <c r="B27" s="2835" t="s">
        <v>9621</v>
      </c>
      <c r="C27" s="2835" t="n">
        <v>5785.3</v>
      </c>
      <c r="D27" s="2835" t="s">
        <v>6943</v>
      </c>
      <c r="E27" s="2835" t="s">
        <v>9636</v>
      </c>
      <c r="F27" s="2835" t="n">
        <v>1879.3</v>
      </c>
      <c r="G27" s="2835" t="s">
        <v>7003</v>
      </c>
      <c r="H27" s="2835" t="s">
        <v>9624</v>
      </c>
      <c r="I27" s="2835" t="n">
        <v>0.0</v>
      </c>
      <c r="J27" s="2835" t="s">
        <v>7020</v>
      </c>
      <c r="K27" s="2835" t="s">
        <v>9667</v>
      </c>
      <c r="L27" s="2835" t="n">
        <v>423.1</v>
      </c>
      <c r="M27" s="2835"/>
      <c r="N27" s="2835"/>
    </row>
    <row r="28" spans="1:14" x14ac:dyDescent="0.15" ht="13.5" customHeight="true" hidden="false">
      <c r="A28" s="2835" t="s">
        <v>6938</v>
      </c>
      <c r="B28" s="2835" t="s">
        <v>9622</v>
      </c>
      <c r="C28" s="2835" t="n">
        <v>6563.7</v>
      </c>
      <c r="D28" s="2835" t="s">
        <v>6943</v>
      </c>
      <c r="E28" s="2835" t="s">
        <v>9637</v>
      </c>
      <c r="F28" s="2835" t="n">
        <v>382.1</v>
      </c>
      <c r="G28" s="2835" t="s">
        <v>7003</v>
      </c>
      <c r="H28" s="2835" t="s">
        <v>9625</v>
      </c>
      <c r="I28" s="2835" t="n">
        <v>724.5</v>
      </c>
      <c r="J28" s="2835" t="s">
        <v>7020</v>
      </c>
      <c r="K28" s="2835" t="s">
        <v>9669</v>
      </c>
      <c r="L28" s="2835" t="n">
        <v>314.0</v>
      </c>
      <c r="M28" s="2835"/>
      <c r="N28" s="2835"/>
    </row>
    <row r="29" spans="1:14" x14ac:dyDescent="0.15" ht="13.5" customHeight="true" hidden="false">
      <c r="A29" s="2835" t="s">
        <v>6938</v>
      </c>
      <c r="B29" s="2835" t="s">
        <v>9623</v>
      </c>
      <c r="C29" s="2835" t="n">
        <v>3563.8</v>
      </c>
      <c r="D29" s="2835" t="s">
        <v>6943</v>
      </c>
      <c r="E29" s="2835" t="s">
        <v>9638</v>
      </c>
      <c r="F29" s="2835" t="n">
        <v>1403.3</v>
      </c>
      <c r="G29" s="2835" t="s">
        <v>7003</v>
      </c>
      <c r="H29" s="2835" t="s">
        <v>9626</v>
      </c>
      <c r="I29" s="2835" t="n">
        <v>0.0</v>
      </c>
      <c r="J29" s="2835" t="s">
        <v>7020</v>
      </c>
      <c r="K29" s="2835" t="s">
        <v>9671</v>
      </c>
      <c r="L29" s="2835" t="n">
        <v>523.3</v>
      </c>
      <c r="M29" s="2835"/>
      <c r="N29" s="2835"/>
    </row>
    <row r="30" spans="1:14" x14ac:dyDescent="0.15" ht="13.5" customHeight="true" hidden="false">
      <c r="A30" s="2835" t="s">
        <v>6938</v>
      </c>
      <c r="B30" s="2835" t="s">
        <v>9624</v>
      </c>
      <c r="C30" s="2835" t="n">
        <v>1840.0</v>
      </c>
      <c r="D30" s="2835" t="s">
        <v>6944</v>
      </c>
      <c r="E30" s="2835" t="s">
        <v>9604</v>
      </c>
      <c r="F30" s="2835" t="n">
        <v>74.0</v>
      </c>
      <c r="G30" s="2835" t="s">
        <v>7003</v>
      </c>
      <c r="H30" s="2835" t="s">
        <v>9627</v>
      </c>
      <c r="I30" s="2835" t="n">
        <v>1299.8</v>
      </c>
      <c r="J30" s="2835" t="s">
        <v>7020</v>
      </c>
      <c r="K30" s="2835" t="s">
        <v>9673</v>
      </c>
      <c r="L30" s="2835" t="n">
        <v>534.9</v>
      </c>
      <c r="M30" s="2835"/>
      <c r="N30" s="2835"/>
    </row>
    <row r="31" spans="1:14" x14ac:dyDescent="0.15" ht="13.5" customHeight="true" hidden="false">
      <c r="A31" s="2835" t="s">
        <v>6938</v>
      </c>
      <c r="B31" s="2835" t="s">
        <v>9625</v>
      </c>
      <c r="C31" s="2835" t="n">
        <v>0.0</v>
      </c>
      <c r="D31" s="2835" t="s">
        <v>6944</v>
      </c>
      <c r="E31" s="2835" t="s">
        <v>9605</v>
      </c>
      <c r="F31" s="2835" t="n">
        <v>72.8</v>
      </c>
      <c r="G31" s="2835" t="s">
        <v>7003</v>
      </c>
      <c r="H31" s="2835" t="s">
        <v>9628</v>
      </c>
      <c r="I31" s="2835" t="n">
        <v>0.0</v>
      </c>
      <c r="J31" s="2835" t="s">
        <v>7020</v>
      </c>
      <c r="K31" s="2835" t="s">
        <v>9674</v>
      </c>
      <c r="L31" s="2835" t="n">
        <v>851.5</v>
      </c>
      <c r="M31" s="2835"/>
      <c r="N31" s="2835"/>
    </row>
    <row r="32" spans="1:14" x14ac:dyDescent="0.15" ht="13.5" customHeight="true" hidden="false">
      <c r="A32" s="2835" t="s">
        <v>6938</v>
      </c>
      <c r="B32" s="2835" t="s">
        <v>9626</v>
      </c>
      <c r="C32" s="2835" t="n">
        <v>0.0</v>
      </c>
      <c r="D32" s="2835" t="s">
        <v>6944</v>
      </c>
      <c r="E32" s="2835" t="s">
        <v>9606</v>
      </c>
      <c r="F32" s="2835" t="n">
        <v>69.6</v>
      </c>
      <c r="G32" s="2835" t="s">
        <v>7003</v>
      </c>
      <c r="H32" s="2835" t="s">
        <v>9629</v>
      </c>
      <c r="I32" s="2835" t="n">
        <v>1196.9</v>
      </c>
      <c r="J32" s="2835" t="s">
        <v>7020</v>
      </c>
      <c r="K32" s="2835" t="s">
        <v>9675</v>
      </c>
      <c r="L32" s="2835" t="n">
        <v>44.9</v>
      </c>
      <c r="M32" s="2835"/>
      <c r="N32" s="2835"/>
    </row>
    <row r="33" spans="1:14" x14ac:dyDescent="0.15" ht="13.5" customHeight="true" hidden="false">
      <c r="A33" s="2835" t="s">
        <v>6933</v>
      </c>
      <c r="B33" s="2835" t="s">
        <v>9618</v>
      </c>
      <c r="C33" s="2835" t="n">
        <v>298.6</v>
      </c>
      <c r="D33" s="2835" t="s">
        <v>6944</v>
      </c>
      <c r="E33" s="2835" t="s">
        <v>9607</v>
      </c>
      <c r="F33" s="2835" t="n">
        <v>0.0</v>
      </c>
      <c r="G33" s="2835" t="s">
        <v>7003</v>
      </c>
      <c r="H33" s="2835" t="s">
        <v>9633</v>
      </c>
      <c r="I33" s="2835" t="n">
        <v>294.5</v>
      </c>
      <c r="J33" s="2835" t="s">
        <v>7020</v>
      </c>
      <c r="K33" s="2835" t="s">
        <v>9676</v>
      </c>
      <c r="L33" s="2835" t="n">
        <v>41.8</v>
      </c>
      <c r="M33" s="2835"/>
      <c r="N33" s="2835"/>
    </row>
    <row r="34" spans="1:14" x14ac:dyDescent="0.15" ht="13.5" customHeight="true" hidden="false">
      <c r="A34" s="2835" t="s">
        <v>6933</v>
      </c>
      <c r="B34" s="2835" t="s">
        <v>9619</v>
      </c>
      <c r="C34" s="2835" t="n">
        <v>5543.7</v>
      </c>
      <c r="D34" s="2835" t="s">
        <v>6945</v>
      </c>
      <c r="E34" s="2835" t="s">
        <v>9618</v>
      </c>
      <c r="F34" s="2835" t="n">
        <v>0.0</v>
      </c>
      <c r="G34" s="2835" t="s">
        <v>7003</v>
      </c>
      <c r="H34" s="2835" t="s">
        <v>9634</v>
      </c>
      <c r="I34" s="2835" t="n">
        <v>854.3</v>
      </c>
      <c r="J34" s="2835" t="s">
        <v>7020</v>
      </c>
      <c r="K34" s="2835" t="s">
        <v>9677</v>
      </c>
      <c r="L34" s="2835" t="n">
        <v>687.5</v>
      </c>
      <c r="M34" s="2835"/>
      <c r="N34" s="2835"/>
    </row>
    <row r="35" spans="1:14" x14ac:dyDescent="0.15" ht="13.5" customHeight="true" hidden="false">
      <c r="A35" s="2835" t="s">
        <v>6933</v>
      </c>
      <c r="B35" s="2835" t="s">
        <v>9620</v>
      </c>
      <c r="C35" s="2835" t="n">
        <v>5092.8</v>
      </c>
      <c r="D35" s="2835" t="s">
        <v>6945</v>
      </c>
      <c r="E35" s="2835" t="s">
        <v>9639</v>
      </c>
      <c r="F35" s="2835" t="n">
        <v>33.7</v>
      </c>
      <c r="G35" s="2835" t="s">
        <v>7003</v>
      </c>
      <c r="H35" s="2835" t="s">
        <v>9635</v>
      </c>
      <c r="I35" s="2835" t="n">
        <v>0.0</v>
      </c>
      <c r="J35" s="2835" t="s">
        <v>7020</v>
      </c>
      <c r="K35" s="2835" t="s">
        <v>9678</v>
      </c>
      <c r="L35" s="2835" t="n">
        <v>407.0</v>
      </c>
      <c r="M35" s="2835"/>
      <c r="N35" s="2835"/>
    </row>
    <row r="36" spans="1:14" x14ac:dyDescent="0.15" ht="13.5" customHeight="true" hidden="false">
      <c r="A36" s="2835" t="s">
        <v>6933</v>
      </c>
      <c r="B36" s="2835" t="s">
        <v>9621</v>
      </c>
      <c r="C36" s="2835" t="n">
        <v>5553.9</v>
      </c>
      <c r="D36" s="2835" t="s">
        <v>6945</v>
      </c>
      <c r="E36" s="2835" t="s">
        <v>9619</v>
      </c>
      <c r="F36" s="2835" t="n">
        <v>0.0</v>
      </c>
      <c r="G36" s="2835" t="s">
        <v>7003</v>
      </c>
      <c r="H36" s="2835" t="s">
        <v>9636</v>
      </c>
      <c r="I36" s="2835" t="n">
        <v>766.0</v>
      </c>
      <c r="J36" s="2835" t="s">
        <v>7020</v>
      </c>
      <c r="K36" s="2835" t="s">
        <v>9679</v>
      </c>
      <c r="L36" s="2835" t="n">
        <v>1333.7</v>
      </c>
      <c r="M36" s="2835"/>
      <c r="N36" s="2835"/>
    </row>
    <row r="37" spans="1:14" x14ac:dyDescent="0.15" ht="13.5" customHeight="true" hidden="false">
      <c r="A37" s="2835" t="s">
        <v>6933</v>
      </c>
      <c r="B37" s="2835" t="s">
        <v>9622</v>
      </c>
      <c r="C37" s="2835" t="n">
        <v>6501.8</v>
      </c>
      <c r="D37" s="2835" t="s">
        <v>6945</v>
      </c>
      <c r="E37" s="2835" t="s">
        <v>9640</v>
      </c>
      <c r="F37" s="2835" t="n">
        <v>0.0</v>
      </c>
      <c r="G37" s="2835" t="s">
        <v>7003</v>
      </c>
      <c r="H37" s="2835" t="s">
        <v>9637</v>
      </c>
      <c r="I37" s="2835" t="n">
        <v>248.4</v>
      </c>
      <c r="J37" s="2835" t="s">
        <v>7020</v>
      </c>
      <c r="K37" s="2835" t="s">
        <v>9680</v>
      </c>
      <c r="L37" s="2835" t="n">
        <v>599.3</v>
      </c>
      <c r="M37" s="2835"/>
      <c r="N37" s="2835"/>
    </row>
    <row r="38" spans="1:14" x14ac:dyDescent="0.15" ht="13.5" customHeight="true" hidden="false">
      <c r="A38" s="2835" t="s">
        <v>6933</v>
      </c>
      <c r="B38" s="2835" t="s">
        <v>9623</v>
      </c>
      <c r="C38" s="2835" t="n">
        <v>1888.8</v>
      </c>
      <c r="D38" s="2835" t="s">
        <v>6945</v>
      </c>
      <c r="E38" s="2835" t="s">
        <v>9620</v>
      </c>
      <c r="F38" s="2835" t="n">
        <v>0.0</v>
      </c>
      <c r="G38" s="2835" t="s">
        <v>7003</v>
      </c>
      <c r="H38" s="2835" t="s">
        <v>9638</v>
      </c>
      <c r="I38" s="2835" t="n">
        <v>94.2</v>
      </c>
      <c r="J38" s="2835" t="s">
        <v>7020</v>
      </c>
      <c r="K38" s="2835" t="s">
        <v>9681</v>
      </c>
      <c r="L38" s="2835" t="n">
        <v>1080.1</v>
      </c>
      <c r="M38" s="2835"/>
      <c r="N38" s="2835"/>
    </row>
    <row r="39" spans="1:14" x14ac:dyDescent="0.15" ht="13.5" customHeight="true" hidden="false">
      <c r="A39" s="2835" t="s">
        <v>6933</v>
      </c>
      <c r="B39" s="2835" t="s">
        <v>9624</v>
      </c>
      <c r="C39" s="2835" t="n">
        <v>4452.2</v>
      </c>
      <c r="D39" s="2835" t="s">
        <v>6945</v>
      </c>
      <c r="E39" s="2835" t="s">
        <v>9641</v>
      </c>
      <c r="F39" s="2835" t="n">
        <v>0.0</v>
      </c>
      <c r="G39" s="2835" t="s">
        <v>7003</v>
      </c>
      <c r="H39" s="2835" t="s">
        <v>9657</v>
      </c>
      <c r="I39" s="2835" t="n">
        <v>0.0</v>
      </c>
      <c r="J39" s="2835" t="s">
        <v>7020</v>
      </c>
      <c r="K39" s="2835" t="s">
        <v>9682</v>
      </c>
      <c r="L39" s="2835" t="n">
        <v>273.4</v>
      </c>
      <c r="M39" s="2835"/>
      <c r="N39" s="2835"/>
    </row>
    <row r="40" spans="1:14" x14ac:dyDescent="0.15" ht="13.5" customHeight="true" hidden="false">
      <c r="A40" s="2835" t="s">
        <v>6933</v>
      </c>
      <c r="B40" s="2835" t="s">
        <v>9625</v>
      </c>
      <c r="C40" s="2835" t="n">
        <v>0.0</v>
      </c>
      <c r="D40" s="2835" t="s">
        <v>6945</v>
      </c>
      <c r="E40" s="2835" t="s">
        <v>9621</v>
      </c>
      <c r="F40" s="2835" t="n">
        <v>0.0</v>
      </c>
      <c r="G40" s="2835" t="s">
        <v>7003</v>
      </c>
      <c r="H40" s="2835" t="s">
        <v>9659</v>
      </c>
      <c r="I40" s="2835" t="n">
        <v>62.7</v>
      </c>
      <c r="J40" s="2835" t="s">
        <v>7020</v>
      </c>
      <c r="K40" s="2835" t="s">
        <v>9683</v>
      </c>
      <c r="L40" s="2835" t="n">
        <v>291.5</v>
      </c>
      <c r="M40" s="2835"/>
      <c r="N40" s="2835"/>
    </row>
    <row r="41" spans="1:14" x14ac:dyDescent="0.15" ht="13.5" customHeight="true" hidden="false">
      <c r="A41" s="2835" t="s">
        <v>6933</v>
      </c>
      <c r="B41" s="2835" t="s">
        <v>9626</v>
      </c>
      <c r="C41" s="2835" t="n">
        <v>0.0</v>
      </c>
      <c r="D41" s="2835" t="s">
        <v>6945</v>
      </c>
      <c r="E41" s="2835" t="s">
        <v>9642</v>
      </c>
      <c r="F41" s="2835" t="n">
        <v>224.1</v>
      </c>
      <c r="G41" s="2835" t="s">
        <v>7003</v>
      </c>
      <c r="H41" s="2835" t="s">
        <v>9661</v>
      </c>
      <c r="I41" s="2835" t="n">
        <v>119.8</v>
      </c>
      <c r="J41" s="2835" t="s">
        <v>7020</v>
      </c>
      <c r="K41" s="2835" t="s">
        <v>9684</v>
      </c>
      <c r="L41" s="2835" t="n">
        <v>395.8</v>
      </c>
      <c r="M41" s="2835"/>
      <c r="N41" s="2835"/>
    </row>
    <row r="42" spans="1:14" x14ac:dyDescent="0.15" ht="13.5" customHeight="true" hidden="false">
      <c r="A42" s="2835" t="s">
        <v>6939</v>
      </c>
      <c r="B42" s="2835" t="s">
        <v>9618</v>
      </c>
      <c r="C42" s="2835" t="n">
        <v>0.0</v>
      </c>
      <c r="D42" s="2835" t="s">
        <v>6945</v>
      </c>
      <c r="E42" s="2835" t="s">
        <v>9622</v>
      </c>
      <c r="F42" s="2835" t="n">
        <v>0.0</v>
      </c>
      <c r="G42" s="2835" t="s">
        <v>7003</v>
      </c>
      <c r="H42" s="2835" t="s">
        <v>9663</v>
      </c>
      <c r="I42" s="2835" t="n">
        <v>637.9</v>
      </c>
      <c r="J42" s="2835" t="s">
        <v>7020</v>
      </c>
      <c r="K42" s="2835" t="s">
        <v>9685</v>
      </c>
      <c r="L42" s="2835" t="n">
        <v>423.1</v>
      </c>
      <c r="M42" s="2835"/>
      <c r="N42" s="2835"/>
    </row>
    <row r="43" spans="1:14" x14ac:dyDescent="0.15" ht="13.5" customHeight="true" hidden="false">
      <c r="A43" s="2835" t="s">
        <v>6939</v>
      </c>
      <c r="B43" s="2835" t="s">
        <v>9619</v>
      </c>
      <c r="C43" s="2835" t="n">
        <v>5192.5</v>
      </c>
      <c r="D43" s="2835" t="s">
        <v>6945</v>
      </c>
      <c r="E43" s="2835" t="s">
        <v>9643</v>
      </c>
      <c r="F43" s="2835" t="n">
        <v>0.0</v>
      </c>
      <c r="G43" s="2835" t="s">
        <v>7003</v>
      </c>
      <c r="H43" s="2835" t="s">
        <v>9665</v>
      </c>
      <c r="I43" s="2835" t="n">
        <v>0.0</v>
      </c>
      <c r="J43" s="2835" t="s">
        <v>7020</v>
      </c>
      <c r="K43" s="2835" t="s">
        <v>9686</v>
      </c>
      <c r="L43" s="2835" t="n">
        <v>523.3</v>
      </c>
      <c r="M43" s="2835"/>
      <c r="N43" s="2835"/>
    </row>
    <row r="44" spans="1:14" x14ac:dyDescent="0.15" ht="13.5" customHeight="true" hidden="false">
      <c r="A44" s="2835" t="s">
        <v>6939</v>
      </c>
      <c r="B44" s="2835" t="s">
        <v>9620</v>
      </c>
      <c r="C44" s="2835" t="n">
        <v>4468.6</v>
      </c>
      <c r="D44" s="2835" t="s">
        <v>6945</v>
      </c>
      <c r="E44" s="2835" t="s">
        <v>9623</v>
      </c>
      <c r="F44" s="2835" t="n">
        <v>2243.5</v>
      </c>
      <c r="G44" s="2835" t="s">
        <v>7003</v>
      </c>
      <c r="H44" s="2835" t="s">
        <v>9667</v>
      </c>
      <c r="I44" s="2835" t="n">
        <v>0.0</v>
      </c>
      <c r="J44" s="2835" t="s">
        <v>7020</v>
      </c>
      <c r="K44" s="2835" t="s">
        <v>9687</v>
      </c>
      <c r="L44" s="2835" t="n">
        <v>851.5</v>
      </c>
      <c r="M44" s="2835"/>
      <c r="N44" s="2835"/>
    </row>
    <row r="45" spans="1:14" x14ac:dyDescent="0.15" ht="13.5" customHeight="true" hidden="false">
      <c r="A45" s="2835" t="s">
        <v>6939</v>
      </c>
      <c r="B45" s="2835" t="s">
        <v>9621</v>
      </c>
      <c r="C45" s="2835" t="n">
        <v>0.0</v>
      </c>
      <c r="D45" s="2835" t="s">
        <v>6945</v>
      </c>
      <c r="E45" s="2835" t="s">
        <v>9644</v>
      </c>
      <c r="F45" s="2835" t="n">
        <v>0.0</v>
      </c>
      <c r="G45" s="2835" t="s">
        <v>7003</v>
      </c>
      <c r="H45" s="2835" t="s">
        <v>9669</v>
      </c>
      <c r="I45" s="2835" t="n">
        <v>294.5</v>
      </c>
      <c r="J45" s="2835" t="s">
        <v>7020</v>
      </c>
      <c r="K45" s="2835" t="s">
        <v>9688</v>
      </c>
      <c r="L45" s="2835" t="n">
        <v>529.6</v>
      </c>
      <c r="M45" s="2835"/>
      <c r="N45" s="2835"/>
    </row>
    <row r="46" spans="1:14" x14ac:dyDescent="0.15" ht="13.5" customHeight="true" hidden="false">
      <c r="A46" s="2835" t="s">
        <v>6939</v>
      </c>
      <c r="B46" s="2835" t="s">
        <v>9622</v>
      </c>
      <c r="C46" s="2835" t="n">
        <v>1002.5</v>
      </c>
      <c r="D46" s="2835" t="s">
        <v>6945</v>
      </c>
      <c r="E46" s="2835" t="s">
        <v>9624</v>
      </c>
      <c r="F46" s="2835" t="n">
        <v>1739.2</v>
      </c>
      <c r="G46" s="2835" t="s">
        <v>7003</v>
      </c>
      <c r="H46" s="2835" t="s">
        <v>9671</v>
      </c>
      <c r="I46" s="2835" t="n">
        <v>245.4</v>
      </c>
      <c r="J46" s="2835" t="s">
        <v>7020</v>
      </c>
      <c r="K46" s="2835" t="s">
        <v>9689</v>
      </c>
      <c r="L46" s="2835" t="n">
        <v>294.1</v>
      </c>
      <c r="M46" s="2835"/>
      <c r="N46" s="2835"/>
    </row>
    <row r="47" spans="1:14" x14ac:dyDescent="0.15" ht="13.5" customHeight="true" hidden="false">
      <c r="A47" s="2835" t="s">
        <v>6939</v>
      </c>
      <c r="B47" s="2835" t="s">
        <v>9623</v>
      </c>
      <c r="C47" s="2835" t="n">
        <v>1573.4</v>
      </c>
      <c r="D47" s="2835" t="s">
        <v>6945</v>
      </c>
      <c r="E47" s="2835" t="s">
        <v>9645</v>
      </c>
      <c r="F47" s="2835" t="n">
        <v>0.0</v>
      </c>
      <c r="G47" s="2835" t="s">
        <v>7003</v>
      </c>
      <c r="H47" s="2835" t="s">
        <v>9673</v>
      </c>
      <c r="I47" s="2835" t="n">
        <v>475.4</v>
      </c>
      <c r="J47" s="2835" t="s">
        <v>7020</v>
      </c>
      <c r="K47" s="2835" t="s">
        <v>9690</v>
      </c>
      <c r="L47" s="2835" t="n">
        <v>918.2</v>
      </c>
      <c r="M47" s="2835"/>
      <c r="N47" s="2835"/>
    </row>
    <row r="48" spans="1:14" x14ac:dyDescent="0.15" ht="13.5" customHeight="true" hidden="false">
      <c r="A48" s="2835" t="s">
        <v>6939</v>
      </c>
      <c r="B48" s="2835" t="s">
        <v>9624</v>
      </c>
      <c r="C48" s="2835" t="n">
        <v>4199.0</v>
      </c>
      <c r="D48" s="2835" t="s">
        <v>6945</v>
      </c>
      <c r="E48" s="2835" t="s">
        <v>9625</v>
      </c>
      <c r="F48" s="2835" t="n">
        <v>2087.6</v>
      </c>
      <c r="G48" s="2835" t="s">
        <v>7003</v>
      </c>
      <c r="H48" s="2835" t="s">
        <v>9674</v>
      </c>
      <c r="I48" s="2835" t="n">
        <v>413.2</v>
      </c>
      <c r="J48" s="2835" t="s">
        <v>7020</v>
      </c>
      <c r="K48" s="2835" t="s">
        <v>9691</v>
      </c>
      <c r="L48" s="2835" t="n">
        <v>0.0</v>
      </c>
      <c r="M48" s="2835"/>
      <c r="N48" s="2835"/>
    </row>
    <row r="49" spans="1:14" x14ac:dyDescent="0.15" ht="13.5" customHeight="true" hidden="false">
      <c r="A49" s="2835" t="s">
        <v>6939</v>
      </c>
      <c r="B49" s="2835" t="s">
        <v>9625</v>
      </c>
      <c r="C49" s="2835" t="n">
        <v>2687.5</v>
      </c>
      <c r="D49" s="2835" t="s">
        <v>6945</v>
      </c>
      <c r="E49" s="2835" t="s">
        <v>9646</v>
      </c>
      <c r="F49" s="2835" t="n">
        <v>0.0</v>
      </c>
      <c r="G49" s="2835" t="s">
        <v>7003</v>
      </c>
      <c r="H49" s="2835" t="s">
        <v>9675</v>
      </c>
      <c r="I49" s="2835" t="n">
        <v>724.5</v>
      </c>
      <c r="J49" s="2835" t="s">
        <v>7020</v>
      </c>
      <c r="K49" s="2835" t="s">
        <v>9692</v>
      </c>
      <c r="L49" s="2835" t="n">
        <v>395.8</v>
      </c>
      <c r="M49" s="2835"/>
      <c r="N49" s="2835"/>
    </row>
    <row r="50" spans="1:14" x14ac:dyDescent="0.15" ht="13.5" customHeight="true" hidden="false">
      <c r="A50" s="2835" t="s">
        <v>6939</v>
      </c>
      <c r="B50" s="2835" t="s">
        <v>9626</v>
      </c>
      <c r="C50" s="2835" t="n">
        <v>0.0</v>
      </c>
      <c r="D50" s="2835" t="s">
        <v>6945</v>
      </c>
      <c r="E50" s="2835" t="s">
        <v>9626</v>
      </c>
      <c r="F50" s="2835" t="n">
        <v>0.0</v>
      </c>
      <c r="G50" s="2835" t="s">
        <v>7003</v>
      </c>
      <c r="H50" s="2835" t="s">
        <v>9676</v>
      </c>
      <c r="I50" s="2835" t="n">
        <v>1299.8</v>
      </c>
      <c r="J50" s="2835" t="s">
        <v>7020</v>
      </c>
      <c r="K50" s="2835" t="s">
        <v>9693</v>
      </c>
      <c r="L50" s="2835" t="n">
        <v>470.4</v>
      </c>
      <c r="M50" s="2835"/>
      <c r="N50" s="2835"/>
    </row>
    <row r="51" spans="1:14" x14ac:dyDescent="0.15" ht="13.5" customHeight="true" hidden="false">
      <c r="A51" s="2835" t="s">
        <v>6934</v>
      </c>
      <c r="B51" s="2835" t="s">
        <v>9618</v>
      </c>
      <c r="C51" s="2835" t="n">
        <v>0.0</v>
      </c>
      <c r="D51" s="2835" t="s">
        <v>6945</v>
      </c>
      <c r="E51" s="2835" t="s">
        <v>9647</v>
      </c>
      <c r="F51" s="2835" t="n">
        <v>0.0</v>
      </c>
      <c r="G51" s="2835" t="s">
        <v>7003</v>
      </c>
      <c r="H51" s="2835" t="s">
        <v>9677</v>
      </c>
      <c r="I51" s="2835" t="n">
        <v>1196.9</v>
      </c>
      <c r="J51" s="2835" t="s">
        <v>7020</v>
      </c>
      <c r="K51" s="2835" t="s">
        <v>9694</v>
      </c>
      <c r="L51" s="2835" t="n">
        <v>529.6</v>
      </c>
      <c r="M51" s="2835"/>
      <c r="N51" s="2835"/>
    </row>
    <row r="52" spans="1:14" x14ac:dyDescent="0.15" ht="13.5" customHeight="true" hidden="false">
      <c r="A52" s="2835" t="s">
        <v>6934</v>
      </c>
      <c r="B52" s="2835" t="s">
        <v>9619</v>
      </c>
      <c r="C52" s="2835" t="n">
        <v>6294.7</v>
      </c>
      <c r="D52" s="2835" t="s">
        <v>6945</v>
      </c>
      <c r="E52" s="2835" t="s">
        <v>9627</v>
      </c>
      <c r="F52" s="2835" t="n">
        <v>0.0</v>
      </c>
      <c r="G52" s="2835" t="s">
        <v>7003</v>
      </c>
      <c r="H52" s="2835" t="s">
        <v>9678</v>
      </c>
      <c r="I52" s="2835" t="n">
        <v>854.3</v>
      </c>
      <c r="J52" s="2835" t="s">
        <v>7020</v>
      </c>
      <c r="K52" s="2835" t="s">
        <v>9695</v>
      </c>
      <c r="L52" s="2835" t="n">
        <v>918.2</v>
      </c>
      <c r="M52" s="2835"/>
      <c r="N52" s="2835"/>
    </row>
    <row r="53" spans="1:14" x14ac:dyDescent="0.15" ht="13.5" customHeight="true" hidden="false">
      <c r="A53" s="2835" t="s">
        <v>6934</v>
      </c>
      <c r="B53" s="2835" t="s">
        <v>9620</v>
      </c>
      <c r="C53" s="2835" t="n">
        <v>4504.4</v>
      </c>
      <c r="D53" s="2835" t="s">
        <v>6945</v>
      </c>
      <c r="E53" s="2835" t="s">
        <v>9648</v>
      </c>
      <c r="F53" s="2835" t="n">
        <v>0.0</v>
      </c>
      <c r="G53" s="2835" t="s">
        <v>7003</v>
      </c>
      <c r="H53" s="2835" t="s">
        <v>9679</v>
      </c>
      <c r="I53" s="2835" t="n">
        <v>766.0</v>
      </c>
      <c r="J53" s="2835" t="s">
        <v>7020</v>
      </c>
      <c r="K53" s="2835" t="s">
        <v>9696</v>
      </c>
      <c r="L53" s="2835" t="n">
        <v>0.0</v>
      </c>
      <c r="M53" s="2835"/>
      <c r="N53" s="2835"/>
    </row>
    <row r="54" spans="1:14" x14ac:dyDescent="0.15" ht="13.5" customHeight="true" hidden="false">
      <c r="A54" s="2835" t="s">
        <v>6934</v>
      </c>
      <c r="B54" s="2835" t="s">
        <v>9621</v>
      </c>
      <c r="C54" s="2835" t="n">
        <v>0.0</v>
      </c>
      <c r="D54" s="2835" t="s">
        <v>6945</v>
      </c>
      <c r="E54" s="2835" t="s">
        <v>9628</v>
      </c>
      <c r="F54" s="2835" t="n">
        <v>127.3</v>
      </c>
      <c r="G54" s="2835" t="s">
        <v>7003</v>
      </c>
      <c r="H54" s="2835" t="s">
        <v>9680</v>
      </c>
      <c r="I54" s="2835" t="n">
        <v>0.0</v>
      </c>
      <c r="J54" s="2835" t="s">
        <v>7020</v>
      </c>
      <c r="K54" s="2835" t="s">
        <v>9697</v>
      </c>
      <c r="L54" s="2835" t="n">
        <v>182.3</v>
      </c>
      <c r="M54" s="2835"/>
      <c r="N54" s="2835"/>
    </row>
    <row r="55" spans="1:14" x14ac:dyDescent="0.15" ht="13.5" customHeight="true" hidden="false">
      <c r="A55" s="2835" t="s">
        <v>6934</v>
      </c>
      <c r="B55" s="2835" t="s">
        <v>9622</v>
      </c>
      <c r="C55" s="2835" t="n">
        <v>1501.4</v>
      </c>
      <c r="D55" s="2835" t="s">
        <v>6945</v>
      </c>
      <c r="E55" s="2835" t="s">
        <v>9649</v>
      </c>
      <c r="F55" s="2835" t="n">
        <v>0.0</v>
      </c>
      <c r="G55" s="2835" t="s">
        <v>7003</v>
      </c>
      <c r="H55" s="2835" t="s">
        <v>9681</v>
      </c>
      <c r="I55" s="2835" t="n">
        <v>94.2</v>
      </c>
      <c r="J55" s="2835" t="s">
        <v>7020</v>
      </c>
      <c r="K55" s="2835" t="s">
        <v>9698</v>
      </c>
      <c r="L55" s="2835" t="n">
        <v>0.0</v>
      </c>
      <c r="M55" s="2835"/>
      <c r="N55" s="2835"/>
    </row>
    <row r="56" spans="1:14" x14ac:dyDescent="0.15" ht="13.5" customHeight="true" hidden="false">
      <c r="A56" s="2835" t="s">
        <v>6934</v>
      </c>
      <c r="B56" s="2835" t="s">
        <v>9623</v>
      </c>
      <c r="C56" s="2835" t="n">
        <v>2293.4</v>
      </c>
      <c r="D56" s="2835" t="s">
        <v>6945</v>
      </c>
      <c r="E56" s="2835" t="s">
        <v>9629</v>
      </c>
      <c r="F56" s="2835" t="n">
        <v>192.4</v>
      </c>
      <c r="G56" s="2835" t="s">
        <v>7003</v>
      </c>
      <c r="H56" s="2835" t="s">
        <v>9682</v>
      </c>
      <c r="I56" s="2835" t="n">
        <v>150.3</v>
      </c>
      <c r="J56" s="2835" t="s">
        <v>7020</v>
      </c>
      <c r="K56" s="2835" t="s">
        <v>9699</v>
      </c>
      <c r="L56" s="2835" t="n">
        <v>0.0</v>
      </c>
      <c r="M56" s="2835"/>
      <c r="N56" s="2835"/>
    </row>
    <row r="57" spans="1:14" x14ac:dyDescent="0.15" ht="13.5" customHeight="true" hidden="false">
      <c r="A57" s="2835" t="s">
        <v>6934</v>
      </c>
      <c r="B57" s="2835" t="s">
        <v>9624</v>
      </c>
      <c r="C57" s="2835" t="n">
        <v>3190.4</v>
      </c>
      <c r="D57" s="2835" t="s">
        <v>6945</v>
      </c>
      <c r="E57" s="2835" t="s">
        <v>9650</v>
      </c>
      <c r="F57" s="2835" t="n">
        <v>0.0</v>
      </c>
      <c r="G57" s="2835" t="s">
        <v>7003</v>
      </c>
      <c r="H57" s="2835" t="s">
        <v>9683</v>
      </c>
      <c r="I57" s="2835" t="n">
        <v>0.0</v>
      </c>
      <c r="J57" s="2835" t="s">
        <v>7020</v>
      </c>
      <c r="K57" s="2835" t="s">
        <v>9700</v>
      </c>
      <c r="L57" s="2835" t="n">
        <v>43.2</v>
      </c>
      <c r="M57" s="2835"/>
      <c r="N57" s="2835"/>
    </row>
    <row r="58" spans="1:14" x14ac:dyDescent="0.15" ht="13.5" customHeight="true" hidden="false">
      <c r="A58" s="2835" t="s">
        <v>6934</v>
      </c>
      <c r="B58" s="2835" t="s">
        <v>9625</v>
      </c>
      <c r="C58" s="2835" t="n">
        <v>3295.9</v>
      </c>
      <c r="D58" s="2835" t="s">
        <v>6945</v>
      </c>
      <c r="E58" s="2835" t="s">
        <v>9633</v>
      </c>
      <c r="F58" s="2835" t="n">
        <v>234.0</v>
      </c>
      <c r="G58" s="2835" t="s">
        <v>7003</v>
      </c>
      <c r="H58" s="2835" t="s">
        <v>9684</v>
      </c>
      <c r="I58" s="2835" t="n">
        <v>0.0</v>
      </c>
      <c r="J58" s="2835" t="s">
        <v>7019</v>
      </c>
      <c r="K58" s="2835" t="s">
        <v>9618</v>
      </c>
      <c r="L58" s="2835" t="n">
        <v>0.0</v>
      </c>
      <c r="M58" s="2835"/>
      <c r="N58" s="2835"/>
    </row>
    <row r="59" spans="1:14" x14ac:dyDescent="0.15" ht="13.5" customHeight="true" hidden="false">
      <c r="A59" s="2835" t="s">
        <v>6934</v>
      </c>
      <c r="B59" s="2835" t="s">
        <v>9626</v>
      </c>
      <c r="C59" s="2835" t="n">
        <v>0.0</v>
      </c>
      <c r="D59" s="2835" t="s">
        <v>6945</v>
      </c>
      <c r="E59" s="2835" t="s">
        <v>9651</v>
      </c>
      <c r="F59" s="2835" t="n">
        <v>0.0</v>
      </c>
      <c r="G59" s="2835" t="s">
        <v>7003</v>
      </c>
      <c r="H59" s="2835" t="s">
        <v>9685</v>
      </c>
      <c r="I59" s="2835" t="n">
        <v>62.7</v>
      </c>
      <c r="J59" s="2835" t="s">
        <v>7019</v>
      </c>
      <c r="K59" s="2835" t="s">
        <v>9619</v>
      </c>
      <c r="L59" s="2835" t="n">
        <v>807.2</v>
      </c>
      <c r="M59" s="2835"/>
      <c r="N59" s="2835"/>
    </row>
    <row r="60" spans="1:14" x14ac:dyDescent="0.15" ht="13.5" customHeight="true" hidden="false">
      <c r="A60" s="2835" t="s">
        <v>6940</v>
      </c>
      <c r="B60" s="2835" t="s">
        <v>9618</v>
      </c>
      <c r="C60" s="2835" t="n">
        <v>1398.2</v>
      </c>
      <c r="D60" s="2835" t="s">
        <v>6945</v>
      </c>
      <c r="E60" s="2835" t="s">
        <v>9634</v>
      </c>
      <c r="F60" s="2835" t="n">
        <v>0.0</v>
      </c>
      <c r="G60" s="2835" t="s">
        <v>7003</v>
      </c>
      <c r="H60" s="2835" t="s">
        <v>9686</v>
      </c>
      <c r="I60" s="2835" t="n">
        <v>0.0</v>
      </c>
      <c r="J60" s="2835" t="s">
        <v>7019</v>
      </c>
      <c r="K60" s="2835" t="s">
        <v>9620</v>
      </c>
      <c r="L60" s="2835" t="n">
        <v>807.2</v>
      </c>
      <c r="M60" s="2835"/>
      <c r="N60" s="2835"/>
    </row>
    <row r="61" spans="1:14" x14ac:dyDescent="0.15" ht="13.5" customHeight="true" hidden="false">
      <c r="A61" s="2835" t="s">
        <v>6940</v>
      </c>
      <c r="B61" s="2835" t="s">
        <v>9619</v>
      </c>
      <c r="C61" s="2835" t="n">
        <v>0.0</v>
      </c>
      <c r="D61" s="2835" t="s">
        <v>6945</v>
      </c>
      <c r="E61" s="2835" t="s">
        <v>9652</v>
      </c>
      <c r="F61" s="2835" t="n">
        <v>0.0</v>
      </c>
      <c r="G61" s="2835" t="s">
        <v>7003</v>
      </c>
      <c r="H61" s="2835" t="s">
        <v>9687</v>
      </c>
      <c r="I61" s="2835" t="n">
        <v>119.8</v>
      </c>
      <c r="J61" s="2835" t="s">
        <v>7019</v>
      </c>
      <c r="K61" s="2835" t="s">
        <v>9621</v>
      </c>
      <c r="L61" s="2835" t="n">
        <v>909.8</v>
      </c>
      <c r="M61" s="2835"/>
      <c r="N61" s="2835"/>
    </row>
    <row r="62" spans="1:14" x14ac:dyDescent="0.15" ht="13.5" customHeight="true" hidden="false">
      <c r="A62" s="2835" t="s">
        <v>6940</v>
      </c>
      <c r="B62" s="2835" t="s">
        <v>9620</v>
      </c>
      <c r="C62" s="2835" t="n">
        <v>1191.7</v>
      </c>
      <c r="D62" s="2835" t="s">
        <v>6945</v>
      </c>
      <c r="E62" s="2835" t="s">
        <v>9635</v>
      </c>
      <c r="F62" s="2835" t="n">
        <v>0.0</v>
      </c>
      <c r="G62" s="2835" t="s">
        <v>7003</v>
      </c>
      <c r="H62" s="2835" t="s">
        <v>9688</v>
      </c>
      <c r="I62" s="2835" t="n">
        <v>602.8</v>
      </c>
      <c r="J62" s="2835" t="s">
        <v>7019</v>
      </c>
      <c r="K62" s="2835" t="s">
        <v>9622</v>
      </c>
      <c r="L62" s="2835" t="n">
        <v>929.8</v>
      </c>
      <c r="M62" s="2835"/>
      <c r="N62" s="2835"/>
    </row>
    <row r="63" spans="1:14" x14ac:dyDescent="0.15" ht="13.5" customHeight="true" hidden="false">
      <c r="A63" s="2835" t="s">
        <v>6940</v>
      </c>
      <c r="B63" s="2835" t="s">
        <v>9621</v>
      </c>
      <c r="C63" s="2835" t="n">
        <v>1071.1</v>
      </c>
      <c r="D63" s="2835" t="s">
        <v>6945</v>
      </c>
      <c r="E63" s="2835" t="s">
        <v>9653</v>
      </c>
      <c r="F63" s="2835" t="n">
        <v>0.0</v>
      </c>
      <c r="G63" s="2835" t="s">
        <v>7003</v>
      </c>
      <c r="H63" s="2835" t="s">
        <v>9689</v>
      </c>
      <c r="I63" s="2835" t="n">
        <v>637.9</v>
      </c>
      <c r="J63" s="2835" t="s">
        <v>7019</v>
      </c>
      <c r="K63" s="2835" t="s">
        <v>9623</v>
      </c>
      <c r="L63" s="2835" t="n">
        <v>806.8</v>
      </c>
      <c r="M63" s="2835"/>
      <c r="N63" s="2835"/>
    </row>
    <row r="64" spans="1:14" x14ac:dyDescent="0.15" ht="13.5" customHeight="true" hidden="false">
      <c r="A64" s="2835" t="s">
        <v>6940</v>
      </c>
      <c r="B64" s="2835" t="s">
        <v>9622</v>
      </c>
      <c r="C64" s="2835" t="n">
        <v>941.5</v>
      </c>
      <c r="D64" s="2835" t="s">
        <v>6945</v>
      </c>
      <c r="E64" s="2835" t="s">
        <v>9636</v>
      </c>
      <c r="F64" s="2835" t="n">
        <v>0.0</v>
      </c>
      <c r="G64" s="2835" t="s">
        <v>7003</v>
      </c>
      <c r="H64" s="2835" t="s">
        <v>9690</v>
      </c>
      <c r="I64" s="2835" t="n">
        <v>0.0</v>
      </c>
      <c r="J64" s="2835" t="s">
        <v>7019</v>
      </c>
      <c r="K64" s="2835" t="s">
        <v>9624</v>
      </c>
      <c r="L64" s="2835" t="n">
        <v>909.8</v>
      </c>
      <c r="M64" s="2835"/>
      <c r="N64" s="2835"/>
    </row>
    <row r="65" spans="1:14" x14ac:dyDescent="0.15" ht="13.5" customHeight="true" hidden="false">
      <c r="A65" s="2835" t="s">
        <v>6940</v>
      </c>
      <c r="B65" s="2835" t="s">
        <v>9623</v>
      </c>
      <c r="C65" s="2835" t="n">
        <v>2206.1</v>
      </c>
      <c r="D65" s="2835" t="s">
        <v>6945</v>
      </c>
      <c r="E65" s="2835" t="s">
        <v>9654</v>
      </c>
      <c r="F65" s="2835" t="n">
        <v>0.0</v>
      </c>
      <c r="G65" s="2835" t="s">
        <v>7003</v>
      </c>
      <c r="H65" s="2835" t="s">
        <v>9691</v>
      </c>
      <c r="I65" s="2835" t="n">
        <v>0.0</v>
      </c>
      <c r="J65" s="2835" t="s">
        <v>7019</v>
      </c>
      <c r="K65" s="2835" t="s">
        <v>9625</v>
      </c>
      <c r="L65" s="2835" t="n">
        <v>98.1</v>
      </c>
      <c r="M65" s="2835"/>
      <c r="N65" s="2835"/>
    </row>
    <row r="66" spans="1:14" x14ac:dyDescent="0.15" ht="13.5" customHeight="true" hidden="false">
      <c r="A66" s="2835" t="s">
        <v>6940</v>
      </c>
      <c r="B66" s="2835" t="s">
        <v>9624</v>
      </c>
      <c r="C66" s="2835" t="n">
        <v>969.5</v>
      </c>
      <c r="D66" s="2835" t="s">
        <v>6945</v>
      </c>
      <c r="E66" s="2835" t="s">
        <v>9637</v>
      </c>
      <c r="F66" s="2835" t="n">
        <v>1784.3</v>
      </c>
      <c r="G66" s="2835" t="s">
        <v>7003</v>
      </c>
      <c r="H66" s="2835" t="s">
        <v>9692</v>
      </c>
      <c r="I66" s="2835" t="n">
        <v>602.8</v>
      </c>
      <c r="J66" s="2835" t="s">
        <v>7019</v>
      </c>
      <c r="K66" s="2835" t="s">
        <v>9626</v>
      </c>
      <c r="L66" s="2835" t="n">
        <v>929.8</v>
      </c>
      <c r="M66" s="2835"/>
      <c r="N66" s="2835"/>
    </row>
    <row r="67" spans="1:14" x14ac:dyDescent="0.15" ht="13.5" customHeight="true" hidden="false">
      <c r="A67" s="2835" t="s">
        <v>6940</v>
      </c>
      <c r="B67" s="2835" t="s">
        <v>9625</v>
      </c>
      <c r="C67" s="2835" t="n">
        <v>1704.6</v>
      </c>
      <c r="D67" s="2835" t="s">
        <v>6945</v>
      </c>
      <c r="E67" s="2835" t="s">
        <v>9655</v>
      </c>
      <c r="F67" s="2835" t="n">
        <v>0.0</v>
      </c>
      <c r="G67" s="2835" t="s">
        <v>7003</v>
      </c>
      <c r="H67" s="2835" t="s">
        <v>9693</v>
      </c>
      <c r="I67" s="2835" t="n">
        <v>0.0</v>
      </c>
      <c r="J67" s="2835" t="s">
        <v>7019</v>
      </c>
      <c r="K67" s="2835" t="s">
        <v>9627</v>
      </c>
      <c r="L67" s="2835" t="n">
        <v>1413.1</v>
      </c>
      <c r="M67" s="2835"/>
      <c r="N67" s="2835"/>
    </row>
    <row r="68" spans="1:14" x14ac:dyDescent="0.15" ht="13.5" customHeight="true" hidden="false">
      <c r="A68" s="2835" t="s">
        <v>6940</v>
      </c>
      <c r="B68" s="2835" t="s">
        <v>9626</v>
      </c>
      <c r="C68" s="2835" t="n">
        <v>0.0</v>
      </c>
      <c r="D68" s="2835" t="s">
        <v>6945</v>
      </c>
      <c r="E68" s="2835" t="s">
        <v>9638</v>
      </c>
      <c r="F68" s="2835" t="n">
        <v>1580.4</v>
      </c>
      <c r="G68" s="2835" t="s">
        <v>7003</v>
      </c>
      <c r="H68" s="2835" t="s">
        <v>9694</v>
      </c>
      <c r="I68" s="2835" t="n">
        <v>77.4</v>
      </c>
      <c r="J68" s="2835" t="s">
        <v>7019</v>
      </c>
      <c r="K68" s="2835" t="s">
        <v>9628</v>
      </c>
      <c r="L68" s="2835" t="n">
        <v>806.8</v>
      </c>
      <c r="M68" s="2835"/>
      <c r="N68" s="2835"/>
    </row>
    <row r="69" spans="1:14" x14ac:dyDescent="0.15" ht="13.5" customHeight="true" hidden="false">
      <c r="A69" s="2835" t="s">
        <v>6940</v>
      </c>
      <c r="B69" s="2835" t="s">
        <v>9627</v>
      </c>
      <c r="C69" s="2835" t="n">
        <v>5555.8</v>
      </c>
      <c r="D69" s="2835" t="s">
        <v>6945</v>
      </c>
      <c r="E69" s="2835" t="s">
        <v>9656</v>
      </c>
      <c r="F69" s="2835" t="n">
        <v>0.0</v>
      </c>
      <c r="G69" s="2835" t="s">
        <v>7003</v>
      </c>
      <c r="H69" s="2835" t="s">
        <v>9695</v>
      </c>
      <c r="I69" s="2835" t="n">
        <v>958.0</v>
      </c>
      <c r="J69" s="2835" t="s">
        <v>7019</v>
      </c>
      <c r="K69" s="2835" t="s">
        <v>9629</v>
      </c>
      <c r="L69" s="2835" t="n">
        <v>434.4</v>
      </c>
      <c r="M69" s="2835"/>
      <c r="N69" s="2835"/>
    </row>
    <row r="70" spans="1:14" x14ac:dyDescent="0.15" ht="13.5" customHeight="true" hidden="false">
      <c r="A70" s="2835" t="s">
        <v>6940</v>
      </c>
      <c r="B70" s="2835" t="s">
        <v>9628</v>
      </c>
      <c r="C70" s="2835" t="n">
        <v>0.0</v>
      </c>
      <c r="D70" s="2835" t="s">
        <v>6945</v>
      </c>
      <c r="E70" s="2835" t="s">
        <v>9657</v>
      </c>
      <c r="F70" s="2835" t="n">
        <v>1865.3</v>
      </c>
      <c r="G70" s="2835" t="s">
        <v>7003</v>
      </c>
      <c r="H70" s="2835" t="s">
        <v>9696</v>
      </c>
      <c r="I70" s="2835" t="n">
        <v>15.5</v>
      </c>
      <c r="J70" s="2835" t="s">
        <v>7019</v>
      </c>
      <c r="K70" s="2835" t="s">
        <v>9633</v>
      </c>
      <c r="L70" s="2835" t="n">
        <v>814.0</v>
      </c>
      <c r="M70" s="2835"/>
      <c r="N70" s="2835"/>
    </row>
    <row r="71" spans="1:14" x14ac:dyDescent="0.15" ht="13.5" customHeight="true" hidden="false">
      <c r="A71" s="2835" t="s">
        <v>6940</v>
      </c>
      <c r="B71" s="2835" t="s">
        <v>9629</v>
      </c>
      <c r="C71" s="2835" t="n">
        <v>0.0</v>
      </c>
      <c r="D71" s="2835" t="s">
        <v>6945</v>
      </c>
      <c r="E71" s="2835" t="s">
        <v>9658</v>
      </c>
      <c r="F71" s="2835" t="n">
        <v>0.0</v>
      </c>
      <c r="G71" s="2835" t="s">
        <v>7004</v>
      </c>
      <c r="H71" s="2835" t="s">
        <v>9618</v>
      </c>
      <c r="I71" s="2835" t="n">
        <v>0.0</v>
      </c>
      <c r="J71" s="2835" t="s">
        <v>7019</v>
      </c>
      <c r="K71" s="2835" t="s">
        <v>9634</v>
      </c>
      <c r="L71" s="2835" t="n">
        <v>594.7</v>
      </c>
      <c r="M71" s="2835"/>
      <c r="N71" s="2835"/>
    </row>
    <row r="72" spans="1:14" x14ac:dyDescent="0.15" ht="13.5" customHeight="true" hidden="false">
      <c r="A72" s="2835" t="s">
        <v>6935</v>
      </c>
      <c r="B72" s="2835" t="s">
        <v>9618</v>
      </c>
      <c r="C72" s="2835" t="n">
        <v>1656.1</v>
      </c>
      <c r="D72" s="2835" t="s">
        <v>6945</v>
      </c>
      <c r="E72" s="2835" t="s">
        <v>9659</v>
      </c>
      <c r="F72" s="2835" t="n">
        <v>1520.8</v>
      </c>
      <c r="G72" s="2835" t="s">
        <v>7004</v>
      </c>
      <c r="H72" s="2835" t="s">
        <v>9619</v>
      </c>
      <c r="I72" s="2835" t="n">
        <v>174.0</v>
      </c>
      <c r="J72" s="2835" t="s">
        <v>7019</v>
      </c>
      <c r="K72" s="2835" t="s">
        <v>9635</v>
      </c>
      <c r="L72" s="2835" t="n">
        <v>285.9</v>
      </c>
      <c r="M72" s="2835"/>
      <c r="N72" s="2835"/>
    </row>
    <row r="73" spans="1:14" x14ac:dyDescent="0.15" ht="13.5" customHeight="true" hidden="false">
      <c r="A73" s="2835" t="s">
        <v>6935</v>
      </c>
      <c r="B73" s="2835" t="s">
        <v>9619</v>
      </c>
      <c r="C73" s="2835" t="n">
        <v>0.0</v>
      </c>
      <c r="D73" s="2835" t="s">
        <v>6945</v>
      </c>
      <c r="E73" s="2835" t="s">
        <v>9660</v>
      </c>
      <c r="F73" s="2835" t="n">
        <v>0.0</v>
      </c>
      <c r="G73" s="2835" t="s">
        <v>7004</v>
      </c>
      <c r="H73" s="2835" t="s">
        <v>9620</v>
      </c>
      <c r="I73" s="2835" t="n">
        <v>0.0</v>
      </c>
      <c r="J73" s="2835" t="s">
        <v>7019</v>
      </c>
      <c r="K73" s="2835" t="s">
        <v>9636</v>
      </c>
      <c r="L73" s="2835" t="n">
        <v>527.1</v>
      </c>
      <c r="M73" s="2835"/>
      <c r="N73" s="2835"/>
    </row>
    <row r="74" spans="1:14" x14ac:dyDescent="0.15" ht="13.5" customHeight="true" hidden="false">
      <c r="A74" s="2835" t="s">
        <v>6935</v>
      </c>
      <c r="B74" s="2835" t="s">
        <v>9620</v>
      </c>
      <c r="C74" s="2835" t="n">
        <v>1397.5</v>
      </c>
      <c r="D74" s="2835" t="s">
        <v>6945</v>
      </c>
      <c r="E74" s="2835" t="s">
        <v>9661</v>
      </c>
      <c r="F74" s="2835" t="n">
        <v>1840.1</v>
      </c>
      <c r="G74" s="2835" t="s">
        <v>7004</v>
      </c>
      <c r="H74" s="2835" t="s">
        <v>9621</v>
      </c>
      <c r="I74" s="2835" t="n">
        <v>369.0</v>
      </c>
      <c r="J74" s="2835" t="s">
        <v>7019</v>
      </c>
      <c r="K74" s="2835" t="s">
        <v>9637</v>
      </c>
      <c r="L74" s="2835" t="n">
        <v>1286.7</v>
      </c>
      <c r="M74" s="2835"/>
      <c r="N74" s="2835"/>
    </row>
    <row r="75" spans="1:14" x14ac:dyDescent="0.15" ht="13.5" customHeight="true" hidden="false">
      <c r="A75" s="2835" t="s">
        <v>6935</v>
      </c>
      <c r="B75" s="2835" t="s">
        <v>9621</v>
      </c>
      <c r="C75" s="2835" t="n">
        <v>1057.9</v>
      </c>
      <c r="D75" s="2835" t="s">
        <v>6945</v>
      </c>
      <c r="E75" s="2835" t="s">
        <v>9662</v>
      </c>
      <c r="F75" s="2835" t="n">
        <v>0.0</v>
      </c>
      <c r="G75" s="2835" t="s">
        <v>7004</v>
      </c>
      <c r="H75" s="2835" t="s">
        <v>9622</v>
      </c>
      <c r="I75" s="2835" t="n">
        <v>0.0</v>
      </c>
      <c r="J75" s="2835" t="s">
        <v>7019</v>
      </c>
      <c r="K75" s="2835" t="s">
        <v>9638</v>
      </c>
      <c r="L75" s="2835" t="n">
        <v>1045.0</v>
      </c>
      <c r="M75" s="2835"/>
      <c r="N75" s="2835"/>
    </row>
    <row r="76" spans="1:14" x14ac:dyDescent="0.15" ht="13.5" customHeight="true" hidden="false">
      <c r="A76" s="2835" t="s">
        <v>6935</v>
      </c>
      <c r="B76" s="2835" t="s">
        <v>9622</v>
      </c>
      <c r="C76" s="2835" t="n">
        <v>1004.6</v>
      </c>
      <c r="D76" s="2835" t="s">
        <v>6945</v>
      </c>
      <c r="E76" s="2835" t="s">
        <v>9663</v>
      </c>
      <c r="F76" s="2835" t="n">
        <v>0.0</v>
      </c>
      <c r="G76" s="2835" t="s">
        <v>7004</v>
      </c>
      <c r="H76" s="2835" t="s">
        <v>9623</v>
      </c>
      <c r="I76" s="2835" t="n">
        <v>769.7</v>
      </c>
      <c r="J76" s="2835" t="s">
        <v>7019</v>
      </c>
      <c r="K76" s="2835" t="s">
        <v>9657</v>
      </c>
      <c r="L76" s="2835" t="n">
        <v>1413.1</v>
      </c>
      <c r="M76" s="2835"/>
      <c r="N76" s="2835"/>
    </row>
    <row r="77" spans="1:14" x14ac:dyDescent="0.15" ht="13.5" customHeight="true" hidden="false">
      <c r="A77" s="2835" t="s">
        <v>6935</v>
      </c>
      <c r="B77" s="2835" t="s">
        <v>9623</v>
      </c>
      <c r="C77" s="2835" t="n">
        <v>713.7</v>
      </c>
      <c r="D77" s="2835" t="s">
        <v>6945</v>
      </c>
      <c r="E77" s="2835" t="s">
        <v>9664</v>
      </c>
      <c r="F77" s="2835" t="n">
        <v>0.0</v>
      </c>
      <c r="G77" s="2835" t="s">
        <v>7004</v>
      </c>
      <c r="H77" s="2835" t="s">
        <v>9624</v>
      </c>
      <c r="I77" s="2835" t="n">
        <v>0.0</v>
      </c>
      <c r="J77" s="2835" t="s">
        <v>7019</v>
      </c>
      <c r="K77" s="2835" t="s">
        <v>9659</v>
      </c>
      <c r="L77" s="2835" t="n">
        <v>313.1</v>
      </c>
      <c r="M77" s="2835"/>
      <c r="N77" s="2835"/>
    </row>
    <row r="78" spans="1:14" x14ac:dyDescent="0.15" ht="13.5" customHeight="true" hidden="false">
      <c r="A78" s="2835" t="s">
        <v>6935</v>
      </c>
      <c r="B78" s="2835" t="s">
        <v>9624</v>
      </c>
      <c r="C78" s="2835" t="n">
        <v>1321.8</v>
      </c>
      <c r="D78" s="2835" t="s">
        <v>6945</v>
      </c>
      <c r="E78" s="2835" t="s">
        <v>9665</v>
      </c>
      <c r="F78" s="2835" t="n">
        <v>0.0</v>
      </c>
      <c r="G78" s="2835" t="s">
        <v>7004</v>
      </c>
      <c r="H78" s="2835" t="s">
        <v>9625</v>
      </c>
      <c r="I78" s="2835" t="n">
        <v>439.1</v>
      </c>
      <c r="J78" s="2835" t="s">
        <v>7019</v>
      </c>
      <c r="K78" s="2835" t="s">
        <v>9661</v>
      </c>
      <c r="L78" s="2835" t="n">
        <v>670.0</v>
      </c>
      <c r="M78" s="2835"/>
      <c r="N78" s="2835"/>
    </row>
    <row r="79" spans="1:14" x14ac:dyDescent="0.15" ht="13.5" customHeight="true" hidden="false">
      <c r="A79" s="2835" t="s">
        <v>6935</v>
      </c>
      <c r="B79" s="2835" t="s">
        <v>9625</v>
      </c>
      <c r="C79" s="2835" t="n">
        <v>2112.5</v>
      </c>
      <c r="D79" s="2835" t="s">
        <v>6945</v>
      </c>
      <c r="E79" s="2835" t="s">
        <v>9666</v>
      </c>
      <c r="F79" s="2835" t="n">
        <v>0.0</v>
      </c>
      <c r="G79" s="2835" t="s">
        <v>7004</v>
      </c>
      <c r="H79" s="2835" t="s">
        <v>9626</v>
      </c>
      <c r="I79" s="2835" t="n">
        <v>0.0</v>
      </c>
      <c r="J79" s="2835" t="s">
        <v>7019</v>
      </c>
      <c r="K79" s="2835" t="s">
        <v>9663</v>
      </c>
      <c r="L79" s="2835" t="n">
        <v>307.2</v>
      </c>
      <c r="M79" s="2835"/>
      <c r="N79" s="2835"/>
    </row>
    <row r="80" spans="1:14" x14ac:dyDescent="0.15" ht="13.5" customHeight="true" hidden="false">
      <c r="A80" s="2835" t="s">
        <v>6935</v>
      </c>
      <c r="B80" s="2835" t="s">
        <v>9626</v>
      </c>
      <c r="C80" s="2835" t="n">
        <v>0.0</v>
      </c>
      <c r="D80" s="2835" t="s">
        <v>6945</v>
      </c>
      <c r="E80" s="2835" t="s">
        <v>9667</v>
      </c>
      <c r="F80" s="2835" t="n">
        <v>0.0</v>
      </c>
      <c r="G80" s="2835" t="s">
        <v>7004</v>
      </c>
      <c r="H80" s="2835" t="s">
        <v>9627</v>
      </c>
      <c r="I80" s="2835" t="n">
        <v>1262.6</v>
      </c>
      <c r="J80" s="2835" t="s">
        <v>7019</v>
      </c>
      <c r="K80" s="2835" t="s">
        <v>9665</v>
      </c>
      <c r="L80" s="2835" t="n">
        <v>434.4</v>
      </c>
      <c r="M80" s="2835"/>
      <c r="N80" s="2835"/>
    </row>
    <row r="81" spans="1:14" x14ac:dyDescent="0.15" ht="13.5" customHeight="true" hidden="false">
      <c r="A81" s="2835" t="s">
        <v>6935</v>
      </c>
      <c r="B81" s="2835" t="s">
        <v>9627</v>
      </c>
      <c r="C81" s="2835" t="n">
        <v>6301.1</v>
      </c>
      <c r="D81" s="2835" t="s">
        <v>6945</v>
      </c>
      <c r="E81" s="2835" t="s">
        <v>9668</v>
      </c>
      <c r="F81" s="2835" t="n">
        <v>77.2</v>
      </c>
      <c r="G81" s="2835" t="s">
        <v>7004</v>
      </c>
      <c r="H81" s="2835" t="s">
        <v>9628</v>
      </c>
      <c r="I81" s="2835" t="n">
        <v>0.0</v>
      </c>
      <c r="J81" s="2835" t="s">
        <v>7019</v>
      </c>
      <c r="K81" s="2835" t="s">
        <v>9667</v>
      </c>
      <c r="L81" s="2835" t="n">
        <v>339.2</v>
      </c>
      <c r="M81" s="2835"/>
      <c r="N81" s="2835"/>
    </row>
    <row r="82" spans="1:14" x14ac:dyDescent="0.15" ht="13.5" customHeight="true" hidden="false">
      <c r="A82" s="2835" t="s">
        <v>6935</v>
      </c>
      <c r="B82" s="2835" t="s">
        <v>9628</v>
      </c>
      <c r="C82" s="2835" t="n">
        <v>0.0</v>
      </c>
      <c r="D82" s="2835" t="s">
        <v>6945</v>
      </c>
      <c r="E82" s="2835" t="s">
        <v>9669</v>
      </c>
      <c r="F82" s="2835" t="n">
        <v>0.0</v>
      </c>
      <c r="G82" s="2835" t="s">
        <v>7004</v>
      </c>
      <c r="H82" s="2835" t="s">
        <v>9629</v>
      </c>
      <c r="I82" s="2835" t="n">
        <v>1540.6</v>
      </c>
      <c r="J82" s="2835" t="s">
        <v>7019</v>
      </c>
      <c r="K82" s="2835" t="s">
        <v>9669</v>
      </c>
      <c r="L82" s="2835" t="n">
        <v>346.1</v>
      </c>
      <c r="M82" s="2835"/>
      <c r="N82" s="2835"/>
    </row>
    <row r="83" spans="1:14" x14ac:dyDescent="0.15" ht="13.5" customHeight="true" hidden="false">
      <c r="A83" s="2835" t="s">
        <v>6935</v>
      </c>
      <c r="B83" s="2835" t="s">
        <v>9629</v>
      </c>
      <c r="C83" s="2835" t="n">
        <v>0.0</v>
      </c>
      <c r="D83" s="2835" t="s">
        <v>6945</v>
      </c>
      <c r="E83" s="2835" t="s">
        <v>9670</v>
      </c>
      <c r="F83" s="2835" t="n">
        <v>277.0</v>
      </c>
      <c r="G83" s="2835" t="s">
        <v>7004</v>
      </c>
      <c r="H83" s="2835" t="s">
        <v>9633</v>
      </c>
      <c r="I83" s="2835" t="n">
        <v>345.8</v>
      </c>
      <c r="J83" s="2835" t="s">
        <v>7019</v>
      </c>
      <c r="K83" s="2835" t="s">
        <v>9671</v>
      </c>
      <c r="L83" s="2835" t="n">
        <v>560.3</v>
      </c>
      <c r="M83" s="2835"/>
      <c r="N83" s="2835"/>
    </row>
    <row r="84" spans="1:14" x14ac:dyDescent="0.15" ht="13.5" customHeight="true" hidden="false">
      <c r="A84" s="2835" t="s">
        <v>6941</v>
      </c>
      <c r="B84" s="2835" t="s">
        <v>9618</v>
      </c>
      <c r="C84" s="2835" t="n">
        <v>3135.8</v>
      </c>
      <c r="D84" s="2835" t="s">
        <v>6945</v>
      </c>
      <c r="E84" s="2835" t="s">
        <v>9671</v>
      </c>
      <c r="F84" s="2835" t="n">
        <v>0.0</v>
      </c>
      <c r="G84" s="2835" t="s">
        <v>7004</v>
      </c>
      <c r="H84" s="2835" t="s">
        <v>9634</v>
      </c>
      <c r="I84" s="2835" t="n">
        <v>1149.7</v>
      </c>
      <c r="J84" s="2835" t="s">
        <v>7019</v>
      </c>
      <c r="K84" s="2835" t="s">
        <v>9673</v>
      </c>
      <c r="L84" s="2835" t="n">
        <v>594.7</v>
      </c>
      <c r="M84" s="2835"/>
      <c r="N84" s="2835"/>
    </row>
    <row r="85" spans="1:14" x14ac:dyDescent="0.15" ht="13.5" customHeight="true" hidden="false">
      <c r="A85" s="2835" t="s">
        <v>6941</v>
      </c>
      <c r="B85" s="2835" t="s">
        <v>9619</v>
      </c>
      <c r="C85" s="2835" t="n">
        <v>5331.0</v>
      </c>
      <c r="D85" s="2835" t="s">
        <v>6945</v>
      </c>
      <c r="E85" s="2835" t="s">
        <v>9672</v>
      </c>
      <c r="F85" s="2835" t="n">
        <v>0.0</v>
      </c>
      <c r="G85" s="2835" t="s">
        <v>7004</v>
      </c>
      <c r="H85" s="2835" t="s">
        <v>9635</v>
      </c>
      <c r="I85" s="2835" t="n">
        <v>0.0</v>
      </c>
      <c r="J85" s="2835" t="s">
        <v>7019</v>
      </c>
      <c r="K85" s="2835" t="s">
        <v>9674</v>
      </c>
      <c r="L85" s="2835" t="n">
        <v>893.8</v>
      </c>
      <c r="M85" s="2835"/>
      <c r="N85" s="2835"/>
    </row>
    <row r="86" spans="1:14" x14ac:dyDescent="0.15" ht="13.5" customHeight="true" hidden="false">
      <c r="A86" s="2835" t="s">
        <v>6941</v>
      </c>
      <c r="B86" s="2835" t="s">
        <v>9620</v>
      </c>
      <c r="C86" s="2835" t="n">
        <v>804.0</v>
      </c>
      <c r="D86" s="2835" t="s">
        <v>6946</v>
      </c>
      <c r="E86" s="2835" t="s">
        <v>9639</v>
      </c>
      <c r="F86" s="2835" t="n">
        <v>33.6</v>
      </c>
      <c r="G86" s="2835" t="s">
        <v>7004</v>
      </c>
      <c r="H86" s="2835" t="s">
        <v>9636</v>
      </c>
      <c r="I86" s="2835" t="n">
        <v>769.1</v>
      </c>
      <c r="J86" s="2835" t="s">
        <v>7019</v>
      </c>
      <c r="K86" s="2835" t="s">
        <v>9675</v>
      </c>
      <c r="L86" s="2835" t="n">
        <v>285.9</v>
      </c>
      <c r="M86" s="2835"/>
      <c r="N86" s="2835"/>
    </row>
    <row r="87" spans="1:14" x14ac:dyDescent="0.15" ht="13.5" customHeight="true" hidden="false">
      <c r="A87" s="2835" t="s">
        <v>6941</v>
      </c>
      <c r="B87" s="2835" t="s">
        <v>9621</v>
      </c>
      <c r="C87" s="2835" t="n">
        <v>1570.4</v>
      </c>
      <c r="D87" s="2835" t="s">
        <v>6946</v>
      </c>
      <c r="E87" s="2835" t="s">
        <v>9618</v>
      </c>
      <c r="F87" s="2835" t="n">
        <v>0.0</v>
      </c>
      <c r="G87" s="2835" t="s">
        <v>7004</v>
      </c>
      <c r="H87" s="2835" t="s">
        <v>9637</v>
      </c>
      <c r="I87" s="2835" t="n">
        <v>283.2</v>
      </c>
      <c r="J87" s="2835" t="s">
        <v>7019</v>
      </c>
      <c r="K87" s="2835" t="s">
        <v>9676</v>
      </c>
      <c r="L87" s="2835" t="n">
        <v>56.9</v>
      </c>
      <c r="M87" s="2835"/>
      <c r="N87" s="2835"/>
    </row>
    <row r="88" spans="1:14" x14ac:dyDescent="0.15" ht="13.5" customHeight="true" hidden="false">
      <c r="A88" s="2835" t="s">
        <v>6941</v>
      </c>
      <c r="B88" s="2835" t="s">
        <v>9622</v>
      </c>
      <c r="C88" s="2835" t="n">
        <v>893.2</v>
      </c>
      <c r="D88" s="2835" t="s">
        <v>6946</v>
      </c>
      <c r="E88" s="2835" t="s">
        <v>9640</v>
      </c>
      <c r="F88" s="2835" t="n">
        <v>0.0</v>
      </c>
      <c r="G88" s="2835" t="s">
        <v>7004</v>
      </c>
      <c r="H88" s="2835" t="s">
        <v>9638</v>
      </c>
      <c r="I88" s="2835" t="n">
        <v>87.7</v>
      </c>
      <c r="J88" s="2835" t="s">
        <v>7019</v>
      </c>
      <c r="K88" s="2835" t="s">
        <v>9677</v>
      </c>
      <c r="L88" s="2835" t="n">
        <v>527.1</v>
      </c>
      <c r="M88" s="2835"/>
      <c r="N88" s="2835"/>
    </row>
    <row r="89" spans="1:14" x14ac:dyDescent="0.15" ht="13.5" customHeight="true" hidden="false">
      <c r="A89" s="2835" t="s">
        <v>6941</v>
      </c>
      <c r="B89" s="2835" t="s">
        <v>9623</v>
      </c>
      <c r="C89" s="2835" t="n">
        <v>2257.7</v>
      </c>
      <c r="D89" s="2835" t="s">
        <v>6946</v>
      </c>
      <c r="E89" s="2835" t="s">
        <v>9619</v>
      </c>
      <c r="F89" s="2835" t="n">
        <v>0.0</v>
      </c>
      <c r="G89" s="2835" t="s">
        <v>7004</v>
      </c>
      <c r="H89" s="2835" t="s">
        <v>9657</v>
      </c>
      <c r="I89" s="2835" t="n">
        <v>0.0</v>
      </c>
      <c r="J89" s="2835" t="s">
        <v>7019</v>
      </c>
      <c r="K89" s="2835" t="s">
        <v>9678</v>
      </c>
      <c r="L89" s="2835" t="n">
        <v>537.3</v>
      </c>
      <c r="M89" s="2835"/>
      <c r="N89" s="2835"/>
    </row>
    <row r="90" spans="1:14" x14ac:dyDescent="0.15" ht="13.5" customHeight="true" hidden="false">
      <c r="A90" s="2835" t="s">
        <v>6941</v>
      </c>
      <c r="B90" s="2835" t="s">
        <v>9624</v>
      </c>
      <c r="C90" s="2835" t="n">
        <v>1919.7</v>
      </c>
      <c r="D90" s="2835" t="s">
        <v>6946</v>
      </c>
      <c r="E90" s="2835" t="s">
        <v>9641</v>
      </c>
      <c r="F90" s="2835" t="n">
        <v>0.0</v>
      </c>
      <c r="G90" s="2835" t="s">
        <v>7004</v>
      </c>
      <c r="H90" s="2835" t="s">
        <v>9659</v>
      </c>
      <c r="I90" s="2835" t="n">
        <v>1.8</v>
      </c>
      <c r="J90" s="2835" t="s">
        <v>7019</v>
      </c>
      <c r="K90" s="2835" t="s">
        <v>9679</v>
      </c>
      <c r="L90" s="2835" t="n">
        <v>1295.8</v>
      </c>
      <c r="M90" s="2835"/>
      <c r="N90" s="2835"/>
    </row>
    <row r="91" spans="1:14" x14ac:dyDescent="0.15" ht="13.5" customHeight="true" hidden="false">
      <c r="A91" s="2835" t="s">
        <v>6941</v>
      </c>
      <c r="B91" s="2835" t="s">
        <v>9625</v>
      </c>
      <c r="C91" s="2835" t="n">
        <v>5268.4</v>
      </c>
      <c r="D91" s="2835" t="s">
        <v>6946</v>
      </c>
      <c r="E91" s="2835" t="s">
        <v>9620</v>
      </c>
      <c r="F91" s="2835" t="n">
        <v>0.0</v>
      </c>
      <c r="G91" s="2835" t="s">
        <v>7004</v>
      </c>
      <c r="H91" s="2835" t="s">
        <v>9661</v>
      </c>
      <c r="I91" s="2835" t="n">
        <v>85.7</v>
      </c>
      <c r="J91" s="2835" t="s">
        <v>7019</v>
      </c>
      <c r="K91" s="2835" t="s">
        <v>9680</v>
      </c>
      <c r="L91" s="2835" t="n">
        <v>361.9</v>
      </c>
      <c r="M91" s="2835"/>
      <c r="N91" s="2835"/>
    </row>
    <row r="92" spans="1:14" x14ac:dyDescent="0.15" ht="13.5" customHeight="true" hidden="false">
      <c r="A92" s="2835" t="s">
        <v>6941</v>
      </c>
      <c r="B92" s="2835" t="s">
        <v>9626</v>
      </c>
      <c r="C92" s="2835" t="n">
        <v>42.9</v>
      </c>
      <c r="D92" s="2835" t="s">
        <v>6946</v>
      </c>
      <c r="E92" s="2835" t="s">
        <v>9642</v>
      </c>
      <c r="F92" s="2835" t="n">
        <v>186.3</v>
      </c>
      <c r="G92" s="2835" t="s">
        <v>7004</v>
      </c>
      <c r="H92" s="2835" t="s">
        <v>9663</v>
      </c>
      <c r="I92" s="2835" t="n">
        <v>559.3</v>
      </c>
      <c r="J92" s="2835" t="s">
        <v>7019</v>
      </c>
      <c r="K92" s="2835" t="s">
        <v>9681</v>
      </c>
      <c r="L92" s="2835" t="n">
        <v>1045.0</v>
      </c>
      <c r="M92" s="2835"/>
      <c r="N92" s="2835"/>
    </row>
    <row r="93" spans="1:14" x14ac:dyDescent="0.15" ht="13.5" customHeight="true" hidden="false">
      <c r="A93" s="2835" t="s">
        <v>6941</v>
      </c>
      <c r="B93" s="2835" t="s">
        <v>9627</v>
      </c>
      <c r="C93" s="2835" t="n">
        <v>0.0</v>
      </c>
      <c r="D93" s="2835" t="s">
        <v>6946</v>
      </c>
      <c r="E93" s="2835" t="s">
        <v>9621</v>
      </c>
      <c r="F93" s="2835" t="n">
        <v>0.0</v>
      </c>
      <c r="G93" s="2835" t="s">
        <v>7004</v>
      </c>
      <c r="H93" s="2835" t="s">
        <v>9665</v>
      </c>
      <c r="I93" s="2835" t="n">
        <v>0.0</v>
      </c>
      <c r="J93" s="2835" t="s">
        <v>7019</v>
      </c>
      <c r="K93" s="2835" t="s">
        <v>9682</v>
      </c>
      <c r="L93" s="2835" t="n">
        <v>272.2</v>
      </c>
      <c r="M93" s="2835"/>
      <c r="N93" s="2835"/>
    </row>
    <row r="94" spans="1:14" x14ac:dyDescent="0.15" ht="13.5" customHeight="true" hidden="false">
      <c r="A94" s="2835" t="s">
        <v>6941</v>
      </c>
      <c r="B94" s="2835" t="s">
        <v>9628</v>
      </c>
      <c r="C94" s="2835" t="n">
        <v>0.0</v>
      </c>
      <c r="D94" s="2835" t="s">
        <v>6946</v>
      </c>
      <c r="E94" s="2835" t="s">
        <v>9643</v>
      </c>
      <c r="F94" s="2835" t="n">
        <v>0.0</v>
      </c>
      <c r="G94" s="2835" t="s">
        <v>7004</v>
      </c>
      <c r="H94" s="2835" t="s">
        <v>9667</v>
      </c>
      <c r="I94" s="2835" t="n">
        <v>0.0</v>
      </c>
      <c r="J94" s="2835" t="s">
        <v>7019</v>
      </c>
      <c r="K94" s="2835" t="s">
        <v>9683</v>
      </c>
      <c r="L94" s="2835" t="n">
        <v>313.1</v>
      </c>
      <c r="M94" s="2835"/>
      <c r="N94" s="2835"/>
    </row>
    <row r="95" spans="1:14" x14ac:dyDescent="0.15" ht="13.5" customHeight="true" hidden="false">
      <c r="A95" s="2835" t="s">
        <v>6941</v>
      </c>
      <c r="B95" s="2835" t="s">
        <v>9629</v>
      </c>
      <c r="C95" s="2835" t="n">
        <v>0.0</v>
      </c>
      <c r="D95" s="2835" t="s">
        <v>6946</v>
      </c>
      <c r="E95" s="2835" t="s">
        <v>9622</v>
      </c>
      <c r="F95" s="2835" t="n">
        <v>0.0</v>
      </c>
      <c r="G95" s="2835" t="s">
        <v>7004</v>
      </c>
      <c r="H95" s="2835" t="s">
        <v>9669</v>
      </c>
      <c r="I95" s="2835" t="n">
        <v>345.8</v>
      </c>
      <c r="J95" s="2835" t="s">
        <v>7019</v>
      </c>
      <c r="K95" s="2835" t="s">
        <v>9684</v>
      </c>
      <c r="L95" s="2835" t="n">
        <v>550.1</v>
      </c>
      <c r="M95" s="2835"/>
      <c r="N95" s="2835"/>
    </row>
    <row r="96" spans="1:14" x14ac:dyDescent="0.15" ht="13.5" customHeight="true" hidden="false">
      <c r="A96" s="2835" t="s">
        <v>6936</v>
      </c>
      <c r="B96" s="2835" t="s">
        <v>9618</v>
      </c>
      <c r="C96" s="2835" t="n">
        <v>3522.1</v>
      </c>
      <c r="D96" s="2835" t="s">
        <v>6946</v>
      </c>
      <c r="E96" s="2835" t="s">
        <v>9644</v>
      </c>
      <c r="F96" s="2835" t="n">
        <v>0.0</v>
      </c>
      <c r="G96" s="2835" t="s">
        <v>7004</v>
      </c>
      <c r="H96" s="2835" t="s">
        <v>9671</v>
      </c>
      <c r="I96" s="2835" t="n">
        <v>174.0</v>
      </c>
      <c r="J96" s="2835" t="s">
        <v>7019</v>
      </c>
      <c r="K96" s="2835" t="s">
        <v>9685</v>
      </c>
      <c r="L96" s="2835" t="n">
        <v>339.2</v>
      </c>
      <c r="M96" s="2835"/>
      <c r="N96" s="2835"/>
    </row>
    <row r="97" spans="1:14" x14ac:dyDescent="0.15" ht="13.5" customHeight="true" hidden="false">
      <c r="A97" s="2835" t="s">
        <v>6936</v>
      </c>
      <c r="B97" s="2835" t="s">
        <v>9619</v>
      </c>
      <c r="C97" s="2835" t="n">
        <v>5231.7</v>
      </c>
      <c r="D97" s="2835" t="s">
        <v>6946</v>
      </c>
      <c r="E97" s="2835" t="s">
        <v>9623</v>
      </c>
      <c r="F97" s="2835" t="n">
        <v>1875.4</v>
      </c>
      <c r="G97" s="2835" t="s">
        <v>7004</v>
      </c>
      <c r="H97" s="2835" t="s">
        <v>9673</v>
      </c>
      <c r="I97" s="2835" t="n">
        <v>369.0</v>
      </c>
      <c r="J97" s="2835" t="s">
        <v>7019</v>
      </c>
      <c r="K97" s="2835" t="s">
        <v>9686</v>
      </c>
      <c r="L97" s="2835" t="n">
        <v>560.3</v>
      </c>
      <c r="M97" s="2835"/>
      <c r="N97" s="2835"/>
    </row>
    <row r="98" spans="1:14" x14ac:dyDescent="0.15" ht="13.5" customHeight="true" hidden="false">
      <c r="A98" s="2835" t="s">
        <v>6936</v>
      </c>
      <c r="B98" s="2835" t="s">
        <v>9620</v>
      </c>
      <c r="C98" s="2835" t="n">
        <v>827.5</v>
      </c>
      <c r="D98" s="2835" t="s">
        <v>6946</v>
      </c>
      <c r="E98" s="2835" t="s">
        <v>9645</v>
      </c>
      <c r="F98" s="2835" t="n">
        <v>0.0</v>
      </c>
      <c r="G98" s="2835" t="s">
        <v>7004</v>
      </c>
      <c r="H98" s="2835" t="s">
        <v>9674</v>
      </c>
      <c r="I98" s="2835" t="n">
        <v>769.7</v>
      </c>
      <c r="J98" s="2835" t="s">
        <v>7019</v>
      </c>
      <c r="K98" s="2835" t="s">
        <v>9687</v>
      </c>
      <c r="L98" s="2835" t="n">
        <v>893.8</v>
      </c>
      <c r="M98" s="2835"/>
      <c r="N98" s="2835"/>
    </row>
    <row r="99" spans="1:14" x14ac:dyDescent="0.15" ht="13.5" customHeight="true" hidden="false">
      <c r="A99" s="2835" t="s">
        <v>6936</v>
      </c>
      <c r="B99" s="2835" t="s">
        <v>9621</v>
      </c>
      <c r="C99" s="2835" t="n">
        <v>1483.6</v>
      </c>
      <c r="D99" s="2835" t="s">
        <v>6946</v>
      </c>
      <c r="E99" s="2835" t="s">
        <v>9624</v>
      </c>
      <c r="F99" s="2835" t="n">
        <v>1995.8</v>
      </c>
      <c r="G99" s="2835" t="s">
        <v>7004</v>
      </c>
      <c r="H99" s="2835" t="s">
        <v>9675</v>
      </c>
      <c r="I99" s="2835" t="n">
        <v>439.1</v>
      </c>
      <c r="J99" s="2835" t="s">
        <v>7019</v>
      </c>
      <c r="K99" s="2835" t="s">
        <v>9688</v>
      </c>
      <c r="L99" s="2835" t="n">
        <v>717.5</v>
      </c>
      <c r="M99" s="2835"/>
      <c r="N99" s="2835"/>
    </row>
    <row r="100" spans="1:14" x14ac:dyDescent="0.15" ht="13.5" customHeight="true" hidden="false">
      <c r="A100" s="2835" t="s">
        <v>6936</v>
      </c>
      <c r="B100" s="2835" t="s">
        <v>9622</v>
      </c>
      <c r="C100" s="2835" t="n">
        <v>1145.5</v>
      </c>
      <c r="D100" s="2835" t="s">
        <v>6946</v>
      </c>
      <c r="E100" s="2835" t="s">
        <v>9646</v>
      </c>
      <c r="F100" s="2835" t="n">
        <v>0.0</v>
      </c>
      <c r="G100" s="2835" t="s">
        <v>7004</v>
      </c>
      <c r="H100" s="2835" t="s">
        <v>9676</v>
      </c>
      <c r="I100" s="2835" t="n">
        <v>1262.6</v>
      </c>
      <c r="J100" s="2835" t="s">
        <v>7019</v>
      </c>
      <c r="K100" s="2835" t="s">
        <v>9689</v>
      </c>
      <c r="L100" s="2835" t="n">
        <v>246.1</v>
      </c>
      <c r="M100" s="2835"/>
      <c r="N100" s="2835"/>
    </row>
    <row r="101" spans="1:14" x14ac:dyDescent="0.15" ht="13.5" customHeight="true" hidden="false">
      <c r="A101" s="2835" t="s">
        <v>6936</v>
      </c>
      <c r="B101" s="2835" t="s">
        <v>9623</v>
      </c>
      <c r="C101" s="2835" t="n">
        <v>1726.6</v>
      </c>
      <c r="D101" s="2835" t="s">
        <v>6946</v>
      </c>
      <c r="E101" s="2835" t="s">
        <v>9625</v>
      </c>
      <c r="F101" s="2835" t="n">
        <v>1717.2</v>
      </c>
      <c r="G101" s="2835" t="s">
        <v>7004</v>
      </c>
      <c r="H101" s="2835" t="s">
        <v>9677</v>
      </c>
      <c r="I101" s="2835" t="n">
        <v>1540.6</v>
      </c>
      <c r="J101" s="2835" t="s">
        <v>7019</v>
      </c>
      <c r="K101" s="2835" t="s">
        <v>9690</v>
      </c>
      <c r="L101" s="2835" t="n">
        <v>223.6</v>
      </c>
      <c r="M101" s="2835"/>
      <c r="N101" s="2835"/>
    </row>
    <row r="102" spans="1:14" x14ac:dyDescent="0.15" ht="13.5" customHeight="true" hidden="false">
      <c r="A102" s="2835" t="s">
        <v>6936</v>
      </c>
      <c r="B102" s="2835" t="s">
        <v>9624</v>
      </c>
      <c r="C102" s="2835" t="n">
        <v>1800.8</v>
      </c>
      <c r="D102" s="2835" t="s">
        <v>6946</v>
      </c>
      <c r="E102" s="2835" t="s">
        <v>9647</v>
      </c>
      <c r="F102" s="2835" t="n">
        <v>0.0</v>
      </c>
      <c r="G102" s="2835" t="s">
        <v>7004</v>
      </c>
      <c r="H102" s="2835" t="s">
        <v>9678</v>
      </c>
      <c r="I102" s="2835" t="n">
        <v>1149.7</v>
      </c>
      <c r="J102" s="2835" t="s">
        <v>7019</v>
      </c>
      <c r="K102" s="2835" t="s">
        <v>9691</v>
      </c>
      <c r="L102" s="2835" t="n">
        <v>0.0</v>
      </c>
      <c r="M102" s="2835"/>
      <c r="N102" s="2835"/>
    </row>
    <row r="103" spans="1:14" x14ac:dyDescent="0.15" ht="13.5" customHeight="true" hidden="false">
      <c r="A103" s="2835" t="s">
        <v>6936</v>
      </c>
      <c r="B103" s="2835" t="s">
        <v>9625</v>
      </c>
      <c r="C103" s="2835" t="n">
        <v>4019.6</v>
      </c>
      <c r="D103" s="2835" t="s">
        <v>6946</v>
      </c>
      <c r="E103" s="2835" t="s">
        <v>9626</v>
      </c>
      <c r="F103" s="2835" t="n">
        <v>0.0</v>
      </c>
      <c r="G103" s="2835" t="s">
        <v>7004</v>
      </c>
      <c r="H103" s="2835" t="s">
        <v>9679</v>
      </c>
      <c r="I103" s="2835" t="n">
        <v>769.1</v>
      </c>
      <c r="J103" s="2835" t="s">
        <v>7019</v>
      </c>
      <c r="K103" s="2835" t="s">
        <v>9692</v>
      </c>
      <c r="L103" s="2835" t="n">
        <v>550.1</v>
      </c>
      <c r="M103" s="2835"/>
      <c r="N103" s="2835"/>
    </row>
    <row r="104" spans="1:14" x14ac:dyDescent="0.15" ht="13.5" customHeight="true" hidden="false">
      <c r="A104" s="2835" t="s">
        <v>6936</v>
      </c>
      <c r="B104" s="2835" t="s">
        <v>9626</v>
      </c>
      <c r="C104" s="2835" t="n">
        <v>18.4</v>
      </c>
      <c r="D104" s="2835" t="s">
        <v>6946</v>
      </c>
      <c r="E104" s="2835" t="s">
        <v>9648</v>
      </c>
      <c r="F104" s="2835" t="n">
        <v>0.0</v>
      </c>
      <c r="G104" s="2835" t="s">
        <v>7004</v>
      </c>
      <c r="H104" s="2835" t="s">
        <v>9680</v>
      </c>
      <c r="I104" s="2835" t="n">
        <v>0.0</v>
      </c>
      <c r="J104" s="2835" t="s">
        <v>7019</v>
      </c>
      <c r="K104" s="2835" t="s">
        <v>9693</v>
      </c>
      <c r="L104" s="2835" t="n">
        <v>434.1</v>
      </c>
      <c r="M104" s="2835"/>
      <c r="N104" s="2835"/>
    </row>
    <row r="105" spans="1:14" x14ac:dyDescent="0.15" ht="13.5" customHeight="true" hidden="false">
      <c r="A105" s="2835" t="s">
        <v>6936</v>
      </c>
      <c r="B105" s="2835" t="s">
        <v>9627</v>
      </c>
      <c r="C105" s="2835" t="n">
        <v>0.0</v>
      </c>
      <c r="D105" s="2835" t="s">
        <v>6946</v>
      </c>
      <c r="E105" s="2835" t="s">
        <v>9627</v>
      </c>
      <c r="F105" s="2835" t="n">
        <v>0.0</v>
      </c>
      <c r="G105" s="2835" t="s">
        <v>7004</v>
      </c>
      <c r="H105" s="2835" t="s">
        <v>9681</v>
      </c>
      <c r="I105" s="2835" t="n">
        <v>87.7</v>
      </c>
      <c r="J105" s="2835" t="s">
        <v>7019</v>
      </c>
      <c r="K105" s="2835" t="s">
        <v>9694</v>
      </c>
      <c r="L105" s="2835" t="n">
        <v>717.5</v>
      </c>
      <c r="M105" s="2835"/>
      <c r="N105" s="2835"/>
    </row>
    <row r="106" spans="1:14" x14ac:dyDescent="0.15" ht="13.5" customHeight="true" hidden="false">
      <c r="A106" s="2835" t="s">
        <v>6936</v>
      </c>
      <c r="B106" s="2835" t="s">
        <v>9628</v>
      </c>
      <c r="C106" s="2835" t="n">
        <v>0.0</v>
      </c>
      <c r="D106" s="2835" t="s">
        <v>6946</v>
      </c>
      <c r="E106" s="2835" t="s">
        <v>9649</v>
      </c>
      <c r="F106" s="2835" t="n">
        <v>0.0</v>
      </c>
      <c r="G106" s="2835" t="s">
        <v>7004</v>
      </c>
      <c r="H106" s="2835" t="s">
        <v>9682</v>
      </c>
      <c r="I106" s="2835" t="n">
        <v>197.0</v>
      </c>
      <c r="J106" s="2835" t="s">
        <v>7019</v>
      </c>
      <c r="K106" s="2835" t="s">
        <v>9695</v>
      </c>
      <c r="L106" s="2835" t="n">
        <v>210.2</v>
      </c>
      <c r="M106" s="2835"/>
      <c r="N106" s="2835"/>
    </row>
    <row r="107" spans="1:14" x14ac:dyDescent="0.15" ht="13.5" customHeight="true" hidden="false">
      <c r="A107" s="2835" t="s">
        <v>6936</v>
      </c>
      <c r="B107" s="2835" t="s">
        <v>9629</v>
      </c>
      <c r="C107" s="2835" t="n">
        <v>0.0</v>
      </c>
      <c r="D107" s="2835" t="s">
        <v>6946</v>
      </c>
      <c r="E107" s="2835" t="s">
        <v>9628</v>
      </c>
      <c r="F107" s="2835" t="n">
        <v>0.0</v>
      </c>
      <c r="G107" s="2835" t="s">
        <v>7004</v>
      </c>
      <c r="H107" s="2835" t="s">
        <v>9683</v>
      </c>
      <c r="I107" s="2835" t="n">
        <v>0.0</v>
      </c>
      <c r="J107" s="2835" t="s">
        <v>7019</v>
      </c>
      <c r="K107" s="2835" t="s">
        <v>9696</v>
      </c>
      <c r="L107" s="2835" t="n">
        <v>345.2</v>
      </c>
      <c r="M107" s="2835"/>
      <c r="N107" s="2835"/>
    </row>
    <row r="108" spans="1:14" x14ac:dyDescent="0.15" ht="13.5" customHeight="true" hidden="false">
      <c r="A108" s="2835" t="s">
        <v>6942</v>
      </c>
      <c r="B108" s="2835" t="s">
        <v>9618</v>
      </c>
      <c r="C108" s="2835" t="n">
        <v>0.0</v>
      </c>
      <c r="D108" s="2835" t="s">
        <v>6946</v>
      </c>
      <c r="E108" s="2835" t="s">
        <v>9650</v>
      </c>
      <c r="F108" s="2835" t="n">
        <v>0.0</v>
      </c>
      <c r="G108" s="2835" t="s">
        <v>7004</v>
      </c>
      <c r="H108" s="2835" t="s">
        <v>9684</v>
      </c>
      <c r="I108" s="2835" t="n">
        <v>0.0</v>
      </c>
      <c r="J108" s="2835" t="s">
        <v>7019</v>
      </c>
      <c r="K108" s="2835" t="s">
        <v>9697</v>
      </c>
      <c r="L108" s="2835" t="n">
        <v>190.0</v>
      </c>
      <c r="M108" s="2835"/>
      <c r="N108" s="2835"/>
    </row>
    <row r="109" spans="1:14" x14ac:dyDescent="0.15" ht="13.5" customHeight="true" hidden="false">
      <c r="A109" s="2835" t="s">
        <v>6942</v>
      </c>
      <c r="B109" s="2835" t="s">
        <v>9619</v>
      </c>
      <c r="C109" s="2835" t="n">
        <v>0.0</v>
      </c>
      <c r="D109" s="2835" t="s">
        <v>6946</v>
      </c>
      <c r="E109" s="2835" t="s">
        <v>9629</v>
      </c>
      <c r="F109" s="2835" t="n">
        <v>226.9</v>
      </c>
      <c r="G109" s="2835" t="s">
        <v>7004</v>
      </c>
      <c r="H109" s="2835" t="s">
        <v>9685</v>
      </c>
      <c r="I109" s="2835" t="n">
        <v>30.8</v>
      </c>
      <c r="J109" s="2835" t="s">
        <v>7019</v>
      </c>
      <c r="K109" s="2835" t="s">
        <v>9698</v>
      </c>
      <c r="L109" s="2835" t="n">
        <v>345.2</v>
      </c>
      <c r="M109" s="2835"/>
      <c r="N109" s="2835"/>
    </row>
    <row r="110" spans="1:14" x14ac:dyDescent="0.15" ht="13.5" customHeight="true" hidden="false">
      <c r="A110" s="2835" t="s">
        <v>6942</v>
      </c>
      <c r="B110" s="2835" t="s">
        <v>9620</v>
      </c>
      <c r="C110" s="2835" t="n">
        <v>0.0</v>
      </c>
      <c r="D110" s="2835" t="s">
        <v>6946</v>
      </c>
      <c r="E110" s="2835" t="s">
        <v>9651</v>
      </c>
      <c r="F110" s="2835" t="n">
        <v>0.0</v>
      </c>
      <c r="G110" s="2835" t="s">
        <v>7004</v>
      </c>
      <c r="H110" s="2835" t="s">
        <v>9686</v>
      </c>
      <c r="I110" s="2835" t="n">
        <v>0.0</v>
      </c>
      <c r="J110" s="2835" t="s">
        <v>7019</v>
      </c>
      <c r="K110" s="2835" t="s">
        <v>9699</v>
      </c>
      <c r="L110" s="2835" t="n">
        <v>27.6</v>
      </c>
      <c r="M110" s="2835"/>
      <c r="N110" s="2835"/>
    </row>
    <row r="111" spans="1:14" x14ac:dyDescent="0.15" ht="13.5" customHeight="true" hidden="false">
      <c r="A111" s="2835" t="s">
        <v>6937</v>
      </c>
      <c r="B111" s="2835" t="s">
        <v>9618</v>
      </c>
      <c r="C111" s="2835" t="n">
        <v>0.0</v>
      </c>
      <c r="D111" s="2835" t="s">
        <v>6946</v>
      </c>
      <c r="E111" s="2835" t="s">
        <v>9633</v>
      </c>
      <c r="F111" s="2835" t="n">
        <v>199.3</v>
      </c>
      <c r="G111" s="2835" t="s">
        <v>7004</v>
      </c>
      <c r="H111" s="2835" t="s">
        <v>9687</v>
      </c>
      <c r="I111" s="2835" t="n">
        <v>85.7</v>
      </c>
      <c r="J111" s="2835" t="s">
        <v>7019</v>
      </c>
      <c r="K111" s="2835" t="s">
        <v>9700</v>
      </c>
      <c r="L111" s="2835" t="n">
        <v>14.7</v>
      </c>
      <c r="M111" s="2835"/>
      <c r="N111" s="2835"/>
    </row>
    <row r="112" spans="1:14" x14ac:dyDescent="0.15" ht="13.5" customHeight="true" hidden="false">
      <c r="A112" s="2835" t="s">
        <v>6937</v>
      </c>
      <c r="B112" s="2835" t="s">
        <v>9619</v>
      </c>
      <c r="C112" s="2835" t="n">
        <v>12949.0</v>
      </c>
      <c r="D112" s="2835" t="s">
        <v>6946</v>
      </c>
      <c r="E112" s="2835" t="s">
        <v>9652</v>
      </c>
      <c r="F112" s="2835" t="n">
        <v>0.0</v>
      </c>
      <c r="G112" s="2835" t="s">
        <v>7004</v>
      </c>
      <c r="H112" s="2835" t="s">
        <v>9688</v>
      </c>
      <c r="I112" s="2835" t="n">
        <v>624.3</v>
      </c>
      <c r="J112" s="2835" t="s">
        <v>7016</v>
      </c>
      <c r="K112" s="2835" t="s">
        <v>9618</v>
      </c>
      <c r="L112" s="2835" t="n">
        <v>8467.1</v>
      </c>
      <c r="M112" s="2835"/>
      <c r="N112" s="2835"/>
    </row>
    <row r="113" spans="1:14" x14ac:dyDescent="0.15" ht="13.5" customHeight="true" hidden="false">
      <c r="A113" s="2835" t="s">
        <v>6937</v>
      </c>
      <c r="B113" s="2835" t="s">
        <v>9620</v>
      </c>
      <c r="C113" s="2835" t="n">
        <v>6786.0</v>
      </c>
      <c r="D113" s="2835" t="s">
        <v>6946</v>
      </c>
      <c r="E113" s="2835" t="s">
        <v>9634</v>
      </c>
      <c r="F113" s="2835" t="n">
        <v>0.0</v>
      </c>
      <c r="G113" s="2835" t="s">
        <v>7004</v>
      </c>
      <c r="H113" s="2835" t="s">
        <v>9689</v>
      </c>
      <c r="I113" s="2835" t="n">
        <v>600.7</v>
      </c>
      <c r="J113" s="2835" t="s">
        <v>7016</v>
      </c>
      <c r="K113" s="2835" t="s">
        <v>9619</v>
      </c>
      <c r="L113" s="2835" t="n">
        <v>2951.5</v>
      </c>
      <c r="M113" s="2835"/>
      <c r="N113" s="2835"/>
    </row>
    <row r="114" spans="1:14" x14ac:dyDescent="0.15" ht="13.5" customHeight="true" hidden="false">
      <c r="A114" s="2835" t="s">
        <v>9630</v>
      </c>
      <c r="B114" s="2835" t="s">
        <v>9618</v>
      </c>
      <c r="C114" s="2835" t="n">
        <v>543.9</v>
      </c>
      <c r="D114" s="2835" t="s">
        <v>6946</v>
      </c>
      <c r="E114" s="2835" t="s">
        <v>9653</v>
      </c>
      <c r="F114" s="2835" t="n">
        <v>0.0</v>
      </c>
      <c r="G114" s="2835" t="s">
        <v>7004</v>
      </c>
      <c r="H114" s="2835" t="s">
        <v>9690</v>
      </c>
      <c r="I114" s="2835" t="n">
        <v>0.0</v>
      </c>
      <c r="J114" s="2835" t="s">
        <v>7016</v>
      </c>
      <c r="K114" s="2835" t="s">
        <v>9620</v>
      </c>
      <c r="L114" s="2835" t="n">
        <v>2951.5</v>
      </c>
      <c r="M114" s="2835"/>
      <c r="N114" s="2835"/>
    </row>
    <row r="115" spans="1:14" x14ac:dyDescent="0.15" ht="13.5" customHeight="true" hidden="false">
      <c r="A115" s="2835" t="s">
        <v>9630</v>
      </c>
      <c r="B115" s="2835" t="s">
        <v>9619</v>
      </c>
      <c r="C115" s="2835" t="n">
        <v>5732.8</v>
      </c>
      <c r="D115" s="2835" t="s">
        <v>6946</v>
      </c>
      <c r="E115" s="2835" t="s">
        <v>9635</v>
      </c>
      <c r="F115" s="2835" t="n">
        <v>0.0</v>
      </c>
      <c r="G115" s="2835" t="s">
        <v>7004</v>
      </c>
      <c r="H115" s="2835" t="s">
        <v>9691</v>
      </c>
      <c r="I115" s="2835" t="n">
        <v>0.0</v>
      </c>
      <c r="J115" s="2835" t="s">
        <v>7016</v>
      </c>
      <c r="K115" s="2835" t="s">
        <v>9621</v>
      </c>
      <c r="L115" s="2835" t="n">
        <v>0.0</v>
      </c>
      <c r="M115" s="2835"/>
      <c r="N115" s="2835"/>
    </row>
    <row r="116" spans="1:14" x14ac:dyDescent="0.15" ht="13.5" customHeight="true" hidden="false">
      <c r="A116" s="2835" t="s">
        <v>9630</v>
      </c>
      <c r="B116" s="2835" t="s">
        <v>9620</v>
      </c>
      <c r="C116" s="2835" t="n">
        <v>437.3</v>
      </c>
      <c r="D116" s="2835" t="s">
        <v>6946</v>
      </c>
      <c r="E116" s="2835" t="s">
        <v>9654</v>
      </c>
      <c r="F116" s="2835" t="n">
        <v>0.0</v>
      </c>
      <c r="G116" s="2835" t="s">
        <v>7004</v>
      </c>
      <c r="H116" s="2835" t="s">
        <v>9692</v>
      </c>
      <c r="I116" s="2835" t="n">
        <v>624.3</v>
      </c>
      <c r="J116" s="2835" t="s">
        <v>7016</v>
      </c>
      <c r="K116" s="2835" t="s">
        <v>9622</v>
      </c>
      <c r="L116" s="2835" t="n">
        <v>0.0</v>
      </c>
      <c r="M116" s="2835"/>
      <c r="N116" s="2835"/>
    </row>
    <row r="117" spans="1:14" x14ac:dyDescent="0.15" ht="13.5" customHeight="true" hidden="false">
      <c r="A117" s="2835" t="s">
        <v>9630</v>
      </c>
      <c r="B117" s="2835" t="s">
        <v>9621</v>
      </c>
      <c r="C117" s="2835" t="n">
        <v>5732.8</v>
      </c>
      <c r="D117" s="2835" t="s">
        <v>6946</v>
      </c>
      <c r="E117" s="2835" t="s">
        <v>9636</v>
      </c>
      <c r="F117" s="2835" t="n">
        <v>0.0</v>
      </c>
      <c r="G117" s="2835" t="s">
        <v>7004</v>
      </c>
      <c r="H117" s="2835" t="s">
        <v>9693</v>
      </c>
      <c r="I117" s="2835" t="n">
        <v>0.0</v>
      </c>
      <c r="J117" s="2835" t="s">
        <v>7016</v>
      </c>
      <c r="K117" s="2835" t="s">
        <v>9623</v>
      </c>
      <c r="L117" s="2835" t="n">
        <v>23717.8</v>
      </c>
      <c r="M117" s="2835"/>
      <c r="N117" s="2835"/>
    </row>
    <row r="118" spans="1:14" x14ac:dyDescent="0.15" ht="13.5" customHeight="true" hidden="false">
      <c r="A118" s="2835" t="s">
        <v>9630</v>
      </c>
      <c r="B118" s="2835" t="s">
        <v>9622</v>
      </c>
      <c r="C118" s="2835" t="n">
        <v>75.8</v>
      </c>
      <c r="D118" s="2835" t="s">
        <v>6946</v>
      </c>
      <c r="E118" s="2835" t="s">
        <v>9655</v>
      </c>
      <c r="F118" s="2835" t="n">
        <v>0.0</v>
      </c>
      <c r="G118" s="2835" t="s">
        <v>7004</v>
      </c>
      <c r="H118" s="2835" t="s">
        <v>9694</v>
      </c>
      <c r="I118" s="2835" t="n">
        <v>0.0</v>
      </c>
      <c r="J118" s="2835" t="s">
        <v>7016</v>
      </c>
      <c r="K118" s="2835" t="s">
        <v>9624</v>
      </c>
      <c r="L118" s="2835" t="n">
        <v>0.0</v>
      </c>
      <c r="M118" s="2835"/>
      <c r="N118" s="2835"/>
    </row>
    <row r="119" spans="1:14" x14ac:dyDescent="0.15" ht="13.5" customHeight="true" hidden="false">
      <c r="A119" s="2835" t="s">
        <v>9630</v>
      </c>
      <c r="B119" s="2835" t="s">
        <v>9623</v>
      </c>
      <c r="C119" s="2835" t="n">
        <v>0.0</v>
      </c>
      <c r="D119" s="2835" t="s">
        <v>6946</v>
      </c>
      <c r="E119" s="2835" t="s">
        <v>9637</v>
      </c>
      <c r="F119" s="2835" t="n">
        <v>1859.5</v>
      </c>
      <c r="G119" s="2835" t="s">
        <v>7004</v>
      </c>
      <c r="H119" s="2835" t="s">
        <v>9695</v>
      </c>
      <c r="I119" s="2835" t="n">
        <v>0.0</v>
      </c>
      <c r="J119" s="2835" t="s">
        <v>7016</v>
      </c>
      <c r="K119" s="2835" t="s">
        <v>9625</v>
      </c>
      <c r="L119" s="2835" t="n">
        <v>23717.8</v>
      </c>
      <c r="M119" s="2835"/>
      <c r="N119" s="2835"/>
    </row>
    <row r="120" spans="1:14" x14ac:dyDescent="0.15" ht="13.5" customHeight="true" hidden="false">
      <c r="A120" s="2835"/>
      <c r="B120" s="2835"/>
      <c r="C120" s="2835"/>
      <c r="D120" s="2835" t="s">
        <v>6946</v>
      </c>
      <c r="E120" s="2835" t="s">
        <v>9656</v>
      </c>
      <c r="F120" s="2835" t="n">
        <v>0.0</v>
      </c>
      <c r="G120" s="2835" t="s">
        <v>7004</v>
      </c>
      <c r="H120" s="2835" t="s">
        <v>9696</v>
      </c>
      <c r="I120" s="2835" t="n">
        <v>0.0</v>
      </c>
      <c r="J120" s="2835" t="s">
        <v>7016</v>
      </c>
      <c r="K120" s="2835" t="s">
        <v>9626</v>
      </c>
      <c r="L120" s="2835" t="n">
        <v>0.0</v>
      </c>
      <c r="M120" s="2835"/>
      <c r="N120" s="2835"/>
    </row>
    <row r="121" spans="1:14" x14ac:dyDescent="0.15" ht="13.5" customHeight="true" hidden="false">
      <c r="A121" s="2835"/>
      <c r="B121" s="2835"/>
      <c r="C121" s="2835"/>
      <c r="D121" s="2835" t="s">
        <v>6946</v>
      </c>
      <c r="E121" s="2835" t="s">
        <v>9638</v>
      </c>
      <c r="F121" s="2835" t="n">
        <v>1856.8</v>
      </c>
      <c r="G121" s="2835" t="s">
        <v>7005</v>
      </c>
      <c r="H121" s="2835" t="s">
        <v>9618</v>
      </c>
      <c r="I121" s="2835" t="n">
        <v>972.5</v>
      </c>
      <c r="J121" s="2835" t="s">
        <v>7016</v>
      </c>
      <c r="K121" s="2835" t="s">
        <v>9627</v>
      </c>
      <c r="L121" s="2835" t="n">
        <v>0.0</v>
      </c>
      <c r="M121" s="2835"/>
      <c r="N121" s="2835"/>
    </row>
    <row r="122" spans="1:14" x14ac:dyDescent="0.15" ht="13.5" customHeight="true" hidden="false">
      <c r="A122" s="2835"/>
      <c r="B122" s="2835"/>
      <c r="C122" s="2835"/>
      <c r="D122" s="2835" t="s">
        <v>6946</v>
      </c>
      <c r="E122" s="2835" t="s">
        <v>9657</v>
      </c>
      <c r="F122" s="2835" t="n">
        <v>1554.8</v>
      </c>
      <c r="G122" s="2835" t="s">
        <v>7005</v>
      </c>
      <c r="H122" s="2835" t="s">
        <v>9619</v>
      </c>
      <c r="I122" s="2835" t="n">
        <v>752.8</v>
      </c>
      <c r="J122" s="2835" t="s">
        <v>7013</v>
      </c>
      <c r="K122" s="2835" t="s">
        <v>9618</v>
      </c>
      <c r="L122" s="2835" t="n">
        <v>21080.7</v>
      </c>
      <c r="M122" s="2835"/>
      <c r="N122" s="2835"/>
    </row>
    <row r="123" spans="1:14" x14ac:dyDescent="0.15" ht="13.5" customHeight="true" hidden="false">
      <c r="A123" s="2835"/>
      <c r="B123" s="2835"/>
      <c r="C123" s="2835"/>
      <c r="D123" s="2835" t="s">
        <v>6946</v>
      </c>
      <c r="E123" s="2835" t="s">
        <v>9658</v>
      </c>
      <c r="F123" s="2835" t="n">
        <v>0.0</v>
      </c>
      <c r="G123" s="2835" t="s">
        <v>7005</v>
      </c>
      <c r="H123" s="2835" t="s">
        <v>9620</v>
      </c>
      <c r="I123" s="2835" t="n">
        <v>752.8</v>
      </c>
      <c r="J123" s="2835" t="s">
        <v>7013</v>
      </c>
      <c r="K123" s="2835" t="s">
        <v>9619</v>
      </c>
      <c r="L123" s="2835" t="n">
        <v>10642.3</v>
      </c>
      <c r="M123" s="2835"/>
      <c r="N123" s="2835"/>
    </row>
    <row r="124" spans="1:14" x14ac:dyDescent="0.15" ht="13.5" customHeight="true" hidden="false">
      <c r="A124" s="2835"/>
      <c r="B124" s="2835"/>
      <c r="C124" s="2835"/>
      <c r="D124" s="2835" t="s">
        <v>6946</v>
      </c>
      <c r="E124" s="2835" t="s">
        <v>9659</v>
      </c>
      <c r="F124" s="2835" t="n">
        <v>1829.9</v>
      </c>
      <c r="G124" s="2835" t="s">
        <v>7005</v>
      </c>
      <c r="H124" s="2835" t="s">
        <v>9621</v>
      </c>
      <c r="I124" s="2835" t="n">
        <v>580.7</v>
      </c>
      <c r="J124" s="2835" t="s">
        <v>7013</v>
      </c>
      <c r="K124" s="2835" t="s">
        <v>9620</v>
      </c>
      <c r="L124" s="2835" t="n">
        <v>0.0</v>
      </c>
      <c r="M124" s="2835"/>
      <c r="N124" s="2835"/>
    </row>
    <row r="125" spans="1:14" x14ac:dyDescent="0.15" ht="13.5" customHeight="true" hidden="false">
      <c r="A125" s="2835"/>
      <c r="B125" s="2835"/>
      <c r="C125" s="2835"/>
      <c r="D125" s="2835" t="s">
        <v>6946</v>
      </c>
      <c r="E125" s="2835" t="s">
        <v>9660</v>
      </c>
      <c r="F125" s="2835" t="n">
        <v>0.0</v>
      </c>
      <c r="G125" s="2835" t="s">
        <v>7005</v>
      </c>
      <c r="H125" s="2835" t="s">
        <v>9622</v>
      </c>
      <c r="I125" s="2835" t="n">
        <v>457.8</v>
      </c>
      <c r="J125" s="2835" t="s">
        <v>7013</v>
      </c>
      <c r="K125" s="2835" t="s">
        <v>9621</v>
      </c>
      <c r="L125" s="2835" t="n">
        <v>3372.6</v>
      </c>
      <c r="M125" s="2835"/>
      <c r="N125" s="2835"/>
    </row>
    <row r="126" spans="1:14" x14ac:dyDescent="0.15" ht="13.5" customHeight="true" hidden="false">
      <c r="A126" s="2835"/>
      <c r="B126" s="2835"/>
      <c r="C126" s="2835"/>
      <c r="D126" s="2835" t="s">
        <v>6946</v>
      </c>
      <c r="E126" s="2835" t="s">
        <v>9661</v>
      </c>
      <c r="F126" s="2835" t="n">
        <v>1462.3</v>
      </c>
      <c r="G126" s="2835" t="s">
        <v>7005</v>
      </c>
      <c r="H126" s="2835" t="s">
        <v>9623</v>
      </c>
      <c r="I126" s="2835" t="n">
        <v>437.4</v>
      </c>
      <c r="J126" s="2835" t="s">
        <v>7013</v>
      </c>
      <c r="K126" s="2835" t="s">
        <v>9622</v>
      </c>
      <c r="L126" s="2835" t="n">
        <v>0.0</v>
      </c>
      <c r="M126" s="2835"/>
      <c r="N126" s="2835"/>
    </row>
    <row r="127" spans="1:14" x14ac:dyDescent="0.15" ht="13.5" customHeight="true" hidden="false">
      <c r="A127" s="2835"/>
      <c r="B127" s="2835"/>
      <c r="C127" s="2835"/>
      <c r="D127" s="2835" t="s">
        <v>6946</v>
      </c>
      <c r="E127" s="2835" t="s">
        <v>9662</v>
      </c>
      <c r="F127" s="2835" t="n">
        <v>0.0</v>
      </c>
      <c r="G127" s="2835" t="s">
        <v>7005</v>
      </c>
      <c r="H127" s="2835" t="s">
        <v>9624</v>
      </c>
      <c r="I127" s="2835" t="n">
        <v>823.5</v>
      </c>
      <c r="J127" s="2835" t="s">
        <v>7013</v>
      </c>
      <c r="K127" s="2835" t="s">
        <v>9623</v>
      </c>
      <c r="L127" s="2835" t="n">
        <v>10642.3</v>
      </c>
      <c r="M127" s="2835"/>
      <c r="N127" s="2835"/>
    </row>
    <row r="128" spans="1:14" x14ac:dyDescent="0.15" ht="13.5" customHeight="true" hidden="false">
      <c r="A128" s="2835"/>
      <c r="B128" s="2835"/>
      <c r="C128" s="2835"/>
      <c r="D128" s="2835" t="s">
        <v>6946</v>
      </c>
      <c r="E128" s="2835" t="s">
        <v>9663</v>
      </c>
      <c r="F128" s="2835" t="n">
        <v>0.0</v>
      </c>
      <c r="G128" s="2835" t="s">
        <v>7005</v>
      </c>
      <c r="H128" s="2835" t="s">
        <v>9625</v>
      </c>
      <c r="I128" s="2835" t="n">
        <v>606.8</v>
      </c>
      <c r="J128" s="2835" t="s">
        <v>7013</v>
      </c>
      <c r="K128" s="2835" t="s">
        <v>9624</v>
      </c>
      <c r="L128" s="2835" t="n">
        <v>3372.6</v>
      </c>
      <c r="M128" s="2835"/>
      <c r="N128" s="2835"/>
    </row>
    <row r="129" spans="1:14" x14ac:dyDescent="0.15" ht="13.5" customHeight="true" hidden="false">
      <c r="A129" s="2835"/>
      <c r="B129" s="2835"/>
      <c r="C129" s="2835"/>
      <c r="D129" s="2835" t="s">
        <v>6946</v>
      </c>
      <c r="E129" s="2835" t="s">
        <v>9664</v>
      </c>
      <c r="F129" s="2835" t="n">
        <v>0.0</v>
      </c>
      <c r="G129" s="2835" t="s">
        <v>7005</v>
      </c>
      <c r="H129" s="2835" t="s">
        <v>9626</v>
      </c>
      <c r="I129" s="2835" t="n">
        <v>562.4</v>
      </c>
      <c r="J129" s="2835" t="s">
        <v>7013</v>
      </c>
      <c r="K129" s="2835" t="s">
        <v>9625</v>
      </c>
      <c r="L129" s="2835" t="n">
        <v>0.0</v>
      </c>
      <c r="M129" s="2835"/>
      <c r="N129" s="2835"/>
    </row>
    <row r="130" spans="1:14" x14ac:dyDescent="0.15" ht="13.5" customHeight="true" hidden="false">
      <c r="A130" s="2835"/>
      <c r="B130" s="2835"/>
      <c r="C130" s="2835"/>
      <c r="D130" s="2835" t="s">
        <v>6946</v>
      </c>
      <c r="E130" s="2835" t="s">
        <v>9665</v>
      </c>
      <c r="F130" s="2835" t="n">
        <v>0.0</v>
      </c>
      <c r="G130" s="2835" t="s">
        <v>7005</v>
      </c>
      <c r="H130" s="2835" t="s">
        <v>9627</v>
      </c>
      <c r="I130" s="2835" t="n">
        <v>0.0</v>
      </c>
      <c r="J130" s="2835" t="s">
        <v>7013</v>
      </c>
      <c r="K130" s="2835" t="s">
        <v>9626</v>
      </c>
      <c r="L130" s="2835" t="n">
        <v>0.0</v>
      </c>
      <c r="M130" s="2835"/>
      <c r="N130" s="2835"/>
    </row>
    <row r="131" spans="1:14" x14ac:dyDescent="0.15" ht="13.5" customHeight="true" hidden="false">
      <c r="A131" s="2835"/>
      <c r="B131" s="2835"/>
      <c r="C131" s="2835"/>
      <c r="D131" s="2835" t="s">
        <v>6946</v>
      </c>
      <c r="E131" s="2835" t="s">
        <v>9666</v>
      </c>
      <c r="F131" s="2835" t="n">
        <v>0.0</v>
      </c>
      <c r="G131" s="2835" t="s">
        <v>7005</v>
      </c>
      <c r="H131" s="2835" t="s">
        <v>9628</v>
      </c>
      <c r="I131" s="2835" t="n">
        <v>465.8</v>
      </c>
      <c r="J131" s="2835" t="s">
        <v>7013</v>
      </c>
      <c r="K131" s="2835" t="s">
        <v>9627</v>
      </c>
      <c r="L131" s="2835" t="n">
        <v>0.0</v>
      </c>
      <c r="M131" s="2835"/>
      <c r="N131" s="2835"/>
    </row>
    <row r="132" spans="1:14" x14ac:dyDescent="0.15" ht="13.5" customHeight="true" hidden="false">
      <c r="A132" s="2835"/>
      <c r="B132" s="2835"/>
      <c r="C132" s="2835"/>
      <c r="D132" s="2835" t="s">
        <v>6946</v>
      </c>
      <c r="E132" s="2835" t="s">
        <v>9667</v>
      </c>
      <c r="F132" s="2835" t="n">
        <v>0.0</v>
      </c>
      <c r="G132" s="2835" t="s">
        <v>7005</v>
      </c>
      <c r="H132" s="2835" t="s">
        <v>9629</v>
      </c>
      <c r="I132" s="2835" t="n">
        <v>0.0</v>
      </c>
      <c r="J132" s="2835" t="s">
        <v>7018</v>
      </c>
      <c r="K132" s="2835" t="s">
        <v>9618</v>
      </c>
      <c r="L132" s="2835" t="n">
        <v>0.0</v>
      </c>
      <c r="M132" s="2835"/>
      <c r="N132" s="2835"/>
    </row>
    <row r="133" spans="1:14" x14ac:dyDescent="0.15" ht="13.5" customHeight="true" hidden="false">
      <c r="A133" s="2835"/>
      <c r="B133" s="2835"/>
      <c r="C133" s="2835"/>
      <c r="D133" s="2835" t="s">
        <v>6946</v>
      </c>
      <c r="E133" s="2835" t="s">
        <v>9668</v>
      </c>
      <c r="F133" s="2835" t="n">
        <v>86.5</v>
      </c>
      <c r="G133" s="2835" t="s">
        <v>7005</v>
      </c>
      <c r="H133" s="2835" t="s">
        <v>9633</v>
      </c>
      <c r="I133" s="2835" t="n">
        <v>823.5</v>
      </c>
      <c r="J133" s="2835" t="s">
        <v>7018</v>
      </c>
      <c r="K133" s="2835" t="s">
        <v>9619</v>
      </c>
      <c r="L133" s="2835" t="n">
        <v>0.0</v>
      </c>
      <c r="M133" s="2835"/>
      <c r="N133" s="2835"/>
    </row>
    <row r="134" spans="1:14" x14ac:dyDescent="0.15" ht="13.5" customHeight="true" hidden="false">
      <c r="A134" s="2835"/>
      <c r="B134" s="2835"/>
      <c r="C134" s="2835"/>
      <c r="D134" s="2835" t="s">
        <v>6946</v>
      </c>
      <c r="E134" s="2835" t="s">
        <v>9669</v>
      </c>
      <c r="F134" s="2835" t="n">
        <v>0.0</v>
      </c>
      <c r="G134" s="2835" t="s">
        <v>7005</v>
      </c>
      <c r="H134" s="2835" t="s">
        <v>9634</v>
      </c>
      <c r="I134" s="2835" t="n">
        <v>0.0</v>
      </c>
      <c r="J134" s="2835" t="s">
        <v>7018</v>
      </c>
      <c r="K134" s="2835" t="s">
        <v>9620</v>
      </c>
      <c r="L134" s="2835" t="n">
        <v>0.0</v>
      </c>
      <c r="M134" s="2835"/>
      <c r="N134" s="2835"/>
    </row>
    <row r="135" spans="1:14" x14ac:dyDescent="0.15" ht="13.5" customHeight="true" hidden="false">
      <c r="A135" s="2835"/>
      <c r="B135" s="2835"/>
      <c r="C135" s="2835"/>
      <c r="D135" s="2835" t="s">
        <v>6946</v>
      </c>
      <c r="E135" s="2835" t="s">
        <v>9670</v>
      </c>
      <c r="F135" s="2835" t="n">
        <v>182.3</v>
      </c>
      <c r="G135" s="2835" t="s">
        <v>7005</v>
      </c>
      <c r="H135" s="2835" t="s">
        <v>9635</v>
      </c>
      <c r="I135" s="2835" t="n">
        <v>606.8</v>
      </c>
      <c r="J135" s="2835" t="s">
        <v>7018</v>
      </c>
      <c r="K135" s="2835" t="s">
        <v>9621</v>
      </c>
      <c r="L135" s="2835" t="n">
        <v>0.0</v>
      </c>
      <c r="M135" s="2835"/>
      <c r="N135" s="2835"/>
    </row>
    <row r="136" spans="1:14" x14ac:dyDescent="0.15" ht="13.5" customHeight="true" hidden="false">
      <c r="A136" s="2835"/>
      <c r="B136" s="2835"/>
      <c r="C136" s="2835"/>
      <c r="D136" s="2835" t="s">
        <v>6946</v>
      </c>
      <c r="E136" s="2835" t="s">
        <v>9671</v>
      </c>
      <c r="F136" s="2835" t="n">
        <v>0.0</v>
      </c>
      <c r="G136" s="2835" t="s">
        <v>7005</v>
      </c>
      <c r="H136" s="2835" t="s">
        <v>9636</v>
      </c>
      <c r="I136" s="2835" t="n">
        <v>0.0</v>
      </c>
      <c r="J136" s="2835" t="s">
        <v>7018</v>
      </c>
      <c r="K136" s="2835" t="s">
        <v>9622</v>
      </c>
      <c r="L136" s="2835" t="n">
        <v>0.0</v>
      </c>
      <c r="M136" s="2835"/>
      <c r="N136" s="2835"/>
    </row>
    <row r="137" spans="1:14" x14ac:dyDescent="0.15" ht="13.5" customHeight="true" hidden="false">
      <c r="A137" s="2835"/>
      <c r="B137" s="2835"/>
      <c r="C137" s="2835"/>
      <c r="D137" s="2835" t="s">
        <v>6946</v>
      </c>
      <c r="E137" s="2835" t="s">
        <v>9672</v>
      </c>
      <c r="F137" s="2835" t="n">
        <v>0.0</v>
      </c>
      <c r="G137" s="2835" t="s">
        <v>7005</v>
      </c>
      <c r="H137" s="2835" t="s">
        <v>9637</v>
      </c>
      <c r="I137" s="2835" t="n">
        <v>298.6</v>
      </c>
      <c r="J137" s="2835" t="s">
        <v>7018</v>
      </c>
      <c r="K137" s="2835" t="s">
        <v>9623</v>
      </c>
      <c r="L137" s="2835" t="n">
        <v>0.0</v>
      </c>
      <c r="M137" s="2835"/>
      <c r="N137" s="2835"/>
    </row>
    <row r="138" spans="1:14" x14ac:dyDescent="0.15" ht="13.5" customHeight="true" hidden="false">
      <c r="A138" s="2835"/>
      <c r="B138" s="2835"/>
      <c r="C138" s="2835"/>
      <c r="D138" s="2835" t="s">
        <v>6947</v>
      </c>
      <c r="E138" s="2835" t="s">
        <v>9618</v>
      </c>
      <c r="F138" s="2835" t="n">
        <v>0.0</v>
      </c>
      <c r="G138" s="2835" t="s">
        <v>7005</v>
      </c>
      <c r="H138" s="2835" t="s">
        <v>9638</v>
      </c>
      <c r="I138" s="2835" t="n">
        <v>0.0</v>
      </c>
      <c r="J138" s="2835" t="s">
        <v>7018</v>
      </c>
      <c r="K138" s="2835" t="s">
        <v>9624</v>
      </c>
      <c r="L138" s="2835" t="n">
        <v>0.0</v>
      </c>
      <c r="M138" s="2835"/>
      <c r="N138" s="2835"/>
    </row>
    <row r="139" spans="1:14" x14ac:dyDescent="0.15" ht="13.5" customHeight="true" hidden="false">
      <c r="A139" s="2835"/>
      <c r="B139" s="2835"/>
      <c r="C139" s="2835"/>
      <c r="D139" s="2835" t="s">
        <v>6947</v>
      </c>
      <c r="E139" s="2835" t="s">
        <v>9639</v>
      </c>
      <c r="F139" s="2835" t="n">
        <v>0.0</v>
      </c>
      <c r="G139" s="2835" t="s">
        <v>7005</v>
      </c>
      <c r="H139" s="2835" t="s">
        <v>9657</v>
      </c>
      <c r="I139" s="2835" t="n">
        <v>0.0</v>
      </c>
      <c r="J139" s="2835" t="s">
        <v>7018</v>
      </c>
      <c r="K139" s="2835" t="s">
        <v>9625</v>
      </c>
      <c r="L139" s="2835" t="n">
        <v>340.5</v>
      </c>
      <c r="M139" s="2835"/>
      <c r="N139" s="2835"/>
    </row>
    <row r="140" spans="1:14" x14ac:dyDescent="0.15" ht="13.5" customHeight="true" hidden="false">
      <c r="A140" s="2835"/>
      <c r="B140" s="2835"/>
      <c r="C140" s="2835"/>
      <c r="D140" s="2835" t="s">
        <v>6947</v>
      </c>
      <c r="E140" s="2835" t="s">
        <v>9619</v>
      </c>
      <c r="F140" s="2835" t="n">
        <v>0.0</v>
      </c>
      <c r="G140" s="2835" t="s">
        <v>7005</v>
      </c>
      <c r="H140" s="2835" t="s">
        <v>9659</v>
      </c>
      <c r="I140" s="2835" t="n">
        <v>0.0</v>
      </c>
      <c r="J140" s="2835" t="s">
        <v>7018</v>
      </c>
      <c r="K140" s="2835" t="s">
        <v>9626</v>
      </c>
      <c r="L140" s="2835" t="n">
        <v>420.4</v>
      </c>
      <c r="M140" s="2835"/>
      <c r="N140" s="2835"/>
    </row>
    <row r="141" spans="1:14" x14ac:dyDescent="0.15" ht="13.5" customHeight="true" hidden="false">
      <c r="A141" s="2835"/>
      <c r="B141" s="2835"/>
      <c r="C141" s="2835"/>
      <c r="D141" s="2835" t="s">
        <v>6947</v>
      </c>
      <c r="E141" s="2835" t="s">
        <v>9640</v>
      </c>
      <c r="F141" s="2835" t="n">
        <v>0.0</v>
      </c>
      <c r="G141" s="2835" t="s">
        <v>7005</v>
      </c>
      <c r="H141" s="2835" t="s">
        <v>9661</v>
      </c>
      <c r="I141" s="2835" t="n">
        <v>0.0</v>
      </c>
      <c r="J141" s="2835" t="s">
        <v>7018</v>
      </c>
      <c r="K141" s="2835" t="s">
        <v>9627</v>
      </c>
      <c r="L141" s="2835" t="n">
        <v>268.8</v>
      </c>
      <c r="M141" s="2835"/>
      <c r="N141" s="2835"/>
    </row>
    <row r="142" spans="1:14" x14ac:dyDescent="0.15" ht="13.5" customHeight="true" hidden="false">
      <c r="A142" s="2835"/>
      <c r="B142" s="2835"/>
      <c r="C142" s="2835"/>
      <c r="D142" s="2835" t="s">
        <v>6947</v>
      </c>
      <c r="E142" s="2835" t="s">
        <v>9620</v>
      </c>
      <c r="F142" s="2835" t="n">
        <v>0.0</v>
      </c>
      <c r="G142" s="2835" t="s">
        <v>7005</v>
      </c>
      <c r="H142" s="2835" t="s">
        <v>9663</v>
      </c>
      <c r="I142" s="2835" t="n">
        <v>47.8</v>
      </c>
      <c r="J142" s="2835" t="s">
        <v>7018</v>
      </c>
      <c r="K142" s="2835" t="s">
        <v>9628</v>
      </c>
      <c r="L142" s="2835" t="n">
        <v>0.0</v>
      </c>
      <c r="M142" s="2835"/>
      <c r="N142" s="2835"/>
    </row>
    <row r="143" spans="1:14" x14ac:dyDescent="0.15" ht="13.5" customHeight="true" hidden="false">
      <c r="A143" s="2835"/>
      <c r="B143" s="2835"/>
      <c r="C143" s="2835"/>
      <c r="D143" s="2835" t="s">
        <v>6947</v>
      </c>
      <c r="E143" s="2835" t="s">
        <v>9641</v>
      </c>
      <c r="F143" s="2835" t="n">
        <v>0.0</v>
      </c>
      <c r="G143" s="2835" t="s">
        <v>7005</v>
      </c>
      <c r="H143" s="2835" t="s">
        <v>9665</v>
      </c>
      <c r="I143" s="2835" t="n">
        <v>0.0</v>
      </c>
      <c r="J143" s="2835" t="s">
        <v>7018</v>
      </c>
      <c r="K143" s="2835" t="s">
        <v>9629</v>
      </c>
      <c r="L143" s="2835" t="n">
        <v>571.8</v>
      </c>
      <c r="M143" s="2835"/>
      <c r="N143" s="2835"/>
    </row>
    <row r="144" spans="1:14" x14ac:dyDescent="0.15" ht="13.5" customHeight="true" hidden="false">
      <c r="A144" s="2835"/>
      <c r="B144" s="2835"/>
      <c r="C144" s="2835"/>
      <c r="D144" s="2835" t="s">
        <v>6947</v>
      </c>
      <c r="E144" s="2835" t="s">
        <v>9621</v>
      </c>
      <c r="F144" s="2835" t="n">
        <v>0.0</v>
      </c>
      <c r="G144" s="2835" t="s">
        <v>7005</v>
      </c>
      <c r="H144" s="2835" t="s">
        <v>9667</v>
      </c>
      <c r="I144" s="2835" t="n">
        <v>71.9</v>
      </c>
      <c r="J144" s="2835" t="s">
        <v>7018</v>
      </c>
      <c r="K144" s="2835" t="s">
        <v>9633</v>
      </c>
      <c r="L144" s="2835" t="n">
        <v>242.8</v>
      </c>
      <c r="M144" s="2835"/>
      <c r="N144" s="2835"/>
    </row>
    <row r="145" spans="1:14" x14ac:dyDescent="0.15" ht="13.5" customHeight="true" hidden="false">
      <c r="A145" s="2835"/>
      <c r="B145" s="2835"/>
      <c r="C145" s="2835"/>
      <c r="D145" s="2835" t="s">
        <v>6947</v>
      </c>
      <c r="E145" s="2835" t="s">
        <v>9642</v>
      </c>
      <c r="F145" s="2835" t="n">
        <v>87.4</v>
      </c>
      <c r="G145" s="2835" t="s">
        <v>7005</v>
      </c>
      <c r="H145" s="2835" t="s">
        <v>9669</v>
      </c>
      <c r="I145" s="2835" t="n">
        <v>0.0</v>
      </c>
      <c r="J145" s="2835" t="s">
        <v>7018</v>
      </c>
      <c r="K145" s="2835" t="s">
        <v>9634</v>
      </c>
      <c r="L145" s="2835" t="n">
        <v>996.0</v>
      </c>
      <c r="M145" s="2835"/>
      <c r="N145" s="2835"/>
    </row>
    <row r="146" spans="1:14" x14ac:dyDescent="0.15" ht="13.5" customHeight="true" hidden="false">
      <c r="A146" s="2835"/>
      <c r="B146" s="2835"/>
      <c r="C146" s="2835"/>
      <c r="D146" s="2835" t="s">
        <v>6947</v>
      </c>
      <c r="E146" s="2835" t="s">
        <v>9622</v>
      </c>
      <c r="F146" s="2835" t="n">
        <v>0.0</v>
      </c>
      <c r="G146" s="2835" t="s">
        <v>7005</v>
      </c>
      <c r="H146" s="2835" t="s">
        <v>9671</v>
      </c>
      <c r="I146" s="2835" t="n">
        <v>276.6</v>
      </c>
      <c r="J146" s="2835" t="s">
        <v>7018</v>
      </c>
      <c r="K146" s="2835" t="s">
        <v>9635</v>
      </c>
      <c r="L146" s="2835" t="n">
        <v>502.6</v>
      </c>
      <c r="M146" s="2835"/>
      <c r="N146" s="2835"/>
    </row>
    <row r="147" spans="1:14" x14ac:dyDescent="0.15" ht="13.5" customHeight="true" hidden="false">
      <c r="A147" s="2835"/>
      <c r="B147" s="2835"/>
      <c r="C147" s="2835"/>
      <c r="D147" s="2835" t="s">
        <v>6947</v>
      </c>
      <c r="E147" s="2835" t="s">
        <v>9643</v>
      </c>
      <c r="F147" s="2835" t="n">
        <v>224.8</v>
      </c>
      <c r="G147" s="2835" t="s">
        <v>7005</v>
      </c>
      <c r="H147" s="2835" t="s">
        <v>9673</v>
      </c>
      <c r="I147" s="2835" t="n">
        <v>0.0</v>
      </c>
      <c r="J147" s="2835" t="s">
        <v>7018</v>
      </c>
      <c r="K147" s="2835" t="s">
        <v>9636</v>
      </c>
      <c r="L147" s="2835" t="n">
        <v>609.3</v>
      </c>
      <c r="M147" s="2835"/>
      <c r="N147" s="2835"/>
    </row>
    <row r="148" spans="1:14" x14ac:dyDescent="0.15" ht="13.5" customHeight="true" hidden="false">
      <c r="A148" s="2835"/>
      <c r="B148" s="2835"/>
      <c r="C148" s="2835"/>
      <c r="D148" s="2835" t="s">
        <v>6947</v>
      </c>
      <c r="E148" s="2835" t="s">
        <v>9623</v>
      </c>
      <c r="F148" s="2835" t="n">
        <v>0.0</v>
      </c>
      <c r="G148" s="2835" t="s">
        <v>7005</v>
      </c>
      <c r="H148" s="2835" t="s">
        <v>9674</v>
      </c>
      <c r="I148" s="2835" t="n">
        <v>172.9</v>
      </c>
      <c r="J148" s="2835" t="s">
        <v>7018</v>
      </c>
      <c r="K148" s="2835" t="s">
        <v>9637</v>
      </c>
      <c r="L148" s="2835" t="n">
        <v>420.4</v>
      </c>
      <c r="M148" s="2835"/>
      <c r="N148" s="2835"/>
    </row>
    <row r="149" spans="1:14" x14ac:dyDescent="0.15" ht="13.5" customHeight="true" hidden="false">
      <c r="A149" s="2835"/>
      <c r="B149" s="2835"/>
      <c r="C149" s="2835"/>
      <c r="D149" s="2835" t="s">
        <v>6947</v>
      </c>
      <c r="E149" s="2835" t="s">
        <v>9644</v>
      </c>
      <c r="F149" s="2835" t="n">
        <v>565.4</v>
      </c>
      <c r="G149" s="2835" t="s">
        <v>7005</v>
      </c>
      <c r="H149" s="2835" t="s">
        <v>9675</v>
      </c>
      <c r="I149" s="2835" t="n">
        <v>0.0</v>
      </c>
      <c r="J149" s="2835" t="s">
        <v>7018</v>
      </c>
      <c r="K149" s="2835" t="s">
        <v>9638</v>
      </c>
      <c r="L149" s="2835" t="n">
        <v>202.7</v>
      </c>
      <c r="M149" s="2835"/>
      <c r="N149" s="2835"/>
    </row>
    <row r="150" spans="1:14" x14ac:dyDescent="0.15" ht="13.5" customHeight="true" hidden="false">
      <c r="A150" s="2835"/>
      <c r="B150" s="2835"/>
      <c r="C150" s="2835"/>
      <c r="D150" s="2835" t="s">
        <v>6947</v>
      </c>
      <c r="E150" s="2835" t="s">
        <v>9624</v>
      </c>
      <c r="F150" s="2835" t="n">
        <v>0.0</v>
      </c>
      <c r="G150" s="2835" t="s">
        <v>7005</v>
      </c>
      <c r="H150" s="2835" t="s">
        <v>9676</v>
      </c>
      <c r="I150" s="2835" t="n">
        <v>171.5</v>
      </c>
      <c r="J150" s="2835" t="s">
        <v>7018</v>
      </c>
      <c r="K150" s="2835" t="s">
        <v>9657</v>
      </c>
      <c r="L150" s="2835" t="n">
        <v>863.7</v>
      </c>
      <c r="M150" s="2835"/>
      <c r="N150" s="2835"/>
    </row>
    <row r="151" spans="1:14" x14ac:dyDescent="0.15" ht="13.5" customHeight="true" hidden="false">
      <c r="A151" s="2835"/>
      <c r="B151" s="2835"/>
      <c r="C151" s="2835"/>
      <c r="D151" s="2835" t="s">
        <v>6947</v>
      </c>
      <c r="E151" s="2835" t="s">
        <v>9645</v>
      </c>
      <c r="F151" s="2835" t="n">
        <v>278.1</v>
      </c>
      <c r="G151" s="2835" t="s">
        <v>7005</v>
      </c>
      <c r="H151" s="2835" t="s">
        <v>9677</v>
      </c>
      <c r="I151" s="2835" t="n">
        <v>0.0</v>
      </c>
      <c r="J151" s="2835" t="s">
        <v>7018</v>
      </c>
      <c r="K151" s="2835" t="s">
        <v>9659</v>
      </c>
      <c r="L151" s="2835" t="n">
        <v>232.6</v>
      </c>
      <c r="M151" s="2835"/>
      <c r="N151" s="2835"/>
    </row>
    <row r="152" spans="1:14" x14ac:dyDescent="0.15" ht="13.5" customHeight="true" hidden="false">
      <c r="A152" s="2835"/>
      <c r="B152" s="2835"/>
      <c r="C152" s="2835"/>
      <c r="D152" s="2835" t="s">
        <v>6947</v>
      </c>
      <c r="E152" s="2835" t="s">
        <v>9625</v>
      </c>
      <c r="F152" s="2835" t="n">
        <v>0.0</v>
      </c>
      <c r="G152" s="2835" t="s">
        <v>7005</v>
      </c>
      <c r="H152" s="2835" t="s">
        <v>9678</v>
      </c>
      <c r="I152" s="2835" t="n">
        <v>0.0</v>
      </c>
      <c r="J152" s="2835" t="s">
        <v>7018</v>
      </c>
      <c r="K152" s="2835" t="s">
        <v>9661</v>
      </c>
      <c r="L152" s="2835" t="n">
        <v>0.0</v>
      </c>
      <c r="M152" s="2835"/>
      <c r="N152" s="2835"/>
    </row>
    <row r="153" spans="1:14" x14ac:dyDescent="0.15" ht="13.5" customHeight="true" hidden="false">
      <c r="A153" s="2835"/>
      <c r="B153" s="2835"/>
      <c r="C153" s="2835"/>
      <c r="D153" s="2835" t="s">
        <v>6947</v>
      </c>
      <c r="E153" s="2835" t="s">
        <v>9646</v>
      </c>
      <c r="F153" s="2835" t="n">
        <v>45.5</v>
      </c>
      <c r="G153" s="2835" t="s">
        <v>7005</v>
      </c>
      <c r="H153" s="2835" t="s">
        <v>9679</v>
      </c>
      <c r="I153" s="2835" t="n">
        <v>0.0</v>
      </c>
      <c r="J153" s="2835" t="s">
        <v>7018</v>
      </c>
      <c r="K153" s="2835" t="s">
        <v>9663</v>
      </c>
      <c r="L153" s="2835" t="n">
        <v>0.0</v>
      </c>
      <c r="M153" s="2835"/>
      <c r="N153" s="2835"/>
    </row>
    <row r="154" spans="1:14" x14ac:dyDescent="0.15" ht="13.5" customHeight="true" hidden="false">
      <c r="A154" s="2835"/>
      <c r="B154" s="2835"/>
      <c r="C154" s="2835"/>
      <c r="D154" s="2835" t="s">
        <v>6947</v>
      </c>
      <c r="E154" s="2835" t="s">
        <v>9626</v>
      </c>
      <c r="F154" s="2835" t="n">
        <v>0.0</v>
      </c>
      <c r="G154" s="2835" t="s">
        <v>7005</v>
      </c>
      <c r="H154" s="2835" t="s">
        <v>9680</v>
      </c>
      <c r="I154" s="2835" t="n">
        <v>0.0</v>
      </c>
      <c r="J154" s="2835" t="s">
        <v>7018</v>
      </c>
      <c r="K154" s="2835" t="s">
        <v>9665</v>
      </c>
      <c r="L154" s="2835" t="n">
        <v>190.8</v>
      </c>
      <c r="M154" s="2835"/>
      <c r="N154" s="2835"/>
    </row>
    <row r="155" spans="1:14" x14ac:dyDescent="0.15" ht="13.5" customHeight="true" hidden="false">
      <c r="A155" s="2835"/>
      <c r="B155" s="2835"/>
      <c r="C155" s="2835"/>
      <c r="D155" s="2835" t="s">
        <v>6947</v>
      </c>
      <c r="E155" s="2835" t="s">
        <v>9647</v>
      </c>
      <c r="F155" s="2835" t="n">
        <v>630.8</v>
      </c>
      <c r="G155" s="2835" t="s">
        <v>7005</v>
      </c>
      <c r="H155" s="2835" t="s">
        <v>9681</v>
      </c>
      <c r="I155" s="2835" t="n">
        <v>0.0</v>
      </c>
      <c r="J155" s="2835" t="s">
        <v>7018</v>
      </c>
      <c r="K155" s="2835" t="s">
        <v>9667</v>
      </c>
      <c r="L155" s="2835" t="n">
        <v>340.5</v>
      </c>
      <c r="M155" s="2835"/>
      <c r="N155" s="2835"/>
    </row>
    <row r="156" spans="1:14" x14ac:dyDescent="0.15" ht="13.5" customHeight="true" hidden="false">
      <c r="A156" s="2835"/>
      <c r="B156" s="2835"/>
      <c r="C156" s="2835"/>
      <c r="D156" s="2835" t="s">
        <v>6947</v>
      </c>
      <c r="E156" s="2835" t="s">
        <v>9627</v>
      </c>
      <c r="F156" s="2835" t="n">
        <v>0.0</v>
      </c>
      <c r="G156" s="2835" t="s">
        <v>7005</v>
      </c>
      <c r="H156" s="2835" t="s">
        <v>9682</v>
      </c>
      <c r="I156" s="2835" t="n">
        <v>47.8</v>
      </c>
      <c r="J156" s="2835" t="s">
        <v>7018</v>
      </c>
      <c r="K156" s="2835" t="s">
        <v>9669</v>
      </c>
      <c r="L156" s="2835" t="n">
        <v>268.8</v>
      </c>
      <c r="M156" s="2835"/>
      <c r="N156" s="2835"/>
    </row>
    <row r="157" spans="1:14" x14ac:dyDescent="0.15" ht="13.5" customHeight="true" hidden="false">
      <c r="A157" s="2835"/>
      <c r="B157" s="2835"/>
      <c r="C157" s="2835"/>
      <c r="D157" s="2835" t="s">
        <v>6947</v>
      </c>
      <c r="E157" s="2835" t="s">
        <v>9648</v>
      </c>
      <c r="F157" s="2835" t="n">
        <v>804.2</v>
      </c>
      <c r="G157" s="2835" t="s">
        <v>7005</v>
      </c>
      <c r="H157" s="2835" t="s">
        <v>9683</v>
      </c>
      <c r="I157" s="2835" t="n">
        <v>71.9</v>
      </c>
      <c r="J157" s="2835" t="s">
        <v>7018</v>
      </c>
      <c r="K157" s="2835" t="s">
        <v>9671</v>
      </c>
      <c r="L157" s="2835" t="n">
        <v>555.5</v>
      </c>
      <c r="M157" s="2835"/>
      <c r="N157" s="2835"/>
    </row>
    <row r="158" spans="1:14" x14ac:dyDescent="0.15" ht="13.5" customHeight="true" hidden="false">
      <c r="A158" s="2835"/>
      <c r="B158" s="2835"/>
      <c r="C158" s="2835"/>
      <c r="D158" s="2835" t="s">
        <v>6947</v>
      </c>
      <c r="E158" s="2835" t="s">
        <v>9628</v>
      </c>
      <c r="F158" s="2835" t="n">
        <v>0.0</v>
      </c>
      <c r="G158" s="2835" t="s">
        <v>7005</v>
      </c>
      <c r="H158" s="2835" t="s">
        <v>9684</v>
      </c>
      <c r="I158" s="2835" t="n">
        <v>276.6</v>
      </c>
      <c r="J158" s="2835" t="s">
        <v>7018</v>
      </c>
      <c r="K158" s="2835" t="s">
        <v>9673</v>
      </c>
      <c r="L158" s="2835" t="n">
        <v>996.0</v>
      </c>
      <c r="M158" s="2835"/>
      <c r="N158" s="2835"/>
    </row>
    <row r="159" spans="1:14" x14ac:dyDescent="0.15" ht="13.5" customHeight="true" hidden="false">
      <c r="A159" s="2835"/>
      <c r="B159" s="2835"/>
      <c r="C159" s="2835"/>
      <c r="D159" s="2835" t="s">
        <v>6947</v>
      </c>
      <c r="E159" s="2835" t="s">
        <v>9649</v>
      </c>
      <c r="F159" s="2835" t="n">
        <v>402.9</v>
      </c>
      <c r="G159" s="2835" t="s">
        <v>7005</v>
      </c>
      <c r="H159" s="2835" t="s">
        <v>9685</v>
      </c>
      <c r="I159" s="2835" t="n">
        <v>172.9</v>
      </c>
      <c r="J159" s="2835" t="s">
        <v>7018</v>
      </c>
      <c r="K159" s="2835" t="s">
        <v>9674</v>
      </c>
      <c r="L159" s="2835" t="n">
        <v>232.0</v>
      </c>
      <c r="M159" s="2835"/>
      <c r="N159" s="2835"/>
    </row>
    <row r="160" spans="1:14" x14ac:dyDescent="0.15" ht="13.5" customHeight="true" hidden="false">
      <c r="A160" s="2835"/>
      <c r="B160" s="2835"/>
      <c r="C160" s="2835"/>
      <c r="D160" s="2835" t="s">
        <v>6947</v>
      </c>
      <c r="E160" s="2835" t="s">
        <v>9629</v>
      </c>
      <c r="F160" s="2835" t="n">
        <v>0.0</v>
      </c>
      <c r="G160" s="2835" t="s">
        <v>7005</v>
      </c>
      <c r="H160" s="2835" t="s">
        <v>9686</v>
      </c>
      <c r="I160" s="2835" t="n">
        <v>280.4</v>
      </c>
      <c r="J160" s="2835" t="s">
        <v>7018</v>
      </c>
      <c r="K160" s="2835" t="s">
        <v>9675</v>
      </c>
      <c r="L160" s="2835" t="n">
        <v>502.6</v>
      </c>
      <c r="M160" s="2835"/>
      <c r="N160" s="2835"/>
    </row>
    <row r="161" spans="1:14" x14ac:dyDescent="0.15" ht="13.5" customHeight="true" hidden="false">
      <c r="A161" s="2835"/>
      <c r="B161" s="2835"/>
      <c r="C161" s="2835"/>
      <c r="D161" s="2835" t="s">
        <v>6947</v>
      </c>
      <c r="E161" s="2835" t="s">
        <v>9650</v>
      </c>
      <c r="F161" s="2835" t="n">
        <v>461.9</v>
      </c>
      <c r="G161" s="2835" t="s">
        <v>7005</v>
      </c>
      <c r="H161" s="2835" t="s">
        <v>9687</v>
      </c>
      <c r="I161" s="2835" t="n">
        <v>0.0</v>
      </c>
      <c r="J161" s="2835" t="s">
        <v>7018</v>
      </c>
      <c r="K161" s="2835" t="s">
        <v>9676</v>
      </c>
      <c r="L161" s="2835" t="n">
        <v>517.0</v>
      </c>
      <c r="M161" s="2835"/>
      <c r="N161" s="2835"/>
    </row>
    <row r="162" spans="1:14" x14ac:dyDescent="0.15" ht="13.5" customHeight="true" hidden="false">
      <c r="A162" s="2835"/>
      <c r="B162" s="2835"/>
      <c r="C162" s="2835"/>
      <c r="D162" s="2835" t="s">
        <v>6947</v>
      </c>
      <c r="E162" s="2835" t="s">
        <v>9633</v>
      </c>
      <c r="F162" s="2835" t="n">
        <v>0.0</v>
      </c>
      <c r="G162" s="2835" t="s">
        <v>7005</v>
      </c>
      <c r="H162" s="2835" t="s">
        <v>9688</v>
      </c>
      <c r="I162" s="2835" t="n">
        <v>40.4</v>
      </c>
      <c r="J162" s="2835" t="s">
        <v>7018</v>
      </c>
      <c r="K162" s="2835" t="s">
        <v>9677</v>
      </c>
      <c r="L162" s="2835" t="n">
        <v>609.3</v>
      </c>
      <c r="M162" s="2835"/>
      <c r="N162" s="2835"/>
    </row>
    <row r="163" spans="1:14" x14ac:dyDescent="0.15" ht="13.5" customHeight="true" hidden="false">
      <c r="A163" s="2835"/>
      <c r="B163" s="2835"/>
      <c r="C163" s="2835"/>
      <c r="D163" s="2835" t="s">
        <v>6947</v>
      </c>
      <c r="E163" s="2835" t="s">
        <v>9651</v>
      </c>
      <c r="F163" s="2835" t="n">
        <v>0.0</v>
      </c>
      <c r="G163" s="2835" t="s">
        <v>7005</v>
      </c>
      <c r="H163" s="2835" t="s">
        <v>9689</v>
      </c>
      <c r="I163" s="2835" t="n">
        <v>0.0</v>
      </c>
      <c r="J163" s="2835" t="s">
        <v>7018</v>
      </c>
      <c r="K163" s="2835" t="s">
        <v>9678</v>
      </c>
      <c r="L163" s="2835" t="n">
        <v>0.0</v>
      </c>
      <c r="M163" s="2835"/>
      <c r="N163" s="2835"/>
    </row>
    <row r="164" spans="1:14" x14ac:dyDescent="0.15" ht="13.5" customHeight="true" hidden="false">
      <c r="A164" s="2835"/>
      <c r="B164" s="2835"/>
      <c r="C164" s="2835"/>
      <c r="D164" s="2835" t="s">
        <v>6947</v>
      </c>
      <c r="E164" s="2835" t="s">
        <v>9634</v>
      </c>
      <c r="F164" s="2835" t="n">
        <v>0.0</v>
      </c>
      <c r="G164" s="2835" t="s">
        <v>7005</v>
      </c>
      <c r="H164" s="2835" t="s">
        <v>9690</v>
      </c>
      <c r="I164" s="2835" t="n">
        <v>64.7</v>
      </c>
      <c r="J164" s="2835" t="s">
        <v>7018</v>
      </c>
      <c r="K164" s="2835" t="s">
        <v>9679</v>
      </c>
      <c r="L164" s="2835" t="n">
        <v>0.0</v>
      </c>
      <c r="M164" s="2835"/>
      <c r="N164" s="2835"/>
    </row>
    <row r="165" spans="1:14" x14ac:dyDescent="0.15" ht="13.5" customHeight="true" hidden="false">
      <c r="A165" s="2835"/>
      <c r="B165" s="2835"/>
      <c r="C165" s="2835"/>
      <c r="D165" s="2835" t="s">
        <v>6947</v>
      </c>
      <c r="E165" s="2835" t="s">
        <v>9652</v>
      </c>
      <c r="F165" s="2835" t="n">
        <v>0.0</v>
      </c>
      <c r="G165" s="2835" t="s">
        <v>7005</v>
      </c>
      <c r="H165" s="2835" t="s">
        <v>9691</v>
      </c>
      <c r="I165" s="2835" t="n">
        <v>280.4</v>
      </c>
      <c r="J165" s="2835" t="s">
        <v>7018</v>
      </c>
      <c r="K165" s="2835" t="s">
        <v>9680</v>
      </c>
      <c r="L165" s="2835" t="n">
        <v>138.3</v>
      </c>
      <c r="M165" s="2835"/>
      <c r="N165" s="2835"/>
    </row>
    <row r="166" spans="1:14" x14ac:dyDescent="0.15" ht="13.5" customHeight="true" hidden="false">
      <c r="A166" s="2835"/>
      <c r="B166" s="2835"/>
      <c r="C166" s="2835"/>
      <c r="D166" s="2835" t="s">
        <v>6947</v>
      </c>
      <c r="E166" s="2835" t="s">
        <v>9635</v>
      </c>
      <c r="F166" s="2835" t="n">
        <v>0.0</v>
      </c>
      <c r="G166" s="2835" t="s">
        <v>7005</v>
      </c>
      <c r="H166" s="2835" t="s">
        <v>9692</v>
      </c>
      <c r="I166" s="2835" t="n">
        <v>40.4</v>
      </c>
      <c r="J166" s="2835" t="s">
        <v>7018</v>
      </c>
      <c r="K166" s="2835" t="s">
        <v>9681</v>
      </c>
      <c r="L166" s="2835" t="n">
        <v>517.0</v>
      </c>
      <c r="M166" s="2835"/>
      <c r="N166" s="2835"/>
    </row>
    <row r="167" spans="1:14" x14ac:dyDescent="0.15" ht="13.5" customHeight="true" hidden="false">
      <c r="A167" s="2835"/>
      <c r="B167" s="2835"/>
      <c r="C167" s="2835"/>
      <c r="D167" s="2835" t="s">
        <v>6947</v>
      </c>
      <c r="E167" s="2835" t="s">
        <v>9653</v>
      </c>
      <c r="F167" s="2835" t="n">
        <v>0.0</v>
      </c>
      <c r="G167" s="2835" t="s">
        <v>7005</v>
      </c>
      <c r="H167" s="2835" t="s">
        <v>9693</v>
      </c>
      <c r="I167" s="2835" t="n">
        <v>0.0</v>
      </c>
      <c r="J167" s="2835" t="s">
        <v>7018</v>
      </c>
      <c r="K167" s="2835" t="s">
        <v>9682</v>
      </c>
      <c r="L167" s="2835" t="n">
        <v>529.0</v>
      </c>
      <c r="M167" s="2835"/>
      <c r="N167" s="2835"/>
    </row>
    <row r="168" spans="1:14" x14ac:dyDescent="0.15" ht="13.5" customHeight="true" hidden="false">
      <c r="A168" s="2835"/>
      <c r="B168" s="2835"/>
      <c r="C168" s="2835"/>
      <c r="D168" s="2835" t="s">
        <v>6947</v>
      </c>
      <c r="E168" s="2835" t="s">
        <v>9636</v>
      </c>
      <c r="F168" s="2835" t="n">
        <v>0.0</v>
      </c>
      <c r="G168" s="2835" t="s">
        <v>7005</v>
      </c>
      <c r="H168" s="2835" t="s">
        <v>9694</v>
      </c>
      <c r="I168" s="2835" t="n">
        <v>0.0</v>
      </c>
      <c r="J168" s="2835" t="s">
        <v>7018</v>
      </c>
      <c r="K168" s="2835" t="s">
        <v>9683</v>
      </c>
      <c r="L168" s="2835" t="n">
        <v>863.7</v>
      </c>
      <c r="M168" s="2835"/>
      <c r="N168" s="2835"/>
    </row>
    <row r="169" spans="1:14" x14ac:dyDescent="0.15" ht="13.5" customHeight="true" hidden="false">
      <c r="A169" s="2835"/>
      <c r="B169" s="2835"/>
      <c r="C169" s="2835"/>
      <c r="D169" s="2835" t="s">
        <v>6947</v>
      </c>
      <c r="E169" s="2835" t="s">
        <v>9654</v>
      </c>
      <c r="F169" s="2835" t="n">
        <v>0.0</v>
      </c>
      <c r="G169" s="2835" t="s">
        <v>7005</v>
      </c>
      <c r="H169" s="2835" t="s">
        <v>9695</v>
      </c>
      <c r="I169" s="2835" t="n">
        <v>0.0</v>
      </c>
      <c r="J169" s="2835" t="s">
        <v>7018</v>
      </c>
      <c r="K169" s="2835" t="s">
        <v>9684</v>
      </c>
      <c r="L169" s="2835" t="n">
        <v>529.0</v>
      </c>
      <c r="M169" s="2835"/>
      <c r="N169" s="2835"/>
    </row>
    <row r="170" spans="1:14" x14ac:dyDescent="0.15" ht="13.5" customHeight="true" hidden="false">
      <c r="A170" s="2835"/>
      <c r="B170" s="2835"/>
      <c r="C170" s="2835"/>
      <c r="D170" s="2835" t="s">
        <v>6947</v>
      </c>
      <c r="E170" s="2835" t="s">
        <v>9637</v>
      </c>
      <c r="F170" s="2835" t="n">
        <v>0.0</v>
      </c>
      <c r="G170" s="2835" t="s">
        <v>7005</v>
      </c>
      <c r="H170" s="2835" t="s">
        <v>9696</v>
      </c>
      <c r="I170" s="2835" t="n">
        <v>0.0</v>
      </c>
      <c r="J170" s="2835" t="s">
        <v>7018</v>
      </c>
      <c r="K170" s="2835" t="s">
        <v>9685</v>
      </c>
      <c r="L170" s="2835" t="n">
        <v>322.6</v>
      </c>
      <c r="M170" s="2835"/>
      <c r="N170" s="2835"/>
    </row>
    <row r="171" spans="1:14" x14ac:dyDescent="0.15" ht="13.5" customHeight="true" hidden="false">
      <c r="A171" s="2835"/>
      <c r="B171" s="2835"/>
      <c r="C171" s="2835"/>
      <c r="D171" s="2835" t="s">
        <v>6947</v>
      </c>
      <c r="E171" s="2835" t="s">
        <v>9655</v>
      </c>
      <c r="F171" s="2835" t="n">
        <v>255.8</v>
      </c>
      <c r="G171" s="2835" t="s">
        <v>7006</v>
      </c>
      <c r="H171" s="2835" t="s">
        <v>9618</v>
      </c>
      <c r="I171" s="2835" t="n">
        <v>777.3</v>
      </c>
      <c r="J171" s="2835" t="s">
        <v>7018</v>
      </c>
      <c r="K171" s="2835" t="s">
        <v>9686</v>
      </c>
      <c r="L171" s="2835" t="n">
        <v>750.6</v>
      </c>
      <c r="M171" s="2835"/>
      <c r="N171" s="2835"/>
    </row>
    <row r="172" spans="1:14" x14ac:dyDescent="0.15" ht="13.5" customHeight="true" hidden="false">
      <c r="A172" s="2835"/>
      <c r="B172" s="2835"/>
      <c r="C172" s="2835"/>
      <c r="D172" s="2835" t="s">
        <v>6947</v>
      </c>
      <c r="E172" s="2835" t="s">
        <v>9638</v>
      </c>
      <c r="F172" s="2835" t="n">
        <v>0.0</v>
      </c>
      <c r="G172" s="2835" t="s">
        <v>7006</v>
      </c>
      <c r="H172" s="2835" t="s">
        <v>9619</v>
      </c>
      <c r="I172" s="2835" t="n">
        <v>946.7</v>
      </c>
      <c r="J172" s="2835" t="s">
        <v>7014</v>
      </c>
      <c r="K172" s="2835" t="s">
        <v>9618</v>
      </c>
      <c r="L172" s="2835" t="n">
        <v>0.0</v>
      </c>
      <c r="M172" s="2835"/>
      <c r="N172" s="2835"/>
    </row>
    <row r="173" spans="1:14" x14ac:dyDescent="0.15" ht="13.5" customHeight="true" hidden="false">
      <c r="A173" s="2835"/>
      <c r="B173" s="2835"/>
      <c r="C173" s="2835"/>
      <c r="D173" s="2835" t="s">
        <v>6947</v>
      </c>
      <c r="E173" s="2835" t="s">
        <v>9656</v>
      </c>
      <c r="F173" s="2835" t="n">
        <v>222.1</v>
      </c>
      <c r="G173" s="2835" t="s">
        <v>7006</v>
      </c>
      <c r="H173" s="2835" t="s">
        <v>9620</v>
      </c>
      <c r="I173" s="2835" t="n">
        <v>946.7</v>
      </c>
      <c r="J173" s="2835" t="s">
        <v>7014</v>
      </c>
      <c r="K173" s="2835" t="s">
        <v>9619</v>
      </c>
      <c r="L173" s="2835" t="n">
        <v>288.3</v>
      </c>
      <c r="M173" s="2835"/>
      <c r="N173" s="2835"/>
    </row>
    <row r="174" spans="1:14" x14ac:dyDescent="0.15" ht="13.5" customHeight="true" hidden="false">
      <c r="A174" s="2835"/>
      <c r="B174" s="2835"/>
      <c r="C174" s="2835"/>
      <c r="D174" s="2835" t="s">
        <v>6947</v>
      </c>
      <c r="E174" s="2835" t="s">
        <v>9657</v>
      </c>
      <c r="F174" s="2835" t="n">
        <v>0.0</v>
      </c>
      <c r="G174" s="2835" t="s">
        <v>7006</v>
      </c>
      <c r="H174" s="2835" t="s">
        <v>9621</v>
      </c>
      <c r="I174" s="2835" t="n">
        <v>618.0</v>
      </c>
      <c r="J174" s="2835" t="s">
        <v>7014</v>
      </c>
      <c r="K174" s="2835" t="s">
        <v>9620</v>
      </c>
      <c r="L174" s="2835" t="n">
        <v>70.7</v>
      </c>
      <c r="M174" s="2835"/>
      <c r="N174" s="2835"/>
    </row>
    <row r="175" spans="1:14" x14ac:dyDescent="0.15" ht="13.5" customHeight="true" hidden="false">
      <c r="A175" s="2835"/>
      <c r="B175" s="2835"/>
      <c r="C175" s="2835"/>
      <c r="D175" s="2835" t="s">
        <v>6947</v>
      </c>
      <c r="E175" s="2835" t="s">
        <v>9658</v>
      </c>
      <c r="F175" s="2835" t="n">
        <v>232.6</v>
      </c>
      <c r="G175" s="2835" t="s">
        <v>7006</v>
      </c>
      <c r="H175" s="2835" t="s">
        <v>9622</v>
      </c>
      <c r="I175" s="2835" t="n">
        <v>532.2</v>
      </c>
      <c r="J175" s="2835" t="s">
        <v>7014</v>
      </c>
      <c r="K175" s="2835" t="s">
        <v>9621</v>
      </c>
      <c r="L175" s="2835" t="n">
        <v>153.6</v>
      </c>
      <c r="M175" s="2835"/>
      <c r="N175" s="2835"/>
    </row>
    <row r="176" spans="1:14" x14ac:dyDescent="0.15" ht="13.5" customHeight="true" hidden="false">
      <c r="A176" s="2835"/>
      <c r="B176" s="2835"/>
      <c r="C176" s="2835"/>
      <c r="D176" s="2835" t="s">
        <v>6947</v>
      </c>
      <c r="E176" s="2835" t="s">
        <v>9659</v>
      </c>
      <c r="F176" s="2835" t="n">
        <v>501.0</v>
      </c>
      <c r="G176" s="2835" t="s">
        <v>7006</v>
      </c>
      <c r="H176" s="2835" t="s">
        <v>9623</v>
      </c>
      <c r="I176" s="2835" t="n">
        <v>720.8</v>
      </c>
      <c r="J176" s="2835" t="s">
        <v>7014</v>
      </c>
      <c r="K176" s="2835" t="s">
        <v>9622</v>
      </c>
      <c r="L176" s="2835" t="n">
        <v>189.2</v>
      </c>
      <c r="M176" s="2835"/>
      <c r="N176" s="2835"/>
    </row>
    <row r="177" spans="1:14" x14ac:dyDescent="0.15" ht="13.5" customHeight="true" hidden="false">
      <c r="A177" s="2835"/>
      <c r="B177" s="2835"/>
      <c r="C177" s="2835"/>
      <c r="D177" s="2835" t="s">
        <v>6947</v>
      </c>
      <c r="E177" s="2835" t="s">
        <v>9660</v>
      </c>
      <c r="F177" s="2835" t="n">
        <v>282.9</v>
      </c>
      <c r="G177" s="2835" t="s">
        <v>7006</v>
      </c>
      <c r="H177" s="2835" t="s">
        <v>9624</v>
      </c>
      <c r="I177" s="2835" t="n">
        <v>618.0</v>
      </c>
      <c r="J177" s="2835" t="s">
        <v>7014</v>
      </c>
      <c r="K177" s="2835" t="s">
        <v>9623</v>
      </c>
      <c r="L177" s="2835" t="n">
        <v>0.0</v>
      </c>
      <c r="M177" s="2835"/>
      <c r="N177" s="2835"/>
    </row>
    <row r="178" spans="1:14" x14ac:dyDescent="0.15" ht="13.5" customHeight="true" hidden="false">
      <c r="A178" s="2835"/>
      <c r="B178" s="2835"/>
      <c r="C178" s="2835"/>
      <c r="D178" s="2835" t="s">
        <v>6947</v>
      </c>
      <c r="E178" s="2835" t="s">
        <v>9661</v>
      </c>
      <c r="F178" s="2835" t="n">
        <v>19.5</v>
      </c>
      <c r="G178" s="2835" t="s">
        <v>7006</v>
      </c>
      <c r="H178" s="2835" t="s">
        <v>9625</v>
      </c>
      <c r="I178" s="2835" t="n">
        <v>558.3</v>
      </c>
      <c r="J178" s="2835" t="s">
        <v>7014</v>
      </c>
      <c r="K178" s="2835" t="s">
        <v>9624</v>
      </c>
      <c r="L178" s="2835" t="n">
        <v>392.3</v>
      </c>
      <c r="M178" s="2835"/>
      <c r="N178" s="2835"/>
    </row>
    <row r="179" spans="1:14" x14ac:dyDescent="0.15" ht="13.5" customHeight="true" hidden="false">
      <c r="A179" s="2835"/>
      <c r="B179" s="2835"/>
      <c r="C179" s="2835"/>
      <c r="D179" s="2835" t="s">
        <v>6947</v>
      </c>
      <c r="E179" s="2835" t="s">
        <v>9662</v>
      </c>
      <c r="F179" s="2835" t="n">
        <v>170.4</v>
      </c>
      <c r="G179" s="2835" t="s">
        <v>7006</v>
      </c>
      <c r="H179" s="2835" t="s">
        <v>9626</v>
      </c>
      <c r="I179" s="2835" t="n">
        <v>630.9</v>
      </c>
      <c r="J179" s="2835" t="s">
        <v>7014</v>
      </c>
      <c r="K179" s="2835" t="s">
        <v>9625</v>
      </c>
      <c r="L179" s="2835" t="n">
        <v>779.2</v>
      </c>
      <c r="M179" s="2835"/>
      <c r="N179" s="2835"/>
    </row>
    <row r="180" spans="1:14" x14ac:dyDescent="0.15" ht="13.5" customHeight="true" hidden="false">
      <c r="A180" s="2835"/>
      <c r="B180" s="2835"/>
      <c r="C180" s="2835"/>
      <c r="D180" s="2835" t="s">
        <v>6947</v>
      </c>
      <c r="E180" s="2835" t="s">
        <v>9663</v>
      </c>
      <c r="F180" s="2835" t="n">
        <v>0.0</v>
      </c>
      <c r="G180" s="2835" t="s">
        <v>7006</v>
      </c>
      <c r="H180" s="2835" t="s">
        <v>9627</v>
      </c>
      <c r="I180" s="2835" t="n">
        <v>0.0</v>
      </c>
      <c r="J180" s="2835" t="s">
        <v>7014</v>
      </c>
      <c r="K180" s="2835" t="s">
        <v>9626</v>
      </c>
      <c r="L180" s="2835" t="n">
        <v>435.0</v>
      </c>
      <c r="M180" s="2835"/>
      <c r="N180" s="2835"/>
    </row>
    <row r="181" spans="1:14" x14ac:dyDescent="0.15" ht="13.5" customHeight="true" hidden="false">
      <c r="A181" s="2835"/>
      <c r="B181" s="2835"/>
      <c r="C181" s="2835"/>
      <c r="D181" s="2835" t="s">
        <v>6947</v>
      </c>
      <c r="E181" s="2835" t="s">
        <v>9664</v>
      </c>
      <c r="F181" s="2835" t="n">
        <v>215.9</v>
      </c>
      <c r="G181" s="2835" t="s">
        <v>7006</v>
      </c>
      <c r="H181" s="2835" t="s">
        <v>9628</v>
      </c>
      <c r="I181" s="2835" t="n">
        <v>720.8</v>
      </c>
      <c r="J181" s="2835" t="s">
        <v>7014</v>
      </c>
      <c r="K181" s="2835" t="s">
        <v>9627</v>
      </c>
      <c r="L181" s="2835" t="n">
        <v>76.0</v>
      </c>
      <c r="M181" s="2835"/>
      <c r="N181" s="2835"/>
    </row>
    <row r="182" spans="1:14" x14ac:dyDescent="0.15" ht="13.5" customHeight="true" hidden="false">
      <c r="A182" s="2835"/>
      <c r="B182" s="2835"/>
      <c r="C182" s="2835"/>
      <c r="D182" s="2835" t="s">
        <v>6947</v>
      </c>
      <c r="E182" s="2835" t="s">
        <v>9665</v>
      </c>
      <c r="F182" s="2835" t="n">
        <v>370.2</v>
      </c>
      <c r="G182" s="2835" t="s">
        <v>7006</v>
      </c>
      <c r="H182" s="2835" t="s">
        <v>9629</v>
      </c>
      <c r="I182" s="2835" t="n">
        <v>0.0</v>
      </c>
      <c r="J182" s="2835" t="s">
        <v>7014</v>
      </c>
      <c r="K182" s="2835" t="s">
        <v>9628</v>
      </c>
      <c r="L182" s="2835" t="n">
        <v>0.0</v>
      </c>
      <c r="M182" s="2835"/>
      <c r="N182" s="2835"/>
    </row>
    <row r="183" spans="1:14" x14ac:dyDescent="0.15" ht="13.5" customHeight="true" hidden="false">
      <c r="A183" s="2835"/>
      <c r="B183" s="2835"/>
      <c r="C183" s="2835"/>
      <c r="D183" s="2835" t="s">
        <v>6947</v>
      </c>
      <c r="E183" s="2835" t="s">
        <v>9666</v>
      </c>
      <c r="F183" s="2835" t="n">
        <v>454.1</v>
      </c>
      <c r="G183" s="2835" t="s">
        <v>7006</v>
      </c>
      <c r="H183" s="2835" t="s">
        <v>9633</v>
      </c>
      <c r="I183" s="2835" t="n">
        <v>434.0</v>
      </c>
      <c r="J183" s="2835" t="s">
        <v>7014</v>
      </c>
      <c r="K183" s="2835" t="s">
        <v>9629</v>
      </c>
      <c r="L183" s="2835" t="n">
        <v>640.4</v>
      </c>
      <c r="M183" s="2835"/>
      <c r="N183" s="2835"/>
    </row>
    <row r="184" spans="1:14" x14ac:dyDescent="0.15" ht="13.5" customHeight="true" hidden="false">
      <c r="A184" s="2835"/>
      <c r="B184" s="2835"/>
      <c r="C184" s="2835"/>
      <c r="D184" s="2835" t="s">
        <v>6947</v>
      </c>
      <c r="E184" s="2835" t="s">
        <v>9667</v>
      </c>
      <c r="F184" s="2835" t="n">
        <v>0.0</v>
      </c>
      <c r="G184" s="2835" t="s">
        <v>7006</v>
      </c>
      <c r="H184" s="2835" t="s">
        <v>9634</v>
      </c>
      <c r="I184" s="2835" t="n">
        <v>0.0</v>
      </c>
      <c r="J184" s="2835" t="s">
        <v>7014</v>
      </c>
      <c r="K184" s="2835" t="s">
        <v>9633</v>
      </c>
      <c r="L184" s="2835" t="n">
        <v>392.3</v>
      </c>
      <c r="M184" s="2835"/>
      <c r="N184" s="2835"/>
    </row>
    <row r="185" spans="1:14" x14ac:dyDescent="0.15" ht="13.5" customHeight="true" hidden="false">
      <c r="A185" s="2835"/>
      <c r="B185" s="2835"/>
      <c r="C185" s="2835"/>
      <c r="D185" s="2835" t="s">
        <v>6947</v>
      </c>
      <c r="E185" s="2835" t="s">
        <v>9668</v>
      </c>
      <c r="F185" s="2835" t="n">
        <v>445.4</v>
      </c>
      <c r="G185" s="2835" t="s">
        <v>7006</v>
      </c>
      <c r="H185" s="2835" t="s">
        <v>9635</v>
      </c>
      <c r="I185" s="2835" t="n">
        <v>558.3</v>
      </c>
      <c r="J185" s="2835" t="s">
        <v>7014</v>
      </c>
      <c r="K185" s="2835" t="s">
        <v>9634</v>
      </c>
      <c r="L185" s="2835" t="n">
        <v>2203.1</v>
      </c>
      <c r="M185" s="2835"/>
      <c r="N185" s="2835"/>
    </row>
    <row r="186" spans="1:14" x14ac:dyDescent="0.15" ht="13.5" customHeight="true" hidden="false">
      <c r="A186" s="2835"/>
      <c r="B186" s="2835"/>
      <c r="C186" s="2835"/>
      <c r="D186" s="2835" t="s">
        <v>6947</v>
      </c>
      <c r="E186" s="2835" t="s">
        <v>9669</v>
      </c>
      <c r="F186" s="2835" t="n">
        <v>614.6</v>
      </c>
      <c r="G186" s="2835" t="s">
        <v>7006</v>
      </c>
      <c r="H186" s="2835" t="s">
        <v>9636</v>
      </c>
      <c r="I186" s="2835" t="n">
        <v>0.0</v>
      </c>
      <c r="J186" s="2835" t="s">
        <v>7014</v>
      </c>
      <c r="K186" s="2835" t="s">
        <v>9635</v>
      </c>
      <c r="L186" s="2835" t="n">
        <v>312.2</v>
      </c>
      <c r="M186" s="2835"/>
      <c r="N186" s="2835"/>
    </row>
    <row r="187" spans="1:14" x14ac:dyDescent="0.15" ht="13.5" customHeight="true" hidden="false">
      <c r="A187" s="2835"/>
      <c r="B187" s="2835"/>
      <c r="C187" s="2835"/>
      <c r="D187" s="2835" t="s">
        <v>6947</v>
      </c>
      <c r="E187" s="2835" t="s">
        <v>9670</v>
      </c>
      <c r="F187" s="2835" t="n">
        <v>584.6</v>
      </c>
      <c r="G187" s="2835" t="s">
        <v>7006</v>
      </c>
      <c r="H187" s="2835" t="s">
        <v>9637</v>
      </c>
      <c r="I187" s="2835" t="n">
        <v>263.5</v>
      </c>
      <c r="J187" s="2835" t="s">
        <v>7014</v>
      </c>
      <c r="K187" s="2835" t="s">
        <v>9636</v>
      </c>
      <c r="L187" s="2835" t="n">
        <v>0.0</v>
      </c>
      <c r="M187" s="2835"/>
      <c r="N187" s="2835"/>
    </row>
    <row r="188" spans="1:14" x14ac:dyDescent="0.15" ht="13.5" customHeight="true" hidden="false">
      <c r="A188" s="2835"/>
      <c r="B188" s="2835"/>
      <c r="C188" s="2835"/>
      <c r="D188" s="2835" t="s">
        <v>6947</v>
      </c>
      <c r="E188" s="2835" t="s">
        <v>9671</v>
      </c>
      <c r="F188" s="2835" t="n">
        <v>899.6</v>
      </c>
      <c r="G188" s="2835" t="s">
        <v>7006</v>
      </c>
      <c r="H188" s="2835" t="s">
        <v>9638</v>
      </c>
      <c r="I188" s="2835" t="n">
        <v>0.0</v>
      </c>
      <c r="J188" s="2835" t="s">
        <v>7014</v>
      </c>
      <c r="K188" s="2835" t="s">
        <v>9637</v>
      </c>
      <c r="L188" s="2835" t="n">
        <v>435.0</v>
      </c>
      <c r="M188" s="2835"/>
      <c r="N188" s="2835"/>
    </row>
    <row r="189" spans="1:14" x14ac:dyDescent="0.15" ht="13.5" customHeight="true" hidden="false">
      <c r="A189" s="2835"/>
      <c r="B189" s="2835"/>
      <c r="C189" s="2835"/>
      <c r="D189" s="2835" t="s">
        <v>6947</v>
      </c>
      <c r="E189" s="2835" t="s">
        <v>9672</v>
      </c>
      <c r="F189" s="2835" t="n">
        <v>682.9</v>
      </c>
      <c r="G189" s="2835" t="s">
        <v>7006</v>
      </c>
      <c r="H189" s="2835" t="s">
        <v>9657</v>
      </c>
      <c r="I189" s="2835" t="n">
        <v>0.0</v>
      </c>
      <c r="J189" s="2835" t="s">
        <v>7014</v>
      </c>
      <c r="K189" s="2835" t="s">
        <v>9638</v>
      </c>
      <c r="L189" s="2835" t="n">
        <v>301.0</v>
      </c>
      <c r="M189" s="2835"/>
      <c r="N189" s="2835"/>
    </row>
    <row r="190" spans="1:14" x14ac:dyDescent="0.15" ht="13.5" customHeight="true" hidden="false">
      <c r="A190" s="2835"/>
      <c r="B190" s="2835"/>
      <c r="C190" s="2835"/>
      <c r="D190" s="2835" t="s">
        <v>6948</v>
      </c>
      <c r="E190" s="2835" t="s">
        <v>9639</v>
      </c>
      <c r="F190" s="2835" t="n">
        <v>0.0</v>
      </c>
      <c r="G190" s="2835" t="s">
        <v>7006</v>
      </c>
      <c r="H190" s="2835" t="s">
        <v>9659</v>
      </c>
      <c r="I190" s="2835" t="n">
        <v>0.0</v>
      </c>
      <c r="J190" s="2835" t="s">
        <v>7014</v>
      </c>
      <c r="K190" s="2835" t="s">
        <v>9657</v>
      </c>
      <c r="L190" s="2835" t="n">
        <v>685.4</v>
      </c>
      <c r="M190" s="2835"/>
      <c r="N190" s="2835"/>
    </row>
    <row r="191" spans="1:14" x14ac:dyDescent="0.15" ht="13.5" customHeight="true" hidden="false">
      <c r="A191" s="2835"/>
      <c r="B191" s="2835"/>
      <c r="C191" s="2835"/>
      <c r="D191" s="2835" t="s">
        <v>6948</v>
      </c>
      <c r="E191" s="2835" t="s">
        <v>9618</v>
      </c>
      <c r="F191" s="2835" t="n">
        <v>0.0</v>
      </c>
      <c r="G191" s="2835" t="s">
        <v>7006</v>
      </c>
      <c r="H191" s="2835" t="s">
        <v>9661</v>
      </c>
      <c r="I191" s="2835" t="n">
        <v>0.0</v>
      </c>
      <c r="J191" s="2835" t="s">
        <v>7014</v>
      </c>
      <c r="K191" s="2835" t="s">
        <v>9659</v>
      </c>
      <c r="L191" s="2835" t="n">
        <v>323.7</v>
      </c>
      <c r="M191" s="2835"/>
      <c r="N191" s="2835"/>
    </row>
    <row r="192" spans="1:14" x14ac:dyDescent="0.15" ht="13.5" customHeight="true" hidden="false">
      <c r="A192" s="2835"/>
      <c r="B192" s="2835"/>
      <c r="C192" s="2835"/>
      <c r="D192" s="2835" t="s">
        <v>6948</v>
      </c>
      <c r="E192" s="2835" t="s">
        <v>9640</v>
      </c>
      <c r="F192" s="2835" t="n">
        <v>0.0</v>
      </c>
      <c r="G192" s="2835" t="s">
        <v>7006</v>
      </c>
      <c r="H192" s="2835" t="s">
        <v>9663</v>
      </c>
      <c r="I192" s="2835" t="n">
        <v>216.5</v>
      </c>
      <c r="J192" s="2835" t="s">
        <v>7014</v>
      </c>
      <c r="K192" s="2835" t="s">
        <v>9661</v>
      </c>
      <c r="L192" s="2835" t="n">
        <v>288.3</v>
      </c>
      <c r="M192" s="2835"/>
      <c r="N192" s="2835"/>
    </row>
    <row r="193" spans="1:14" x14ac:dyDescent="0.15" ht="13.5" customHeight="true" hidden="false">
      <c r="A193" s="2835"/>
      <c r="B193" s="2835"/>
      <c r="C193" s="2835"/>
      <c r="D193" s="2835" t="s">
        <v>6948</v>
      </c>
      <c r="E193" s="2835" t="s">
        <v>9619</v>
      </c>
      <c r="F193" s="2835" t="n">
        <v>0.0</v>
      </c>
      <c r="G193" s="2835" t="s">
        <v>7006</v>
      </c>
      <c r="H193" s="2835" t="s">
        <v>9665</v>
      </c>
      <c r="I193" s="2835" t="n">
        <v>0.0</v>
      </c>
      <c r="J193" s="2835" t="s">
        <v>7014</v>
      </c>
      <c r="K193" s="2835" t="s">
        <v>9663</v>
      </c>
      <c r="L193" s="2835" t="n">
        <v>0.0</v>
      </c>
      <c r="M193" s="2835"/>
      <c r="N193" s="2835"/>
    </row>
    <row r="194" spans="1:14" x14ac:dyDescent="0.15" ht="13.5" customHeight="true" hidden="false">
      <c r="A194" s="2835"/>
      <c r="B194" s="2835"/>
      <c r="C194" s="2835"/>
      <c r="D194" s="2835" t="s">
        <v>6948</v>
      </c>
      <c r="E194" s="2835" t="s">
        <v>9641</v>
      </c>
      <c r="F194" s="2835" t="n">
        <v>0.0</v>
      </c>
      <c r="G194" s="2835" t="s">
        <v>7006</v>
      </c>
      <c r="H194" s="2835" t="s">
        <v>9667</v>
      </c>
      <c r="I194" s="2835" t="n">
        <v>202.2</v>
      </c>
      <c r="J194" s="2835" t="s">
        <v>7014</v>
      </c>
      <c r="K194" s="2835" t="s">
        <v>9665</v>
      </c>
      <c r="L194" s="2835" t="n">
        <v>0.0</v>
      </c>
      <c r="M194" s="2835"/>
      <c r="N194" s="2835"/>
    </row>
    <row r="195" spans="1:14" x14ac:dyDescent="0.15" ht="13.5" customHeight="true" hidden="false">
      <c r="A195" s="2835"/>
      <c r="B195" s="2835"/>
      <c r="C195" s="2835"/>
      <c r="D195" s="2835" t="s">
        <v>6948</v>
      </c>
      <c r="E195" s="2835" t="s">
        <v>9620</v>
      </c>
      <c r="F195" s="2835" t="n">
        <v>0.0</v>
      </c>
      <c r="G195" s="2835" t="s">
        <v>7006</v>
      </c>
      <c r="H195" s="2835" t="s">
        <v>9669</v>
      </c>
      <c r="I195" s="2835" t="n">
        <v>0.0</v>
      </c>
      <c r="J195" s="2835" t="s">
        <v>7014</v>
      </c>
      <c r="K195" s="2835" t="s">
        <v>9667</v>
      </c>
      <c r="L195" s="2835" t="n">
        <v>779.2</v>
      </c>
      <c r="M195" s="2835"/>
      <c r="N195" s="2835"/>
    </row>
    <row r="196" spans="1:14" x14ac:dyDescent="0.15" ht="13.5" customHeight="true" hidden="false">
      <c r="A196" s="2835"/>
      <c r="B196" s="2835"/>
      <c r="C196" s="2835"/>
      <c r="D196" s="2835" t="s">
        <v>6948</v>
      </c>
      <c r="E196" s="2835" t="s">
        <v>9642</v>
      </c>
      <c r="F196" s="2835" t="n">
        <v>88.4</v>
      </c>
      <c r="G196" s="2835" t="s">
        <v>7006</v>
      </c>
      <c r="H196" s="2835" t="s">
        <v>9671</v>
      </c>
      <c r="I196" s="2835" t="n">
        <v>127.6</v>
      </c>
      <c r="J196" s="2835" t="s">
        <v>7014</v>
      </c>
      <c r="K196" s="2835" t="s">
        <v>9669</v>
      </c>
      <c r="L196" s="2835" t="n">
        <v>76.0</v>
      </c>
      <c r="M196" s="2835"/>
      <c r="N196" s="2835"/>
    </row>
    <row r="197" spans="1:14" x14ac:dyDescent="0.15" ht="13.5" customHeight="true" hidden="false">
      <c r="A197" s="2835"/>
      <c r="B197" s="2835"/>
      <c r="C197" s="2835"/>
      <c r="D197" s="2835" t="s">
        <v>6948</v>
      </c>
      <c r="E197" s="2835" t="s">
        <v>9621</v>
      </c>
      <c r="F197" s="2835" t="n">
        <v>0.0</v>
      </c>
      <c r="G197" s="2835" t="s">
        <v>7006</v>
      </c>
      <c r="H197" s="2835" t="s">
        <v>9673</v>
      </c>
      <c r="I197" s="2835" t="n">
        <v>0.0</v>
      </c>
      <c r="J197" s="2835" t="s">
        <v>7014</v>
      </c>
      <c r="K197" s="2835" t="s">
        <v>9671</v>
      </c>
      <c r="L197" s="2835" t="n">
        <v>640.4</v>
      </c>
      <c r="M197" s="2835"/>
      <c r="N197" s="2835"/>
    </row>
    <row r="198" spans="1:14" x14ac:dyDescent="0.15" ht="13.5" customHeight="true" hidden="false">
      <c r="A198" s="2835"/>
      <c r="B198" s="2835"/>
      <c r="C198" s="2835"/>
      <c r="D198" s="2835" t="s">
        <v>6948</v>
      </c>
      <c r="E198" s="2835" t="s">
        <v>9643</v>
      </c>
      <c r="F198" s="2835" t="n">
        <v>273.4</v>
      </c>
      <c r="G198" s="2835" t="s">
        <v>7006</v>
      </c>
      <c r="H198" s="2835" t="s">
        <v>9674</v>
      </c>
      <c r="I198" s="2835" t="n">
        <v>135.6</v>
      </c>
      <c r="J198" s="2835" t="s">
        <v>7014</v>
      </c>
      <c r="K198" s="2835" t="s">
        <v>9673</v>
      </c>
      <c r="L198" s="2835" t="n">
        <v>2203.1</v>
      </c>
      <c r="M198" s="2835"/>
      <c r="N198" s="2835"/>
    </row>
    <row r="199" spans="1:14" x14ac:dyDescent="0.15" ht="13.5" customHeight="true" hidden="false">
      <c r="A199" s="2835"/>
      <c r="B199" s="2835"/>
      <c r="C199" s="2835"/>
      <c r="D199" s="2835" t="s">
        <v>6948</v>
      </c>
      <c r="E199" s="2835" t="s">
        <v>9622</v>
      </c>
      <c r="F199" s="2835" t="n">
        <v>0.0</v>
      </c>
      <c r="G199" s="2835" t="s">
        <v>7006</v>
      </c>
      <c r="H199" s="2835" t="s">
        <v>9675</v>
      </c>
      <c r="I199" s="2835" t="n">
        <v>0.0</v>
      </c>
      <c r="J199" s="2835" t="s">
        <v>7014</v>
      </c>
      <c r="K199" s="2835" t="s">
        <v>9674</v>
      </c>
      <c r="L199" s="2835" t="n">
        <v>0.0</v>
      </c>
      <c r="M199" s="2835"/>
      <c r="N199" s="2835"/>
    </row>
    <row r="200" spans="1:14" x14ac:dyDescent="0.15" ht="13.5" customHeight="true" hidden="false">
      <c r="A200" s="2835"/>
      <c r="B200" s="2835"/>
      <c r="C200" s="2835"/>
      <c r="D200" s="2835" t="s">
        <v>6948</v>
      </c>
      <c r="E200" s="2835" t="s">
        <v>9644</v>
      </c>
      <c r="F200" s="2835" t="n">
        <v>561.9</v>
      </c>
      <c r="G200" s="2835" t="s">
        <v>7006</v>
      </c>
      <c r="H200" s="2835" t="s">
        <v>9676</v>
      </c>
      <c r="I200" s="2835" t="n">
        <v>143.5</v>
      </c>
      <c r="J200" s="2835" t="s">
        <v>7014</v>
      </c>
      <c r="K200" s="2835" t="s">
        <v>9675</v>
      </c>
      <c r="L200" s="2835" t="n">
        <v>0.0</v>
      </c>
      <c r="M200" s="2835"/>
      <c r="N200" s="2835"/>
    </row>
    <row r="201" spans="1:14" x14ac:dyDescent="0.15" ht="13.5" customHeight="true" hidden="false">
      <c r="A201" s="2835"/>
      <c r="B201" s="2835"/>
      <c r="C201" s="2835"/>
      <c r="D201" s="2835" t="s">
        <v>6948</v>
      </c>
      <c r="E201" s="2835" t="s">
        <v>9623</v>
      </c>
      <c r="F201" s="2835" t="n">
        <v>0.0</v>
      </c>
      <c r="G201" s="2835" t="s">
        <v>7006</v>
      </c>
      <c r="H201" s="2835" t="s">
        <v>9677</v>
      </c>
      <c r="I201" s="2835" t="n">
        <v>0.0</v>
      </c>
      <c r="J201" s="2835" t="s">
        <v>7014</v>
      </c>
      <c r="K201" s="2835" t="s">
        <v>9676</v>
      </c>
      <c r="L201" s="2835" t="n">
        <v>279.3</v>
      </c>
      <c r="M201" s="2835"/>
      <c r="N201" s="2835"/>
    </row>
    <row r="202" spans="1:14" x14ac:dyDescent="0.15" ht="13.5" customHeight="true" hidden="false">
      <c r="A202" s="2835"/>
      <c r="B202" s="2835"/>
      <c r="C202" s="2835"/>
      <c r="D202" s="2835" t="s">
        <v>6948</v>
      </c>
      <c r="E202" s="2835" t="s">
        <v>9645</v>
      </c>
      <c r="F202" s="2835" t="n">
        <v>283.2</v>
      </c>
      <c r="G202" s="2835" t="s">
        <v>7006</v>
      </c>
      <c r="H202" s="2835" t="s">
        <v>9678</v>
      </c>
      <c r="I202" s="2835" t="n">
        <v>0.0</v>
      </c>
      <c r="J202" s="2835" t="s">
        <v>7014</v>
      </c>
      <c r="K202" s="2835" t="s">
        <v>9677</v>
      </c>
      <c r="L202" s="2835" t="n">
        <v>0.0</v>
      </c>
      <c r="M202" s="2835"/>
      <c r="N202" s="2835"/>
    </row>
    <row r="203" spans="1:14" x14ac:dyDescent="0.15" ht="13.5" customHeight="true" hidden="false">
      <c r="A203" s="2835"/>
      <c r="B203" s="2835"/>
      <c r="C203" s="2835"/>
      <c r="D203" s="2835" t="s">
        <v>6948</v>
      </c>
      <c r="E203" s="2835" t="s">
        <v>9624</v>
      </c>
      <c r="F203" s="2835" t="n">
        <v>0.0</v>
      </c>
      <c r="G203" s="2835" t="s">
        <v>7006</v>
      </c>
      <c r="H203" s="2835" t="s">
        <v>9679</v>
      </c>
      <c r="I203" s="2835" t="n">
        <v>0.0</v>
      </c>
      <c r="J203" s="2835" t="s">
        <v>7014</v>
      </c>
      <c r="K203" s="2835" t="s">
        <v>9678</v>
      </c>
      <c r="L203" s="2835" t="n">
        <v>547.4</v>
      </c>
      <c r="M203" s="2835"/>
      <c r="N203" s="2835"/>
    </row>
    <row r="204" spans="1:14" x14ac:dyDescent="0.15" ht="13.5" customHeight="true" hidden="false">
      <c r="A204" s="2835"/>
      <c r="B204" s="2835"/>
      <c r="C204" s="2835"/>
      <c r="D204" s="2835" t="s">
        <v>6948</v>
      </c>
      <c r="E204" s="2835" t="s">
        <v>9646</v>
      </c>
      <c r="F204" s="2835" t="n">
        <v>92.4</v>
      </c>
      <c r="G204" s="2835" t="s">
        <v>7006</v>
      </c>
      <c r="H204" s="2835" t="s">
        <v>9680</v>
      </c>
      <c r="I204" s="2835" t="n">
        <v>0.0</v>
      </c>
      <c r="J204" s="2835" t="s">
        <v>7014</v>
      </c>
      <c r="K204" s="2835" t="s">
        <v>9679</v>
      </c>
      <c r="L204" s="2835" t="n">
        <v>29.4</v>
      </c>
      <c r="M204" s="2835"/>
      <c r="N204" s="2835"/>
    </row>
    <row r="205" spans="1:14" x14ac:dyDescent="0.15" ht="13.5" customHeight="true" hidden="false">
      <c r="A205" s="2835"/>
      <c r="B205" s="2835"/>
      <c r="C205" s="2835"/>
      <c r="D205" s="2835" t="s">
        <v>6948</v>
      </c>
      <c r="E205" s="2835" t="s">
        <v>9625</v>
      </c>
      <c r="F205" s="2835" t="n">
        <v>0.0</v>
      </c>
      <c r="G205" s="2835" t="s">
        <v>7006</v>
      </c>
      <c r="H205" s="2835" t="s">
        <v>9681</v>
      </c>
      <c r="I205" s="2835" t="n">
        <v>0.0</v>
      </c>
      <c r="J205" s="2835" t="s">
        <v>7014</v>
      </c>
      <c r="K205" s="2835" t="s">
        <v>9680</v>
      </c>
      <c r="L205" s="2835" t="n">
        <v>0.0</v>
      </c>
      <c r="M205" s="2835"/>
      <c r="N205" s="2835"/>
    </row>
    <row r="206" spans="1:14" x14ac:dyDescent="0.15" ht="13.5" customHeight="true" hidden="false">
      <c r="A206" s="2835"/>
      <c r="B206" s="2835"/>
      <c r="C206" s="2835"/>
      <c r="D206" s="2835" t="s">
        <v>6948</v>
      </c>
      <c r="E206" s="2835" t="s">
        <v>9647</v>
      </c>
      <c r="F206" s="2835" t="n">
        <v>626.5</v>
      </c>
      <c r="G206" s="2835" t="s">
        <v>7006</v>
      </c>
      <c r="H206" s="2835" t="s">
        <v>9682</v>
      </c>
      <c r="I206" s="2835" t="n">
        <v>216.5</v>
      </c>
      <c r="J206" s="2835" t="s">
        <v>7014</v>
      </c>
      <c r="K206" s="2835" t="s">
        <v>9681</v>
      </c>
      <c r="L206" s="2835" t="n">
        <v>301.0</v>
      </c>
      <c r="M206" s="2835"/>
      <c r="N206" s="2835"/>
    </row>
    <row r="207" spans="1:14" x14ac:dyDescent="0.15" ht="13.5" customHeight="true" hidden="false">
      <c r="A207" s="2835"/>
      <c r="B207" s="2835"/>
      <c r="C207" s="2835"/>
      <c r="D207" s="2835" t="s">
        <v>6948</v>
      </c>
      <c r="E207" s="2835" t="s">
        <v>9626</v>
      </c>
      <c r="F207" s="2835" t="n">
        <v>0.0</v>
      </c>
      <c r="G207" s="2835" t="s">
        <v>7006</v>
      </c>
      <c r="H207" s="2835" t="s">
        <v>9683</v>
      </c>
      <c r="I207" s="2835" t="n">
        <v>202.2</v>
      </c>
      <c r="J207" s="2835" t="s">
        <v>7014</v>
      </c>
      <c r="K207" s="2835" t="s">
        <v>9682</v>
      </c>
      <c r="L207" s="2835" t="n">
        <v>1095.2</v>
      </c>
      <c r="M207" s="2835"/>
      <c r="N207" s="2835"/>
    </row>
    <row r="208" spans="1:14" x14ac:dyDescent="0.15" ht="13.5" customHeight="true" hidden="false">
      <c r="A208" s="2835"/>
      <c r="B208" s="2835"/>
      <c r="C208" s="2835"/>
      <c r="D208" s="2835" t="s">
        <v>6948</v>
      </c>
      <c r="E208" s="2835" t="s">
        <v>9648</v>
      </c>
      <c r="F208" s="2835" t="n">
        <v>776.1</v>
      </c>
      <c r="G208" s="2835" t="s">
        <v>7006</v>
      </c>
      <c r="H208" s="2835" t="s">
        <v>9684</v>
      </c>
      <c r="I208" s="2835" t="n">
        <v>127.6</v>
      </c>
      <c r="J208" s="2835" t="s">
        <v>7014</v>
      </c>
      <c r="K208" s="2835" t="s">
        <v>9683</v>
      </c>
      <c r="L208" s="2835" t="n">
        <v>685.4</v>
      </c>
      <c r="M208" s="2835"/>
      <c r="N208" s="2835"/>
    </row>
    <row r="209" spans="1:14" x14ac:dyDescent="0.15" ht="13.5" customHeight="true" hidden="false">
      <c r="A209" s="2835"/>
      <c r="B209" s="2835"/>
      <c r="C209" s="2835"/>
      <c r="D209" s="2835" t="s">
        <v>6948</v>
      </c>
      <c r="E209" s="2835" t="s">
        <v>9627</v>
      </c>
      <c r="F209" s="2835" t="n">
        <v>0.0</v>
      </c>
      <c r="G209" s="2835" t="s">
        <v>7006</v>
      </c>
      <c r="H209" s="2835" t="s">
        <v>9685</v>
      </c>
      <c r="I209" s="2835" t="n">
        <v>135.6</v>
      </c>
      <c r="J209" s="2835" t="s">
        <v>7014</v>
      </c>
      <c r="K209" s="2835" t="s">
        <v>9684</v>
      </c>
      <c r="L209" s="2835" t="n">
        <v>1095.2</v>
      </c>
      <c r="M209" s="2835"/>
      <c r="N209" s="2835"/>
    </row>
    <row r="210" spans="1:14" x14ac:dyDescent="0.15" ht="13.5" customHeight="true" hidden="false">
      <c r="A210" s="2835"/>
      <c r="B210" s="2835"/>
      <c r="C210" s="2835"/>
      <c r="D210" s="2835" t="s">
        <v>6948</v>
      </c>
      <c r="E210" s="2835" t="s">
        <v>9649</v>
      </c>
      <c r="F210" s="2835" t="n">
        <v>275.8</v>
      </c>
      <c r="G210" s="2835" t="s">
        <v>7006</v>
      </c>
      <c r="H210" s="2835" t="s">
        <v>9686</v>
      </c>
      <c r="I210" s="2835" t="n">
        <v>526.0</v>
      </c>
      <c r="J210" s="2835" t="s">
        <v>7014</v>
      </c>
      <c r="K210" s="2835" t="s">
        <v>9685</v>
      </c>
      <c r="L210" s="2835" t="n">
        <v>762.6</v>
      </c>
      <c r="M210" s="2835"/>
      <c r="N210" s="2835"/>
    </row>
    <row r="211" spans="1:14" x14ac:dyDescent="0.15" ht="13.5" customHeight="true" hidden="false">
      <c r="A211" s="2835"/>
      <c r="B211" s="2835"/>
      <c r="C211" s="2835"/>
      <c r="D211" s="2835" t="s">
        <v>6948</v>
      </c>
      <c r="E211" s="2835" t="s">
        <v>9628</v>
      </c>
      <c r="F211" s="2835" t="n">
        <v>0.0</v>
      </c>
      <c r="G211" s="2835" t="s">
        <v>7006</v>
      </c>
      <c r="H211" s="2835" t="s">
        <v>9687</v>
      </c>
      <c r="I211" s="2835" t="n">
        <v>0.0</v>
      </c>
      <c r="J211" s="2835" t="s">
        <v>7014</v>
      </c>
      <c r="K211" s="2835" t="s">
        <v>9686</v>
      </c>
      <c r="L211" s="2835" t="n">
        <v>0.0</v>
      </c>
      <c r="M211" s="2835"/>
      <c r="N211" s="2835"/>
    </row>
    <row r="212" spans="1:14" x14ac:dyDescent="0.15" ht="13.5" customHeight="true" hidden="false">
      <c r="A212" s="2835"/>
      <c r="B212" s="2835"/>
      <c r="C212" s="2835"/>
      <c r="D212" s="2835" t="s">
        <v>6948</v>
      </c>
      <c r="E212" s="2835" t="s">
        <v>9650</v>
      </c>
      <c r="F212" s="2835" t="n">
        <v>661.4</v>
      </c>
      <c r="G212" s="2835" t="s">
        <v>7006</v>
      </c>
      <c r="H212" s="2835" t="s">
        <v>9688</v>
      </c>
      <c r="I212" s="2835" t="n">
        <v>61.7</v>
      </c>
      <c r="J212" s="2835" t="s">
        <v>7017</v>
      </c>
      <c r="K212" s="2835" t="s">
        <v>9618</v>
      </c>
      <c r="L212" s="2835" t="n">
        <v>168.8</v>
      </c>
      <c r="M212" s="2835"/>
      <c r="N212" s="2835"/>
    </row>
    <row r="213" spans="1:14" x14ac:dyDescent="0.15" ht="13.5" customHeight="true" hidden="false">
      <c r="A213" s="2835"/>
      <c r="B213" s="2835"/>
      <c r="C213" s="2835"/>
      <c r="D213" s="2835" t="s">
        <v>6948</v>
      </c>
      <c r="E213" s="2835" t="s">
        <v>9629</v>
      </c>
      <c r="F213" s="2835" t="n">
        <v>0.0</v>
      </c>
      <c r="G213" s="2835" t="s">
        <v>7006</v>
      </c>
      <c r="H213" s="2835" t="s">
        <v>9689</v>
      </c>
      <c r="I213" s="2835" t="n">
        <v>0.0</v>
      </c>
      <c r="J213" s="2835" t="s">
        <v>7017</v>
      </c>
      <c r="K213" s="2835" t="s">
        <v>9619</v>
      </c>
      <c r="L213" s="2835" t="n">
        <v>393.9</v>
      </c>
      <c r="M213" s="2835"/>
      <c r="N213" s="2835"/>
    </row>
    <row r="214" spans="1:14" x14ac:dyDescent="0.15" ht="13.5" customHeight="true" hidden="false">
      <c r="A214" s="2835"/>
      <c r="B214" s="2835"/>
      <c r="C214" s="2835"/>
      <c r="D214" s="2835" t="s">
        <v>6948</v>
      </c>
      <c r="E214" s="2835" t="s">
        <v>9651</v>
      </c>
      <c r="F214" s="2835" t="n">
        <v>0.0</v>
      </c>
      <c r="G214" s="2835" t="s">
        <v>7006</v>
      </c>
      <c r="H214" s="2835" t="s">
        <v>9690</v>
      </c>
      <c r="I214" s="2835" t="n">
        <v>189.1</v>
      </c>
      <c r="J214" s="2835" t="s">
        <v>7017</v>
      </c>
      <c r="K214" s="2835" t="s">
        <v>9620</v>
      </c>
      <c r="L214" s="2835" t="n">
        <v>513.5</v>
      </c>
      <c r="M214" s="2835"/>
      <c r="N214" s="2835"/>
    </row>
    <row r="215" spans="1:14" x14ac:dyDescent="0.15" ht="13.5" customHeight="true" hidden="false">
      <c r="A215" s="2835"/>
      <c r="B215" s="2835"/>
      <c r="C215" s="2835"/>
      <c r="D215" s="2835" t="s">
        <v>6948</v>
      </c>
      <c r="E215" s="2835" t="s">
        <v>9633</v>
      </c>
      <c r="F215" s="2835" t="n">
        <v>0.0</v>
      </c>
      <c r="G215" s="2835" t="s">
        <v>7006</v>
      </c>
      <c r="H215" s="2835" t="s">
        <v>9691</v>
      </c>
      <c r="I215" s="2835" t="n">
        <v>526.0</v>
      </c>
      <c r="J215" s="2835" t="s">
        <v>7017</v>
      </c>
      <c r="K215" s="2835" t="s">
        <v>9621</v>
      </c>
      <c r="L215" s="2835" t="n">
        <v>400.2</v>
      </c>
      <c r="M215" s="2835"/>
      <c r="N215" s="2835"/>
    </row>
    <row r="216" spans="1:14" x14ac:dyDescent="0.15" ht="13.5" customHeight="true" hidden="false">
      <c r="A216" s="2835"/>
      <c r="B216" s="2835"/>
      <c r="C216" s="2835"/>
      <c r="D216" s="2835" t="s">
        <v>6948</v>
      </c>
      <c r="E216" s="2835" t="s">
        <v>9652</v>
      </c>
      <c r="F216" s="2835" t="n">
        <v>0.0</v>
      </c>
      <c r="G216" s="2835" t="s">
        <v>7006</v>
      </c>
      <c r="H216" s="2835" t="s">
        <v>9692</v>
      </c>
      <c r="I216" s="2835" t="n">
        <v>81.0</v>
      </c>
      <c r="J216" s="2835" t="s">
        <v>7017</v>
      </c>
      <c r="K216" s="2835" t="s">
        <v>9622</v>
      </c>
      <c r="L216" s="2835" t="n">
        <v>513.5</v>
      </c>
      <c r="M216" s="2835"/>
      <c r="N216" s="2835"/>
    </row>
    <row r="217" spans="1:14" x14ac:dyDescent="0.15" ht="13.5" customHeight="true" hidden="false">
      <c r="A217" s="2835"/>
      <c r="B217" s="2835"/>
      <c r="C217" s="2835"/>
      <c r="D217" s="2835" t="s">
        <v>6948</v>
      </c>
      <c r="E217" s="2835" t="s">
        <v>9634</v>
      </c>
      <c r="F217" s="2835" t="n">
        <v>0.0</v>
      </c>
      <c r="G217" s="2835" t="s">
        <v>7006</v>
      </c>
      <c r="H217" s="2835" t="s">
        <v>9693</v>
      </c>
      <c r="I217" s="2835" t="n">
        <v>189.1</v>
      </c>
      <c r="J217" s="2835" t="s">
        <v>7017</v>
      </c>
      <c r="K217" s="2835" t="s">
        <v>9623</v>
      </c>
      <c r="L217" s="2835" t="n">
        <v>257.0</v>
      </c>
      <c r="M217" s="2835"/>
      <c r="N217" s="2835"/>
    </row>
    <row r="218" spans="1:14" x14ac:dyDescent="0.15" ht="13.5" customHeight="true" hidden="false">
      <c r="A218" s="2835"/>
      <c r="B218" s="2835"/>
      <c r="C218" s="2835"/>
      <c r="D218" s="2835" t="s">
        <v>6948</v>
      </c>
      <c r="E218" s="2835" t="s">
        <v>9653</v>
      </c>
      <c r="F218" s="2835" t="n">
        <v>0.0</v>
      </c>
      <c r="G218" s="2835" t="s">
        <v>7006</v>
      </c>
      <c r="H218" s="2835" t="s">
        <v>9694</v>
      </c>
      <c r="I218" s="2835" t="n">
        <v>81.0</v>
      </c>
      <c r="J218" s="2835" t="s">
        <v>7017</v>
      </c>
      <c r="K218" s="2835" t="s">
        <v>9624</v>
      </c>
      <c r="L218" s="2835" t="n">
        <v>400.2</v>
      </c>
      <c r="M218" s="2835"/>
      <c r="N218" s="2835"/>
    </row>
    <row r="219" spans="1:14" x14ac:dyDescent="0.15" ht="13.5" customHeight="true" hidden="false">
      <c r="A219" s="2835"/>
      <c r="B219" s="2835"/>
      <c r="C219" s="2835"/>
      <c r="D219" s="2835" t="s">
        <v>6948</v>
      </c>
      <c r="E219" s="2835" t="s">
        <v>9635</v>
      </c>
      <c r="F219" s="2835" t="n">
        <v>0.0</v>
      </c>
      <c r="G219" s="2835" t="s">
        <v>7006</v>
      </c>
      <c r="H219" s="2835" t="s">
        <v>9695</v>
      </c>
      <c r="I219" s="2835" t="n">
        <v>0.0</v>
      </c>
      <c r="J219" s="2835" t="s">
        <v>7017</v>
      </c>
      <c r="K219" s="2835" t="s">
        <v>9625</v>
      </c>
      <c r="L219" s="2835" t="n">
        <v>310.7</v>
      </c>
      <c r="M219" s="2835"/>
      <c r="N219" s="2835"/>
    </row>
    <row r="220" spans="1:14" x14ac:dyDescent="0.15" ht="13.5" customHeight="true" hidden="false">
      <c r="A220" s="2835"/>
      <c r="B220" s="2835"/>
      <c r="C220" s="2835"/>
      <c r="D220" s="2835" t="s">
        <v>6948</v>
      </c>
      <c r="E220" s="2835" t="s">
        <v>9654</v>
      </c>
      <c r="F220" s="2835" t="n">
        <v>0.0</v>
      </c>
      <c r="G220" s="2835" t="s">
        <v>7006</v>
      </c>
      <c r="H220" s="2835" t="s">
        <v>9696</v>
      </c>
      <c r="I220" s="2835" t="n">
        <v>0.0</v>
      </c>
      <c r="J220" s="2835" t="s">
        <v>7017</v>
      </c>
      <c r="K220" s="2835" t="s">
        <v>9626</v>
      </c>
      <c r="L220" s="2835" t="n">
        <v>406.5</v>
      </c>
      <c r="M220" s="2835"/>
      <c r="N220" s="2835"/>
    </row>
    <row r="221" spans="1:14" x14ac:dyDescent="0.15" ht="13.5" customHeight="true" hidden="false">
      <c r="A221" s="2835"/>
      <c r="B221" s="2835"/>
      <c r="C221" s="2835"/>
      <c r="D221" s="2835" t="s">
        <v>6948</v>
      </c>
      <c r="E221" s="2835" t="s">
        <v>9636</v>
      </c>
      <c r="F221" s="2835" t="n">
        <v>0.0</v>
      </c>
      <c r="G221" s="2835" t="s">
        <v>7007</v>
      </c>
      <c r="H221" s="2835" t="s">
        <v>9618</v>
      </c>
      <c r="I221" s="2835" t="n">
        <v>0.0</v>
      </c>
      <c r="J221" s="2835" t="s">
        <v>7017</v>
      </c>
      <c r="K221" s="2835" t="s">
        <v>9627</v>
      </c>
      <c r="L221" s="2835" t="n">
        <v>356.2</v>
      </c>
      <c r="M221" s="2835"/>
      <c r="N221" s="2835"/>
    </row>
    <row r="222" spans="1:14" x14ac:dyDescent="0.15" ht="13.5" customHeight="true" hidden="false">
      <c r="A222" s="2835"/>
      <c r="B222" s="2835"/>
      <c r="C222" s="2835"/>
      <c r="D222" s="2835" t="s">
        <v>6948</v>
      </c>
      <c r="E222" s="2835" t="s">
        <v>9655</v>
      </c>
      <c r="F222" s="2835" t="n">
        <v>23.6</v>
      </c>
      <c r="G222" s="2835" t="s">
        <v>7007</v>
      </c>
      <c r="H222" s="2835" t="s">
        <v>9619</v>
      </c>
      <c r="I222" s="2835" t="n">
        <v>1931.8</v>
      </c>
      <c r="J222" s="2835" t="s">
        <v>7015</v>
      </c>
      <c r="K222" s="2835" t="s">
        <v>9618</v>
      </c>
      <c r="L222" s="2835" t="n">
        <v>158.1</v>
      </c>
      <c r="M222" s="2835"/>
      <c r="N222" s="2835"/>
    </row>
    <row r="223" spans="1:14" x14ac:dyDescent="0.15" ht="13.5" customHeight="true" hidden="false">
      <c r="A223" s="2835"/>
      <c r="B223" s="2835"/>
      <c r="C223" s="2835"/>
      <c r="D223" s="2835" t="s">
        <v>6948</v>
      </c>
      <c r="E223" s="2835" t="s">
        <v>9637</v>
      </c>
      <c r="F223" s="2835" t="n">
        <v>0.0</v>
      </c>
      <c r="G223" s="2835" t="s">
        <v>7007</v>
      </c>
      <c r="H223" s="2835" t="s">
        <v>9620</v>
      </c>
      <c r="I223" s="2835" t="n">
        <v>0.0</v>
      </c>
      <c r="J223" s="2835" t="s">
        <v>7015</v>
      </c>
      <c r="K223" s="2835" t="s">
        <v>9619</v>
      </c>
      <c r="L223" s="2835" t="n">
        <v>506.1</v>
      </c>
      <c r="M223" s="2835"/>
      <c r="N223" s="2835"/>
    </row>
    <row r="224" spans="1:14" x14ac:dyDescent="0.15" ht="13.5" customHeight="true" hidden="false">
      <c r="A224" s="2835"/>
      <c r="B224" s="2835"/>
      <c r="C224" s="2835"/>
      <c r="D224" s="2835" t="s">
        <v>6948</v>
      </c>
      <c r="E224" s="2835" t="s">
        <v>9638</v>
      </c>
      <c r="F224" s="2835" t="n">
        <v>0.0</v>
      </c>
      <c r="G224" s="2835" t="s">
        <v>7007</v>
      </c>
      <c r="H224" s="2835" t="s">
        <v>9621</v>
      </c>
      <c r="I224" s="2835" t="n">
        <v>762.7</v>
      </c>
      <c r="J224" s="2835" t="s">
        <v>7015</v>
      </c>
      <c r="K224" s="2835" t="s">
        <v>9620</v>
      </c>
      <c r="L224" s="2835" t="n">
        <v>694.2</v>
      </c>
      <c r="M224" s="2835"/>
      <c r="N224" s="2835"/>
    </row>
    <row r="225" spans="1:14" x14ac:dyDescent="0.15" ht="13.5" customHeight="true" hidden="false">
      <c r="A225" s="2835"/>
      <c r="B225" s="2835"/>
      <c r="C225" s="2835"/>
      <c r="D225" s="2835" t="s">
        <v>6948</v>
      </c>
      <c r="E225" s="2835" t="s">
        <v>9656</v>
      </c>
      <c r="F225" s="2835" t="n">
        <v>15.8</v>
      </c>
      <c r="G225" s="2835" t="s">
        <v>7007</v>
      </c>
      <c r="H225" s="2835" t="s">
        <v>9622</v>
      </c>
      <c r="I225" s="2835" t="n">
        <v>0.0</v>
      </c>
      <c r="J225" s="2835" t="s">
        <v>7015</v>
      </c>
      <c r="K225" s="2835" t="s">
        <v>9621</v>
      </c>
      <c r="L225" s="2835" t="n">
        <v>634.8</v>
      </c>
      <c r="M225" s="2835"/>
      <c r="N225" s="2835"/>
    </row>
    <row r="226" spans="1:14" x14ac:dyDescent="0.15" ht="13.5" customHeight="true" hidden="false">
      <c r="A226" s="2835"/>
      <c r="B226" s="2835"/>
      <c r="C226" s="2835"/>
      <c r="D226" s="2835" t="s">
        <v>6948</v>
      </c>
      <c r="E226" s="2835" t="s">
        <v>9657</v>
      </c>
      <c r="F226" s="2835" t="n">
        <v>0.0</v>
      </c>
      <c r="G226" s="2835" t="s">
        <v>7007</v>
      </c>
      <c r="H226" s="2835" t="s">
        <v>9623</v>
      </c>
      <c r="I226" s="2835" t="n">
        <v>163.8</v>
      </c>
      <c r="J226" s="2835" t="s">
        <v>7015</v>
      </c>
      <c r="K226" s="2835" t="s">
        <v>9622</v>
      </c>
      <c r="L226" s="2835" t="n">
        <v>694.2</v>
      </c>
      <c r="M226" s="2835"/>
      <c r="N226" s="2835"/>
    </row>
    <row r="227" spans="1:14" x14ac:dyDescent="0.15" ht="13.5" customHeight="true" hidden="false">
      <c r="A227" s="2835"/>
      <c r="B227" s="2835"/>
      <c r="C227" s="2835"/>
      <c r="D227" s="2835" t="s">
        <v>6948</v>
      </c>
      <c r="E227" s="2835" t="s">
        <v>9658</v>
      </c>
      <c r="F227" s="2835" t="n">
        <v>255.4</v>
      </c>
      <c r="G227" s="2835" t="s">
        <v>7007</v>
      </c>
      <c r="H227" s="2835" t="s">
        <v>9624</v>
      </c>
      <c r="I227" s="2835" t="n">
        <v>212.8</v>
      </c>
      <c r="J227" s="2835" t="s">
        <v>7015</v>
      </c>
      <c r="K227" s="2835" t="s">
        <v>9623</v>
      </c>
      <c r="L227" s="2835" t="n">
        <v>250.4</v>
      </c>
      <c r="M227" s="2835"/>
      <c r="N227" s="2835"/>
    </row>
    <row r="228" spans="1:14" x14ac:dyDescent="0.15" ht="13.5" customHeight="true" hidden="false">
      <c r="A228" s="2835"/>
      <c r="B228" s="2835"/>
      <c r="C228" s="2835"/>
      <c r="D228" s="2835" t="s">
        <v>6948</v>
      </c>
      <c r="E228" s="2835" t="s">
        <v>9659</v>
      </c>
      <c r="F228" s="2835" t="n">
        <v>583.0</v>
      </c>
      <c r="G228" s="2835" t="s">
        <v>7007</v>
      </c>
      <c r="H228" s="2835" t="s">
        <v>9625</v>
      </c>
      <c r="I228" s="2835" t="n">
        <v>503.6</v>
      </c>
      <c r="J228" s="2835" t="s">
        <v>7015</v>
      </c>
      <c r="K228" s="2835" t="s">
        <v>9624</v>
      </c>
      <c r="L228" s="2835" t="n">
        <v>634.8</v>
      </c>
      <c r="M228" s="2835"/>
      <c r="N228" s="2835"/>
    </row>
    <row r="229" spans="1:14" x14ac:dyDescent="0.15" ht="13.5" customHeight="true" hidden="false">
      <c r="A229" s="2835"/>
      <c r="B229" s="2835"/>
      <c r="C229" s="2835"/>
      <c r="D229" s="2835" t="s">
        <v>6948</v>
      </c>
      <c r="E229" s="2835" t="s">
        <v>9660</v>
      </c>
      <c r="F229" s="2835" t="n">
        <v>300.9</v>
      </c>
      <c r="G229" s="2835" t="s">
        <v>7007</v>
      </c>
      <c r="H229" s="2835" t="s">
        <v>9626</v>
      </c>
      <c r="I229" s="2835" t="n">
        <v>126.2</v>
      </c>
      <c r="J229" s="2835" t="s">
        <v>7015</v>
      </c>
      <c r="K229" s="2835" t="s">
        <v>9625</v>
      </c>
      <c r="L229" s="2835" t="n">
        <v>301.6</v>
      </c>
      <c r="M229" s="2835"/>
      <c r="N229" s="2835"/>
    </row>
    <row r="230" spans="1:14" x14ac:dyDescent="0.15" ht="13.5" customHeight="true" hidden="false">
      <c r="A230" s="2835"/>
      <c r="B230" s="2835"/>
      <c r="C230" s="2835"/>
      <c r="D230" s="2835" t="s">
        <v>6948</v>
      </c>
      <c r="E230" s="2835" t="s">
        <v>9661</v>
      </c>
      <c r="F230" s="2835" t="n">
        <v>11.0</v>
      </c>
      <c r="G230" s="2835" t="s">
        <v>7007</v>
      </c>
      <c r="H230" s="2835" t="s">
        <v>9627</v>
      </c>
      <c r="I230" s="2835" t="n">
        <v>109.2</v>
      </c>
      <c r="J230" s="2835" t="s">
        <v>7015</v>
      </c>
      <c r="K230" s="2835" t="s">
        <v>9626</v>
      </c>
      <c r="L230" s="2835" t="n">
        <v>301.6</v>
      </c>
      <c r="M230" s="2835"/>
      <c r="N230" s="2835"/>
    </row>
    <row r="231" spans="1:14" x14ac:dyDescent="0.15" ht="13.5" customHeight="true" hidden="false">
      <c r="A231" s="2835"/>
      <c r="B231" s="2835"/>
      <c r="C231" s="2835"/>
      <c r="D231" s="2835" t="s">
        <v>6948</v>
      </c>
      <c r="E231" s="2835" t="s">
        <v>9662</v>
      </c>
      <c r="F231" s="2835" t="n">
        <v>187.3</v>
      </c>
      <c r="G231" s="2835" t="s">
        <v>7007</v>
      </c>
      <c r="H231" s="2835" t="s">
        <v>9628</v>
      </c>
      <c r="I231" s="2835" t="n">
        <v>163.8</v>
      </c>
      <c r="J231" s="2835" t="s">
        <v>7015</v>
      </c>
      <c r="K231" s="2835" t="s">
        <v>9627</v>
      </c>
      <c r="L231" s="2835" t="n">
        <v>381.7</v>
      </c>
      <c r="M231" s="2835"/>
      <c r="N231" s="2835"/>
    </row>
    <row r="232" spans="1:14" x14ac:dyDescent="0.15" ht="13.5" customHeight="true" hidden="false">
      <c r="A232" s="2835"/>
      <c r="B232" s="2835"/>
      <c r="C232" s="2835"/>
      <c r="D232" s="2835" t="s">
        <v>6948</v>
      </c>
      <c r="E232" s="2835" t="s">
        <v>9663</v>
      </c>
      <c r="F232" s="2835" t="n">
        <v>0.0</v>
      </c>
      <c r="G232" s="2835" t="s">
        <v>7007</v>
      </c>
      <c r="H232" s="2835" t="s">
        <v>9629</v>
      </c>
      <c r="I232" s="2835" t="n">
        <v>211.6</v>
      </c>
      <c r="J232" s="2835"/>
      <c r="K232" s="2835"/>
      <c r="L232" s="2835"/>
      <c r="M232" s="2835"/>
      <c r="N232" s="2835"/>
    </row>
    <row r="233" spans="1:14" x14ac:dyDescent="0.15" ht="13.5" customHeight="true" hidden="false">
      <c r="A233" s="2835"/>
      <c r="B233" s="2835"/>
      <c r="C233" s="2835"/>
      <c r="D233" s="2835" t="s">
        <v>6948</v>
      </c>
      <c r="E233" s="2835" t="s">
        <v>9664</v>
      </c>
      <c r="F233" s="2835" t="n">
        <v>183.5</v>
      </c>
      <c r="G233" s="2835" t="s">
        <v>7007</v>
      </c>
      <c r="H233" s="2835" t="s">
        <v>9633</v>
      </c>
      <c r="I233" s="2835" t="n">
        <v>488.6</v>
      </c>
      <c r="J233" s="2835"/>
      <c r="K233" s="2835"/>
      <c r="L233" s="2835"/>
      <c r="M233" s="2835"/>
      <c r="N233" s="2835"/>
    </row>
    <row r="234" spans="1:14" x14ac:dyDescent="0.15" ht="13.5" customHeight="true" hidden="false">
      <c r="A234" s="2835"/>
      <c r="B234" s="2835"/>
      <c r="C234" s="2835"/>
      <c r="D234" s="2835" t="s">
        <v>6948</v>
      </c>
      <c r="E234" s="2835" t="s">
        <v>9665</v>
      </c>
      <c r="F234" s="2835" t="n">
        <v>383.8</v>
      </c>
      <c r="G234" s="2835" t="s">
        <v>7007</v>
      </c>
      <c r="H234" s="2835" t="s">
        <v>9634</v>
      </c>
      <c r="I234" s="2835" t="n">
        <v>766.9</v>
      </c>
      <c r="J234" s="2835"/>
      <c r="K234" s="2835"/>
      <c r="L234" s="2835"/>
      <c r="M234" s="2835"/>
      <c r="N234" s="2835"/>
    </row>
    <row r="235" spans="1:14" x14ac:dyDescent="0.15" ht="13.5" customHeight="true" hidden="false">
      <c r="A235" s="2835"/>
      <c r="B235" s="2835"/>
      <c r="C235" s="2835"/>
      <c r="D235" s="2835" t="s">
        <v>6948</v>
      </c>
      <c r="E235" s="2835" t="s">
        <v>9666</v>
      </c>
      <c r="F235" s="2835" t="n">
        <v>338.7</v>
      </c>
      <c r="G235" s="2835" t="s">
        <v>7007</v>
      </c>
      <c r="H235" s="2835" t="s">
        <v>9635</v>
      </c>
      <c r="I235" s="2835" t="n">
        <v>503.6</v>
      </c>
      <c r="J235" s="2835"/>
      <c r="K235" s="2835"/>
      <c r="L235" s="2835"/>
      <c r="M235" s="2835"/>
      <c r="N235" s="2835"/>
    </row>
    <row r="236" spans="1:14" x14ac:dyDescent="0.15" ht="13.5" customHeight="true" hidden="false">
      <c r="A236" s="2835"/>
      <c r="B236" s="2835"/>
      <c r="C236" s="2835"/>
      <c r="D236" s="2835" t="s">
        <v>6948</v>
      </c>
      <c r="E236" s="2835" t="s">
        <v>9667</v>
      </c>
      <c r="F236" s="2835" t="n">
        <v>0.0</v>
      </c>
      <c r="G236" s="2835" t="s">
        <v>7007</v>
      </c>
      <c r="H236" s="2835" t="s">
        <v>9636</v>
      </c>
      <c r="I236" s="2835" t="n">
        <v>487.7</v>
      </c>
      <c r="J236" s="2835"/>
      <c r="K236" s="2835"/>
      <c r="L236" s="2835"/>
      <c r="M236" s="2835"/>
      <c r="N236" s="2835"/>
    </row>
    <row r="237" spans="1:14" x14ac:dyDescent="0.15" ht="13.5" customHeight="true" hidden="false">
      <c r="A237" s="2835"/>
      <c r="B237" s="2835"/>
      <c r="C237" s="2835"/>
      <c r="D237" s="2835" t="s">
        <v>6948</v>
      </c>
      <c r="E237" s="2835" t="s">
        <v>9668</v>
      </c>
      <c r="F237" s="2835" t="n">
        <v>337.5</v>
      </c>
      <c r="G237" s="2835" t="s">
        <v>7007</v>
      </c>
      <c r="H237" s="2835" t="s">
        <v>9637</v>
      </c>
      <c r="I237" s="2835" t="n">
        <v>146.5</v>
      </c>
      <c r="J237" s="2835"/>
      <c r="K237" s="2835"/>
      <c r="L237" s="2835"/>
      <c r="M237" s="2835"/>
      <c r="N237" s="2835"/>
    </row>
    <row r="238" spans="1:14" x14ac:dyDescent="0.15" ht="13.5" customHeight="true" hidden="false">
      <c r="A238" s="2835"/>
      <c r="B238" s="2835"/>
      <c r="C238" s="2835"/>
      <c r="D238" s="2835" t="s">
        <v>6948</v>
      </c>
      <c r="E238" s="2835" t="s">
        <v>9669</v>
      </c>
      <c r="F238" s="2835" t="n">
        <v>654.9</v>
      </c>
      <c r="G238" s="2835" t="s">
        <v>7007</v>
      </c>
      <c r="H238" s="2835" t="s">
        <v>9638</v>
      </c>
      <c r="I238" s="2835" t="n">
        <v>88.1</v>
      </c>
      <c r="J238" s="2835"/>
      <c r="K238" s="2835"/>
      <c r="L238" s="2835"/>
      <c r="M238" s="2835"/>
      <c r="N238" s="2835"/>
    </row>
    <row r="239" spans="1:14" x14ac:dyDescent="0.15" ht="13.5" customHeight="true" hidden="false">
      <c r="A239" s="2835"/>
      <c r="B239" s="2835"/>
      <c r="C239" s="2835"/>
      <c r="D239" s="2835" t="s">
        <v>6948</v>
      </c>
      <c r="E239" s="2835" t="s">
        <v>9670</v>
      </c>
      <c r="F239" s="2835" t="n">
        <v>490.0</v>
      </c>
      <c r="G239" s="2835" t="s">
        <v>7007</v>
      </c>
      <c r="H239" s="2835" t="s">
        <v>9657</v>
      </c>
      <c r="I239" s="2835" t="n">
        <v>843.5</v>
      </c>
      <c r="J239" s="2835"/>
      <c r="K239" s="2835"/>
      <c r="L239" s="2835"/>
      <c r="M239" s="2835"/>
      <c r="N239" s="2835"/>
    </row>
    <row r="240" spans="1:14" x14ac:dyDescent="0.15" ht="13.5" customHeight="true" hidden="false">
      <c r="A240" s="2835"/>
      <c r="B240" s="2835"/>
      <c r="C240" s="2835"/>
      <c r="D240" s="2835" t="s">
        <v>6948</v>
      </c>
      <c r="E240" s="2835" t="s">
        <v>9671</v>
      </c>
      <c r="F240" s="2835" t="n">
        <v>852.2</v>
      </c>
      <c r="G240" s="2835" t="s">
        <v>7007</v>
      </c>
      <c r="H240" s="2835" t="s">
        <v>9659</v>
      </c>
      <c r="I240" s="2835" t="n">
        <v>328.5</v>
      </c>
      <c r="J240" s="2835"/>
      <c r="K240" s="2835"/>
      <c r="L240" s="2835"/>
      <c r="M240" s="2835"/>
      <c r="N240" s="2835"/>
    </row>
    <row r="241" spans="1:14" x14ac:dyDescent="0.15" ht="13.5" customHeight="true" hidden="false">
      <c r="A241" s="2835"/>
      <c r="B241" s="2835"/>
      <c r="C241" s="2835"/>
      <c r="D241" s="2835" t="s">
        <v>6948</v>
      </c>
      <c r="E241" s="2835" t="s">
        <v>9672</v>
      </c>
      <c r="F241" s="2835" t="n">
        <v>660.2</v>
      </c>
      <c r="G241" s="2835" t="s">
        <v>7007</v>
      </c>
      <c r="H241" s="2835" t="s">
        <v>9661</v>
      </c>
      <c r="I241" s="2835" t="n">
        <v>229.0</v>
      </c>
      <c r="J241" s="2835"/>
      <c r="K241" s="2835"/>
      <c r="L241" s="2835"/>
      <c r="M241" s="2835"/>
      <c r="N241" s="2835"/>
    </row>
    <row r="242" spans="1:14" x14ac:dyDescent="0.15" ht="13.5" customHeight="true" hidden="false">
      <c r="A242" s="2835"/>
      <c r="B242" s="2835"/>
      <c r="C242" s="2835"/>
      <c r="D242" s="2835" t="s">
        <v>6949</v>
      </c>
      <c r="E242" s="2835" t="s">
        <v>9618</v>
      </c>
      <c r="F242" s="2835" t="n">
        <v>0.0</v>
      </c>
      <c r="G242" s="2835" t="s">
        <v>7007</v>
      </c>
      <c r="H242" s="2835" t="s">
        <v>9663</v>
      </c>
      <c r="I242" s="2835" t="n">
        <v>867.1</v>
      </c>
      <c r="J242" s="2835"/>
      <c r="K242" s="2835"/>
      <c r="L242" s="2835"/>
      <c r="M242" s="2835"/>
      <c r="N242" s="2835"/>
    </row>
    <row r="243" spans="1:14" x14ac:dyDescent="0.15" ht="13.5" customHeight="true" hidden="false">
      <c r="A243" s="2835"/>
      <c r="B243" s="2835"/>
      <c r="C243" s="2835"/>
      <c r="D243" s="2835" t="s">
        <v>6949</v>
      </c>
      <c r="E243" s="2835" t="s">
        <v>9619</v>
      </c>
      <c r="F243" s="2835" t="n">
        <v>0.0</v>
      </c>
      <c r="G243" s="2835" t="s">
        <v>7007</v>
      </c>
      <c r="H243" s="2835" t="s">
        <v>9665</v>
      </c>
      <c r="I243" s="2835" t="n">
        <v>701.1</v>
      </c>
      <c r="J243" s="2835"/>
      <c r="K243" s="2835"/>
      <c r="L243" s="2835"/>
      <c r="M243" s="2835"/>
      <c r="N243" s="2835"/>
    </row>
    <row r="244" spans="1:14" x14ac:dyDescent="0.15" ht="13.5" customHeight="true" hidden="false">
      <c r="A244" s="2835"/>
      <c r="B244" s="2835"/>
      <c r="C244" s="2835"/>
      <c r="D244" s="2835" t="s">
        <v>6949</v>
      </c>
      <c r="E244" s="2835" t="s">
        <v>9620</v>
      </c>
      <c r="F244" s="2835" t="n">
        <v>0.0</v>
      </c>
      <c r="G244" s="2835" t="s">
        <v>7007</v>
      </c>
      <c r="H244" s="2835" t="s">
        <v>9667</v>
      </c>
      <c r="I244" s="2835" t="n">
        <v>708.3</v>
      </c>
      <c r="J244" s="2835"/>
      <c r="K244" s="2835"/>
      <c r="L244" s="2835"/>
      <c r="M244" s="2835"/>
      <c r="N244" s="2835"/>
    </row>
    <row r="245" spans="1:14" x14ac:dyDescent="0.15" ht="13.5" customHeight="true" hidden="false">
      <c r="A245" s="2835"/>
      <c r="B245" s="2835"/>
      <c r="C245" s="2835"/>
      <c r="D245" s="2835" t="s">
        <v>6949</v>
      </c>
      <c r="E245" s="2835" t="s">
        <v>9621</v>
      </c>
      <c r="F245" s="2835" t="n">
        <v>0.0</v>
      </c>
      <c r="G245" s="2835" t="s">
        <v>7007</v>
      </c>
      <c r="H245" s="2835" t="s">
        <v>9669</v>
      </c>
      <c r="I245" s="2835" t="n">
        <v>1246.0</v>
      </c>
      <c r="J245" s="2835"/>
      <c r="K245" s="2835"/>
      <c r="L245" s="2835"/>
      <c r="M245" s="2835"/>
      <c r="N245" s="2835"/>
    </row>
    <row r="246" spans="1:14" x14ac:dyDescent="0.15" ht="13.5" customHeight="true" hidden="false">
      <c r="A246" s="2835"/>
      <c r="B246" s="2835"/>
      <c r="C246" s="2835"/>
      <c r="D246" s="2835" t="s">
        <v>6949</v>
      </c>
      <c r="E246" s="2835" t="s">
        <v>9622</v>
      </c>
      <c r="F246" s="2835" t="n">
        <v>0.0</v>
      </c>
      <c r="G246" s="2835" t="s">
        <v>7007</v>
      </c>
      <c r="H246" s="2835" t="s">
        <v>9671</v>
      </c>
      <c r="I246" s="2835" t="n">
        <v>552.5</v>
      </c>
      <c r="J246" s="2835"/>
      <c r="K246" s="2835"/>
      <c r="L246" s="2835"/>
      <c r="M246" s="2835"/>
      <c r="N246" s="2835"/>
    </row>
    <row r="247" spans="1:14" x14ac:dyDescent="0.15" ht="13.5" customHeight="true" hidden="false">
      <c r="A247" s="2835"/>
      <c r="B247" s="2835"/>
      <c r="C247" s="2835"/>
      <c r="D247" s="2835" t="s">
        <v>6949</v>
      </c>
      <c r="E247" s="2835" t="s">
        <v>9623</v>
      </c>
      <c r="F247" s="2835" t="n">
        <v>0.0</v>
      </c>
      <c r="G247" s="2835" t="s">
        <v>7007</v>
      </c>
      <c r="H247" s="2835" t="s">
        <v>9673</v>
      </c>
      <c r="I247" s="2835" t="n">
        <v>817.6</v>
      </c>
      <c r="J247" s="2835"/>
      <c r="K247" s="2835"/>
      <c r="L247" s="2835"/>
      <c r="M247" s="2835"/>
      <c r="N247" s="2835"/>
    </row>
    <row r="248" spans="1:14" x14ac:dyDescent="0.15" ht="13.5" customHeight="true" hidden="false">
      <c r="A248" s="2835"/>
      <c r="B248" s="2835"/>
      <c r="C248" s="2835"/>
      <c r="D248" s="2835" t="s">
        <v>6949</v>
      </c>
      <c r="E248" s="2835" t="s">
        <v>9624</v>
      </c>
      <c r="F248" s="2835" t="n">
        <v>0.0</v>
      </c>
      <c r="G248" s="2835" t="s">
        <v>7007</v>
      </c>
      <c r="H248" s="2835" t="s">
        <v>9674</v>
      </c>
      <c r="I248" s="2835" t="n">
        <v>1931.8</v>
      </c>
      <c r="J248" s="2835"/>
      <c r="K248" s="2835"/>
      <c r="L248" s="2835"/>
      <c r="M248" s="2835"/>
      <c r="N248" s="2835"/>
    </row>
    <row r="249" spans="1:14" x14ac:dyDescent="0.15" ht="13.5" customHeight="true" hidden="false">
      <c r="A249" s="2835"/>
      <c r="B249" s="2835"/>
      <c r="C249" s="2835"/>
      <c r="D249" s="2835" t="s">
        <v>6949</v>
      </c>
      <c r="E249" s="2835" t="s">
        <v>9625</v>
      </c>
      <c r="F249" s="2835" t="n">
        <v>0.0</v>
      </c>
      <c r="G249" s="2835" t="s">
        <v>7007</v>
      </c>
      <c r="H249" s="2835" t="s">
        <v>9675</v>
      </c>
      <c r="I249" s="2835" t="n">
        <v>762.7</v>
      </c>
      <c r="J249" s="2835"/>
      <c r="K249" s="2835"/>
      <c r="L249" s="2835"/>
      <c r="M249" s="2835"/>
      <c r="N249" s="2835"/>
    </row>
    <row r="250" spans="1:14" x14ac:dyDescent="0.15" ht="13.5" customHeight="true" hidden="false">
      <c r="A250" s="2835"/>
      <c r="B250" s="2835"/>
      <c r="C250" s="2835"/>
      <c r="D250" s="2835" t="s">
        <v>6949</v>
      </c>
      <c r="E250" s="2835" t="s">
        <v>9626</v>
      </c>
      <c r="F250" s="2835" t="n">
        <v>0.0</v>
      </c>
      <c r="G250" s="2835" t="s">
        <v>7007</v>
      </c>
      <c r="H250" s="2835" t="s">
        <v>9676</v>
      </c>
      <c r="I250" s="2835" t="n">
        <v>96.3</v>
      </c>
      <c r="J250" s="2835"/>
      <c r="K250" s="2835"/>
      <c r="L250" s="2835"/>
      <c r="M250" s="2835"/>
      <c r="N250" s="2835"/>
    </row>
    <row r="251" spans="1:14" x14ac:dyDescent="0.15" ht="13.5" customHeight="true" hidden="false">
      <c r="A251" s="2835"/>
      <c r="B251" s="2835"/>
      <c r="C251" s="2835"/>
      <c r="D251" s="2835" t="s">
        <v>6949</v>
      </c>
      <c r="E251" s="2835" t="s">
        <v>9627</v>
      </c>
      <c r="F251" s="2835" t="n">
        <v>0.0</v>
      </c>
      <c r="G251" s="2835" t="s">
        <v>7007</v>
      </c>
      <c r="H251" s="2835" t="s">
        <v>9677</v>
      </c>
      <c r="I251" s="2835" t="n">
        <v>371.8</v>
      </c>
      <c r="J251" s="2835"/>
      <c r="K251" s="2835"/>
      <c r="L251" s="2835"/>
      <c r="M251" s="2835"/>
      <c r="N251" s="2835"/>
    </row>
    <row r="252" spans="1:14" x14ac:dyDescent="0.15" ht="13.5" customHeight="true" hidden="false">
      <c r="A252" s="2835"/>
      <c r="B252" s="2835"/>
      <c r="C252" s="2835"/>
      <c r="D252" s="2835" t="s">
        <v>6949</v>
      </c>
      <c r="E252" s="2835" t="s">
        <v>9628</v>
      </c>
      <c r="F252" s="2835" t="n">
        <v>0.0</v>
      </c>
      <c r="G252" s="2835" t="s">
        <v>7007</v>
      </c>
      <c r="H252" s="2835" t="s">
        <v>9678</v>
      </c>
      <c r="I252" s="2835" t="n">
        <v>109.2</v>
      </c>
      <c r="J252" s="2835"/>
      <c r="K252" s="2835"/>
      <c r="L252" s="2835"/>
      <c r="M252" s="2835"/>
      <c r="N252" s="2835"/>
    </row>
    <row r="253" spans="1:14" x14ac:dyDescent="0.15" ht="13.5" customHeight="true" hidden="false">
      <c r="A253" s="2835"/>
      <c r="B253" s="2835"/>
      <c r="C253" s="2835"/>
      <c r="D253" s="2835" t="s">
        <v>6949</v>
      </c>
      <c r="E253" s="2835" t="s">
        <v>9629</v>
      </c>
      <c r="F253" s="2835" t="n">
        <v>0.0</v>
      </c>
      <c r="G253" s="2835" t="s">
        <v>7007</v>
      </c>
      <c r="H253" s="2835" t="s">
        <v>9679</v>
      </c>
      <c r="I253" s="2835" t="n">
        <v>211.6</v>
      </c>
      <c r="J253" s="2835"/>
      <c r="K253" s="2835"/>
      <c r="L253" s="2835"/>
      <c r="M253" s="2835"/>
      <c r="N253" s="2835"/>
    </row>
    <row r="254" spans="1:14" x14ac:dyDescent="0.15" ht="13.5" customHeight="true" hidden="false">
      <c r="A254" s="2835"/>
      <c r="B254" s="2835"/>
      <c r="C254" s="2835"/>
      <c r="D254" s="2835" t="s">
        <v>6949</v>
      </c>
      <c r="E254" s="2835" t="s">
        <v>9633</v>
      </c>
      <c r="F254" s="2835" t="n">
        <v>0.0</v>
      </c>
      <c r="G254" s="2835" t="s">
        <v>7007</v>
      </c>
      <c r="H254" s="2835" t="s">
        <v>9680</v>
      </c>
      <c r="I254" s="2835" t="n">
        <v>766.9</v>
      </c>
      <c r="J254" s="2835"/>
      <c r="K254" s="2835"/>
      <c r="L254" s="2835"/>
      <c r="M254" s="2835"/>
      <c r="N254" s="2835"/>
    </row>
    <row r="255" spans="1:14" x14ac:dyDescent="0.15" ht="13.5" customHeight="true" hidden="false">
      <c r="A255" s="2835"/>
      <c r="B255" s="2835"/>
      <c r="C255" s="2835"/>
      <c r="D255" s="2835" t="s">
        <v>6949</v>
      </c>
      <c r="E255" s="2835" t="s">
        <v>9634</v>
      </c>
      <c r="F255" s="2835" t="n">
        <v>0.0</v>
      </c>
      <c r="G255" s="2835" t="s">
        <v>7007</v>
      </c>
      <c r="H255" s="2835" t="s">
        <v>9681</v>
      </c>
      <c r="I255" s="2835" t="n">
        <v>487.7</v>
      </c>
      <c r="J255" s="2835"/>
      <c r="K255" s="2835"/>
      <c r="L255" s="2835"/>
      <c r="M255" s="2835"/>
      <c r="N255" s="2835"/>
    </row>
    <row r="256" spans="1:14" x14ac:dyDescent="0.15" ht="13.5" customHeight="true" hidden="false">
      <c r="A256" s="2835"/>
      <c r="B256" s="2835"/>
      <c r="C256" s="2835"/>
      <c r="D256" s="2835" t="s">
        <v>6949</v>
      </c>
      <c r="E256" s="2835" t="s">
        <v>9635</v>
      </c>
      <c r="F256" s="2835" t="n">
        <v>0.0</v>
      </c>
      <c r="G256" s="2835" t="s">
        <v>7007</v>
      </c>
      <c r="H256" s="2835" t="s">
        <v>9682</v>
      </c>
      <c r="I256" s="2835" t="n">
        <v>0.0</v>
      </c>
      <c r="J256" s="2835"/>
      <c r="K256" s="2835"/>
      <c r="L256" s="2835"/>
      <c r="M256" s="2835"/>
      <c r="N256" s="2835"/>
    </row>
    <row r="257" spans="1:14" x14ac:dyDescent="0.15" ht="13.5" customHeight="true" hidden="false">
      <c r="A257" s="2835"/>
      <c r="B257" s="2835"/>
      <c r="C257" s="2835"/>
      <c r="D257" s="2835" t="s">
        <v>6949</v>
      </c>
      <c r="E257" s="2835" t="s">
        <v>9636</v>
      </c>
      <c r="F257" s="2835" t="n">
        <v>0.0</v>
      </c>
      <c r="G257" s="2835" t="s">
        <v>7007</v>
      </c>
      <c r="H257" s="2835" t="s">
        <v>9683</v>
      </c>
      <c r="I257" s="2835" t="n">
        <v>843.5</v>
      </c>
      <c r="J257" s="2835"/>
      <c r="K257" s="2835"/>
      <c r="L257" s="2835"/>
      <c r="M257" s="2835"/>
      <c r="N257" s="2835"/>
    </row>
    <row r="258" spans="1:14" x14ac:dyDescent="0.15" ht="13.5" customHeight="true" hidden="false">
      <c r="A258" s="2835"/>
      <c r="B258" s="2835"/>
      <c r="C258" s="2835"/>
      <c r="D258" s="2835" t="s">
        <v>6949</v>
      </c>
      <c r="E258" s="2835" t="s">
        <v>9637</v>
      </c>
      <c r="F258" s="2835" t="n">
        <v>0.0</v>
      </c>
      <c r="G258" s="2835" t="s">
        <v>7007</v>
      </c>
      <c r="H258" s="2835" t="s">
        <v>9684</v>
      </c>
      <c r="I258" s="2835" t="n">
        <v>0.0</v>
      </c>
      <c r="J258" s="2835"/>
      <c r="K258" s="2835"/>
      <c r="L258" s="2835"/>
      <c r="M258" s="2835"/>
      <c r="N258" s="2835"/>
    </row>
    <row r="259" spans="1:14" x14ac:dyDescent="0.15" ht="13.5" customHeight="true" hidden="false">
      <c r="A259" s="2835"/>
      <c r="B259" s="2835"/>
      <c r="C259" s="2835"/>
      <c r="D259" s="2835" t="s">
        <v>6949</v>
      </c>
      <c r="E259" s="2835" t="s">
        <v>9638</v>
      </c>
      <c r="F259" s="2835" t="n">
        <v>0.0</v>
      </c>
      <c r="G259" s="2835" t="s">
        <v>7007</v>
      </c>
      <c r="H259" s="2835" t="s">
        <v>9685</v>
      </c>
      <c r="I259" s="2835" t="n">
        <v>328.5</v>
      </c>
      <c r="J259" s="2835"/>
      <c r="K259" s="2835"/>
      <c r="L259" s="2835"/>
      <c r="M259" s="2835"/>
      <c r="N259" s="2835"/>
    </row>
    <row r="260" spans="1:14" x14ac:dyDescent="0.15" ht="13.5" customHeight="true" hidden="false">
      <c r="A260" s="2835"/>
      <c r="B260" s="2835"/>
      <c r="C260" s="2835"/>
      <c r="D260" s="2835" t="s">
        <v>6949</v>
      </c>
      <c r="E260" s="2835" t="s">
        <v>9657</v>
      </c>
      <c r="F260" s="2835" t="n">
        <v>0.0</v>
      </c>
      <c r="G260" s="2835" t="s">
        <v>7007</v>
      </c>
      <c r="H260" s="2835" t="s">
        <v>9686</v>
      </c>
      <c r="I260" s="2835" t="n">
        <v>0.0</v>
      </c>
      <c r="J260" s="2835"/>
      <c r="K260" s="2835"/>
      <c r="L260" s="2835"/>
      <c r="M260" s="2835"/>
      <c r="N260" s="2835"/>
    </row>
    <row r="261" spans="1:14" x14ac:dyDescent="0.15" ht="13.5" customHeight="true" hidden="false">
      <c r="A261" s="2835"/>
      <c r="B261" s="2835"/>
      <c r="C261" s="2835"/>
      <c r="D261" s="2835" t="s">
        <v>6949</v>
      </c>
      <c r="E261" s="2835" t="s">
        <v>9659</v>
      </c>
      <c r="F261" s="2835" t="n">
        <v>0.0</v>
      </c>
      <c r="G261" s="2835" t="s">
        <v>7007</v>
      </c>
      <c r="H261" s="2835" t="s">
        <v>9687</v>
      </c>
      <c r="I261" s="2835" t="n">
        <v>249.4</v>
      </c>
      <c r="J261" s="2835"/>
      <c r="K261" s="2835"/>
      <c r="L261" s="2835"/>
      <c r="M261" s="2835"/>
      <c r="N261" s="2835"/>
    </row>
    <row r="262" spans="1:14" x14ac:dyDescent="0.15" ht="13.5" customHeight="true" hidden="false">
      <c r="A262" s="2835"/>
      <c r="B262" s="2835"/>
      <c r="C262" s="2835"/>
      <c r="D262" s="2835" t="s">
        <v>6949</v>
      </c>
      <c r="E262" s="2835" t="s">
        <v>9661</v>
      </c>
      <c r="F262" s="2835" t="n">
        <v>0.0</v>
      </c>
      <c r="G262" s="2835" t="s">
        <v>7007</v>
      </c>
      <c r="H262" s="2835" t="s">
        <v>9688</v>
      </c>
      <c r="I262" s="2835" t="n">
        <v>0.0</v>
      </c>
      <c r="J262" s="2835"/>
      <c r="K262" s="2835"/>
      <c r="L262" s="2835"/>
      <c r="M262" s="2835"/>
      <c r="N262" s="2835"/>
    </row>
    <row r="263" spans="1:14" x14ac:dyDescent="0.15" ht="13.5" customHeight="true" hidden="false">
      <c r="A263" s="2835"/>
      <c r="B263" s="2835"/>
      <c r="C263" s="2835"/>
      <c r="D263" s="2835" t="s">
        <v>6949</v>
      </c>
      <c r="E263" s="2835" t="s">
        <v>9663</v>
      </c>
      <c r="F263" s="2835" t="n">
        <v>0.0</v>
      </c>
      <c r="G263" s="2835" t="s">
        <v>7007</v>
      </c>
      <c r="H263" s="2835" t="s">
        <v>9689</v>
      </c>
      <c r="I263" s="2835" t="n">
        <v>867.1</v>
      </c>
      <c r="J263" s="2835"/>
      <c r="K263" s="2835"/>
      <c r="L263" s="2835"/>
      <c r="M263" s="2835"/>
      <c r="N263" s="2835"/>
    </row>
    <row r="264" spans="1:14" x14ac:dyDescent="0.15" ht="13.5" customHeight="true" hidden="false">
      <c r="A264" s="2835"/>
      <c r="B264" s="2835"/>
      <c r="C264" s="2835"/>
      <c r="D264" s="2835" t="s">
        <v>6949</v>
      </c>
      <c r="E264" s="2835" t="s">
        <v>9665</v>
      </c>
      <c r="F264" s="2835" t="n">
        <v>0.0</v>
      </c>
      <c r="G264" s="2835" t="s">
        <v>7007</v>
      </c>
      <c r="H264" s="2835" t="s">
        <v>9690</v>
      </c>
      <c r="I264" s="2835" t="n">
        <v>0.0</v>
      </c>
      <c r="J264" s="2835"/>
      <c r="K264" s="2835"/>
      <c r="L264" s="2835"/>
      <c r="M264" s="2835"/>
      <c r="N264" s="2835"/>
    </row>
    <row r="265" spans="1:14" x14ac:dyDescent="0.15" ht="13.5" customHeight="true" hidden="false">
      <c r="A265" s="2835"/>
      <c r="B265" s="2835"/>
      <c r="C265" s="2835"/>
      <c r="D265" s="2835" t="s">
        <v>6949</v>
      </c>
      <c r="E265" s="2835" t="s">
        <v>9667</v>
      </c>
      <c r="F265" s="2835" t="n">
        <v>0.0</v>
      </c>
      <c r="G265" s="2835" t="s">
        <v>7007</v>
      </c>
      <c r="H265" s="2835" t="s">
        <v>9691</v>
      </c>
      <c r="I265" s="2835" t="n">
        <v>701.1</v>
      </c>
      <c r="J265" s="2835"/>
      <c r="K265" s="2835"/>
      <c r="L265" s="2835"/>
      <c r="M265" s="2835"/>
      <c r="N265" s="2835"/>
    </row>
    <row r="266" spans="1:14" x14ac:dyDescent="0.15" ht="13.5" customHeight="true" hidden="false">
      <c r="A266" s="2835"/>
      <c r="B266" s="2835"/>
      <c r="C266" s="2835"/>
      <c r="D266" s="2835" t="s">
        <v>6949</v>
      </c>
      <c r="E266" s="2835" t="s">
        <v>9669</v>
      </c>
      <c r="F266" s="2835" t="n">
        <v>0.0</v>
      </c>
      <c r="G266" s="2835" t="s">
        <v>7007</v>
      </c>
      <c r="H266" s="2835" t="s">
        <v>9692</v>
      </c>
      <c r="I266" s="2835" t="n">
        <v>0.0</v>
      </c>
      <c r="J266" s="2835"/>
      <c r="K266" s="2835"/>
      <c r="L266" s="2835"/>
      <c r="M266" s="2835"/>
      <c r="N266" s="2835"/>
    </row>
    <row r="267" spans="1:14" x14ac:dyDescent="0.15" ht="13.5" customHeight="true" hidden="false">
      <c r="A267" s="2835"/>
      <c r="B267" s="2835"/>
      <c r="C267" s="2835"/>
      <c r="D267" s="2835" t="s">
        <v>6949</v>
      </c>
      <c r="E267" s="2835" t="s">
        <v>9671</v>
      </c>
      <c r="F267" s="2835" t="n">
        <v>0.0</v>
      </c>
      <c r="G267" s="2835" t="s">
        <v>7007</v>
      </c>
      <c r="H267" s="2835" t="s">
        <v>9693</v>
      </c>
      <c r="I267" s="2835" t="n">
        <v>708.3</v>
      </c>
      <c r="J267" s="2835"/>
      <c r="K267" s="2835"/>
      <c r="L267" s="2835"/>
      <c r="M267" s="2835"/>
      <c r="N267" s="2835"/>
    </row>
    <row r="268" spans="1:14" x14ac:dyDescent="0.15" ht="13.5" customHeight="true" hidden="false">
      <c r="A268" s="2835"/>
      <c r="B268" s="2835"/>
      <c r="C268" s="2835"/>
      <c r="D268" s="2835" t="s">
        <v>6949</v>
      </c>
      <c r="E268" s="2835" t="s">
        <v>9673</v>
      </c>
      <c r="F268" s="2835" t="n">
        <v>0.0</v>
      </c>
      <c r="G268" s="2835" t="s">
        <v>7007</v>
      </c>
      <c r="H268" s="2835" t="s">
        <v>9694</v>
      </c>
      <c r="I268" s="2835" t="n">
        <v>0.0</v>
      </c>
      <c r="J268" s="2835"/>
      <c r="K268" s="2835"/>
      <c r="L268" s="2835"/>
      <c r="M268" s="2835"/>
      <c r="N268" s="2835"/>
    </row>
    <row r="269" spans="1:14" x14ac:dyDescent="0.15" ht="13.5" customHeight="true" hidden="false">
      <c r="A269" s="2835"/>
      <c r="B269" s="2835"/>
      <c r="C269" s="2835"/>
      <c r="D269" s="2835" t="s">
        <v>6949</v>
      </c>
      <c r="E269" s="2835" t="s">
        <v>9674</v>
      </c>
      <c r="F269" s="2835" t="n">
        <v>0.0</v>
      </c>
      <c r="G269" s="2835" t="s">
        <v>7007</v>
      </c>
      <c r="H269" s="2835" t="s">
        <v>9695</v>
      </c>
      <c r="I269" s="2835" t="n">
        <v>1246.0</v>
      </c>
      <c r="J269" s="2835"/>
      <c r="K269" s="2835"/>
      <c r="L269" s="2835"/>
      <c r="M269" s="2835"/>
      <c r="N269" s="2835"/>
    </row>
    <row r="270" spans="1:14" x14ac:dyDescent="0.15" ht="13.5" customHeight="true" hidden="false">
      <c r="A270" s="2835"/>
      <c r="B270" s="2835"/>
      <c r="C270" s="2835"/>
      <c r="D270" s="2835" t="s">
        <v>6949</v>
      </c>
      <c r="E270" s="2835" t="s">
        <v>9675</v>
      </c>
      <c r="F270" s="2835" t="n">
        <v>0.0</v>
      </c>
      <c r="G270" s="2835" t="s">
        <v>7007</v>
      </c>
      <c r="H270" s="2835" t="s">
        <v>9696</v>
      </c>
      <c r="I270" s="2835" t="n">
        <v>0.0</v>
      </c>
      <c r="J270" s="2835"/>
      <c r="K270" s="2835"/>
      <c r="L270" s="2835"/>
      <c r="M270" s="2835"/>
      <c r="N270" s="2835"/>
    </row>
    <row r="271" spans="1:14" x14ac:dyDescent="0.15" ht="13.5" customHeight="true" hidden="false">
      <c r="A271" s="2835"/>
      <c r="B271" s="2835"/>
      <c r="C271" s="2835"/>
      <c r="D271" s="2835" t="s">
        <v>6949</v>
      </c>
      <c r="E271" s="2835" t="s">
        <v>9676</v>
      </c>
      <c r="F271" s="2835" t="n">
        <v>0.0</v>
      </c>
      <c r="G271" s="2835" t="s">
        <v>7007</v>
      </c>
      <c r="H271" s="2835" t="s">
        <v>9697</v>
      </c>
      <c r="I271" s="2835" t="n">
        <v>624.3</v>
      </c>
      <c r="J271" s="2835"/>
      <c r="K271" s="2835"/>
      <c r="L271" s="2835"/>
      <c r="M271" s="2835"/>
      <c r="N271" s="2835"/>
    </row>
    <row r="272" spans="1:14" x14ac:dyDescent="0.15" ht="13.5" customHeight="true" hidden="false">
      <c r="A272" s="2835"/>
      <c r="B272" s="2835"/>
      <c r="C272" s="2835"/>
      <c r="D272" s="2835" t="s">
        <v>6949</v>
      </c>
      <c r="E272" s="2835" t="s">
        <v>9677</v>
      </c>
      <c r="F272" s="2835" t="n">
        <v>0.0</v>
      </c>
      <c r="G272" s="2835" t="s">
        <v>7007</v>
      </c>
      <c r="H272" s="2835" t="s">
        <v>9698</v>
      </c>
      <c r="I272" s="2835" t="n">
        <v>0.0</v>
      </c>
      <c r="J272" s="2835"/>
      <c r="K272" s="2835"/>
      <c r="L272" s="2835"/>
      <c r="M272" s="2835"/>
      <c r="N272" s="2835"/>
    </row>
    <row r="273" spans="1:14" x14ac:dyDescent="0.15" ht="13.5" customHeight="true" hidden="false">
      <c r="A273" s="2835"/>
      <c r="B273" s="2835"/>
      <c r="C273" s="2835"/>
      <c r="D273" s="2835" t="s">
        <v>6949</v>
      </c>
      <c r="E273" s="2835" t="s">
        <v>9678</v>
      </c>
      <c r="F273" s="2835" t="n">
        <v>0.0</v>
      </c>
      <c r="G273" s="2835" t="s">
        <v>7007</v>
      </c>
      <c r="H273" s="2835" t="s">
        <v>9699</v>
      </c>
      <c r="I273" s="2835" t="n">
        <v>881.4</v>
      </c>
      <c r="J273" s="2835"/>
      <c r="K273" s="2835"/>
      <c r="L273" s="2835"/>
      <c r="M273" s="2835"/>
      <c r="N273" s="2835"/>
    </row>
    <row r="274" spans="1:14" x14ac:dyDescent="0.15" ht="13.5" customHeight="true" hidden="false">
      <c r="A274" s="2835"/>
      <c r="B274" s="2835"/>
      <c r="C274" s="2835"/>
      <c r="D274" s="2835" t="s">
        <v>6949</v>
      </c>
      <c r="E274" s="2835" t="s">
        <v>9679</v>
      </c>
      <c r="F274" s="2835" t="n">
        <v>0.0</v>
      </c>
      <c r="G274" s="2835" t="s">
        <v>7007</v>
      </c>
      <c r="H274" s="2835" t="s">
        <v>9700</v>
      </c>
      <c r="I274" s="2835" t="n">
        <v>613.5</v>
      </c>
      <c r="J274" s="2835"/>
      <c r="K274" s="2835"/>
      <c r="L274" s="2835"/>
      <c r="M274" s="2835"/>
      <c r="N274" s="2835"/>
    </row>
    <row r="275" spans="1:14" x14ac:dyDescent="0.15" ht="13.5" customHeight="true" hidden="false">
      <c r="A275" s="2835"/>
      <c r="B275" s="2835"/>
      <c r="C275" s="2835"/>
      <c r="D275" s="2835" t="s">
        <v>6949</v>
      </c>
      <c r="E275" s="2835" t="s">
        <v>9680</v>
      </c>
      <c r="F275" s="2835" t="n">
        <v>0.0</v>
      </c>
      <c r="G275" s="2835" t="s">
        <v>7008</v>
      </c>
      <c r="H275" s="2835" t="s">
        <v>9618</v>
      </c>
      <c r="I275" s="2835" t="n">
        <v>0.0</v>
      </c>
      <c r="J275" s="2835"/>
      <c r="K275" s="2835"/>
      <c r="L275" s="2835"/>
      <c r="M275" s="2835"/>
      <c r="N275" s="2835"/>
    </row>
    <row r="276" spans="1:14" x14ac:dyDescent="0.15" ht="13.5" customHeight="true" hidden="false">
      <c r="A276" s="2835"/>
      <c r="B276" s="2835"/>
      <c r="C276" s="2835"/>
      <c r="D276" s="2835" t="s">
        <v>6949</v>
      </c>
      <c r="E276" s="2835" t="s">
        <v>9681</v>
      </c>
      <c r="F276" s="2835" t="n">
        <v>0.0</v>
      </c>
      <c r="G276" s="2835" t="s">
        <v>7008</v>
      </c>
      <c r="H276" s="2835" t="s">
        <v>9619</v>
      </c>
      <c r="I276" s="2835" t="n">
        <v>1745.2</v>
      </c>
      <c r="J276" s="2835"/>
      <c r="K276" s="2835"/>
      <c r="L276" s="2835"/>
      <c r="M276" s="2835"/>
      <c r="N276" s="2835"/>
    </row>
    <row r="277" spans="1:14" x14ac:dyDescent="0.15" ht="13.5" customHeight="true" hidden="false">
      <c r="A277" s="2835"/>
      <c r="B277" s="2835"/>
      <c r="C277" s="2835"/>
      <c r="D277" s="2835" t="s">
        <v>6949</v>
      </c>
      <c r="E277" s="2835" t="s">
        <v>9682</v>
      </c>
      <c r="F277" s="2835" t="n">
        <v>0.0</v>
      </c>
      <c r="G277" s="2835" t="s">
        <v>7008</v>
      </c>
      <c r="H277" s="2835" t="s">
        <v>9620</v>
      </c>
      <c r="I277" s="2835" t="n">
        <v>0.0</v>
      </c>
      <c r="J277" s="2835"/>
      <c r="K277" s="2835"/>
      <c r="L277" s="2835"/>
      <c r="M277" s="2835"/>
      <c r="N277" s="2835"/>
    </row>
    <row r="278" spans="1:14" x14ac:dyDescent="0.15" ht="13.5" customHeight="true" hidden="false">
      <c r="A278" s="2835"/>
      <c r="B278" s="2835"/>
      <c r="C278" s="2835"/>
      <c r="D278" s="2835" t="s">
        <v>6949</v>
      </c>
      <c r="E278" s="2835" t="s">
        <v>9683</v>
      </c>
      <c r="F278" s="2835" t="n">
        <v>0.0</v>
      </c>
      <c r="G278" s="2835" t="s">
        <v>7008</v>
      </c>
      <c r="H278" s="2835" t="s">
        <v>9621</v>
      </c>
      <c r="I278" s="2835" t="n">
        <v>608.4</v>
      </c>
      <c r="J278" s="2835"/>
      <c r="K278" s="2835"/>
      <c r="L278" s="2835"/>
      <c r="M278" s="2835"/>
      <c r="N278" s="2835"/>
    </row>
    <row r="279" spans="1:14" x14ac:dyDescent="0.15" ht="13.5" customHeight="true" hidden="false">
      <c r="A279" s="2835"/>
      <c r="B279" s="2835"/>
      <c r="C279" s="2835"/>
      <c r="D279" s="2835" t="s">
        <v>6949</v>
      </c>
      <c r="E279" s="2835" t="s">
        <v>9684</v>
      </c>
      <c r="F279" s="2835" t="n">
        <v>0.0</v>
      </c>
      <c r="G279" s="2835" t="s">
        <v>7008</v>
      </c>
      <c r="H279" s="2835" t="s">
        <v>9622</v>
      </c>
      <c r="I279" s="2835" t="n">
        <v>0.0</v>
      </c>
      <c r="J279" s="2835"/>
      <c r="K279" s="2835"/>
      <c r="L279" s="2835"/>
      <c r="M279" s="2835"/>
      <c r="N279" s="2835"/>
    </row>
    <row r="280" spans="1:14" x14ac:dyDescent="0.15" ht="13.5" customHeight="true" hidden="false">
      <c r="A280" s="2835"/>
      <c r="B280" s="2835"/>
      <c r="C280" s="2835"/>
      <c r="D280" s="2835" t="s">
        <v>6949</v>
      </c>
      <c r="E280" s="2835" t="s">
        <v>9685</v>
      </c>
      <c r="F280" s="2835" t="n">
        <v>0.0</v>
      </c>
      <c r="G280" s="2835" t="s">
        <v>7008</v>
      </c>
      <c r="H280" s="2835" t="s">
        <v>9623</v>
      </c>
      <c r="I280" s="2835" t="n">
        <v>194.2</v>
      </c>
      <c r="J280" s="2835"/>
      <c r="K280" s="2835"/>
      <c r="L280" s="2835"/>
      <c r="M280" s="2835"/>
      <c r="N280" s="2835"/>
    </row>
    <row r="281" spans="1:14" x14ac:dyDescent="0.15" ht="13.5" customHeight="true" hidden="false">
      <c r="A281" s="2835"/>
      <c r="B281" s="2835"/>
      <c r="C281" s="2835"/>
      <c r="D281" s="2835" t="s">
        <v>6949</v>
      </c>
      <c r="E281" s="2835" t="s">
        <v>9686</v>
      </c>
      <c r="F281" s="2835" t="n">
        <v>0.0</v>
      </c>
      <c r="G281" s="2835" t="s">
        <v>7008</v>
      </c>
      <c r="H281" s="2835" t="s">
        <v>9624</v>
      </c>
      <c r="I281" s="2835" t="n">
        <v>436.1</v>
      </c>
      <c r="J281" s="2835"/>
      <c r="K281" s="2835"/>
      <c r="L281" s="2835"/>
      <c r="M281" s="2835"/>
      <c r="N281" s="2835"/>
    </row>
    <row r="282" spans="1:14" x14ac:dyDescent="0.15" ht="13.5" customHeight="true" hidden="false">
      <c r="A282" s="2835"/>
      <c r="B282" s="2835"/>
      <c r="C282" s="2835"/>
      <c r="D282" s="2835" t="s">
        <v>6949</v>
      </c>
      <c r="E282" s="2835" t="s">
        <v>9687</v>
      </c>
      <c r="F282" s="2835" t="n">
        <v>0.0</v>
      </c>
      <c r="G282" s="2835" t="s">
        <v>7008</v>
      </c>
      <c r="H282" s="2835" t="s">
        <v>9625</v>
      </c>
      <c r="I282" s="2835" t="n">
        <v>508.8</v>
      </c>
      <c r="J282" s="2835"/>
      <c r="K282" s="2835"/>
      <c r="L282" s="2835"/>
      <c r="M282" s="2835"/>
      <c r="N282" s="2835"/>
    </row>
    <row r="283" spans="1:14" x14ac:dyDescent="0.15" ht="13.5" customHeight="true" hidden="false">
      <c r="A283" s="2835"/>
      <c r="B283" s="2835"/>
      <c r="C283" s="2835"/>
      <c r="D283" s="2835" t="s">
        <v>6949</v>
      </c>
      <c r="E283" s="2835" t="s">
        <v>9688</v>
      </c>
      <c r="F283" s="2835" t="n">
        <v>0.0</v>
      </c>
      <c r="G283" s="2835" t="s">
        <v>7008</v>
      </c>
      <c r="H283" s="2835" t="s">
        <v>9626</v>
      </c>
      <c r="I283" s="2835" t="n">
        <v>120.5</v>
      </c>
      <c r="J283" s="2835"/>
      <c r="K283" s="2835"/>
      <c r="L283" s="2835"/>
      <c r="M283" s="2835"/>
      <c r="N283" s="2835"/>
    </row>
    <row r="284" spans="1:14" x14ac:dyDescent="0.15" ht="13.5" customHeight="true" hidden="false">
      <c r="A284" s="2835"/>
      <c r="B284" s="2835"/>
      <c r="C284" s="2835"/>
      <c r="D284" s="2835" t="s">
        <v>6949</v>
      </c>
      <c r="E284" s="2835" t="s">
        <v>9689</v>
      </c>
      <c r="F284" s="2835" t="n">
        <v>0.0</v>
      </c>
      <c r="G284" s="2835" t="s">
        <v>7008</v>
      </c>
      <c r="H284" s="2835" t="s">
        <v>9627</v>
      </c>
      <c r="I284" s="2835" t="n">
        <v>71.5</v>
      </c>
      <c r="J284" s="2835"/>
      <c r="K284" s="2835"/>
      <c r="L284" s="2835"/>
      <c r="M284" s="2835"/>
      <c r="N284" s="2835"/>
    </row>
    <row r="285" spans="1:14" x14ac:dyDescent="0.15" ht="13.5" customHeight="true" hidden="false">
      <c r="A285" s="2835"/>
      <c r="B285" s="2835"/>
      <c r="C285" s="2835"/>
      <c r="D285" s="2835" t="s">
        <v>6949</v>
      </c>
      <c r="E285" s="2835" t="s">
        <v>9690</v>
      </c>
      <c r="F285" s="2835" t="n">
        <v>0.0</v>
      </c>
      <c r="G285" s="2835" t="s">
        <v>7008</v>
      </c>
      <c r="H285" s="2835" t="s">
        <v>9628</v>
      </c>
      <c r="I285" s="2835" t="n">
        <v>194.2</v>
      </c>
      <c r="J285" s="2835"/>
      <c r="K285" s="2835"/>
      <c r="L285" s="2835"/>
      <c r="M285" s="2835"/>
      <c r="N285" s="2835"/>
    </row>
    <row r="286" spans="1:14" x14ac:dyDescent="0.15" ht="13.5" customHeight="true" hidden="false">
      <c r="A286" s="2835"/>
      <c r="B286" s="2835"/>
      <c r="C286" s="2835"/>
      <c r="D286" s="2835" t="s">
        <v>6949</v>
      </c>
      <c r="E286" s="2835" t="s">
        <v>9691</v>
      </c>
      <c r="F286" s="2835" t="n">
        <v>0.0</v>
      </c>
      <c r="G286" s="2835" t="s">
        <v>7008</v>
      </c>
      <c r="H286" s="2835" t="s">
        <v>9629</v>
      </c>
      <c r="I286" s="2835" t="n">
        <v>0.0</v>
      </c>
      <c r="J286" s="2835"/>
      <c r="K286" s="2835"/>
      <c r="L286" s="2835"/>
      <c r="M286" s="2835"/>
      <c r="N286" s="2835"/>
    </row>
    <row r="287" spans="1:14" x14ac:dyDescent="0.15" ht="13.5" customHeight="true" hidden="false">
      <c r="A287" s="2835"/>
      <c r="B287" s="2835"/>
      <c r="C287" s="2835"/>
      <c r="D287" s="2835" t="s">
        <v>6949</v>
      </c>
      <c r="E287" s="2835" t="s">
        <v>9692</v>
      </c>
      <c r="F287" s="2835" t="n">
        <v>0.0</v>
      </c>
      <c r="G287" s="2835" t="s">
        <v>7008</v>
      </c>
      <c r="H287" s="2835" t="s">
        <v>9633</v>
      </c>
      <c r="I287" s="2835" t="n">
        <v>436.1</v>
      </c>
      <c r="J287" s="2835"/>
      <c r="K287" s="2835"/>
      <c r="L287" s="2835"/>
      <c r="M287" s="2835"/>
      <c r="N287" s="2835"/>
    </row>
    <row r="288" spans="1:14" x14ac:dyDescent="0.15" ht="13.5" customHeight="true" hidden="false">
      <c r="A288" s="2835"/>
      <c r="B288" s="2835"/>
      <c r="C288" s="2835"/>
      <c r="D288" s="2835" t="s">
        <v>6949</v>
      </c>
      <c r="E288" s="2835" t="s">
        <v>9693</v>
      </c>
      <c r="F288" s="2835" t="n">
        <v>0.0</v>
      </c>
      <c r="G288" s="2835" t="s">
        <v>7008</v>
      </c>
      <c r="H288" s="2835" t="s">
        <v>9634</v>
      </c>
      <c r="I288" s="2835" t="n">
        <v>448.1</v>
      </c>
      <c r="J288" s="2835"/>
      <c r="K288" s="2835"/>
      <c r="L288" s="2835"/>
      <c r="M288" s="2835"/>
      <c r="N288" s="2835"/>
    </row>
    <row r="289" spans="1:14" x14ac:dyDescent="0.15" ht="13.5" customHeight="true" hidden="false">
      <c r="A289" s="2835"/>
      <c r="B289" s="2835"/>
      <c r="C289" s="2835"/>
      <c r="D289" s="2835" t="s">
        <v>6949</v>
      </c>
      <c r="E289" s="2835" t="s">
        <v>9694</v>
      </c>
      <c r="F289" s="2835" t="n">
        <v>0.0</v>
      </c>
      <c r="G289" s="2835" t="s">
        <v>7008</v>
      </c>
      <c r="H289" s="2835" t="s">
        <v>9635</v>
      </c>
      <c r="I289" s="2835" t="n">
        <v>448.1</v>
      </c>
      <c r="J289" s="2835"/>
      <c r="K289" s="2835"/>
      <c r="L289" s="2835"/>
      <c r="M289" s="2835"/>
      <c r="N289" s="2835"/>
    </row>
    <row r="290" spans="1:14" x14ac:dyDescent="0.15" ht="13.5" customHeight="true" hidden="false">
      <c r="A290" s="2835"/>
      <c r="B290" s="2835"/>
      <c r="C290" s="2835"/>
      <c r="D290" s="2835" t="s">
        <v>6949</v>
      </c>
      <c r="E290" s="2835" t="s">
        <v>9695</v>
      </c>
      <c r="F290" s="2835" t="n">
        <v>0.0</v>
      </c>
      <c r="G290" s="2835" t="s">
        <v>7008</v>
      </c>
      <c r="H290" s="2835" t="s">
        <v>9636</v>
      </c>
      <c r="I290" s="2835" t="n">
        <v>628.1</v>
      </c>
      <c r="J290" s="2835"/>
      <c r="K290" s="2835"/>
      <c r="L290" s="2835"/>
      <c r="M290" s="2835"/>
      <c r="N290" s="2835"/>
    </row>
    <row r="291" spans="1:14" x14ac:dyDescent="0.15" ht="13.5" customHeight="true" hidden="false">
      <c r="A291" s="2835"/>
      <c r="B291" s="2835"/>
      <c r="C291" s="2835"/>
      <c r="D291" s="2835" t="s">
        <v>6949</v>
      </c>
      <c r="E291" s="2835" t="s">
        <v>9696</v>
      </c>
      <c r="F291" s="2835" t="n">
        <v>0.0</v>
      </c>
      <c r="G291" s="2835" t="s">
        <v>7008</v>
      </c>
      <c r="H291" s="2835" t="s">
        <v>9637</v>
      </c>
      <c r="I291" s="2835" t="n">
        <v>145.3</v>
      </c>
      <c r="J291" s="2835"/>
      <c r="K291" s="2835"/>
      <c r="L291" s="2835"/>
      <c r="M291" s="2835"/>
      <c r="N291" s="2835"/>
    </row>
    <row r="292" spans="1:14" x14ac:dyDescent="0.15" ht="13.5" customHeight="true" hidden="false">
      <c r="A292" s="2835"/>
      <c r="B292" s="2835"/>
      <c r="C292" s="2835"/>
      <c r="D292" s="2835" t="s">
        <v>6949</v>
      </c>
      <c r="E292" s="2835" t="s">
        <v>9697</v>
      </c>
      <c r="F292" s="2835" t="n">
        <v>0.0</v>
      </c>
      <c r="G292" s="2835" t="s">
        <v>7008</v>
      </c>
      <c r="H292" s="2835" t="s">
        <v>9638</v>
      </c>
      <c r="I292" s="2835" t="n">
        <v>44.7</v>
      </c>
      <c r="J292" s="2835"/>
      <c r="K292" s="2835"/>
      <c r="L292" s="2835"/>
      <c r="M292" s="2835"/>
      <c r="N292" s="2835"/>
    </row>
    <row r="293" spans="1:14" x14ac:dyDescent="0.15" ht="13.5" customHeight="true" hidden="false">
      <c r="A293" s="2835"/>
      <c r="B293" s="2835"/>
      <c r="C293" s="2835"/>
      <c r="D293" s="2835" t="s">
        <v>6949</v>
      </c>
      <c r="E293" s="2835" t="s">
        <v>9698</v>
      </c>
      <c r="F293" s="2835" t="n">
        <v>0.0</v>
      </c>
      <c r="G293" s="2835" t="s">
        <v>7008</v>
      </c>
      <c r="H293" s="2835" t="s">
        <v>9657</v>
      </c>
      <c r="I293" s="2835" t="n">
        <v>1171.1</v>
      </c>
      <c r="J293" s="2835"/>
      <c r="K293" s="2835"/>
      <c r="L293" s="2835"/>
      <c r="M293" s="2835"/>
      <c r="N293" s="2835"/>
    </row>
    <row r="294" spans="1:14" x14ac:dyDescent="0.15" ht="13.5" customHeight="true" hidden="false">
      <c r="A294" s="2835"/>
      <c r="B294" s="2835"/>
      <c r="C294" s="2835"/>
      <c r="D294" s="2835" t="s">
        <v>6949</v>
      </c>
      <c r="E294" s="2835" t="s">
        <v>9699</v>
      </c>
      <c r="F294" s="2835" t="n">
        <v>0.0</v>
      </c>
      <c r="G294" s="2835" t="s">
        <v>7008</v>
      </c>
      <c r="H294" s="2835" t="s">
        <v>9659</v>
      </c>
      <c r="I294" s="2835" t="n">
        <v>294.3</v>
      </c>
      <c r="J294" s="2835"/>
      <c r="K294" s="2835"/>
      <c r="L294" s="2835"/>
      <c r="M294" s="2835"/>
      <c r="N294" s="2835"/>
    </row>
    <row r="295" spans="1:14" x14ac:dyDescent="0.15" ht="13.5" customHeight="true" hidden="false">
      <c r="A295" s="2835"/>
      <c r="B295" s="2835"/>
      <c r="C295" s="2835"/>
      <c r="D295" s="2835" t="s">
        <v>6949</v>
      </c>
      <c r="E295" s="2835" t="s">
        <v>9700</v>
      </c>
      <c r="F295" s="2835" t="n">
        <v>0.0</v>
      </c>
      <c r="G295" s="2835" t="s">
        <v>7008</v>
      </c>
      <c r="H295" s="2835" t="s">
        <v>9661</v>
      </c>
      <c r="I295" s="2835" t="n">
        <v>110.5</v>
      </c>
      <c r="J295" s="2835"/>
      <c r="K295" s="2835"/>
      <c r="L295" s="2835"/>
      <c r="M295" s="2835"/>
      <c r="N295" s="2835"/>
    </row>
    <row r="296" spans="1:14" x14ac:dyDescent="0.15" ht="13.5" customHeight="true" hidden="false">
      <c r="A296" s="2835"/>
      <c r="B296" s="2835"/>
      <c r="C296" s="2835"/>
      <c r="D296" s="2835" t="s">
        <v>6950</v>
      </c>
      <c r="E296" s="2835" t="s">
        <v>9618</v>
      </c>
      <c r="F296" s="2835" t="n">
        <v>0.0</v>
      </c>
      <c r="G296" s="2835" t="s">
        <v>7008</v>
      </c>
      <c r="H296" s="2835" t="s">
        <v>9663</v>
      </c>
      <c r="I296" s="2835" t="n">
        <v>754.4</v>
      </c>
      <c r="J296" s="2835"/>
      <c r="K296" s="2835"/>
      <c r="L296" s="2835"/>
      <c r="M296" s="2835"/>
      <c r="N296" s="2835"/>
    </row>
    <row r="297" spans="1:14" x14ac:dyDescent="0.15" ht="13.5" customHeight="true" hidden="false">
      <c r="A297" s="2835"/>
      <c r="B297" s="2835"/>
      <c r="C297" s="2835"/>
      <c r="D297" s="2835" t="s">
        <v>6950</v>
      </c>
      <c r="E297" s="2835" t="s">
        <v>9619</v>
      </c>
      <c r="F297" s="2835" t="n">
        <v>0.0</v>
      </c>
      <c r="G297" s="2835" t="s">
        <v>7008</v>
      </c>
      <c r="H297" s="2835" t="s">
        <v>9665</v>
      </c>
      <c r="I297" s="2835" t="n">
        <v>731.6</v>
      </c>
      <c r="J297" s="2835"/>
      <c r="K297" s="2835"/>
      <c r="L297" s="2835"/>
      <c r="M297" s="2835"/>
      <c r="N297" s="2835"/>
    </row>
    <row r="298" spans="1:14" x14ac:dyDescent="0.15" ht="13.5" customHeight="true" hidden="false">
      <c r="A298" s="2835"/>
      <c r="B298" s="2835"/>
      <c r="C298" s="2835"/>
      <c r="D298" s="2835" t="s">
        <v>6950</v>
      </c>
      <c r="E298" s="2835" t="s">
        <v>9620</v>
      </c>
      <c r="F298" s="2835" t="n">
        <v>0.0</v>
      </c>
      <c r="G298" s="2835" t="s">
        <v>7008</v>
      </c>
      <c r="H298" s="2835" t="s">
        <v>9667</v>
      </c>
      <c r="I298" s="2835" t="n">
        <v>642.4</v>
      </c>
      <c r="J298" s="2835"/>
      <c r="K298" s="2835"/>
      <c r="L298" s="2835"/>
      <c r="M298" s="2835"/>
      <c r="N298" s="2835"/>
    </row>
    <row r="299" spans="1:14" x14ac:dyDescent="0.15" ht="13.5" customHeight="true" hidden="false">
      <c r="A299" s="2835"/>
      <c r="B299" s="2835"/>
      <c r="C299" s="2835"/>
      <c r="D299" s="2835" t="s">
        <v>6950</v>
      </c>
      <c r="E299" s="2835" t="s">
        <v>9621</v>
      </c>
      <c r="F299" s="2835" t="n">
        <v>0.0</v>
      </c>
      <c r="G299" s="2835" t="s">
        <v>7008</v>
      </c>
      <c r="H299" s="2835" t="s">
        <v>9669</v>
      </c>
      <c r="I299" s="2835" t="n">
        <v>386.4</v>
      </c>
      <c r="J299" s="2835"/>
      <c r="K299" s="2835"/>
      <c r="L299" s="2835"/>
      <c r="M299" s="2835"/>
      <c r="N299" s="2835"/>
    </row>
    <row r="300" spans="1:14" x14ac:dyDescent="0.15" ht="13.5" customHeight="true" hidden="false">
      <c r="A300" s="2835"/>
      <c r="B300" s="2835"/>
      <c r="C300" s="2835"/>
      <c r="D300" s="2835" t="s">
        <v>6950</v>
      </c>
      <c r="E300" s="2835" t="s">
        <v>9622</v>
      </c>
      <c r="F300" s="2835" t="n">
        <v>0.0</v>
      </c>
      <c r="G300" s="2835" t="s">
        <v>7008</v>
      </c>
      <c r="H300" s="2835" t="s">
        <v>9671</v>
      </c>
      <c r="I300" s="2835" t="n">
        <v>664.7</v>
      </c>
      <c r="J300" s="2835"/>
      <c r="K300" s="2835"/>
      <c r="L300" s="2835"/>
      <c r="M300" s="2835"/>
      <c r="N300" s="2835"/>
    </row>
    <row r="301" spans="1:14" x14ac:dyDescent="0.15" ht="13.5" customHeight="true" hidden="false">
      <c r="A301" s="2835"/>
      <c r="B301" s="2835"/>
      <c r="C301" s="2835"/>
      <c r="D301" s="2835" t="s">
        <v>6950</v>
      </c>
      <c r="E301" s="2835" t="s">
        <v>9623</v>
      </c>
      <c r="F301" s="2835" t="n">
        <v>0.0</v>
      </c>
      <c r="G301" s="2835" t="s">
        <v>7008</v>
      </c>
      <c r="H301" s="2835" t="s">
        <v>9673</v>
      </c>
      <c r="I301" s="2835" t="n">
        <v>291.1</v>
      </c>
      <c r="J301" s="2835"/>
      <c r="K301" s="2835"/>
      <c r="L301" s="2835"/>
      <c r="M301" s="2835"/>
      <c r="N301" s="2835"/>
    </row>
    <row r="302" spans="1:14" x14ac:dyDescent="0.15" ht="13.5" customHeight="true" hidden="false">
      <c r="A302" s="2835"/>
      <c r="B302" s="2835"/>
      <c r="C302" s="2835"/>
      <c r="D302" s="2835" t="s">
        <v>6950</v>
      </c>
      <c r="E302" s="2835" t="s">
        <v>9624</v>
      </c>
      <c r="F302" s="2835" t="n">
        <v>0.0</v>
      </c>
      <c r="G302" s="2835" t="s">
        <v>7008</v>
      </c>
      <c r="H302" s="2835" t="s">
        <v>9674</v>
      </c>
      <c r="I302" s="2835" t="n">
        <v>1745.2</v>
      </c>
      <c r="J302" s="2835"/>
      <c r="K302" s="2835"/>
      <c r="L302" s="2835"/>
      <c r="M302" s="2835"/>
      <c r="N302" s="2835"/>
    </row>
    <row r="303" spans="1:14" x14ac:dyDescent="0.15" ht="13.5" customHeight="true" hidden="false">
      <c r="A303" s="2835"/>
      <c r="B303" s="2835"/>
      <c r="C303" s="2835"/>
      <c r="D303" s="2835" t="s">
        <v>6950</v>
      </c>
      <c r="E303" s="2835" t="s">
        <v>9625</v>
      </c>
      <c r="F303" s="2835" t="n">
        <v>0.0</v>
      </c>
      <c r="G303" s="2835" t="s">
        <v>7008</v>
      </c>
      <c r="H303" s="2835" t="s">
        <v>9675</v>
      </c>
      <c r="I303" s="2835" t="n">
        <v>597.0</v>
      </c>
      <c r="J303" s="2835"/>
      <c r="K303" s="2835"/>
      <c r="L303" s="2835"/>
      <c r="M303" s="2835"/>
      <c r="N303" s="2835"/>
    </row>
    <row r="304" spans="1:14" x14ac:dyDescent="0.15" ht="13.5" customHeight="true" hidden="false">
      <c r="A304" s="2835"/>
      <c r="B304" s="2835"/>
      <c r="C304" s="2835"/>
      <c r="D304" s="2835" t="s">
        <v>6950</v>
      </c>
      <c r="E304" s="2835" t="s">
        <v>9626</v>
      </c>
      <c r="F304" s="2835" t="n">
        <v>0.0</v>
      </c>
      <c r="G304" s="2835" t="s">
        <v>7008</v>
      </c>
      <c r="H304" s="2835" t="s">
        <v>9676</v>
      </c>
      <c r="I304" s="2835" t="n">
        <v>92.5</v>
      </c>
      <c r="J304" s="2835"/>
      <c r="K304" s="2835"/>
      <c r="L304" s="2835"/>
      <c r="M304" s="2835"/>
      <c r="N304" s="2835"/>
    </row>
    <row r="305" spans="1:14" x14ac:dyDescent="0.15" ht="13.5" customHeight="true" hidden="false">
      <c r="A305" s="2835"/>
      <c r="B305" s="2835"/>
      <c r="C305" s="2835"/>
      <c r="D305" s="2835" t="s">
        <v>6950</v>
      </c>
      <c r="E305" s="2835" t="s">
        <v>9627</v>
      </c>
      <c r="F305" s="2835" t="n">
        <v>0.0</v>
      </c>
      <c r="G305" s="2835" t="s">
        <v>7008</v>
      </c>
      <c r="H305" s="2835" t="s">
        <v>9677</v>
      </c>
      <c r="I305" s="2835" t="n">
        <v>508.8</v>
      </c>
      <c r="J305" s="2835"/>
      <c r="K305" s="2835"/>
      <c r="L305" s="2835"/>
      <c r="M305" s="2835"/>
      <c r="N305" s="2835"/>
    </row>
    <row r="306" spans="1:14" x14ac:dyDescent="0.15" ht="13.5" customHeight="true" hidden="false">
      <c r="A306" s="2835"/>
      <c r="B306" s="2835"/>
      <c r="C306" s="2835"/>
      <c r="D306" s="2835" t="s">
        <v>6950</v>
      </c>
      <c r="E306" s="2835" t="s">
        <v>9628</v>
      </c>
      <c r="F306" s="2835" t="n">
        <v>0.0</v>
      </c>
      <c r="G306" s="2835" t="s">
        <v>7008</v>
      </c>
      <c r="H306" s="2835" t="s">
        <v>9678</v>
      </c>
      <c r="I306" s="2835" t="n">
        <v>71.5</v>
      </c>
      <c r="J306" s="2835"/>
      <c r="K306" s="2835"/>
      <c r="L306" s="2835"/>
      <c r="M306" s="2835"/>
      <c r="N306" s="2835"/>
    </row>
    <row r="307" spans="1:14" x14ac:dyDescent="0.15" ht="13.5" customHeight="true" hidden="false">
      <c r="A307" s="2835"/>
      <c r="B307" s="2835"/>
      <c r="C307" s="2835"/>
      <c r="D307" s="2835" t="s">
        <v>6950</v>
      </c>
      <c r="E307" s="2835" t="s">
        <v>9629</v>
      </c>
      <c r="F307" s="2835" t="n">
        <v>0.0</v>
      </c>
      <c r="G307" s="2835" t="s">
        <v>7008</v>
      </c>
      <c r="H307" s="2835" t="s">
        <v>9679</v>
      </c>
      <c r="I307" s="2835" t="n">
        <v>145.3</v>
      </c>
      <c r="J307" s="2835"/>
      <c r="K307" s="2835"/>
      <c r="L307" s="2835"/>
      <c r="M307" s="2835"/>
      <c r="N307" s="2835"/>
    </row>
    <row r="308" spans="1:14" x14ac:dyDescent="0.15" ht="13.5" customHeight="true" hidden="false">
      <c r="A308" s="2835"/>
      <c r="B308" s="2835"/>
      <c r="C308" s="2835"/>
      <c r="D308" s="2835" t="s">
        <v>6950</v>
      </c>
      <c r="E308" s="2835" t="s">
        <v>9633</v>
      </c>
      <c r="F308" s="2835" t="n">
        <v>0.0</v>
      </c>
      <c r="G308" s="2835" t="s">
        <v>7008</v>
      </c>
      <c r="H308" s="2835" t="s">
        <v>9680</v>
      </c>
      <c r="I308" s="2835" t="n">
        <v>448.1</v>
      </c>
      <c r="J308" s="2835"/>
      <c r="K308" s="2835"/>
      <c r="L308" s="2835"/>
      <c r="M308" s="2835"/>
      <c r="N308" s="2835"/>
    </row>
    <row r="309" spans="1:14" x14ac:dyDescent="0.15" ht="13.5" customHeight="true" hidden="false">
      <c r="A309" s="2835"/>
      <c r="B309" s="2835"/>
      <c r="C309" s="2835"/>
      <c r="D309" s="2835" t="s">
        <v>6950</v>
      </c>
      <c r="E309" s="2835" t="s">
        <v>9634</v>
      </c>
      <c r="F309" s="2835" t="n">
        <v>0.0</v>
      </c>
      <c r="G309" s="2835" t="s">
        <v>7008</v>
      </c>
      <c r="H309" s="2835" t="s">
        <v>9681</v>
      </c>
      <c r="I309" s="2835" t="n">
        <v>628.1</v>
      </c>
      <c r="J309" s="2835"/>
      <c r="K309" s="2835"/>
      <c r="L309" s="2835"/>
      <c r="M309" s="2835"/>
      <c r="N309" s="2835"/>
    </row>
    <row r="310" spans="1:14" x14ac:dyDescent="0.15" ht="13.5" customHeight="true" hidden="false">
      <c r="A310" s="2835"/>
      <c r="B310" s="2835"/>
      <c r="C310" s="2835"/>
      <c r="D310" s="2835" t="s">
        <v>6950</v>
      </c>
      <c r="E310" s="2835" t="s">
        <v>9635</v>
      </c>
      <c r="F310" s="2835" t="n">
        <v>0.0</v>
      </c>
      <c r="G310" s="2835" t="s">
        <v>7008</v>
      </c>
      <c r="H310" s="2835" t="s">
        <v>9682</v>
      </c>
      <c r="I310" s="2835" t="n">
        <v>0.0</v>
      </c>
      <c r="J310" s="2835"/>
      <c r="K310" s="2835"/>
      <c r="L310" s="2835"/>
      <c r="M310" s="2835"/>
      <c r="N310" s="2835"/>
    </row>
    <row r="311" spans="1:14" x14ac:dyDescent="0.15" ht="13.5" customHeight="true" hidden="false">
      <c r="A311" s="2835"/>
      <c r="B311" s="2835"/>
      <c r="C311" s="2835"/>
      <c r="D311" s="2835" t="s">
        <v>6950</v>
      </c>
      <c r="E311" s="2835" t="s">
        <v>9636</v>
      </c>
      <c r="F311" s="2835" t="n">
        <v>0.0</v>
      </c>
      <c r="G311" s="2835" t="s">
        <v>7008</v>
      </c>
      <c r="H311" s="2835" t="s">
        <v>9683</v>
      </c>
      <c r="I311" s="2835" t="n">
        <v>1171.1</v>
      </c>
      <c r="J311" s="2835"/>
      <c r="K311" s="2835"/>
      <c r="L311" s="2835"/>
      <c r="M311" s="2835"/>
      <c r="N311" s="2835"/>
    </row>
    <row r="312" spans="1:14" x14ac:dyDescent="0.15" ht="13.5" customHeight="true" hidden="false">
      <c r="A312" s="2835"/>
      <c r="B312" s="2835"/>
      <c r="C312" s="2835"/>
      <c r="D312" s="2835" t="s">
        <v>6950</v>
      </c>
      <c r="E312" s="2835" t="s">
        <v>9637</v>
      </c>
      <c r="F312" s="2835" t="n">
        <v>0.0</v>
      </c>
      <c r="G312" s="2835" t="s">
        <v>7008</v>
      </c>
      <c r="H312" s="2835" t="s">
        <v>9684</v>
      </c>
      <c r="I312" s="2835" t="n">
        <v>0.0</v>
      </c>
      <c r="J312" s="2835"/>
      <c r="K312" s="2835"/>
      <c r="L312" s="2835"/>
      <c r="M312" s="2835"/>
      <c r="N312" s="2835"/>
    </row>
    <row r="313" spans="1:14" x14ac:dyDescent="0.15" ht="13.5" customHeight="true" hidden="false">
      <c r="A313" s="2835"/>
      <c r="B313" s="2835"/>
      <c r="C313" s="2835"/>
      <c r="D313" s="2835" t="s">
        <v>6950</v>
      </c>
      <c r="E313" s="2835" t="s">
        <v>9638</v>
      </c>
      <c r="F313" s="2835" t="n">
        <v>0.0</v>
      </c>
      <c r="G313" s="2835" t="s">
        <v>7008</v>
      </c>
      <c r="H313" s="2835" t="s">
        <v>9685</v>
      </c>
      <c r="I313" s="2835" t="n">
        <v>294.3</v>
      </c>
      <c r="J313" s="2835"/>
      <c r="K313" s="2835"/>
      <c r="L313" s="2835"/>
      <c r="M313" s="2835"/>
      <c r="N313" s="2835"/>
    </row>
    <row r="314" spans="1:14" x14ac:dyDescent="0.15" ht="13.5" customHeight="true" hidden="false">
      <c r="A314" s="2835"/>
      <c r="B314" s="2835"/>
      <c r="C314" s="2835"/>
      <c r="D314" s="2835" t="s">
        <v>6950</v>
      </c>
      <c r="E314" s="2835" t="s">
        <v>9657</v>
      </c>
      <c r="F314" s="2835" t="n">
        <v>0.0</v>
      </c>
      <c r="G314" s="2835" t="s">
        <v>7008</v>
      </c>
      <c r="H314" s="2835" t="s">
        <v>9686</v>
      </c>
      <c r="I314" s="2835" t="n">
        <v>0.0</v>
      </c>
      <c r="J314" s="2835"/>
      <c r="K314" s="2835"/>
      <c r="L314" s="2835"/>
      <c r="M314" s="2835"/>
      <c r="N314" s="2835"/>
    </row>
    <row r="315" spans="1:14" x14ac:dyDescent="0.15" ht="13.5" customHeight="true" hidden="false">
      <c r="A315" s="2835"/>
      <c r="B315" s="2835"/>
      <c r="C315" s="2835"/>
      <c r="D315" s="2835" t="s">
        <v>6950</v>
      </c>
      <c r="E315" s="2835" t="s">
        <v>9659</v>
      </c>
      <c r="F315" s="2835" t="n">
        <v>0.0</v>
      </c>
      <c r="G315" s="2835" t="s">
        <v>7008</v>
      </c>
      <c r="H315" s="2835" t="s">
        <v>9687</v>
      </c>
      <c r="I315" s="2835" t="n">
        <v>110.5</v>
      </c>
      <c r="J315" s="2835"/>
      <c r="K315" s="2835"/>
      <c r="L315" s="2835"/>
      <c r="M315" s="2835"/>
      <c r="N315" s="2835"/>
    </row>
    <row r="316" spans="1:14" x14ac:dyDescent="0.15" ht="13.5" customHeight="true" hidden="false">
      <c r="A316" s="2835"/>
      <c r="B316" s="2835"/>
      <c r="C316" s="2835"/>
      <c r="D316" s="2835" t="s">
        <v>6950</v>
      </c>
      <c r="E316" s="2835" t="s">
        <v>9661</v>
      </c>
      <c r="F316" s="2835" t="n">
        <v>0.0</v>
      </c>
      <c r="G316" s="2835" t="s">
        <v>7008</v>
      </c>
      <c r="H316" s="2835" t="s">
        <v>9688</v>
      </c>
      <c r="I316" s="2835" t="n">
        <v>0.0</v>
      </c>
      <c r="J316" s="2835"/>
      <c r="K316" s="2835"/>
      <c r="L316" s="2835"/>
      <c r="M316" s="2835"/>
      <c r="N316" s="2835"/>
    </row>
    <row r="317" spans="1:14" x14ac:dyDescent="0.15" ht="13.5" customHeight="true" hidden="false">
      <c r="A317" s="2835"/>
      <c r="B317" s="2835"/>
      <c r="C317" s="2835"/>
      <c r="D317" s="2835" t="s">
        <v>6950</v>
      </c>
      <c r="E317" s="2835" t="s">
        <v>9663</v>
      </c>
      <c r="F317" s="2835" t="n">
        <v>0.0</v>
      </c>
      <c r="G317" s="2835" t="s">
        <v>7008</v>
      </c>
      <c r="H317" s="2835" t="s">
        <v>9689</v>
      </c>
      <c r="I317" s="2835" t="n">
        <v>754.4</v>
      </c>
      <c r="J317" s="2835"/>
      <c r="K317" s="2835"/>
      <c r="L317" s="2835"/>
      <c r="M317" s="2835"/>
      <c r="N317" s="2835"/>
    </row>
    <row r="318" spans="1:14" x14ac:dyDescent="0.15" ht="13.5" customHeight="true" hidden="false">
      <c r="A318" s="2835"/>
      <c r="B318" s="2835"/>
      <c r="C318" s="2835"/>
      <c r="D318" s="2835" t="s">
        <v>6950</v>
      </c>
      <c r="E318" s="2835" t="s">
        <v>9665</v>
      </c>
      <c r="F318" s="2835" t="n">
        <v>0.0</v>
      </c>
      <c r="G318" s="2835" t="s">
        <v>7008</v>
      </c>
      <c r="H318" s="2835" t="s">
        <v>9690</v>
      </c>
      <c r="I318" s="2835" t="n">
        <v>0.0</v>
      </c>
      <c r="J318" s="2835"/>
      <c r="K318" s="2835"/>
      <c r="L318" s="2835"/>
      <c r="M318" s="2835"/>
      <c r="N318" s="2835"/>
    </row>
    <row r="319" spans="1:14" x14ac:dyDescent="0.15" ht="13.5" customHeight="true" hidden="false">
      <c r="A319" s="2835"/>
      <c r="B319" s="2835"/>
      <c r="C319" s="2835"/>
      <c r="D319" s="2835" t="s">
        <v>6950</v>
      </c>
      <c r="E319" s="2835" t="s">
        <v>9667</v>
      </c>
      <c r="F319" s="2835" t="n">
        <v>0.0</v>
      </c>
      <c r="G319" s="2835" t="s">
        <v>7008</v>
      </c>
      <c r="H319" s="2835" t="s">
        <v>9691</v>
      </c>
      <c r="I319" s="2835" t="n">
        <v>731.6</v>
      </c>
      <c r="J319" s="2835"/>
      <c r="K319" s="2835"/>
      <c r="L319" s="2835"/>
      <c r="M319" s="2835"/>
      <c r="N319" s="2835"/>
    </row>
    <row r="320" spans="1:14" x14ac:dyDescent="0.15" ht="13.5" customHeight="true" hidden="false">
      <c r="A320" s="2835"/>
      <c r="B320" s="2835"/>
      <c r="C320" s="2835"/>
      <c r="D320" s="2835" t="s">
        <v>6950</v>
      </c>
      <c r="E320" s="2835" t="s">
        <v>9669</v>
      </c>
      <c r="F320" s="2835" t="n">
        <v>0.0</v>
      </c>
      <c r="G320" s="2835" t="s">
        <v>7008</v>
      </c>
      <c r="H320" s="2835" t="s">
        <v>9692</v>
      </c>
      <c r="I320" s="2835" t="n">
        <v>0.0</v>
      </c>
      <c r="J320" s="2835"/>
      <c r="K320" s="2835"/>
      <c r="L320" s="2835"/>
      <c r="M320" s="2835"/>
      <c r="N320" s="2835"/>
    </row>
    <row r="321" spans="1:14" x14ac:dyDescent="0.15" ht="13.5" customHeight="true" hidden="false">
      <c r="A321" s="2835"/>
      <c r="B321" s="2835"/>
      <c r="C321" s="2835"/>
      <c r="D321" s="2835" t="s">
        <v>6950</v>
      </c>
      <c r="E321" s="2835" t="s">
        <v>9671</v>
      </c>
      <c r="F321" s="2835" t="n">
        <v>0.0</v>
      </c>
      <c r="G321" s="2835" t="s">
        <v>7008</v>
      </c>
      <c r="H321" s="2835" t="s">
        <v>9693</v>
      </c>
      <c r="I321" s="2835" t="n">
        <v>642.4</v>
      </c>
      <c r="J321" s="2835"/>
      <c r="K321" s="2835"/>
      <c r="L321" s="2835"/>
      <c r="M321" s="2835"/>
      <c r="N321" s="2835"/>
    </row>
    <row r="322" spans="1:14" x14ac:dyDescent="0.15" ht="13.5" customHeight="true" hidden="false">
      <c r="A322" s="2835"/>
      <c r="B322" s="2835"/>
      <c r="C322" s="2835"/>
      <c r="D322" s="2835" t="s">
        <v>6950</v>
      </c>
      <c r="E322" s="2835" t="s">
        <v>9673</v>
      </c>
      <c r="F322" s="2835" t="n">
        <v>0.0</v>
      </c>
      <c r="G322" s="2835" t="s">
        <v>7008</v>
      </c>
      <c r="H322" s="2835" t="s">
        <v>9694</v>
      </c>
      <c r="I322" s="2835" t="n">
        <v>0.0</v>
      </c>
      <c r="J322" s="2835"/>
      <c r="K322" s="2835"/>
      <c r="L322" s="2835"/>
      <c r="M322" s="2835"/>
      <c r="N322" s="2835"/>
    </row>
    <row r="323" spans="1:14" x14ac:dyDescent="0.15" ht="13.5" customHeight="true" hidden="false">
      <c r="A323" s="2835"/>
      <c r="B323" s="2835"/>
      <c r="C323" s="2835"/>
      <c r="D323" s="2835" t="s">
        <v>6950</v>
      </c>
      <c r="E323" s="2835" t="s">
        <v>9674</v>
      </c>
      <c r="F323" s="2835" t="n">
        <v>0.0</v>
      </c>
      <c r="G323" s="2835" t="s">
        <v>7008</v>
      </c>
      <c r="H323" s="2835" t="s">
        <v>9695</v>
      </c>
      <c r="I323" s="2835" t="n">
        <v>194.0</v>
      </c>
      <c r="J323" s="2835"/>
      <c r="K323" s="2835"/>
      <c r="L323" s="2835"/>
      <c r="M323" s="2835"/>
      <c r="N323" s="2835"/>
    </row>
    <row r="324" spans="1:14" x14ac:dyDescent="0.15" ht="13.5" customHeight="true" hidden="false">
      <c r="A324" s="2835"/>
      <c r="B324" s="2835"/>
      <c r="C324" s="2835"/>
      <c r="D324" s="2835" t="s">
        <v>6950</v>
      </c>
      <c r="E324" s="2835" t="s">
        <v>9675</v>
      </c>
      <c r="F324" s="2835" t="n">
        <v>0.0</v>
      </c>
      <c r="G324" s="2835" t="s">
        <v>7008</v>
      </c>
      <c r="H324" s="2835" t="s">
        <v>9696</v>
      </c>
      <c r="I324" s="2835" t="n">
        <v>0.0</v>
      </c>
      <c r="J324" s="2835"/>
      <c r="K324" s="2835"/>
      <c r="L324" s="2835"/>
      <c r="M324" s="2835"/>
      <c r="N324" s="2835"/>
    </row>
    <row r="325" spans="1:14" x14ac:dyDescent="0.15" ht="13.5" customHeight="true" hidden="false">
      <c r="A325" s="2835"/>
      <c r="B325" s="2835"/>
      <c r="C325" s="2835"/>
      <c r="D325" s="2835" t="s">
        <v>6950</v>
      </c>
      <c r="E325" s="2835" t="s">
        <v>9676</v>
      </c>
      <c r="F325" s="2835" t="n">
        <v>0.0</v>
      </c>
      <c r="G325" s="2835" t="s">
        <v>7008</v>
      </c>
      <c r="H325" s="2835" t="s">
        <v>9697</v>
      </c>
      <c r="I325" s="2835" t="n">
        <v>721.9</v>
      </c>
      <c r="J325" s="2835"/>
      <c r="K325" s="2835"/>
      <c r="L325" s="2835"/>
      <c r="M325" s="2835"/>
      <c r="N325" s="2835"/>
    </row>
    <row r="326" spans="1:14" x14ac:dyDescent="0.15" ht="13.5" customHeight="true" hidden="false">
      <c r="A326" s="2835"/>
      <c r="B326" s="2835"/>
      <c r="C326" s="2835"/>
      <c r="D326" s="2835" t="s">
        <v>6950</v>
      </c>
      <c r="E326" s="2835" t="s">
        <v>9677</v>
      </c>
      <c r="F326" s="2835" t="n">
        <v>0.0</v>
      </c>
      <c r="G326" s="2835" t="s">
        <v>7008</v>
      </c>
      <c r="H326" s="2835" t="s">
        <v>9698</v>
      </c>
      <c r="I326" s="2835" t="n">
        <v>0.0</v>
      </c>
      <c r="J326" s="2835"/>
      <c r="K326" s="2835"/>
      <c r="L326" s="2835"/>
      <c r="M326" s="2835"/>
      <c r="N326" s="2835"/>
    </row>
    <row r="327" spans="1:14" x14ac:dyDescent="0.15" ht="13.5" customHeight="true" hidden="false">
      <c r="A327" s="2835"/>
      <c r="B327" s="2835"/>
      <c r="C327" s="2835"/>
      <c r="D327" s="2835" t="s">
        <v>6950</v>
      </c>
      <c r="E327" s="2835" t="s">
        <v>9678</v>
      </c>
      <c r="F327" s="2835" t="n">
        <v>0.0</v>
      </c>
      <c r="G327" s="2835" t="s">
        <v>7008</v>
      </c>
      <c r="H327" s="2835" t="s">
        <v>9699</v>
      </c>
      <c r="I327" s="2835" t="n">
        <v>95.0</v>
      </c>
      <c r="J327" s="2835"/>
      <c r="K327" s="2835"/>
      <c r="L327" s="2835"/>
      <c r="M327" s="2835"/>
      <c r="N327" s="2835"/>
    </row>
    <row r="328" spans="1:14" x14ac:dyDescent="0.15" ht="13.5" customHeight="true" hidden="false">
      <c r="A328" s="2835"/>
      <c r="B328" s="2835"/>
      <c r="C328" s="2835"/>
      <c r="D328" s="2835" t="s">
        <v>6950</v>
      </c>
      <c r="E328" s="2835" t="s">
        <v>9679</v>
      </c>
      <c r="F328" s="2835" t="n">
        <v>0.0</v>
      </c>
      <c r="G328" s="2835" t="s">
        <v>7008</v>
      </c>
      <c r="H328" s="2835" t="s">
        <v>9700</v>
      </c>
      <c r="I328" s="2835" t="n">
        <v>395.0</v>
      </c>
      <c r="J328" s="2835"/>
      <c r="K328" s="2835"/>
      <c r="L328" s="2835"/>
      <c r="M328" s="2835"/>
      <c r="N328" s="2835"/>
    </row>
    <row r="329" spans="1:14" x14ac:dyDescent="0.15" ht="13.5" customHeight="true" hidden="false">
      <c r="A329" s="2835"/>
      <c r="B329" s="2835"/>
      <c r="C329" s="2835"/>
      <c r="D329" s="2835" t="s">
        <v>6950</v>
      </c>
      <c r="E329" s="2835" t="s">
        <v>9680</v>
      </c>
      <c r="F329" s="2835" t="n">
        <v>0.0</v>
      </c>
      <c r="G329" s="2835" t="s">
        <v>7009</v>
      </c>
      <c r="H329" s="2835" t="s">
        <v>9618</v>
      </c>
      <c r="I329" s="2835" t="n">
        <v>0.0</v>
      </c>
      <c r="J329" s="2835"/>
      <c r="K329" s="2835"/>
      <c r="L329" s="2835"/>
      <c r="M329" s="2835"/>
      <c r="N329" s="2835"/>
    </row>
    <row r="330" spans="1:14" x14ac:dyDescent="0.15" ht="13.5" customHeight="true" hidden="false">
      <c r="A330" s="2835"/>
      <c r="B330" s="2835"/>
      <c r="C330" s="2835"/>
      <c r="D330" s="2835" t="s">
        <v>6950</v>
      </c>
      <c r="E330" s="2835" t="s">
        <v>9681</v>
      </c>
      <c r="F330" s="2835" t="n">
        <v>0.0</v>
      </c>
      <c r="G330" s="2835" t="s">
        <v>7009</v>
      </c>
      <c r="H330" s="2835" t="s">
        <v>9619</v>
      </c>
      <c r="I330" s="2835" t="n">
        <v>0.0</v>
      </c>
      <c r="J330" s="2835"/>
      <c r="K330" s="2835"/>
      <c r="L330" s="2835"/>
      <c r="M330" s="2835"/>
      <c r="N330" s="2835"/>
    </row>
    <row r="331" spans="1:14" x14ac:dyDescent="0.15" ht="13.5" customHeight="true" hidden="false">
      <c r="A331" s="2835"/>
      <c r="B331" s="2835"/>
      <c r="C331" s="2835"/>
      <c r="D331" s="2835" t="s">
        <v>6950</v>
      </c>
      <c r="E331" s="2835" t="s">
        <v>9682</v>
      </c>
      <c r="F331" s="2835" t="n">
        <v>0.0</v>
      </c>
      <c r="G331" s="2835" t="s">
        <v>7009</v>
      </c>
      <c r="H331" s="2835" t="s">
        <v>9620</v>
      </c>
      <c r="I331" s="2835" t="n">
        <v>0.0</v>
      </c>
      <c r="J331" s="2835"/>
      <c r="K331" s="2835"/>
      <c r="L331" s="2835"/>
      <c r="M331" s="2835"/>
      <c r="N331" s="2835"/>
    </row>
    <row r="332" spans="1:14" x14ac:dyDescent="0.15" ht="13.5" customHeight="true" hidden="false">
      <c r="A332" s="2835"/>
      <c r="B332" s="2835"/>
      <c r="C332" s="2835"/>
      <c r="D332" s="2835" t="s">
        <v>6950</v>
      </c>
      <c r="E332" s="2835" t="s">
        <v>9683</v>
      </c>
      <c r="F332" s="2835" t="n">
        <v>0.0</v>
      </c>
      <c r="G332" s="2835" t="s">
        <v>7009</v>
      </c>
      <c r="H332" s="2835" t="s">
        <v>9621</v>
      </c>
      <c r="I332" s="2835" t="n">
        <v>0.0</v>
      </c>
      <c r="J332" s="2835"/>
      <c r="K332" s="2835"/>
      <c r="L332" s="2835"/>
      <c r="M332" s="2835"/>
      <c r="N332" s="2835"/>
    </row>
    <row r="333" spans="1:14" x14ac:dyDescent="0.15" ht="13.5" customHeight="true" hidden="false">
      <c r="A333" s="2835"/>
      <c r="B333" s="2835"/>
      <c r="C333" s="2835"/>
      <c r="D333" s="2835" t="s">
        <v>6950</v>
      </c>
      <c r="E333" s="2835" t="s">
        <v>9684</v>
      </c>
      <c r="F333" s="2835" t="n">
        <v>0.0</v>
      </c>
      <c r="G333" s="2835" t="s">
        <v>7009</v>
      </c>
      <c r="H333" s="2835" t="s">
        <v>9622</v>
      </c>
      <c r="I333" s="2835" t="n">
        <v>0.0</v>
      </c>
      <c r="J333" s="2835"/>
      <c r="K333" s="2835"/>
      <c r="L333" s="2835"/>
      <c r="M333" s="2835"/>
      <c r="N333" s="2835"/>
    </row>
    <row r="334" spans="1:14" x14ac:dyDescent="0.15" ht="13.5" customHeight="true" hidden="false">
      <c r="A334" s="2835"/>
      <c r="B334" s="2835"/>
      <c r="C334" s="2835"/>
      <c r="D334" s="2835" t="s">
        <v>6950</v>
      </c>
      <c r="E334" s="2835" t="s">
        <v>9685</v>
      </c>
      <c r="F334" s="2835" t="n">
        <v>0.0</v>
      </c>
      <c r="G334" s="2835" t="s">
        <v>7009</v>
      </c>
      <c r="H334" s="2835" t="s">
        <v>9623</v>
      </c>
      <c r="I334" s="2835" t="n">
        <v>0.0</v>
      </c>
      <c r="J334" s="2835"/>
      <c r="K334" s="2835"/>
      <c r="L334" s="2835"/>
      <c r="M334" s="2835"/>
      <c r="N334" s="2835"/>
    </row>
    <row r="335" spans="1:14" x14ac:dyDescent="0.15" ht="13.5" customHeight="true" hidden="false">
      <c r="A335" s="2835"/>
      <c r="B335" s="2835"/>
      <c r="C335" s="2835"/>
      <c r="D335" s="2835" t="s">
        <v>6950</v>
      </c>
      <c r="E335" s="2835" t="s">
        <v>9686</v>
      </c>
      <c r="F335" s="2835" t="n">
        <v>0.0</v>
      </c>
      <c r="G335" s="2835" t="s">
        <v>7009</v>
      </c>
      <c r="H335" s="2835" t="s">
        <v>9624</v>
      </c>
      <c r="I335" s="2835" t="n">
        <v>0.0</v>
      </c>
      <c r="J335" s="2835"/>
      <c r="K335" s="2835"/>
      <c r="L335" s="2835"/>
      <c r="M335" s="2835"/>
      <c r="N335" s="2835"/>
    </row>
    <row r="336" spans="1:14" x14ac:dyDescent="0.15" ht="13.5" customHeight="true" hidden="false">
      <c r="A336" s="2835"/>
      <c r="B336" s="2835"/>
      <c r="C336" s="2835"/>
      <c r="D336" s="2835" t="s">
        <v>6950</v>
      </c>
      <c r="E336" s="2835" t="s">
        <v>9687</v>
      </c>
      <c r="F336" s="2835" t="n">
        <v>0.0</v>
      </c>
      <c r="G336" s="2835" t="s">
        <v>7009</v>
      </c>
      <c r="H336" s="2835" t="s">
        <v>9625</v>
      </c>
      <c r="I336" s="2835" t="n">
        <v>0.0</v>
      </c>
      <c r="J336" s="2835"/>
      <c r="K336" s="2835"/>
      <c r="L336" s="2835"/>
      <c r="M336" s="2835"/>
      <c r="N336" s="2835"/>
    </row>
    <row r="337" spans="1:14" x14ac:dyDescent="0.15" ht="13.5" customHeight="true" hidden="false">
      <c r="A337" s="2835"/>
      <c r="B337" s="2835"/>
      <c r="C337" s="2835"/>
      <c r="D337" s="2835" t="s">
        <v>6950</v>
      </c>
      <c r="E337" s="2835" t="s">
        <v>9688</v>
      </c>
      <c r="F337" s="2835" t="n">
        <v>0.0</v>
      </c>
      <c r="G337" s="2835" t="s">
        <v>7009</v>
      </c>
      <c r="H337" s="2835" t="s">
        <v>9626</v>
      </c>
      <c r="I337" s="2835" t="n">
        <v>0.0</v>
      </c>
      <c r="J337" s="2835"/>
      <c r="K337" s="2835"/>
      <c r="L337" s="2835"/>
      <c r="M337" s="2835"/>
      <c r="N337" s="2835"/>
    </row>
    <row r="338" spans="1:14" x14ac:dyDescent="0.15" ht="13.5" customHeight="true" hidden="false">
      <c r="A338" s="2835"/>
      <c r="B338" s="2835"/>
      <c r="C338" s="2835"/>
      <c r="D338" s="2835" t="s">
        <v>6950</v>
      </c>
      <c r="E338" s="2835" t="s">
        <v>9689</v>
      </c>
      <c r="F338" s="2835" t="n">
        <v>0.0</v>
      </c>
      <c r="G338" s="2835" t="s">
        <v>7009</v>
      </c>
      <c r="H338" s="2835" t="s">
        <v>9627</v>
      </c>
      <c r="I338" s="2835" t="n">
        <v>0.0</v>
      </c>
      <c r="J338" s="2835"/>
      <c r="K338" s="2835"/>
      <c r="L338" s="2835"/>
      <c r="M338" s="2835"/>
      <c r="N338" s="2835"/>
    </row>
    <row r="339" spans="1:14" x14ac:dyDescent="0.15" ht="13.5" customHeight="true" hidden="false">
      <c r="A339" s="2835"/>
      <c r="B339" s="2835"/>
      <c r="C339" s="2835"/>
      <c r="D339" s="2835" t="s">
        <v>6950</v>
      </c>
      <c r="E339" s="2835" t="s">
        <v>9690</v>
      </c>
      <c r="F339" s="2835" t="n">
        <v>0.0</v>
      </c>
      <c r="G339" s="2835" t="s">
        <v>7009</v>
      </c>
      <c r="H339" s="2835" t="s">
        <v>9628</v>
      </c>
      <c r="I339" s="2835" t="n">
        <v>0.0</v>
      </c>
      <c r="J339" s="2835"/>
      <c r="K339" s="2835"/>
      <c r="L339" s="2835"/>
      <c r="M339" s="2835"/>
      <c r="N339" s="2835"/>
    </row>
    <row r="340" spans="1:14" x14ac:dyDescent="0.15" ht="13.5" customHeight="true" hidden="false">
      <c r="A340" s="2835"/>
      <c r="B340" s="2835"/>
      <c r="C340" s="2835"/>
      <c r="D340" s="2835" t="s">
        <v>6950</v>
      </c>
      <c r="E340" s="2835" t="s">
        <v>9691</v>
      </c>
      <c r="F340" s="2835" t="n">
        <v>0.0</v>
      </c>
      <c r="G340" s="2835" t="s">
        <v>7009</v>
      </c>
      <c r="H340" s="2835" t="s">
        <v>9629</v>
      </c>
      <c r="I340" s="2835" t="n">
        <v>0.0</v>
      </c>
      <c r="J340" s="2835"/>
      <c r="K340" s="2835"/>
      <c r="L340" s="2835"/>
      <c r="M340" s="2835"/>
      <c r="N340" s="2835"/>
    </row>
    <row r="341" spans="1:14" x14ac:dyDescent="0.15" ht="13.5" customHeight="true" hidden="false">
      <c r="A341" s="2835"/>
      <c r="B341" s="2835"/>
      <c r="C341" s="2835"/>
      <c r="D341" s="2835" t="s">
        <v>6950</v>
      </c>
      <c r="E341" s="2835" t="s">
        <v>9692</v>
      </c>
      <c r="F341" s="2835" t="n">
        <v>0.0</v>
      </c>
      <c r="G341" s="2835" t="s">
        <v>7009</v>
      </c>
      <c r="H341" s="2835" t="s">
        <v>9633</v>
      </c>
      <c r="I341" s="2835" t="n">
        <v>0.0</v>
      </c>
      <c r="J341" s="2835"/>
      <c r="K341" s="2835"/>
      <c r="L341" s="2835"/>
      <c r="M341" s="2835"/>
      <c r="N341" s="2835"/>
    </row>
    <row r="342" spans="1:14" x14ac:dyDescent="0.15" ht="13.5" customHeight="true" hidden="false">
      <c r="A342" s="2835"/>
      <c r="B342" s="2835"/>
      <c r="C342" s="2835"/>
      <c r="D342" s="2835" t="s">
        <v>6950</v>
      </c>
      <c r="E342" s="2835" t="s">
        <v>9693</v>
      </c>
      <c r="F342" s="2835" t="n">
        <v>0.0</v>
      </c>
      <c r="G342" s="2835" t="s">
        <v>7009</v>
      </c>
      <c r="H342" s="2835" t="s">
        <v>9634</v>
      </c>
      <c r="I342" s="2835" t="n">
        <v>0.0</v>
      </c>
      <c r="J342" s="2835"/>
      <c r="K342" s="2835"/>
      <c r="L342" s="2835"/>
      <c r="M342" s="2835"/>
      <c r="N342" s="2835"/>
    </row>
    <row r="343" spans="1:14" x14ac:dyDescent="0.15" ht="13.5" customHeight="true" hidden="false">
      <c r="A343" s="2835"/>
      <c r="B343" s="2835"/>
      <c r="C343" s="2835"/>
      <c r="D343" s="2835" t="s">
        <v>6950</v>
      </c>
      <c r="E343" s="2835" t="s">
        <v>9694</v>
      </c>
      <c r="F343" s="2835" t="n">
        <v>0.0</v>
      </c>
      <c r="G343" s="2835" t="s">
        <v>7009</v>
      </c>
      <c r="H343" s="2835" t="s">
        <v>9635</v>
      </c>
      <c r="I343" s="2835" t="n">
        <v>0.0</v>
      </c>
      <c r="J343" s="2835"/>
      <c r="K343" s="2835"/>
      <c r="L343" s="2835"/>
      <c r="M343" s="2835"/>
      <c r="N343" s="2835"/>
    </row>
    <row r="344" spans="1:14" x14ac:dyDescent="0.15" ht="13.5" customHeight="true" hidden="false">
      <c r="A344" s="2835"/>
      <c r="B344" s="2835"/>
      <c r="C344" s="2835"/>
      <c r="D344" s="2835" t="s">
        <v>6950</v>
      </c>
      <c r="E344" s="2835" t="s">
        <v>9695</v>
      </c>
      <c r="F344" s="2835" t="n">
        <v>0.0</v>
      </c>
      <c r="G344" s="2835" t="s">
        <v>7009</v>
      </c>
      <c r="H344" s="2835" t="s">
        <v>9636</v>
      </c>
      <c r="I344" s="2835" t="n">
        <v>0.0</v>
      </c>
      <c r="J344" s="2835"/>
      <c r="K344" s="2835"/>
      <c r="L344" s="2835"/>
      <c r="M344" s="2835"/>
      <c r="N344" s="2835"/>
    </row>
    <row r="345" spans="1:14" x14ac:dyDescent="0.15" ht="13.5" customHeight="true" hidden="false">
      <c r="A345" s="2835"/>
      <c r="B345" s="2835"/>
      <c r="C345" s="2835"/>
      <c r="D345" s="2835" t="s">
        <v>6950</v>
      </c>
      <c r="E345" s="2835" t="s">
        <v>9696</v>
      </c>
      <c r="F345" s="2835" t="n">
        <v>0.0</v>
      </c>
      <c r="G345" s="2835" t="s">
        <v>7009</v>
      </c>
      <c r="H345" s="2835" t="s">
        <v>9637</v>
      </c>
      <c r="I345" s="2835" t="n">
        <v>0.0</v>
      </c>
      <c r="J345" s="2835"/>
      <c r="K345" s="2835"/>
      <c r="L345" s="2835"/>
      <c r="M345" s="2835"/>
      <c r="N345" s="2835"/>
    </row>
    <row r="346" spans="1:14" x14ac:dyDescent="0.15" ht="13.5" customHeight="true" hidden="false">
      <c r="A346" s="2835"/>
      <c r="B346" s="2835"/>
      <c r="C346" s="2835"/>
      <c r="D346" s="2835" t="s">
        <v>6950</v>
      </c>
      <c r="E346" s="2835" t="s">
        <v>9697</v>
      </c>
      <c r="F346" s="2835" t="n">
        <v>0.0</v>
      </c>
      <c r="G346" s="2835" t="s">
        <v>7009</v>
      </c>
      <c r="H346" s="2835" t="s">
        <v>9638</v>
      </c>
      <c r="I346" s="2835" t="n">
        <v>0.0</v>
      </c>
      <c r="J346" s="2835"/>
      <c r="K346" s="2835"/>
      <c r="L346" s="2835"/>
      <c r="M346" s="2835"/>
      <c r="N346" s="2835"/>
    </row>
    <row r="347" spans="1:14" x14ac:dyDescent="0.15" ht="13.5" customHeight="true" hidden="false">
      <c r="A347" s="2835"/>
      <c r="B347" s="2835"/>
      <c r="C347" s="2835"/>
      <c r="D347" s="2835" t="s">
        <v>6950</v>
      </c>
      <c r="E347" s="2835" t="s">
        <v>9698</v>
      </c>
      <c r="F347" s="2835" t="n">
        <v>0.0</v>
      </c>
      <c r="G347" s="2835" t="s">
        <v>7009</v>
      </c>
      <c r="H347" s="2835" t="s">
        <v>9657</v>
      </c>
      <c r="I347" s="2835" t="n">
        <v>0.0</v>
      </c>
      <c r="J347" s="2835"/>
      <c r="K347" s="2835"/>
      <c r="L347" s="2835"/>
      <c r="M347" s="2835"/>
      <c r="N347" s="2835"/>
    </row>
    <row r="348" spans="1:14" x14ac:dyDescent="0.15" ht="13.5" customHeight="true" hidden="false">
      <c r="A348" s="2835"/>
      <c r="B348" s="2835"/>
      <c r="C348" s="2835"/>
      <c r="D348" s="2835" t="s">
        <v>6950</v>
      </c>
      <c r="E348" s="2835" t="s">
        <v>9699</v>
      </c>
      <c r="F348" s="2835" t="n">
        <v>0.0</v>
      </c>
      <c r="G348" s="2835" t="s">
        <v>7009</v>
      </c>
      <c r="H348" s="2835" t="s">
        <v>9659</v>
      </c>
      <c r="I348" s="2835" t="n">
        <v>0.0</v>
      </c>
      <c r="J348" s="2835"/>
      <c r="K348" s="2835"/>
      <c r="L348" s="2835"/>
      <c r="M348" s="2835"/>
      <c r="N348" s="2835"/>
    </row>
    <row r="349" spans="1:14" x14ac:dyDescent="0.15" ht="13.5" customHeight="true" hidden="false">
      <c r="A349" s="2835"/>
      <c r="B349" s="2835"/>
      <c r="C349" s="2835"/>
      <c r="D349" s="2835" t="s">
        <v>6950</v>
      </c>
      <c r="E349" s="2835" t="s">
        <v>9700</v>
      </c>
      <c r="F349" s="2835" t="n">
        <v>0.0</v>
      </c>
      <c r="G349" s="2835" t="s">
        <v>7009</v>
      </c>
      <c r="H349" s="2835" t="s">
        <v>9661</v>
      </c>
      <c r="I349" s="2835" t="n">
        <v>0.0</v>
      </c>
      <c r="J349" s="2835"/>
      <c r="K349" s="2835"/>
      <c r="L349" s="2835"/>
      <c r="M349" s="2835"/>
      <c r="N349" s="2835"/>
    </row>
    <row r="350" spans="1:14" x14ac:dyDescent="0.15" ht="13.5" customHeight="true" hidden="false">
      <c r="A350" s="2835"/>
      <c r="B350" s="2835"/>
      <c r="C350" s="2835"/>
      <c r="D350" s="2835" t="s">
        <v>6951</v>
      </c>
      <c r="E350" s="2835" t="s">
        <v>9618</v>
      </c>
      <c r="F350" s="2835" t="n">
        <v>1239.8</v>
      </c>
      <c r="G350" s="2835" t="s">
        <v>7009</v>
      </c>
      <c r="H350" s="2835" t="s">
        <v>9663</v>
      </c>
      <c r="I350" s="2835" t="n">
        <v>0.0</v>
      </c>
      <c r="J350" s="2835"/>
      <c r="K350" s="2835"/>
      <c r="L350" s="2835"/>
      <c r="M350" s="2835"/>
      <c r="N350" s="2835"/>
    </row>
    <row r="351" spans="1:14" x14ac:dyDescent="0.15" ht="13.5" customHeight="true" hidden="false">
      <c r="A351" s="2835"/>
      <c r="B351" s="2835"/>
      <c r="C351" s="2835"/>
      <c r="D351" s="2835" t="s">
        <v>6951</v>
      </c>
      <c r="E351" s="2835" t="s">
        <v>9619</v>
      </c>
      <c r="F351" s="2835" t="n">
        <v>109.6</v>
      </c>
      <c r="G351" s="2835" t="s">
        <v>7009</v>
      </c>
      <c r="H351" s="2835" t="s">
        <v>9665</v>
      </c>
      <c r="I351" s="2835" t="n">
        <v>0.0</v>
      </c>
      <c r="J351" s="2835"/>
      <c r="K351" s="2835"/>
      <c r="L351" s="2835"/>
      <c r="M351" s="2835"/>
      <c r="N351" s="2835"/>
    </row>
    <row r="352" spans="1:14" x14ac:dyDescent="0.15" ht="13.5" customHeight="true" hidden="false">
      <c r="A352" s="2835"/>
      <c r="B352" s="2835"/>
      <c r="C352" s="2835"/>
      <c r="D352" s="2835" t="s">
        <v>6951</v>
      </c>
      <c r="E352" s="2835" t="s">
        <v>9620</v>
      </c>
      <c r="F352" s="2835" t="n">
        <v>104.0</v>
      </c>
      <c r="G352" s="2835" t="s">
        <v>7009</v>
      </c>
      <c r="H352" s="2835" t="s">
        <v>9667</v>
      </c>
      <c r="I352" s="2835" t="n">
        <v>0.0</v>
      </c>
      <c r="J352" s="2835"/>
      <c r="K352" s="2835"/>
      <c r="L352" s="2835"/>
      <c r="M352" s="2835"/>
      <c r="N352" s="2835"/>
    </row>
    <row r="353" spans="1:14" x14ac:dyDescent="0.15" ht="13.5" customHeight="true" hidden="false">
      <c r="A353" s="2835"/>
      <c r="B353" s="2835"/>
      <c r="C353" s="2835"/>
      <c r="D353" s="2835" t="s">
        <v>6951</v>
      </c>
      <c r="E353" s="2835" t="s">
        <v>9621</v>
      </c>
      <c r="F353" s="2835" t="n">
        <v>0.0</v>
      </c>
      <c r="G353" s="2835" t="s">
        <v>7009</v>
      </c>
      <c r="H353" s="2835" t="s">
        <v>9669</v>
      </c>
      <c r="I353" s="2835" t="n">
        <v>0.0</v>
      </c>
      <c r="J353" s="2835"/>
      <c r="K353" s="2835"/>
      <c r="L353" s="2835"/>
      <c r="M353" s="2835"/>
      <c r="N353" s="2835"/>
    </row>
    <row r="354" spans="1:14" x14ac:dyDescent="0.15" ht="13.5" customHeight="true" hidden="false">
      <c r="A354" s="2835"/>
      <c r="B354" s="2835"/>
      <c r="C354" s="2835"/>
      <c r="D354" s="2835" t="s">
        <v>6951</v>
      </c>
      <c r="E354" s="2835" t="s">
        <v>9622</v>
      </c>
      <c r="F354" s="2835" t="n">
        <v>56.7</v>
      </c>
      <c r="G354" s="2835" t="s">
        <v>7009</v>
      </c>
      <c r="H354" s="2835" t="s">
        <v>9671</v>
      </c>
      <c r="I354" s="2835" t="n">
        <v>0.0</v>
      </c>
      <c r="J354" s="2835"/>
      <c r="K354" s="2835"/>
      <c r="L354" s="2835"/>
      <c r="M354" s="2835"/>
      <c r="N354" s="2835"/>
    </row>
    <row r="355" spans="1:14" x14ac:dyDescent="0.15" ht="13.5" customHeight="true" hidden="false">
      <c r="A355" s="2835"/>
      <c r="B355" s="2835"/>
      <c r="C355" s="2835"/>
      <c r="D355" s="2835" t="s">
        <v>6951</v>
      </c>
      <c r="E355" s="2835" t="s">
        <v>9623</v>
      </c>
      <c r="F355" s="2835" t="n">
        <v>59.2</v>
      </c>
      <c r="G355" s="2835" t="s">
        <v>7009</v>
      </c>
      <c r="H355" s="2835" t="s">
        <v>9673</v>
      </c>
      <c r="I355" s="2835" t="n">
        <v>0.0</v>
      </c>
      <c r="J355" s="2835"/>
      <c r="K355" s="2835"/>
      <c r="L355" s="2835"/>
      <c r="M355" s="2835"/>
      <c r="N355" s="2835"/>
    </row>
    <row r="356" spans="1:14" x14ac:dyDescent="0.15" ht="13.5" customHeight="true" hidden="false">
      <c r="A356" s="2835"/>
      <c r="B356" s="2835"/>
      <c r="C356" s="2835"/>
      <c r="D356" s="2835" t="s">
        <v>6951</v>
      </c>
      <c r="E356" s="2835" t="s">
        <v>9624</v>
      </c>
      <c r="F356" s="2835" t="n">
        <v>0.0</v>
      </c>
      <c r="G356" s="2835" t="s">
        <v>7009</v>
      </c>
      <c r="H356" s="2835" t="s">
        <v>9674</v>
      </c>
      <c r="I356" s="2835" t="n">
        <v>0.0</v>
      </c>
      <c r="J356" s="2835"/>
      <c r="K356" s="2835"/>
      <c r="L356" s="2835"/>
      <c r="M356" s="2835"/>
      <c r="N356" s="2835"/>
    </row>
    <row r="357" spans="1:14" x14ac:dyDescent="0.15" ht="13.5" customHeight="true" hidden="false">
      <c r="A357" s="2835"/>
      <c r="B357" s="2835"/>
      <c r="C357" s="2835"/>
      <c r="D357" s="2835" t="s">
        <v>6951</v>
      </c>
      <c r="E357" s="2835" t="s">
        <v>9625</v>
      </c>
      <c r="F357" s="2835" t="n">
        <v>0.0</v>
      </c>
      <c r="G357" s="2835" t="s">
        <v>7009</v>
      </c>
      <c r="H357" s="2835" t="s">
        <v>9675</v>
      </c>
      <c r="I357" s="2835" t="n">
        <v>0.0</v>
      </c>
      <c r="J357" s="2835"/>
      <c r="K357" s="2835"/>
      <c r="L357" s="2835"/>
      <c r="M357" s="2835"/>
      <c r="N357" s="2835"/>
    </row>
    <row r="358" spans="1:14" x14ac:dyDescent="0.15" ht="13.5" customHeight="true" hidden="false">
      <c r="A358" s="2835"/>
      <c r="B358" s="2835"/>
      <c r="C358" s="2835"/>
      <c r="D358" s="2835" t="s">
        <v>6951</v>
      </c>
      <c r="E358" s="2835" t="s">
        <v>9626</v>
      </c>
      <c r="F358" s="2835" t="n">
        <v>0.0</v>
      </c>
      <c r="G358" s="2835" t="s">
        <v>7009</v>
      </c>
      <c r="H358" s="2835" t="s">
        <v>9676</v>
      </c>
      <c r="I358" s="2835" t="n">
        <v>0.0</v>
      </c>
      <c r="J358" s="2835"/>
      <c r="K358" s="2835"/>
      <c r="L358" s="2835"/>
      <c r="M358" s="2835"/>
      <c r="N358" s="2835"/>
    </row>
    <row r="359" spans="1:14" x14ac:dyDescent="0.15" ht="13.5" customHeight="true" hidden="false">
      <c r="A359" s="2835"/>
      <c r="B359" s="2835"/>
      <c r="C359" s="2835"/>
      <c r="D359" s="2835" t="s">
        <v>6951</v>
      </c>
      <c r="E359" s="2835" t="s">
        <v>9627</v>
      </c>
      <c r="F359" s="2835" t="n">
        <v>0.0</v>
      </c>
      <c r="G359" s="2835" t="s">
        <v>7009</v>
      </c>
      <c r="H359" s="2835" t="s">
        <v>9677</v>
      </c>
      <c r="I359" s="2835" t="n">
        <v>0.0</v>
      </c>
      <c r="J359" s="2835"/>
      <c r="K359" s="2835"/>
      <c r="L359" s="2835"/>
      <c r="M359" s="2835"/>
      <c r="N359" s="2835"/>
    </row>
    <row r="360" spans="1:14" x14ac:dyDescent="0.15" ht="13.5" customHeight="true" hidden="false">
      <c r="A360" s="2835"/>
      <c r="B360" s="2835"/>
      <c r="C360" s="2835"/>
      <c r="D360" s="2835" t="s">
        <v>6951</v>
      </c>
      <c r="E360" s="2835" t="s">
        <v>9628</v>
      </c>
      <c r="F360" s="2835" t="n">
        <v>0.0</v>
      </c>
      <c r="G360" s="2835" t="s">
        <v>7009</v>
      </c>
      <c r="H360" s="2835" t="s">
        <v>9678</v>
      </c>
      <c r="I360" s="2835" t="n">
        <v>0.0</v>
      </c>
      <c r="J360" s="2835"/>
      <c r="K360" s="2835"/>
      <c r="L360" s="2835"/>
      <c r="M360" s="2835"/>
      <c r="N360" s="2835"/>
    </row>
    <row r="361" spans="1:14" x14ac:dyDescent="0.15" ht="13.5" customHeight="true" hidden="false">
      <c r="A361" s="2835"/>
      <c r="B361" s="2835"/>
      <c r="C361" s="2835"/>
      <c r="D361" s="2835" t="s">
        <v>6951</v>
      </c>
      <c r="E361" s="2835" t="s">
        <v>9629</v>
      </c>
      <c r="F361" s="2835" t="n">
        <v>0.0</v>
      </c>
      <c r="G361" s="2835" t="s">
        <v>7009</v>
      </c>
      <c r="H361" s="2835" t="s">
        <v>9679</v>
      </c>
      <c r="I361" s="2835" t="n">
        <v>0.0</v>
      </c>
      <c r="J361" s="2835"/>
      <c r="K361" s="2835"/>
      <c r="L361" s="2835"/>
      <c r="M361" s="2835"/>
      <c r="N361" s="2835"/>
    </row>
    <row r="362" spans="1:14" x14ac:dyDescent="0.15" ht="13.5" customHeight="true" hidden="false">
      <c r="A362" s="2835"/>
      <c r="B362" s="2835"/>
      <c r="C362" s="2835"/>
      <c r="D362" s="2835" t="s">
        <v>6951</v>
      </c>
      <c r="E362" s="2835" t="s">
        <v>9633</v>
      </c>
      <c r="F362" s="2835" t="n">
        <v>0.0</v>
      </c>
      <c r="G362" s="2835" t="s">
        <v>7009</v>
      </c>
      <c r="H362" s="2835" t="s">
        <v>9680</v>
      </c>
      <c r="I362" s="2835" t="n">
        <v>0.0</v>
      </c>
      <c r="J362" s="2835"/>
      <c r="K362" s="2835"/>
      <c r="L362" s="2835"/>
      <c r="M362" s="2835"/>
      <c r="N362" s="2835"/>
    </row>
    <row r="363" spans="1:14" x14ac:dyDescent="0.15" ht="13.5" customHeight="true" hidden="false">
      <c r="A363" s="2835"/>
      <c r="B363" s="2835"/>
      <c r="C363" s="2835"/>
      <c r="D363" s="2835" t="s">
        <v>6951</v>
      </c>
      <c r="E363" s="2835" t="s">
        <v>9634</v>
      </c>
      <c r="F363" s="2835" t="n">
        <v>0.0</v>
      </c>
      <c r="G363" s="2835" t="s">
        <v>7009</v>
      </c>
      <c r="H363" s="2835" t="s">
        <v>9681</v>
      </c>
      <c r="I363" s="2835" t="n">
        <v>0.0</v>
      </c>
      <c r="J363" s="2835"/>
      <c r="K363" s="2835"/>
      <c r="L363" s="2835"/>
      <c r="M363" s="2835"/>
      <c r="N363" s="2835"/>
    </row>
    <row r="364" spans="1:14" x14ac:dyDescent="0.15" ht="13.5" customHeight="true" hidden="false">
      <c r="A364" s="2835"/>
      <c r="B364" s="2835"/>
      <c r="C364" s="2835"/>
      <c r="D364" s="2835" t="s">
        <v>6951</v>
      </c>
      <c r="E364" s="2835" t="s">
        <v>9635</v>
      </c>
      <c r="F364" s="2835" t="n">
        <v>0.0</v>
      </c>
      <c r="G364" s="2835" t="s">
        <v>7009</v>
      </c>
      <c r="H364" s="2835" t="s">
        <v>9682</v>
      </c>
      <c r="I364" s="2835" t="n">
        <v>0.0</v>
      </c>
      <c r="J364" s="2835"/>
      <c r="K364" s="2835"/>
      <c r="L364" s="2835"/>
      <c r="M364" s="2835"/>
      <c r="N364" s="2835"/>
    </row>
    <row r="365" spans="1:14" x14ac:dyDescent="0.15" ht="13.5" customHeight="true" hidden="false">
      <c r="A365" s="2835"/>
      <c r="B365" s="2835"/>
      <c r="C365" s="2835"/>
      <c r="D365" s="2835" t="s">
        <v>6951</v>
      </c>
      <c r="E365" s="2835" t="s">
        <v>9636</v>
      </c>
      <c r="F365" s="2835" t="n">
        <v>0.0</v>
      </c>
      <c r="G365" s="2835" t="s">
        <v>7009</v>
      </c>
      <c r="H365" s="2835" t="s">
        <v>9683</v>
      </c>
      <c r="I365" s="2835" t="n">
        <v>0.0</v>
      </c>
      <c r="J365" s="2835"/>
      <c r="K365" s="2835"/>
      <c r="L365" s="2835"/>
      <c r="M365" s="2835"/>
      <c r="N365" s="2835"/>
    </row>
    <row r="366" spans="1:14" x14ac:dyDescent="0.15" ht="13.5" customHeight="true" hidden="false">
      <c r="A366" s="2835"/>
      <c r="B366" s="2835"/>
      <c r="C366" s="2835"/>
      <c r="D366" s="2835" t="s">
        <v>6951</v>
      </c>
      <c r="E366" s="2835" t="s">
        <v>9637</v>
      </c>
      <c r="F366" s="2835" t="n">
        <v>0.0</v>
      </c>
      <c r="G366" s="2835" t="s">
        <v>7009</v>
      </c>
      <c r="H366" s="2835" t="s">
        <v>9684</v>
      </c>
      <c r="I366" s="2835" t="n">
        <v>0.0</v>
      </c>
      <c r="J366" s="2835"/>
      <c r="K366" s="2835"/>
      <c r="L366" s="2835"/>
      <c r="M366" s="2835"/>
      <c r="N366" s="2835"/>
    </row>
    <row r="367" spans="1:14" x14ac:dyDescent="0.15" ht="13.5" customHeight="true" hidden="false">
      <c r="A367" s="2835"/>
      <c r="B367" s="2835"/>
      <c r="C367" s="2835"/>
      <c r="D367" s="2835" t="s">
        <v>6951</v>
      </c>
      <c r="E367" s="2835" t="s">
        <v>9638</v>
      </c>
      <c r="F367" s="2835" t="n">
        <v>0.0</v>
      </c>
      <c r="G367" s="2835" t="s">
        <v>7009</v>
      </c>
      <c r="H367" s="2835" t="s">
        <v>9685</v>
      </c>
      <c r="I367" s="2835" t="n">
        <v>0.0</v>
      </c>
      <c r="J367" s="2835"/>
      <c r="K367" s="2835"/>
      <c r="L367" s="2835"/>
      <c r="M367" s="2835"/>
      <c r="N367" s="2835"/>
    </row>
    <row r="368" spans="1:14" x14ac:dyDescent="0.15" ht="13.5" customHeight="true" hidden="false">
      <c r="A368" s="2835"/>
      <c r="B368" s="2835"/>
      <c r="C368" s="2835"/>
      <c r="D368" s="2835" t="s">
        <v>6951</v>
      </c>
      <c r="E368" s="2835" t="s">
        <v>9657</v>
      </c>
      <c r="F368" s="2835" t="n">
        <v>109.6</v>
      </c>
      <c r="G368" s="2835" t="s">
        <v>7009</v>
      </c>
      <c r="H368" s="2835" t="s">
        <v>9686</v>
      </c>
      <c r="I368" s="2835" t="n">
        <v>0.0</v>
      </c>
      <c r="J368" s="2835"/>
      <c r="K368" s="2835"/>
      <c r="L368" s="2835"/>
      <c r="M368" s="2835"/>
      <c r="N368" s="2835"/>
    </row>
    <row r="369" spans="1:14" x14ac:dyDescent="0.15" ht="13.5" customHeight="true" hidden="false">
      <c r="A369" s="2835"/>
      <c r="B369" s="2835"/>
      <c r="C369" s="2835"/>
      <c r="D369" s="2835" t="s">
        <v>6951</v>
      </c>
      <c r="E369" s="2835" t="s">
        <v>9659</v>
      </c>
      <c r="F369" s="2835" t="n">
        <v>0.0</v>
      </c>
      <c r="G369" s="2835" t="s">
        <v>7009</v>
      </c>
      <c r="H369" s="2835" t="s">
        <v>9687</v>
      </c>
      <c r="I369" s="2835" t="n">
        <v>0.0</v>
      </c>
      <c r="J369" s="2835"/>
      <c r="K369" s="2835"/>
      <c r="L369" s="2835"/>
      <c r="M369" s="2835"/>
      <c r="N369" s="2835"/>
    </row>
    <row r="370" spans="1:14" x14ac:dyDescent="0.15" ht="13.5" customHeight="true" hidden="false">
      <c r="A370" s="2835"/>
      <c r="B370" s="2835"/>
      <c r="C370" s="2835"/>
      <c r="D370" s="2835" t="s">
        <v>6951</v>
      </c>
      <c r="E370" s="2835" t="s">
        <v>9661</v>
      </c>
      <c r="F370" s="2835" t="n">
        <v>59.2</v>
      </c>
      <c r="G370" s="2835" t="s">
        <v>7009</v>
      </c>
      <c r="H370" s="2835" t="s">
        <v>9688</v>
      </c>
      <c r="I370" s="2835" t="n">
        <v>0.0</v>
      </c>
      <c r="J370" s="2835"/>
      <c r="K370" s="2835"/>
      <c r="L370" s="2835"/>
      <c r="M370" s="2835"/>
      <c r="N370" s="2835"/>
    </row>
    <row r="371" spans="1:14" x14ac:dyDescent="0.15" ht="13.5" customHeight="true" hidden="false">
      <c r="A371" s="2835"/>
      <c r="B371" s="2835"/>
      <c r="C371" s="2835"/>
      <c r="D371" s="2835" t="s">
        <v>6951</v>
      </c>
      <c r="E371" s="2835" t="s">
        <v>9663</v>
      </c>
      <c r="F371" s="2835" t="n">
        <v>0.0</v>
      </c>
      <c r="G371" s="2835" t="s">
        <v>7009</v>
      </c>
      <c r="H371" s="2835" t="s">
        <v>9689</v>
      </c>
      <c r="I371" s="2835" t="n">
        <v>0.0</v>
      </c>
      <c r="J371" s="2835"/>
      <c r="K371" s="2835"/>
      <c r="L371" s="2835"/>
      <c r="M371" s="2835"/>
      <c r="N371" s="2835"/>
    </row>
    <row r="372" spans="1:14" x14ac:dyDescent="0.15" ht="13.5" customHeight="true" hidden="false">
      <c r="A372" s="2835"/>
      <c r="B372" s="2835"/>
      <c r="C372" s="2835"/>
      <c r="D372" s="2835" t="s">
        <v>6951</v>
      </c>
      <c r="E372" s="2835" t="s">
        <v>9665</v>
      </c>
      <c r="F372" s="2835" t="n">
        <v>0.0</v>
      </c>
      <c r="G372" s="2835" t="s">
        <v>7009</v>
      </c>
      <c r="H372" s="2835" t="s">
        <v>9690</v>
      </c>
      <c r="I372" s="2835" t="n">
        <v>0.0</v>
      </c>
      <c r="J372" s="2835"/>
      <c r="K372" s="2835"/>
      <c r="L372" s="2835"/>
      <c r="M372" s="2835"/>
      <c r="N372" s="2835"/>
    </row>
    <row r="373" spans="1:14" x14ac:dyDescent="0.15" ht="13.5" customHeight="true" hidden="false">
      <c r="A373" s="2835"/>
      <c r="B373" s="2835"/>
      <c r="C373" s="2835"/>
      <c r="D373" s="2835" t="s">
        <v>6951</v>
      </c>
      <c r="E373" s="2835" t="s">
        <v>9667</v>
      </c>
      <c r="F373" s="2835" t="n">
        <v>0.0</v>
      </c>
      <c r="G373" s="2835" t="s">
        <v>7009</v>
      </c>
      <c r="H373" s="2835" t="s">
        <v>9691</v>
      </c>
      <c r="I373" s="2835" t="n">
        <v>0.0</v>
      </c>
      <c r="J373" s="2835"/>
      <c r="K373" s="2835"/>
      <c r="L373" s="2835"/>
      <c r="M373" s="2835"/>
      <c r="N373" s="2835"/>
    </row>
    <row r="374" spans="1:14" x14ac:dyDescent="0.15" ht="13.5" customHeight="true" hidden="false">
      <c r="A374" s="2835"/>
      <c r="B374" s="2835"/>
      <c r="C374" s="2835"/>
      <c r="D374" s="2835" t="s">
        <v>6951</v>
      </c>
      <c r="E374" s="2835" t="s">
        <v>9669</v>
      </c>
      <c r="F374" s="2835" t="n">
        <v>0.0</v>
      </c>
      <c r="G374" s="2835" t="s">
        <v>7009</v>
      </c>
      <c r="H374" s="2835" t="s">
        <v>9692</v>
      </c>
      <c r="I374" s="2835" t="n">
        <v>0.0</v>
      </c>
      <c r="J374" s="2835"/>
      <c r="K374" s="2835"/>
      <c r="L374" s="2835"/>
      <c r="M374" s="2835"/>
      <c r="N374" s="2835"/>
    </row>
    <row r="375" spans="1:14" x14ac:dyDescent="0.15" ht="13.5" customHeight="true" hidden="false">
      <c r="A375" s="2835"/>
      <c r="B375" s="2835"/>
      <c r="C375" s="2835"/>
      <c r="D375" s="2835" t="s">
        <v>6951</v>
      </c>
      <c r="E375" s="2835" t="s">
        <v>9671</v>
      </c>
      <c r="F375" s="2835" t="n">
        <v>0.0</v>
      </c>
      <c r="G375" s="2835" t="s">
        <v>7009</v>
      </c>
      <c r="H375" s="2835" t="s">
        <v>9693</v>
      </c>
      <c r="I375" s="2835" t="n">
        <v>0.0</v>
      </c>
      <c r="J375" s="2835"/>
      <c r="K375" s="2835"/>
      <c r="L375" s="2835"/>
      <c r="M375" s="2835"/>
      <c r="N375" s="2835"/>
    </row>
    <row r="376" spans="1:14" x14ac:dyDescent="0.15" ht="13.5" customHeight="true" hidden="false">
      <c r="A376" s="2835"/>
      <c r="B376" s="2835"/>
      <c r="C376" s="2835"/>
      <c r="D376" s="2835" t="s">
        <v>6951</v>
      </c>
      <c r="E376" s="2835" t="s">
        <v>9673</v>
      </c>
      <c r="F376" s="2835" t="n">
        <v>0.0</v>
      </c>
      <c r="G376" s="2835" t="s">
        <v>7009</v>
      </c>
      <c r="H376" s="2835" t="s">
        <v>9694</v>
      </c>
      <c r="I376" s="2835" t="n">
        <v>0.0</v>
      </c>
      <c r="J376" s="2835"/>
      <c r="K376" s="2835"/>
      <c r="L376" s="2835"/>
      <c r="M376" s="2835"/>
      <c r="N376" s="2835"/>
    </row>
    <row r="377" spans="1:14" x14ac:dyDescent="0.15" ht="13.5" customHeight="true" hidden="false">
      <c r="A377" s="2835"/>
      <c r="B377" s="2835"/>
      <c r="C377" s="2835"/>
      <c r="D377" s="2835" t="s">
        <v>6951</v>
      </c>
      <c r="E377" s="2835" t="s">
        <v>9674</v>
      </c>
      <c r="F377" s="2835" t="n">
        <v>0.0</v>
      </c>
      <c r="G377" s="2835" t="s">
        <v>7009</v>
      </c>
      <c r="H377" s="2835" t="s">
        <v>9695</v>
      </c>
      <c r="I377" s="2835" t="n">
        <v>0.0</v>
      </c>
      <c r="J377" s="2835"/>
      <c r="K377" s="2835"/>
      <c r="L377" s="2835"/>
      <c r="M377" s="2835"/>
      <c r="N377" s="2835"/>
    </row>
    <row r="378" spans="1:14" x14ac:dyDescent="0.15" ht="13.5" customHeight="true" hidden="false">
      <c r="A378" s="2835"/>
      <c r="B378" s="2835"/>
      <c r="C378" s="2835"/>
      <c r="D378" s="2835" t="s">
        <v>6951</v>
      </c>
      <c r="E378" s="2835" t="s">
        <v>9675</v>
      </c>
      <c r="F378" s="2835" t="n">
        <v>0.0</v>
      </c>
      <c r="G378" s="2835" t="s">
        <v>7009</v>
      </c>
      <c r="H378" s="2835" t="s">
        <v>9696</v>
      </c>
      <c r="I378" s="2835" t="n">
        <v>0.0</v>
      </c>
      <c r="J378" s="2835"/>
      <c r="K378" s="2835"/>
      <c r="L378" s="2835"/>
      <c r="M378" s="2835"/>
      <c r="N378" s="2835"/>
    </row>
    <row r="379" spans="1:14" x14ac:dyDescent="0.15" ht="13.5" customHeight="true" hidden="false">
      <c r="A379" s="2835"/>
      <c r="B379" s="2835"/>
      <c r="C379" s="2835"/>
      <c r="D379" s="2835" t="s">
        <v>6951</v>
      </c>
      <c r="E379" s="2835" t="s">
        <v>9676</v>
      </c>
      <c r="F379" s="2835" t="n">
        <v>0.0</v>
      </c>
      <c r="G379" s="2835" t="s">
        <v>7009</v>
      </c>
      <c r="H379" s="2835" t="s">
        <v>9697</v>
      </c>
      <c r="I379" s="2835" t="n">
        <v>0.0</v>
      </c>
      <c r="J379" s="2835"/>
      <c r="K379" s="2835"/>
      <c r="L379" s="2835"/>
      <c r="M379" s="2835"/>
      <c r="N379" s="2835"/>
    </row>
    <row r="380" spans="1:14" x14ac:dyDescent="0.15" ht="13.5" customHeight="true" hidden="false">
      <c r="A380" s="2835"/>
      <c r="B380" s="2835"/>
      <c r="C380" s="2835"/>
      <c r="D380" s="2835" t="s">
        <v>6951</v>
      </c>
      <c r="E380" s="2835" t="s">
        <v>9677</v>
      </c>
      <c r="F380" s="2835" t="n">
        <v>0.0</v>
      </c>
      <c r="G380" s="2835" t="s">
        <v>7009</v>
      </c>
      <c r="H380" s="2835" t="s">
        <v>9698</v>
      </c>
      <c r="I380" s="2835" t="n">
        <v>0.0</v>
      </c>
      <c r="J380" s="2835"/>
      <c r="K380" s="2835"/>
      <c r="L380" s="2835"/>
      <c r="M380" s="2835"/>
      <c r="N380" s="2835"/>
    </row>
    <row r="381" spans="1:14" x14ac:dyDescent="0.15" ht="13.5" customHeight="true" hidden="false">
      <c r="A381" s="2835"/>
      <c r="B381" s="2835"/>
      <c r="C381" s="2835"/>
      <c r="D381" s="2835" t="s">
        <v>6951</v>
      </c>
      <c r="E381" s="2835" t="s">
        <v>9678</v>
      </c>
      <c r="F381" s="2835" t="n">
        <v>0.0</v>
      </c>
      <c r="G381" s="2835" t="s">
        <v>7009</v>
      </c>
      <c r="H381" s="2835" t="s">
        <v>9699</v>
      </c>
      <c r="I381" s="2835" t="n">
        <v>0.0</v>
      </c>
      <c r="J381" s="2835"/>
      <c r="K381" s="2835"/>
      <c r="L381" s="2835"/>
      <c r="M381" s="2835"/>
      <c r="N381" s="2835"/>
    </row>
    <row r="382" spans="1:14" x14ac:dyDescent="0.15" ht="13.5" customHeight="true" hidden="false">
      <c r="A382" s="2835"/>
      <c r="B382" s="2835"/>
      <c r="C382" s="2835"/>
      <c r="D382" s="2835" t="s">
        <v>6951</v>
      </c>
      <c r="E382" s="2835" t="s">
        <v>9679</v>
      </c>
      <c r="F382" s="2835" t="n">
        <v>0.0</v>
      </c>
      <c r="G382" s="2835" t="s">
        <v>7009</v>
      </c>
      <c r="H382" s="2835" t="s">
        <v>9700</v>
      </c>
      <c r="I382" s="2835" t="n">
        <v>0.0</v>
      </c>
      <c r="J382" s="2835"/>
      <c r="K382" s="2835"/>
      <c r="L382" s="2835"/>
      <c r="M382" s="2835"/>
      <c r="N382" s="2835"/>
    </row>
    <row r="383" spans="1:14" x14ac:dyDescent="0.15" ht="13.5" customHeight="true" hidden="false">
      <c r="A383" s="2835"/>
      <c r="B383" s="2835"/>
      <c r="C383" s="2835"/>
      <c r="D383" s="2835" t="s">
        <v>6951</v>
      </c>
      <c r="E383" s="2835" t="s">
        <v>9680</v>
      </c>
      <c r="F383" s="2835" t="n">
        <v>0.0</v>
      </c>
      <c r="G383" s="2835" t="s">
        <v>7010</v>
      </c>
      <c r="H383" s="2835" t="s">
        <v>9618</v>
      </c>
      <c r="I383" s="2835" t="n">
        <v>0.0</v>
      </c>
      <c r="J383" s="2835"/>
      <c r="K383" s="2835"/>
      <c r="L383" s="2835"/>
      <c r="M383" s="2835"/>
      <c r="N383" s="2835"/>
    </row>
    <row r="384" spans="1:14" x14ac:dyDescent="0.15" ht="13.5" customHeight="true" hidden="false">
      <c r="A384" s="2835"/>
      <c r="B384" s="2835"/>
      <c r="C384" s="2835"/>
      <c r="D384" s="2835" t="s">
        <v>6951</v>
      </c>
      <c r="E384" s="2835" t="s">
        <v>9681</v>
      </c>
      <c r="F384" s="2835" t="n">
        <v>0.0</v>
      </c>
      <c r="G384" s="2835" t="s">
        <v>7010</v>
      </c>
      <c r="H384" s="2835" t="s">
        <v>9619</v>
      </c>
      <c r="I384" s="2835" t="n">
        <v>0.0</v>
      </c>
      <c r="J384" s="2835"/>
      <c r="K384" s="2835"/>
      <c r="L384" s="2835"/>
      <c r="M384" s="2835"/>
      <c r="N384" s="2835"/>
    </row>
    <row r="385" spans="1:14" x14ac:dyDescent="0.15" ht="13.5" customHeight="true" hidden="false">
      <c r="A385" s="2835"/>
      <c r="B385" s="2835"/>
      <c r="C385" s="2835"/>
      <c r="D385" s="2835" t="s">
        <v>6951</v>
      </c>
      <c r="E385" s="2835" t="s">
        <v>9682</v>
      </c>
      <c r="F385" s="2835" t="n">
        <v>0.0</v>
      </c>
      <c r="G385" s="2835" t="s">
        <v>7010</v>
      </c>
      <c r="H385" s="2835" t="s">
        <v>9620</v>
      </c>
      <c r="I385" s="2835" t="n">
        <v>0.0</v>
      </c>
      <c r="J385" s="2835"/>
      <c r="K385" s="2835"/>
      <c r="L385" s="2835"/>
      <c r="M385" s="2835"/>
      <c r="N385" s="2835"/>
    </row>
    <row r="386" spans="1:14" x14ac:dyDescent="0.15" ht="13.5" customHeight="true" hidden="false">
      <c r="A386" s="2835"/>
      <c r="B386" s="2835"/>
      <c r="C386" s="2835"/>
      <c r="D386" s="2835" t="s">
        <v>6953</v>
      </c>
      <c r="E386" s="2835" t="s">
        <v>9618</v>
      </c>
      <c r="F386" s="2835" t="n">
        <v>0.0</v>
      </c>
      <c r="G386" s="2835" t="s">
        <v>7010</v>
      </c>
      <c r="H386" s="2835" t="s">
        <v>9621</v>
      </c>
      <c r="I386" s="2835" t="n">
        <v>0.0</v>
      </c>
      <c r="J386" s="2835"/>
      <c r="K386" s="2835"/>
      <c r="L386" s="2835"/>
      <c r="M386" s="2835"/>
      <c r="N386" s="2835"/>
    </row>
    <row r="387" spans="1:14" x14ac:dyDescent="0.15" ht="13.5" customHeight="true" hidden="false">
      <c r="A387" s="2835"/>
      <c r="B387" s="2835"/>
      <c r="C387" s="2835"/>
      <c r="D387" s="2835" t="s">
        <v>6953</v>
      </c>
      <c r="E387" s="2835" t="s">
        <v>9619</v>
      </c>
      <c r="F387" s="2835" t="n">
        <v>151.5</v>
      </c>
      <c r="G387" s="2835" t="s">
        <v>7010</v>
      </c>
      <c r="H387" s="2835" t="s">
        <v>9622</v>
      </c>
      <c r="I387" s="2835" t="n">
        <v>0.0</v>
      </c>
      <c r="J387" s="2835"/>
      <c r="K387" s="2835"/>
      <c r="L387" s="2835"/>
      <c r="M387" s="2835"/>
      <c r="N387" s="2835"/>
    </row>
    <row r="388" spans="1:14" x14ac:dyDescent="0.15" ht="13.5" customHeight="true" hidden="false">
      <c r="A388" s="2835"/>
      <c r="B388" s="2835"/>
      <c r="C388" s="2835"/>
      <c r="D388" s="2835" t="s">
        <v>6953</v>
      </c>
      <c r="E388" s="2835" t="s">
        <v>9620</v>
      </c>
      <c r="F388" s="2835" t="n">
        <v>124.9</v>
      </c>
      <c r="G388" s="2835" t="s">
        <v>7010</v>
      </c>
      <c r="H388" s="2835" t="s">
        <v>9623</v>
      </c>
      <c r="I388" s="2835" t="n">
        <v>0.0</v>
      </c>
      <c r="J388" s="2835"/>
      <c r="K388" s="2835"/>
      <c r="L388" s="2835"/>
      <c r="M388" s="2835"/>
      <c r="N388" s="2835"/>
    </row>
    <row r="389" spans="1:14" x14ac:dyDescent="0.15" ht="13.5" customHeight="true" hidden="false">
      <c r="A389" s="2835"/>
      <c r="B389" s="2835"/>
      <c r="C389" s="2835"/>
      <c r="D389" s="2835" t="s">
        <v>6953</v>
      </c>
      <c r="E389" s="2835" t="s">
        <v>9621</v>
      </c>
      <c r="F389" s="2835" t="n">
        <v>803.0</v>
      </c>
      <c r="G389" s="2835" t="s">
        <v>7010</v>
      </c>
      <c r="H389" s="2835" t="s">
        <v>9624</v>
      </c>
      <c r="I389" s="2835" t="n">
        <v>0.0</v>
      </c>
      <c r="J389" s="2835"/>
      <c r="K389" s="2835"/>
      <c r="L389" s="2835"/>
      <c r="M389" s="2835"/>
      <c r="N389" s="2835"/>
    </row>
    <row r="390" spans="1:14" x14ac:dyDescent="0.15" ht="13.5" customHeight="true" hidden="false">
      <c r="A390" s="2835"/>
      <c r="B390" s="2835"/>
      <c r="C390" s="2835"/>
      <c r="D390" s="2835" t="s">
        <v>6953</v>
      </c>
      <c r="E390" s="2835" t="s">
        <v>9622</v>
      </c>
      <c r="F390" s="2835" t="n">
        <v>0.0</v>
      </c>
      <c r="G390" s="2835" t="s">
        <v>7010</v>
      </c>
      <c r="H390" s="2835" t="s">
        <v>9625</v>
      </c>
      <c r="I390" s="2835" t="n">
        <v>0.0</v>
      </c>
      <c r="J390" s="2835"/>
      <c r="K390" s="2835"/>
      <c r="L390" s="2835"/>
      <c r="M390" s="2835"/>
      <c r="N390" s="2835"/>
    </row>
    <row r="391" spans="1:14" x14ac:dyDescent="0.15" ht="13.5" customHeight="true" hidden="false">
      <c r="A391" s="2835"/>
      <c r="B391" s="2835"/>
      <c r="C391" s="2835"/>
      <c r="D391" s="2835" t="s">
        <v>6953</v>
      </c>
      <c r="E391" s="2835" t="s">
        <v>9623</v>
      </c>
      <c r="F391" s="2835" t="n">
        <v>185.9</v>
      </c>
      <c r="G391" s="2835" t="s">
        <v>7010</v>
      </c>
      <c r="H391" s="2835" t="s">
        <v>9626</v>
      </c>
      <c r="I391" s="2835" t="n">
        <v>0.0</v>
      </c>
      <c r="J391" s="2835"/>
      <c r="K391" s="2835"/>
      <c r="L391" s="2835"/>
      <c r="M391" s="2835"/>
      <c r="N391" s="2835"/>
    </row>
    <row r="392" spans="1:14" x14ac:dyDescent="0.15" ht="13.5" customHeight="true" hidden="false">
      <c r="A392" s="2835"/>
      <c r="B392" s="2835"/>
      <c r="C392" s="2835"/>
      <c r="D392" s="2835" t="s">
        <v>6953</v>
      </c>
      <c r="E392" s="2835" t="s">
        <v>9624</v>
      </c>
      <c r="F392" s="2835" t="n">
        <v>803.0</v>
      </c>
      <c r="G392" s="2835" t="s">
        <v>7010</v>
      </c>
      <c r="H392" s="2835" t="s">
        <v>9627</v>
      </c>
      <c r="I392" s="2835" t="n">
        <v>0.0</v>
      </c>
      <c r="J392" s="2835"/>
      <c r="K392" s="2835"/>
      <c r="L392" s="2835"/>
      <c r="M392" s="2835"/>
      <c r="N392" s="2835"/>
    </row>
    <row r="393" spans="1:14" x14ac:dyDescent="0.15" ht="13.5" customHeight="true" hidden="false">
      <c r="A393" s="2835"/>
      <c r="B393" s="2835"/>
      <c r="C393" s="2835"/>
      <c r="D393" s="2835" t="s">
        <v>6953</v>
      </c>
      <c r="E393" s="2835" t="s">
        <v>9625</v>
      </c>
      <c r="F393" s="2835" t="n">
        <v>0.0</v>
      </c>
      <c r="G393" s="2835" t="s">
        <v>7010</v>
      </c>
      <c r="H393" s="2835" t="s">
        <v>9628</v>
      </c>
      <c r="I393" s="2835" t="n">
        <v>0.0</v>
      </c>
      <c r="J393" s="2835"/>
      <c r="K393" s="2835"/>
      <c r="L393" s="2835"/>
      <c r="M393" s="2835"/>
      <c r="N393" s="2835"/>
    </row>
    <row r="394" spans="1:14" x14ac:dyDescent="0.15" ht="13.5" customHeight="true" hidden="false">
      <c r="A394" s="2835"/>
      <c r="B394" s="2835"/>
      <c r="C394" s="2835"/>
      <c r="D394" s="2835" t="s">
        <v>6953</v>
      </c>
      <c r="E394" s="2835" t="s">
        <v>9626</v>
      </c>
      <c r="F394" s="2835" t="n">
        <v>0.0</v>
      </c>
      <c r="G394" s="2835" t="s">
        <v>7010</v>
      </c>
      <c r="H394" s="2835" t="s">
        <v>9629</v>
      </c>
      <c r="I394" s="2835" t="n">
        <v>0.0</v>
      </c>
      <c r="J394" s="2835"/>
      <c r="K394" s="2835"/>
      <c r="L394" s="2835"/>
      <c r="M394" s="2835"/>
      <c r="N394" s="2835"/>
    </row>
    <row r="395" spans="1:14" x14ac:dyDescent="0.15" ht="13.5" customHeight="true" hidden="false">
      <c r="A395" s="2835"/>
      <c r="B395" s="2835"/>
      <c r="C395" s="2835"/>
      <c r="D395" s="2835" t="s">
        <v>6953</v>
      </c>
      <c r="E395" s="2835" t="s">
        <v>9627</v>
      </c>
      <c r="F395" s="2835" t="n">
        <v>0.0</v>
      </c>
      <c r="G395" s="2835" t="s">
        <v>7010</v>
      </c>
      <c r="H395" s="2835" t="s">
        <v>9633</v>
      </c>
      <c r="I395" s="2835" t="n">
        <v>0.0</v>
      </c>
      <c r="J395" s="2835"/>
      <c r="K395" s="2835"/>
      <c r="L395" s="2835"/>
      <c r="M395" s="2835"/>
      <c r="N395" s="2835"/>
    </row>
    <row r="396" spans="1:14" x14ac:dyDescent="0.15" ht="13.5" customHeight="true" hidden="false">
      <c r="A396" s="2835"/>
      <c r="B396" s="2835"/>
      <c r="C396" s="2835"/>
      <c r="D396" s="2835" t="s">
        <v>6953</v>
      </c>
      <c r="E396" s="2835" t="s">
        <v>9628</v>
      </c>
      <c r="F396" s="2835" t="n">
        <v>0.0</v>
      </c>
      <c r="G396" s="2835" t="s">
        <v>7010</v>
      </c>
      <c r="H396" s="2835" t="s">
        <v>9634</v>
      </c>
      <c r="I396" s="2835" t="n">
        <v>0.0</v>
      </c>
      <c r="J396" s="2835"/>
      <c r="K396" s="2835"/>
      <c r="L396" s="2835"/>
      <c r="M396" s="2835"/>
      <c r="N396" s="2835"/>
    </row>
    <row r="397" spans="1:14" x14ac:dyDescent="0.15" ht="13.5" customHeight="true" hidden="false">
      <c r="A397" s="2835"/>
      <c r="B397" s="2835"/>
      <c r="C397" s="2835"/>
      <c r="D397" s="2835" t="s">
        <v>6953</v>
      </c>
      <c r="E397" s="2835" t="s">
        <v>9629</v>
      </c>
      <c r="F397" s="2835" t="n">
        <v>0.0</v>
      </c>
      <c r="G397" s="2835" t="s">
        <v>7010</v>
      </c>
      <c r="H397" s="2835" t="s">
        <v>9635</v>
      </c>
      <c r="I397" s="2835" t="n">
        <v>0.0</v>
      </c>
      <c r="J397" s="2835"/>
      <c r="K397" s="2835"/>
      <c r="L397" s="2835"/>
      <c r="M397" s="2835"/>
      <c r="N397" s="2835"/>
    </row>
    <row r="398" spans="1:14" x14ac:dyDescent="0.15" ht="13.5" customHeight="true" hidden="false">
      <c r="A398" s="2835"/>
      <c r="B398" s="2835"/>
      <c r="C398" s="2835"/>
      <c r="D398" s="2835" t="s">
        <v>6953</v>
      </c>
      <c r="E398" s="2835" t="s">
        <v>9633</v>
      </c>
      <c r="F398" s="2835" t="n">
        <v>0.0</v>
      </c>
      <c r="G398" s="2835" t="s">
        <v>7010</v>
      </c>
      <c r="H398" s="2835" t="s">
        <v>9636</v>
      </c>
      <c r="I398" s="2835" t="n">
        <v>0.0</v>
      </c>
      <c r="J398" s="2835"/>
      <c r="K398" s="2835"/>
      <c r="L398" s="2835"/>
      <c r="M398" s="2835"/>
      <c r="N398" s="2835"/>
    </row>
    <row r="399" spans="1:14" x14ac:dyDescent="0.15" ht="13.5" customHeight="true" hidden="false">
      <c r="A399" s="2835"/>
      <c r="B399" s="2835"/>
      <c r="C399" s="2835"/>
      <c r="D399" s="2835" t="s">
        <v>6953</v>
      </c>
      <c r="E399" s="2835" t="s">
        <v>9634</v>
      </c>
      <c r="F399" s="2835" t="n">
        <v>0.0</v>
      </c>
      <c r="G399" s="2835" t="s">
        <v>7010</v>
      </c>
      <c r="H399" s="2835" t="s">
        <v>9637</v>
      </c>
      <c r="I399" s="2835" t="n">
        <v>0.0</v>
      </c>
      <c r="J399" s="2835"/>
      <c r="K399" s="2835"/>
      <c r="L399" s="2835"/>
      <c r="M399" s="2835"/>
      <c r="N399" s="2835"/>
    </row>
    <row r="400" spans="1:14" x14ac:dyDescent="0.15" ht="13.5" customHeight="true" hidden="false">
      <c r="A400" s="2835"/>
      <c r="B400" s="2835"/>
      <c r="C400" s="2835"/>
      <c r="D400" s="2835" t="s">
        <v>6953</v>
      </c>
      <c r="E400" s="2835" t="s">
        <v>9635</v>
      </c>
      <c r="F400" s="2835" t="n">
        <v>0.0</v>
      </c>
      <c r="G400" s="2835" t="s">
        <v>7010</v>
      </c>
      <c r="H400" s="2835" t="s">
        <v>9638</v>
      </c>
      <c r="I400" s="2835" t="n">
        <v>0.0</v>
      </c>
      <c r="J400" s="2835"/>
      <c r="K400" s="2835"/>
      <c r="L400" s="2835"/>
      <c r="M400" s="2835"/>
      <c r="N400" s="2835"/>
    </row>
    <row r="401" spans="1:14" x14ac:dyDescent="0.15" ht="13.5" customHeight="true" hidden="false">
      <c r="A401" s="2835"/>
      <c r="B401" s="2835"/>
      <c r="C401" s="2835"/>
      <c r="D401" s="2835" t="s">
        <v>6953</v>
      </c>
      <c r="E401" s="2835" t="s">
        <v>9636</v>
      </c>
      <c r="F401" s="2835" t="n">
        <v>0.0</v>
      </c>
      <c r="G401" s="2835" t="s">
        <v>7010</v>
      </c>
      <c r="H401" s="2835" t="s">
        <v>9657</v>
      </c>
      <c r="I401" s="2835" t="n">
        <v>0.0</v>
      </c>
      <c r="J401" s="2835"/>
      <c r="K401" s="2835"/>
      <c r="L401" s="2835"/>
      <c r="M401" s="2835"/>
      <c r="N401" s="2835"/>
    </row>
    <row r="402" spans="1:14" x14ac:dyDescent="0.15" ht="13.5" customHeight="true" hidden="false">
      <c r="A402" s="2835"/>
      <c r="B402" s="2835"/>
      <c r="C402" s="2835"/>
      <c r="D402" s="2835" t="s">
        <v>6953</v>
      </c>
      <c r="E402" s="2835" t="s">
        <v>9637</v>
      </c>
      <c r="F402" s="2835" t="n">
        <v>0.0</v>
      </c>
      <c r="G402" s="2835" t="s">
        <v>7010</v>
      </c>
      <c r="H402" s="2835" t="s">
        <v>9659</v>
      </c>
      <c r="I402" s="2835" t="n">
        <v>0.0</v>
      </c>
      <c r="J402" s="2835"/>
      <c r="K402" s="2835"/>
      <c r="L402" s="2835"/>
      <c r="M402" s="2835"/>
      <c r="N402" s="2835"/>
    </row>
    <row r="403" spans="1:14" x14ac:dyDescent="0.15" ht="13.5" customHeight="true" hidden="false">
      <c r="A403" s="2835"/>
      <c r="B403" s="2835"/>
      <c r="C403" s="2835"/>
      <c r="D403" s="2835" t="s">
        <v>6953</v>
      </c>
      <c r="E403" s="2835" t="s">
        <v>9638</v>
      </c>
      <c r="F403" s="2835" t="n">
        <v>0.0</v>
      </c>
      <c r="G403" s="2835" t="s">
        <v>7010</v>
      </c>
      <c r="H403" s="2835" t="s">
        <v>9661</v>
      </c>
      <c r="I403" s="2835" t="n">
        <v>0.0</v>
      </c>
      <c r="J403" s="2835"/>
      <c r="K403" s="2835"/>
      <c r="L403" s="2835"/>
      <c r="M403" s="2835"/>
      <c r="N403" s="2835"/>
    </row>
    <row r="404" spans="1:14" x14ac:dyDescent="0.15" ht="13.5" customHeight="true" hidden="false">
      <c r="A404" s="2835"/>
      <c r="B404" s="2835"/>
      <c r="C404" s="2835"/>
      <c r="D404" s="2835" t="s">
        <v>6953</v>
      </c>
      <c r="E404" s="2835" t="s">
        <v>9657</v>
      </c>
      <c r="F404" s="2835" t="n">
        <v>151.5</v>
      </c>
      <c r="G404" s="2835" t="s">
        <v>7010</v>
      </c>
      <c r="H404" s="2835" t="s">
        <v>9663</v>
      </c>
      <c r="I404" s="2835" t="n">
        <v>0.0</v>
      </c>
      <c r="J404" s="2835"/>
      <c r="K404" s="2835"/>
      <c r="L404" s="2835"/>
      <c r="M404" s="2835"/>
      <c r="N404" s="2835"/>
    </row>
    <row r="405" spans="1:14" x14ac:dyDescent="0.15" ht="13.5" customHeight="true" hidden="false">
      <c r="A405" s="2835"/>
      <c r="B405" s="2835"/>
      <c r="C405" s="2835"/>
      <c r="D405" s="2835" t="s">
        <v>6953</v>
      </c>
      <c r="E405" s="2835" t="s">
        <v>9659</v>
      </c>
      <c r="F405" s="2835" t="n">
        <v>0.0</v>
      </c>
      <c r="G405" s="2835" t="s">
        <v>7010</v>
      </c>
      <c r="H405" s="2835" t="s">
        <v>9665</v>
      </c>
      <c r="I405" s="2835" t="n">
        <v>0.0</v>
      </c>
      <c r="J405" s="2835"/>
      <c r="K405" s="2835"/>
      <c r="L405" s="2835"/>
      <c r="M405" s="2835"/>
      <c r="N405" s="2835"/>
    </row>
    <row r="406" spans="1:14" x14ac:dyDescent="0.15" ht="13.5" customHeight="true" hidden="false">
      <c r="A406" s="2835"/>
      <c r="B406" s="2835"/>
      <c r="C406" s="2835"/>
      <c r="D406" s="2835" t="s">
        <v>6953</v>
      </c>
      <c r="E406" s="2835" t="s">
        <v>9661</v>
      </c>
      <c r="F406" s="2835" t="n">
        <v>185.9</v>
      </c>
      <c r="G406" s="2835" t="s">
        <v>7010</v>
      </c>
      <c r="H406" s="2835" t="s">
        <v>9667</v>
      </c>
      <c r="I406" s="2835" t="n">
        <v>0.0</v>
      </c>
      <c r="J406" s="2835"/>
      <c r="K406" s="2835"/>
      <c r="L406" s="2835"/>
      <c r="M406" s="2835"/>
      <c r="N406" s="2835"/>
    </row>
    <row r="407" spans="1:14" x14ac:dyDescent="0.15" ht="13.5" customHeight="true" hidden="false">
      <c r="A407" s="2835"/>
      <c r="B407" s="2835"/>
      <c r="C407" s="2835"/>
      <c r="D407" s="2835" t="s">
        <v>6953</v>
      </c>
      <c r="E407" s="2835" t="s">
        <v>9663</v>
      </c>
      <c r="F407" s="2835" t="n">
        <v>0.0</v>
      </c>
      <c r="G407" s="2835" t="s">
        <v>7010</v>
      </c>
      <c r="H407" s="2835" t="s">
        <v>9669</v>
      </c>
      <c r="I407" s="2835" t="n">
        <v>0.0</v>
      </c>
      <c r="J407" s="2835"/>
      <c r="K407" s="2835"/>
      <c r="L407" s="2835"/>
      <c r="M407" s="2835"/>
      <c r="N407" s="2835"/>
    </row>
    <row r="408" spans="1:14" x14ac:dyDescent="0.15" ht="13.5" customHeight="true" hidden="false">
      <c r="A408" s="2835"/>
      <c r="B408" s="2835"/>
      <c r="C408" s="2835"/>
      <c r="D408" s="2835" t="s">
        <v>6953</v>
      </c>
      <c r="E408" s="2835" t="s">
        <v>9665</v>
      </c>
      <c r="F408" s="2835" t="n">
        <v>0.0</v>
      </c>
      <c r="G408" s="2835" t="s">
        <v>7010</v>
      </c>
      <c r="H408" s="2835" t="s">
        <v>9671</v>
      </c>
      <c r="I408" s="2835" t="n">
        <v>0.0</v>
      </c>
      <c r="J408" s="2835"/>
      <c r="K408" s="2835"/>
      <c r="L408" s="2835"/>
      <c r="M408" s="2835"/>
      <c r="N408" s="2835"/>
    </row>
    <row r="409" spans="1:14" x14ac:dyDescent="0.15" ht="13.5" customHeight="true" hidden="false">
      <c r="A409" s="2835"/>
      <c r="B409" s="2835"/>
      <c r="C409" s="2835"/>
      <c r="D409" s="2835" t="s">
        <v>6953</v>
      </c>
      <c r="E409" s="2835" t="s">
        <v>9667</v>
      </c>
      <c r="F409" s="2835" t="n">
        <v>0.0</v>
      </c>
      <c r="G409" s="2835" t="s">
        <v>7010</v>
      </c>
      <c r="H409" s="2835" t="s">
        <v>9673</v>
      </c>
      <c r="I409" s="2835" t="n">
        <v>0.0</v>
      </c>
      <c r="J409" s="2835"/>
      <c r="K409" s="2835"/>
      <c r="L409" s="2835"/>
      <c r="M409" s="2835"/>
      <c r="N409" s="2835"/>
    </row>
    <row r="410" spans="1:14" x14ac:dyDescent="0.15" ht="13.5" customHeight="true" hidden="false">
      <c r="A410" s="2835"/>
      <c r="B410" s="2835"/>
      <c r="C410" s="2835"/>
      <c r="D410" s="2835" t="s">
        <v>6953</v>
      </c>
      <c r="E410" s="2835" t="s">
        <v>9669</v>
      </c>
      <c r="F410" s="2835" t="n">
        <v>0.0</v>
      </c>
      <c r="G410" s="2835" t="s">
        <v>7010</v>
      </c>
      <c r="H410" s="2835" t="s">
        <v>9674</v>
      </c>
      <c r="I410" s="2835" t="n">
        <v>0.0</v>
      </c>
      <c r="J410" s="2835"/>
      <c r="K410" s="2835"/>
      <c r="L410" s="2835"/>
      <c r="M410" s="2835"/>
      <c r="N410" s="2835"/>
    </row>
    <row r="411" spans="1:14" x14ac:dyDescent="0.15" ht="13.5" customHeight="true" hidden="false">
      <c r="A411" s="2835"/>
      <c r="B411" s="2835"/>
      <c r="C411" s="2835"/>
      <c r="D411" s="2835" t="s">
        <v>6953</v>
      </c>
      <c r="E411" s="2835" t="s">
        <v>9671</v>
      </c>
      <c r="F411" s="2835" t="n">
        <v>0.0</v>
      </c>
      <c r="G411" s="2835" t="s">
        <v>7010</v>
      </c>
      <c r="H411" s="2835" t="s">
        <v>9675</v>
      </c>
      <c r="I411" s="2835" t="n">
        <v>0.0</v>
      </c>
      <c r="J411" s="2835"/>
      <c r="K411" s="2835"/>
      <c r="L411" s="2835"/>
      <c r="M411" s="2835"/>
      <c r="N411" s="2835"/>
    </row>
    <row r="412" spans="1:14" x14ac:dyDescent="0.15" ht="13.5" customHeight="true" hidden="false">
      <c r="A412" s="2835"/>
      <c r="B412" s="2835"/>
      <c r="C412" s="2835"/>
      <c r="D412" s="2835" t="s">
        <v>6953</v>
      </c>
      <c r="E412" s="2835" t="s">
        <v>9673</v>
      </c>
      <c r="F412" s="2835" t="n">
        <v>0.0</v>
      </c>
      <c r="G412" s="2835" t="s">
        <v>7010</v>
      </c>
      <c r="H412" s="2835" t="s">
        <v>9676</v>
      </c>
      <c r="I412" s="2835" t="n">
        <v>0.0</v>
      </c>
      <c r="J412" s="2835"/>
      <c r="K412" s="2835"/>
      <c r="L412" s="2835"/>
      <c r="M412" s="2835"/>
      <c r="N412" s="2835"/>
    </row>
    <row r="413" spans="1:14" x14ac:dyDescent="0.15" ht="13.5" customHeight="true" hidden="false">
      <c r="A413" s="2835"/>
      <c r="B413" s="2835"/>
      <c r="C413" s="2835"/>
      <c r="D413" s="2835" t="s">
        <v>6953</v>
      </c>
      <c r="E413" s="2835" t="s">
        <v>9674</v>
      </c>
      <c r="F413" s="2835" t="n">
        <v>0.0</v>
      </c>
      <c r="G413" s="2835" t="s">
        <v>7010</v>
      </c>
      <c r="H413" s="2835" t="s">
        <v>9677</v>
      </c>
      <c r="I413" s="2835" t="n">
        <v>0.0</v>
      </c>
      <c r="J413" s="2835"/>
      <c r="K413" s="2835"/>
      <c r="L413" s="2835"/>
      <c r="M413" s="2835"/>
      <c r="N413" s="2835"/>
    </row>
    <row r="414" spans="1:14" x14ac:dyDescent="0.15" ht="13.5" customHeight="true" hidden="false">
      <c r="A414" s="2835"/>
      <c r="B414" s="2835"/>
      <c r="C414" s="2835"/>
      <c r="D414" s="2835" t="s">
        <v>6953</v>
      </c>
      <c r="E414" s="2835" t="s">
        <v>9675</v>
      </c>
      <c r="F414" s="2835" t="n">
        <v>0.0</v>
      </c>
      <c r="G414" s="2835" t="s">
        <v>7010</v>
      </c>
      <c r="H414" s="2835" t="s">
        <v>9678</v>
      </c>
      <c r="I414" s="2835" t="n">
        <v>0.0</v>
      </c>
      <c r="J414" s="2835"/>
      <c r="K414" s="2835"/>
      <c r="L414" s="2835"/>
      <c r="M414" s="2835"/>
      <c r="N414" s="2835"/>
    </row>
    <row r="415" spans="1:14" x14ac:dyDescent="0.15" ht="13.5" customHeight="true" hidden="false">
      <c r="A415" s="2835"/>
      <c r="B415" s="2835"/>
      <c r="C415" s="2835"/>
      <c r="D415" s="2835" t="s">
        <v>6953</v>
      </c>
      <c r="E415" s="2835" t="s">
        <v>9676</v>
      </c>
      <c r="F415" s="2835" t="n">
        <v>0.0</v>
      </c>
      <c r="G415" s="2835" t="s">
        <v>7010</v>
      </c>
      <c r="H415" s="2835" t="s">
        <v>9679</v>
      </c>
      <c r="I415" s="2835" t="n">
        <v>0.0</v>
      </c>
      <c r="J415" s="2835"/>
      <c r="K415" s="2835"/>
      <c r="L415" s="2835"/>
      <c r="M415" s="2835"/>
      <c r="N415" s="2835"/>
    </row>
    <row r="416" spans="1:14" x14ac:dyDescent="0.15" ht="13.5" customHeight="true" hidden="false">
      <c r="A416" s="2835"/>
      <c r="B416" s="2835"/>
      <c r="C416" s="2835"/>
      <c r="D416" s="2835" t="s">
        <v>6953</v>
      </c>
      <c r="E416" s="2835" t="s">
        <v>9677</v>
      </c>
      <c r="F416" s="2835" t="n">
        <v>0.0</v>
      </c>
      <c r="G416" s="2835" t="s">
        <v>7010</v>
      </c>
      <c r="H416" s="2835" t="s">
        <v>9680</v>
      </c>
      <c r="I416" s="2835" t="n">
        <v>0.0</v>
      </c>
      <c r="J416" s="2835"/>
      <c r="K416" s="2835"/>
      <c r="L416" s="2835"/>
      <c r="M416" s="2835"/>
      <c r="N416" s="2835"/>
    </row>
    <row r="417" spans="1:14" x14ac:dyDescent="0.15" ht="13.5" customHeight="true" hidden="false">
      <c r="A417" s="2835"/>
      <c r="B417" s="2835"/>
      <c r="C417" s="2835"/>
      <c r="D417" s="2835" t="s">
        <v>6953</v>
      </c>
      <c r="E417" s="2835" t="s">
        <v>9678</v>
      </c>
      <c r="F417" s="2835" t="n">
        <v>0.0</v>
      </c>
      <c r="G417" s="2835" t="s">
        <v>7010</v>
      </c>
      <c r="H417" s="2835" t="s">
        <v>9681</v>
      </c>
      <c r="I417" s="2835" t="n">
        <v>0.0</v>
      </c>
      <c r="J417" s="2835"/>
      <c r="K417" s="2835"/>
      <c r="L417" s="2835"/>
      <c r="M417" s="2835"/>
      <c r="N417" s="2835"/>
    </row>
    <row r="418" spans="1:14" x14ac:dyDescent="0.15" ht="13.5" customHeight="true" hidden="false">
      <c r="A418" s="2835"/>
      <c r="B418" s="2835"/>
      <c r="C418" s="2835"/>
      <c r="D418" s="2835" t="s">
        <v>6953</v>
      </c>
      <c r="E418" s="2835" t="s">
        <v>9679</v>
      </c>
      <c r="F418" s="2835" t="n">
        <v>0.0</v>
      </c>
      <c r="G418" s="2835" t="s">
        <v>7010</v>
      </c>
      <c r="H418" s="2835" t="s">
        <v>9682</v>
      </c>
      <c r="I418" s="2835" t="n">
        <v>0.0</v>
      </c>
      <c r="J418" s="2835"/>
      <c r="K418" s="2835"/>
      <c r="L418" s="2835"/>
      <c r="M418" s="2835"/>
      <c r="N418" s="2835"/>
    </row>
    <row r="419" spans="1:14" x14ac:dyDescent="0.15" ht="13.5" customHeight="true" hidden="false">
      <c r="A419" s="2835"/>
      <c r="B419" s="2835"/>
      <c r="C419" s="2835"/>
      <c r="D419" s="2835" t="s">
        <v>6953</v>
      </c>
      <c r="E419" s="2835" t="s">
        <v>9680</v>
      </c>
      <c r="F419" s="2835" t="n">
        <v>0.0</v>
      </c>
      <c r="G419" s="2835" t="s">
        <v>7010</v>
      </c>
      <c r="H419" s="2835" t="s">
        <v>9683</v>
      </c>
      <c r="I419" s="2835" t="n">
        <v>0.0</v>
      </c>
      <c r="J419" s="2835"/>
      <c r="K419" s="2835"/>
      <c r="L419" s="2835"/>
      <c r="M419" s="2835"/>
      <c r="N419" s="2835"/>
    </row>
    <row r="420" spans="1:14" x14ac:dyDescent="0.15" ht="13.5" customHeight="true" hidden="false">
      <c r="A420" s="2835"/>
      <c r="B420" s="2835"/>
      <c r="C420" s="2835"/>
      <c r="D420" s="2835" t="s">
        <v>6953</v>
      </c>
      <c r="E420" s="2835" t="s">
        <v>9681</v>
      </c>
      <c r="F420" s="2835" t="n">
        <v>0.0</v>
      </c>
      <c r="G420" s="2835" t="s">
        <v>7010</v>
      </c>
      <c r="H420" s="2835" t="s">
        <v>9684</v>
      </c>
      <c r="I420" s="2835" t="n">
        <v>0.0</v>
      </c>
      <c r="J420" s="2835"/>
      <c r="K420" s="2835"/>
      <c r="L420" s="2835"/>
      <c r="M420" s="2835"/>
      <c r="N420" s="2835"/>
    </row>
    <row r="421" spans="1:14" x14ac:dyDescent="0.15" ht="13.5" customHeight="true" hidden="false">
      <c r="A421" s="2835"/>
      <c r="B421" s="2835"/>
      <c r="C421" s="2835"/>
      <c r="D421" s="2835" t="s">
        <v>6953</v>
      </c>
      <c r="E421" s="2835" t="s">
        <v>9682</v>
      </c>
      <c r="F421" s="2835" t="n">
        <v>0.0</v>
      </c>
      <c r="G421" s="2835" t="s">
        <v>7010</v>
      </c>
      <c r="H421" s="2835" t="s">
        <v>9685</v>
      </c>
      <c r="I421" s="2835" t="n">
        <v>0.0</v>
      </c>
      <c r="J421" s="2835"/>
      <c r="K421" s="2835"/>
      <c r="L421" s="2835"/>
      <c r="M421" s="2835"/>
      <c r="N421" s="2835"/>
    </row>
    <row r="422" spans="1:14" x14ac:dyDescent="0.15" ht="13.5" customHeight="true" hidden="false">
      <c r="A422" s="2835"/>
      <c r="B422" s="2835"/>
      <c r="C422" s="2835"/>
      <c r="D422" s="2835" t="s">
        <v>6955</v>
      </c>
      <c r="E422" s="2835" t="s">
        <v>9618</v>
      </c>
      <c r="F422" s="2835" t="n">
        <v>0.0</v>
      </c>
      <c r="G422" s="2835" t="s">
        <v>7010</v>
      </c>
      <c r="H422" s="2835" t="s">
        <v>9686</v>
      </c>
      <c r="I422" s="2835" t="n">
        <v>0.0</v>
      </c>
      <c r="J422" s="2835"/>
      <c r="K422" s="2835"/>
      <c r="L422" s="2835"/>
      <c r="M422" s="2835"/>
      <c r="N422" s="2835"/>
    </row>
    <row r="423" spans="1:14" x14ac:dyDescent="0.15" ht="13.5" customHeight="true" hidden="false">
      <c r="A423" s="2835"/>
      <c r="B423" s="2835"/>
      <c r="C423" s="2835"/>
      <c r="D423" s="2835" t="s">
        <v>6955</v>
      </c>
      <c r="E423" s="2835" t="s">
        <v>9619</v>
      </c>
      <c r="F423" s="2835" t="n">
        <v>0.0</v>
      </c>
      <c r="G423" s="2835" t="s">
        <v>7010</v>
      </c>
      <c r="H423" s="2835" t="s">
        <v>9687</v>
      </c>
      <c r="I423" s="2835" t="n">
        <v>0.0</v>
      </c>
      <c r="J423" s="2835"/>
      <c r="K423" s="2835"/>
      <c r="L423" s="2835"/>
      <c r="M423" s="2835"/>
      <c r="N423" s="2835"/>
    </row>
    <row r="424" spans="1:14" x14ac:dyDescent="0.15" ht="13.5" customHeight="true" hidden="false">
      <c r="A424" s="2835"/>
      <c r="B424" s="2835"/>
      <c r="C424" s="2835"/>
      <c r="D424" s="2835" t="s">
        <v>6955</v>
      </c>
      <c r="E424" s="2835" t="s">
        <v>9620</v>
      </c>
      <c r="F424" s="2835" t="n">
        <v>0.0</v>
      </c>
      <c r="G424" s="2835" t="s">
        <v>7010</v>
      </c>
      <c r="H424" s="2835" t="s">
        <v>9688</v>
      </c>
      <c r="I424" s="2835" t="n">
        <v>0.0</v>
      </c>
      <c r="J424" s="2835"/>
      <c r="K424" s="2835"/>
      <c r="L424" s="2835"/>
      <c r="M424" s="2835"/>
      <c r="N424" s="2835"/>
    </row>
    <row r="425" spans="1:14" x14ac:dyDescent="0.15" ht="13.5" customHeight="true" hidden="false">
      <c r="A425" s="2835"/>
      <c r="B425" s="2835"/>
      <c r="C425" s="2835"/>
      <c r="D425" s="2835" t="s">
        <v>6955</v>
      </c>
      <c r="E425" s="2835" t="s">
        <v>9621</v>
      </c>
      <c r="F425" s="2835" t="n">
        <v>0.0</v>
      </c>
      <c r="G425" s="2835" t="s">
        <v>7010</v>
      </c>
      <c r="H425" s="2835" t="s">
        <v>9689</v>
      </c>
      <c r="I425" s="2835" t="n">
        <v>0.0</v>
      </c>
      <c r="J425" s="2835"/>
      <c r="K425" s="2835"/>
      <c r="L425" s="2835"/>
      <c r="M425" s="2835"/>
      <c r="N425" s="2835"/>
    </row>
    <row r="426" spans="1:14" x14ac:dyDescent="0.15" ht="13.5" customHeight="true" hidden="false">
      <c r="A426" s="2835"/>
      <c r="B426" s="2835"/>
      <c r="C426" s="2835"/>
      <c r="D426" s="2835" t="s">
        <v>6955</v>
      </c>
      <c r="E426" s="2835" t="s">
        <v>9622</v>
      </c>
      <c r="F426" s="2835" t="n">
        <v>794.7</v>
      </c>
      <c r="G426" s="2835" t="s">
        <v>7010</v>
      </c>
      <c r="H426" s="2835" t="s">
        <v>9690</v>
      </c>
      <c r="I426" s="2835" t="n">
        <v>0.0</v>
      </c>
      <c r="J426" s="2835"/>
      <c r="K426" s="2835"/>
      <c r="L426" s="2835"/>
      <c r="M426" s="2835"/>
      <c r="N426" s="2835"/>
    </row>
    <row r="427" spans="1:14" x14ac:dyDescent="0.15" ht="13.5" customHeight="true" hidden="false">
      <c r="A427" s="2835"/>
      <c r="B427" s="2835"/>
      <c r="C427" s="2835"/>
      <c r="D427" s="2835" t="s">
        <v>6955</v>
      </c>
      <c r="E427" s="2835" t="s">
        <v>9623</v>
      </c>
      <c r="F427" s="2835" t="n">
        <v>277.7</v>
      </c>
      <c r="G427" s="2835" t="s">
        <v>7010</v>
      </c>
      <c r="H427" s="2835" t="s">
        <v>9691</v>
      </c>
      <c r="I427" s="2835" t="n">
        <v>0.0</v>
      </c>
      <c r="J427" s="2835"/>
      <c r="K427" s="2835"/>
      <c r="L427" s="2835"/>
      <c r="M427" s="2835"/>
      <c r="N427" s="2835"/>
    </row>
    <row r="428" spans="1:14" x14ac:dyDescent="0.15" ht="13.5" customHeight="true" hidden="false">
      <c r="A428" s="2835"/>
      <c r="B428" s="2835"/>
      <c r="C428" s="2835"/>
      <c r="D428" s="2835" t="s">
        <v>6955</v>
      </c>
      <c r="E428" s="2835" t="s">
        <v>9624</v>
      </c>
      <c r="F428" s="2835" t="n">
        <v>304.9</v>
      </c>
      <c r="G428" s="2835" t="s">
        <v>7010</v>
      </c>
      <c r="H428" s="2835" t="s">
        <v>9692</v>
      </c>
      <c r="I428" s="2835" t="n">
        <v>0.0</v>
      </c>
      <c r="J428" s="2835"/>
      <c r="K428" s="2835"/>
      <c r="L428" s="2835"/>
      <c r="M428" s="2835"/>
      <c r="N428" s="2835"/>
    </row>
    <row r="429" spans="1:14" x14ac:dyDescent="0.15" ht="13.5" customHeight="true" hidden="false">
      <c r="A429" s="2835"/>
      <c r="B429" s="2835"/>
      <c r="C429" s="2835"/>
      <c r="D429" s="2835" t="s">
        <v>6955</v>
      </c>
      <c r="E429" s="2835" t="s">
        <v>9625</v>
      </c>
      <c r="F429" s="2835" t="n">
        <v>0.0</v>
      </c>
      <c r="G429" s="2835" t="s">
        <v>7010</v>
      </c>
      <c r="H429" s="2835" t="s">
        <v>9693</v>
      </c>
      <c r="I429" s="2835" t="n">
        <v>0.0</v>
      </c>
      <c r="J429" s="2835"/>
      <c r="K429" s="2835"/>
      <c r="L429" s="2835"/>
      <c r="M429" s="2835"/>
      <c r="N429" s="2835"/>
    </row>
    <row r="430" spans="1:14" x14ac:dyDescent="0.15" ht="13.5" customHeight="true" hidden="false">
      <c r="A430" s="2835"/>
      <c r="B430" s="2835"/>
      <c r="C430" s="2835"/>
      <c r="D430" s="2835" t="s">
        <v>6955</v>
      </c>
      <c r="E430" s="2835" t="s">
        <v>9626</v>
      </c>
      <c r="F430" s="2835" t="n">
        <v>800.3</v>
      </c>
      <c r="G430" s="2835" t="s">
        <v>7010</v>
      </c>
      <c r="H430" s="2835" t="s">
        <v>9694</v>
      </c>
      <c r="I430" s="2835" t="n">
        <v>0.0</v>
      </c>
      <c r="J430" s="2835"/>
      <c r="K430" s="2835"/>
      <c r="L430" s="2835"/>
      <c r="M430" s="2835"/>
      <c r="N430" s="2835"/>
    </row>
    <row r="431" spans="1:14" x14ac:dyDescent="0.15" ht="13.5" customHeight="true" hidden="false">
      <c r="A431" s="2835"/>
      <c r="B431" s="2835"/>
      <c r="C431" s="2835"/>
      <c r="D431" s="2835" t="s">
        <v>6955</v>
      </c>
      <c r="E431" s="2835" t="s">
        <v>9627</v>
      </c>
      <c r="F431" s="2835" t="n">
        <v>0.0</v>
      </c>
      <c r="G431" s="2835" t="s">
        <v>7010</v>
      </c>
      <c r="H431" s="2835" t="s">
        <v>9695</v>
      </c>
      <c r="I431" s="2835" t="n">
        <v>0.0</v>
      </c>
      <c r="J431" s="2835"/>
      <c r="K431" s="2835"/>
      <c r="L431" s="2835"/>
      <c r="M431" s="2835"/>
      <c r="N431" s="2835"/>
    </row>
    <row r="432" spans="1:14" x14ac:dyDescent="0.15" ht="13.5" customHeight="true" hidden="false">
      <c r="A432" s="2835"/>
      <c r="B432" s="2835"/>
      <c r="C432" s="2835"/>
      <c r="D432" s="2835" t="s">
        <v>6955</v>
      </c>
      <c r="E432" s="2835" t="s">
        <v>9628</v>
      </c>
      <c r="F432" s="2835" t="n">
        <v>356.3</v>
      </c>
      <c r="G432" s="2835" t="s">
        <v>7010</v>
      </c>
      <c r="H432" s="2835" t="s">
        <v>9696</v>
      </c>
      <c r="I432" s="2835" t="n">
        <v>0.0</v>
      </c>
      <c r="J432" s="2835"/>
      <c r="K432" s="2835"/>
      <c r="L432" s="2835"/>
      <c r="M432" s="2835"/>
      <c r="N432" s="2835"/>
    </row>
    <row r="433" spans="1:14" x14ac:dyDescent="0.15" ht="13.5" customHeight="true" hidden="false">
      <c r="A433" s="2835"/>
      <c r="B433" s="2835"/>
      <c r="C433" s="2835"/>
      <c r="D433" s="2835" t="s">
        <v>6955</v>
      </c>
      <c r="E433" s="2835" t="s">
        <v>9629</v>
      </c>
      <c r="F433" s="2835" t="n">
        <v>771.1</v>
      </c>
      <c r="G433" s="2835" t="s">
        <v>7010</v>
      </c>
      <c r="H433" s="2835" t="s">
        <v>9697</v>
      </c>
      <c r="I433" s="2835" t="n">
        <v>0.0</v>
      </c>
      <c r="J433" s="2835"/>
      <c r="K433" s="2835"/>
      <c r="L433" s="2835"/>
      <c r="M433" s="2835"/>
      <c r="N433" s="2835"/>
    </row>
    <row r="434" spans="1:14" x14ac:dyDescent="0.15" ht="13.5" customHeight="true" hidden="false">
      <c r="A434" s="2835"/>
      <c r="B434" s="2835"/>
      <c r="C434" s="2835"/>
      <c r="D434" s="2835" t="s">
        <v>6955</v>
      </c>
      <c r="E434" s="2835" t="s">
        <v>9633</v>
      </c>
      <c r="F434" s="2835" t="n">
        <v>304.9</v>
      </c>
      <c r="G434" s="2835" t="s">
        <v>7010</v>
      </c>
      <c r="H434" s="2835" t="s">
        <v>9698</v>
      </c>
      <c r="I434" s="2835" t="n">
        <v>0.0</v>
      </c>
      <c r="J434" s="2835"/>
      <c r="K434" s="2835"/>
      <c r="L434" s="2835"/>
      <c r="M434" s="2835"/>
      <c r="N434" s="2835"/>
    </row>
    <row r="435" spans="1:14" x14ac:dyDescent="0.15" ht="13.5" customHeight="true" hidden="false">
      <c r="A435" s="2835"/>
      <c r="B435" s="2835"/>
      <c r="C435" s="2835"/>
      <c r="D435" s="2835" t="s">
        <v>6955</v>
      </c>
      <c r="E435" s="2835" t="s">
        <v>9634</v>
      </c>
      <c r="F435" s="2835" t="n">
        <v>392.2</v>
      </c>
      <c r="G435" s="2835" t="s">
        <v>7010</v>
      </c>
      <c r="H435" s="2835" t="s">
        <v>9699</v>
      </c>
      <c r="I435" s="2835" t="n">
        <v>0.0</v>
      </c>
      <c r="J435" s="2835"/>
      <c r="K435" s="2835"/>
      <c r="L435" s="2835"/>
      <c r="M435" s="2835"/>
      <c r="N435" s="2835"/>
    </row>
    <row r="436" spans="1:14" x14ac:dyDescent="0.15" ht="13.5" customHeight="true" hidden="false">
      <c r="A436" s="2835"/>
      <c r="B436" s="2835"/>
      <c r="C436" s="2835"/>
      <c r="D436" s="2835" t="s">
        <v>6955</v>
      </c>
      <c r="E436" s="2835" t="s">
        <v>9635</v>
      </c>
      <c r="F436" s="2835" t="n">
        <v>0.0</v>
      </c>
      <c r="G436" s="2835" t="s">
        <v>7010</v>
      </c>
      <c r="H436" s="2835" t="s">
        <v>9700</v>
      </c>
      <c r="I436" s="2835" t="n">
        <v>0.0</v>
      </c>
      <c r="J436" s="2835"/>
      <c r="K436" s="2835"/>
      <c r="L436" s="2835"/>
      <c r="M436" s="2835"/>
      <c r="N436" s="2835"/>
    </row>
    <row r="437" spans="1:14" x14ac:dyDescent="0.15" ht="13.5" customHeight="true" hidden="false">
      <c r="A437" s="2835"/>
      <c r="B437" s="2835"/>
      <c r="C437" s="2835"/>
      <c r="D437" s="2835" t="s">
        <v>6955</v>
      </c>
      <c r="E437" s="2835" t="s">
        <v>9636</v>
      </c>
      <c r="F437" s="2835" t="n">
        <v>0.0</v>
      </c>
      <c r="G437" s="2835" t="s">
        <v>6999</v>
      </c>
      <c r="H437" s="2835" t="s">
        <v>9618</v>
      </c>
      <c r="I437" s="2835" t="n">
        <v>0.0</v>
      </c>
      <c r="J437" s="2835"/>
      <c r="K437" s="2835"/>
      <c r="L437" s="2835"/>
      <c r="M437" s="2835"/>
      <c r="N437" s="2835"/>
    </row>
    <row r="438" spans="1:14" x14ac:dyDescent="0.15" ht="13.5" customHeight="true" hidden="false">
      <c r="A438" s="2835"/>
      <c r="B438" s="2835"/>
      <c r="C438" s="2835"/>
      <c r="D438" s="2835" t="s">
        <v>6955</v>
      </c>
      <c r="E438" s="2835" t="s">
        <v>9637</v>
      </c>
      <c r="F438" s="2835" t="n">
        <v>0.0</v>
      </c>
      <c r="G438" s="2835" t="s">
        <v>6999</v>
      </c>
      <c r="H438" s="2835" t="s">
        <v>9619</v>
      </c>
      <c r="I438" s="2835" t="n">
        <v>0.0</v>
      </c>
      <c r="J438" s="2835"/>
      <c r="K438" s="2835"/>
      <c r="L438" s="2835"/>
      <c r="M438" s="2835"/>
      <c r="N438" s="2835"/>
    </row>
    <row r="439" spans="1:14" x14ac:dyDescent="0.15" ht="13.5" customHeight="true" hidden="false">
      <c r="A439" s="2835"/>
      <c r="B439" s="2835"/>
      <c r="C439" s="2835"/>
      <c r="D439" s="2835" t="s">
        <v>6955</v>
      </c>
      <c r="E439" s="2835" t="s">
        <v>9638</v>
      </c>
      <c r="F439" s="2835" t="n">
        <v>440.6</v>
      </c>
      <c r="G439" s="2835" t="s">
        <v>6999</v>
      </c>
      <c r="H439" s="2835" t="s">
        <v>9620</v>
      </c>
      <c r="I439" s="2835" t="n">
        <v>0.0</v>
      </c>
      <c r="J439" s="2835"/>
      <c r="K439" s="2835"/>
      <c r="L439" s="2835"/>
      <c r="M439" s="2835"/>
      <c r="N439" s="2835"/>
    </row>
    <row r="440" spans="1:14" x14ac:dyDescent="0.15" ht="13.5" customHeight="true" hidden="false">
      <c r="A440" s="2835"/>
      <c r="B440" s="2835"/>
      <c r="C440" s="2835"/>
      <c r="D440" s="2835" t="s">
        <v>6955</v>
      </c>
      <c r="E440" s="2835" t="s">
        <v>9657</v>
      </c>
      <c r="F440" s="2835" t="n">
        <v>277.7</v>
      </c>
      <c r="G440" s="2835" t="s">
        <v>6999</v>
      </c>
      <c r="H440" s="2835" t="s">
        <v>9621</v>
      </c>
      <c r="I440" s="2835" t="n">
        <v>0.0</v>
      </c>
      <c r="J440" s="2835"/>
      <c r="K440" s="2835"/>
      <c r="L440" s="2835"/>
      <c r="M440" s="2835"/>
      <c r="N440" s="2835"/>
    </row>
    <row r="441" spans="1:14" x14ac:dyDescent="0.15" ht="13.5" customHeight="true" hidden="false">
      <c r="A441" s="2835"/>
      <c r="B441" s="2835"/>
      <c r="C441" s="2835"/>
      <c r="D441" s="2835" t="s">
        <v>6955</v>
      </c>
      <c r="E441" s="2835" t="s">
        <v>9659</v>
      </c>
      <c r="F441" s="2835" t="n">
        <v>336.5</v>
      </c>
      <c r="G441" s="2835" t="s">
        <v>6999</v>
      </c>
      <c r="H441" s="2835" t="s">
        <v>9622</v>
      </c>
      <c r="I441" s="2835" t="n">
        <v>0.0</v>
      </c>
      <c r="J441" s="2835"/>
      <c r="K441" s="2835"/>
      <c r="L441" s="2835"/>
      <c r="M441" s="2835"/>
      <c r="N441" s="2835"/>
    </row>
    <row r="442" spans="1:14" x14ac:dyDescent="0.15" ht="13.5" customHeight="true" hidden="false">
      <c r="A442" s="2835"/>
      <c r="B442" s="2835"/>
      <c r="C442" s="2835"/>
      <c r="D442" s="2835" t="s">
        <v>6955</v>
      </c>
      <c r="E442" s="2835" t="s">
        <v>9661</v>
      </c>
      <c r="F442" s="2835" t="n">
        <v>356.3</v>
      </c>
      <c r="G442" s="2835" t="s">
        <v>6999</v>
      </c>
      <c r="H442" s="2835" t="s">
        <v>9623</v>
      </c>
      <c r="I442" s="2835" t="n">
        <v>0.0</v>
      </c>
      <c r="J442" s="2835"/>
      <c r="K442" s="2835"/>
      <c r="L442" s="2835"/>
      <c r="M442" s="2835"/>
      <c r="N442" s="2835"/>
    </row>
    <row r="443" spans="1:14" x14ac:dyDescent="0.15" ht="13.5" customHeight="true" hidden="false">
      <c r="A443" s="2835"/>
      <c r="B443" s="2835"/>
      <c r="C443" s="2835"/>
      <c r="D443" s="2835" t="s">
        <v>6955</v>
      </c>
      <c r="E443" s="2835" t="s">
        <v>9663</v>
      </c>
      <c r="F443" s="2835" t="n">
        <v>0.0</v>
      </c>
      <c r="G443" s="2835" t="s">
        <v>6999</v>
      </c>
      <c r="H443" s="2835" t="s">
        <v>9624</v>
      </c>
      <c r="I443" s="2835" t="n">
        <v>0.0</v>
      </c>
      <c r="J443" s="2835"/>
      <c r="K443" s="2835"/>
      <c r="L443" s="2835"/>
      <c r="M443" s="2835"/>
      <c r="N443" s="2835"/>
    </row>
    <row r="444" spans="1:14" x14ac:dyDescent="0.15" ht="13.5" customHeight="true" hidden="false">
      <c r="A444" s="2835"/>
      <c r="B444" s="2835"/>
      <c r="C444" s="2835"/>
      <c r="D444" s="2835" t="s">
        <v>6955</v>
      </c>
      <c r="E444" s="2835" t="s">
        <v>9665</v>
      </c>
      <c r="F444" s="2835" t="n">
        <v>771.1</v>
      </c>
      <c r="G444" s="2835" t="s">
        <v>6999</v>
      </c>
      <c r="H444" s="2835" t="s">
        <v>9625</v>
      </c>
      <c r="I444" s="2835" t="n">
        <v>0.0</v>
      </c>
      <c r="J444" s="2835"/>
      <c r="K444" s="2835"/>
      <c r="L444" s="2835"/>
      <c r="M444" s="2835"/>
      <c r="N444" s="2835"/>
    </row>
    <row r="445" spans="1:14" x14ac:dyDescent="0.15" ht="13.5" customHeight="true" hidden="false">
      <c r="A445" s="2835"/>
      <c r="B445" s="2835"/>
      <c r="C445" s="2835"/>
      <c r="D445" s="2835" t="s">
        <v>6955</v>
      </c>
      <c r="E445" s="2835" t="s">
        <v>9667</v>
      </c>
      <c r="F445" s="2835" t="n">
        <v>0.0</v>
      </c>
      <c r="G445" s="2835" t="s">
        <v>6999</v>
      </c>
      <c r="H445" s="2835" t="s">
        <v>9626</v>
      </c>
      <c r="I445" s="2835" t="n">
        <v>0.0</v>
      </c>
      <c r="J445" s="2835"/>
      <c r="K445" s="2835"/>
      <c r="L445" s="2835"/>
      <c r="M445" s="2835"/>
      <c r="N445" s="2835"/>
    </row>
    <row r="446" spans="1:14" x14ac:dyDescent="0.15" ht="13.5" customHeight="true" hidden="false">
      <c r="A446" s="2835"/>
      <c r="B446" s="2835"/>
      <c r="C446" s="2835"/>
      <c r="D446" s="2835" t="s">
        <v>6955</v>
      </c>
      <c r="E446" s="2835" t="s">
        <v>9669</v>
      </c>
      <c r="F446" s="2835" t="n">
        <v>440.6</v>
      </c>
      <c r="G446" s="2835" t="s">
        <v>6999</v>
      </c>
      <c r="H446" s="2835" t="s">
        <v>9627</v>
      </c>
      <c r="I446" s="2835" t="n">
        <v>0.0</v>
      </c>
      <c r="J446" s="2835"/>
      <c r="K446" s="2835"/>
      <c r="L446" s="2835"/>
      <c r="M446" s="2835"/>
      <c r="N446" s="2835"/>
    </row>
    <row r="447" spans="1:14" x14ac:dyDescent="0.15" ht="13.5" customHeight="true" hidden="false">
      <c r="A447" s="2835"/>
      <c r="B447" s="2835"/>
      <c r="C447" s="2835"/>
      <c r="D447" s="2835" t="s">
        <v>6955</v>
      </c>
      <c r="E447" s="2835" t="s">
        <v>9671</v>
      </c>
      <c r="F447" s="2835" t="n">
        <v>851.4</v>
      </c>
      <c r="G447" s="2835" t="s">
        <v>6999</v>
      </c>
      <c r="H447" s="2835" t="s">
        <v>9628</v>
      </c>
      <c r="I447" s="2835" t="n">
        <v>0.0</v>
      </c>
      <c r="J447" s="2835"/>
      <c r="K447" s="2835"/>
      <c r="L447" s="2835"/>
      <c r="M447" s="2835"/>
      <c r="N447" s="2835"/>
    </row>
    <row r="448" spans="1:14" x14ac:dyDescent="0.15" ht="13.5" customHeight="true" hidden="false">
      <c r="A448" s="2835"/>
      <c r="B448" s="2835"/>
      <c r="C448" s="2835"/>
      <c r="D448" s="2835" t="s">
        <v>6955</v>
      </c>
      <c r="E448" s="2835" t="s">
        <v>9673</v>
      </c>
      <c r="F448" s="2835" t="n">
        <v>392.2</v>
      </c>
      <c r="G448" s="2835" t="s">
        <v>6999</v>
      </c>
      <c r="H448" s="2835" t="s">
        <v>9629</v>
      </c>
      <c r="I448" s="2835" t="n">
        <v>0.0</v>
      </c>
      <c r="J448" s="2835"/>
      <c r="K448" s="2835"/>
      <c r="L448" s="2835"/>
      <c r="M448" s="2835"/>
      <c r="N448" s="2835"/>
    </row>
    <row r="449" spans="1:14" x14ac:dyDescent="0.15" ht="13.5" customHeight="true" hidden="false">
      <c r="A449" s="2835"/>
      <c r="B449" s="2835"/>
      <c r="C449" s="2835"/>
      <c r="D449" s="2835" t="s">
        <v>6955</v>
      </c>
      <c r="E449" s="2835" t="s">
        <v>9674</v>
      </c>
      <c r="F449" s="2835" t="n">
        <v>867.7</v>
      </c>
      <c r="G449" s="2835" t="s">
        <v>6999</v>
      </c>
      <c r="H449" s="2835" t="s">
        <v>9633</v>
      </c>
      <c r="I449" s="2835" t="n">
        <v>0.0</v>
      </c>
      <c r="J449" s="2835"/>
      <c r="K449" s="2835"/>
      <c r="L449" s="2835"/>
      <c r="M449" s="2835"/>
      <c r="N449" s="2835"/>
    </row>
    <row r="450" spans="1:14" x14ac:dyDescent="0.15" ht="13.5" customHeight="true" hidden="false">
      <c r="A450" s="2835"/>
      <c r="B450" s="2835"/>
      <c r="C450" s="2835"/>
      <c r="D450" s="2835" t="s">
        <v>6955</v>
      </c>
      <c r="E450" s="2835" t="s">
        <v>9675</v>
      </c>
      <c r="F450" s="2835" t="n">
        <v>851.4</v>
      </c>
      <c r="G450" s="2835" t="s">
        <v>6999</v>
      </c>
      <c r="H450" s="2835" t="s">
        <v>9634</v>
      </c>
      <c r="I450" s="2835" t="n">
        <v>0.0</v>
      </c>
      <c r="J450" s="2835"/>
      <c r="K450" s="2835"/>
      <c r="L450" s="2835"/>
      <c r="M450" s="2835"/>
      <c r="N450" s="2835"/>
    </row>
    <row r="451" spans="1:14" x14ac:dyDescent="0.15" ht="13.5" customHeight="true" hidden="false">
      <c r="A451" s="2835"/>
      <c r="B451" s="2835"/>
      <c r="C451" s="2835"/>
      <c r="D451" s="2835" t="s">
        <v>6955</v>
      </c>
      <c r="E451" s="2835" t="s">
        <v>9676</v>
      </c>
      <c r="F451" s="2835" t="n">
        <v>867.7</v>
      </c>
      <c r="G451" s="2835" t="s">
        <v>6999</v>
      </c>
      <c r="H451" s="2835" t="s">
        <v>9635</v>
      </c>
      <c r="I451" s="2835" t="n">
        <v>0.0</v>
      </c>
      <c r="J451" s="2835"/>
      <c r="K451" s="2835"/>
      <c r="L451" s="2835"/>
      <c r="M451" s="2835"/>
      <c r="N451" s="2835"/>
    </row>
    <row r="452" spans="1:14" x14ac:dyDescent="0.15" ht="13.5" customHeight="true" hidden="false">
      <c r="A452" s="2835"/>
      <c r="B452" s="2835"/>
      <c r="C452" s="2835"/>
      <c r="D452" s="2835" t="s">
        <v>6955</v>
      </c>
      <c r="E452" s="2835" t="s">
        <v>9677</v>
      </c>
      <c r="F452" s="2835" t="n">
        <v>0.0</v>
      </c>
      <c r="G452" s="2835" t="s">
        <v>6999</v>
      </c>
      <c r="H452" s="2835" t="s">
        <v>9636</v>
      </c>
      <c r="I452" s="2835" t="n">
        <v>0.0</v>
      </c>
      <c r="J452" s="2835"/>
      <c r="K452" s="2835"/>
      <c r="L452" s="2835"/>
      <c r="M452" s="2835"/>
      <c r="N452" s="2835"/>
    </row>
    <row r="453" spans="1:14" x14ac:dyDescent="0.15" ht="13.5" customHeight="true" hidden="false">
      <c r="A453" s="2835"/>
      <c r="B453" s="2835"/>
      <c r="C453" s="2835"/>
      <c r="D453" s="2835" t="s">
        <v>6955</v>
      </c>
      <c r="E453" s="2835" t="s">
        <v>9678</v>
      </c>
      <c r="F453" s="2835" t="n">
        <v>0.0</v>
      </c>
      <c r="G453" s="2835" t="s">
        <v>6999</v>
      </c>
      <c r="H453" s="2835" t="s">
        <v>9637</v>
      </c>
      <c r="I453" s="2835" t="n">
        <v>0.0</v>
      </c>
      <c r="J453" s="2835"/>
      <c r="K453" s="2835"/>
      <c r="L453" s="2835"/>
      <c r="M453" s="2835"/>
      <c r="N453" s="2835"/>
    </row>
    <row r="454" spans="1:14" x14ac:dyDescent="0.15" ht="13.5" customHeight="true" hidden="false">
      <c r="A454" s="2835"/>
      <c r="B454" s="2835"/>
      <c r="C454" s="2835"/>
      <c r="D454" s="2835" t="s">
        <v>6958</v>
      </c>
      <c r="E454" s="2835" t="s">
        <v>9618</v>
      </c>
      <c r="F454" s="2835" t="n">
        <v>0.0</v>
      </c>
      <c r="G454" s="2835" t="s">
        <v>6999</v>
      </c>
      <c r="H454" s="2835" t="s">
        <v>9638</v>
      </c>
      <c r="I454" s="2835" t="n">
        <v>0.0</v>
      </c>
      <c r="J454" s="2835"/>
      <c r="K454" s="2835"/>
      <c r="L454" s="2835"/>
      <c r="M454" s="2835"/>
      <c r="N454" s="2835"/>
    </row>
    <row r="455" spans="1:14" x14ac:dyDescent="0.15" ht="13.5" customHeight="true" hidden="false">
      <c r="A455" s="2835"/>
      <c r="B455" s="2835"/>
      <c r="C455" s="2835"/>
      <c r="D455" s="2835" t="s">
        <v>6958</v>
      </c>
      <c r="E455" s="2835" t="s">
        <v>9619</v>
      </c>
      <c r="F455" s="2835" t="n">
        <v>0.0</v>
      </c>
      <c r="G455" s="2835" t="s">
        <v>6999</v>
      </c>
      <c r="H455" s="2835" t="s">
        <v>9657</v>
      </c>
      <c r="I455" s="2835" t="n">
        <v>0.0</v>
      </c>
      <c r="J455" s="2835"/>
      <c r="K455" s="2835"/>
      <c r="L455" s="2835"/>
      <c r="M455" s="2835"/>
      <c r="N455" s="2835"/>
    </row>
    <row r="456" spans="1:14" x14ac:dyDescent="0.15" ht="13.5" customHeight="true" hidden="false">
      <c r="A456" s="2835"/>
      <c r="B456" s="2835"/>
      <c r="C456" s="2835"/>
      <c r="D456" s="2835" t="s">
        <v>6958</v>
      </c>
      <c r="E456" s="2835" t="s">
        <v>9620</v>
      </c>
      <c r="F456" s="2835" t="n">
        <v>0.0</v>
      </c>
      <c r="G456" s="2835" t="s">
        <v>6999</v>
      </c>
      <c r="H456" s="2835" t="s">
        <v>9659</v>
      </c>
      <c r="I456" s="2835" t="n">
        <v>0.0</v>
      </c>
      <c r="J456" s="2835"/>
      <c r="K456" s="2835"/>
      <c r="L456" s="2835"/>
      <c r="M456" s="2835"/>
      <c r="N456" s="2835"/>
    </row>
    <row r="457" spans="1:14" x14ac:dyDescent="0.15" ht="13.5" customHeight="true" hidden="false">
      <c r="A457" s="2835"/>
      <c r="B457" s="2835"/>
      <c r="C457" s="2835"/>
      <c r="D457" s="2835" t="s">
        <v>6958</v>
      </c>
      <c r="E457" s="2835" t="s">
        <v>9621</v>
      </c>
      <c r="F457" s="2835" t="n">
        <v>250.6</v>
      </c>
      <c r="G457" s="2835" t="s">
        <v>6999</v>
      </c>
      <c r="H457" s="2835" t="s">
        <v>9661</v>
      </c>
      <c r="I457" s="2835" t="n">
        <v>0.0</v>
      </c>
      <c r="J457" s="2835"/>
      <c r="K457" s="2835"/>
      <c r="L457" s="2835"/>
      <c r="M457" s="2835"/>
      <c r="N457" s="2835"/>
    </row>
    <row r="458" spans="1:14" x14ac:dyDescent="0.15" ht="13.5" customHeight="true" hidden="false">
      <c r="A458" s="2835"/>
      <c r="B458" s="2835"/>
      <c r="C458" s="2835"/>
      <c r="D458" s="2835" t="s">
        <v>6958</v>
      </c>
      <c r="E458" s="2835" t="s">
        <v>9622</v>
      </c>
      <c r="F458" s="2835" t="n">
        <v>457.7</v>
      </c>
      <c r="G458" s="2835" t="s">
        <v>6999</v>
      </c>
      <c r="H458" s="2835" t="s">
        <v>9663</v>
      </c>
      <c r="I458" s="2835" t="n">
        <v>0.0</v>
      </c>
      <c r="J458" s="2835"/>
      <c r="K458" s="2835"/>
      <c r="L458" s="2835"/>
      <c r="M458" s="2835"/>
      <c r="N458" s="2835"/>
    </row>
    <row r="459" spans="1:14" x14ac:dyDescent="0.15" ht="13.5" customHeight="true" hidden="false">
      <c r="A459" s="2835"/>
      <c r="B459" s="2835"/>
      <c r="C459" s="2835"/>
      <c r="D459" s="2835" t="s">
        <v>6958</v>
      </c>
      <c r="E459" s="2835" t="s">
        <v>9623</v>
      </c>
      <c r="F459" s="2835" t="n">
        <v>0.0</v>
      </c>
      <c r="G459" s="2835" t="s">
        <v>6999</v>
      </c>
      <c r="H459" s="2835" t="s">
        <v>9665</v>
      </c>
      <c r="I459" s="2835" t="n">
        <v>0.0</v>
      </c>
      <c r="J459" s="2835"/>
      <c r="K459" s="2835"/>
      <c r="L459" s="2835"/>
      <c r="M459" s="2835"/>
      <c r="N459" s="2835"/>
    </row>
    <row r="460" spans="1:14" x14ac:dyDescent="0.15" ht="13.5" customHeight="true" hidden="false">
      <c r="A460" s="2835"/>
      <c r="B460" s="2835"/>
      <c r="C460" s="2835"/>
      <c r="D460" s="2835" t="s">
        <v>6958</v>
      </c>
      <c r="E460" s="2835" t="s">
        <v>9624</v>
      </c>
      <c r="F460" s="2835" t="n">
        <v>0.0</v>
      </c>
      <c r="G460" s="2835" t="s">
        <v>6999</v>
      </c>
      <c r="H460" s="2835" t="s">
        <v>9667</v>
      </c>
      <c r="I460" s="2835" t="n">
        <v>0.0</v>
      </c>
      <c r="J460" s="2835"/>
      <c r="K460" s="2835"/>
      <c r="L460" s="2835"/>
      <c r="M460" s="2835"/>
      <c r="N460" s="2835"/>
    </row>
    <row r="461" spans="1:14" x14ac:dyDescent="0.15" ht="13.5" customHeight="true" hidden="false">
      <c r="A461" s="2835"/>
      <c r="B461" s="2835"/>
      <c r="C461" s="2835"/>
      <c r="D461" s="2835" t="s">
        <v>6958</v>
      </c>
      <c r="E461" s="2835" t="s">
        <v>9625</v>
      </c>
      <c r="F461" s="2835" t="n">
        <v>0.0</v>
      </c>
      <c r="G461" s="2835" t="s">
        <v>6999</v>
      </c>
      <c r="H461" s="2835" t="s">
        <v>9669</v>
      </c>
      <c r="I461" s="2835" t="n">
        <v>0.0</v>
      </c>
      <c r="J461" s="2835"/>
      <c r="K461" s="2835"/>
      <c r="L461" s="2835"/>
      <c r="M461" s="2835"/>
      <c r="N461" s="2835"/>
    </row>
    <row r="462" spans="1:14" x14ac:dyDescent="0.15" ht="13.5" customHeight="true" hidden="false">
      <c r="A462" s="2835"/>
      <c r="B462" s="2835"/>
      <c r="C462" s="2835"/>
      <c r="D462" s="2835" t="s">
        <v>6958</v>
      </c>
      <c r="E462" s="2835" t="s">
        <v>9626</v>
      </c>
      <c r="F462" s="2835" t="n">
        <v>457.7</v>
      </c>
      <c r="G462" s="2835" t="s">
        <v>6999</v>
      </c>
      <c r="H462" s="2835" t="s">
        <v>9671</v>
      </c>
      <c r="I462" s="2835" t="n">
        <v>0.0</v>
      </c>
      <c r="J462" s="2835"/>
      <c r="K462" s="2835"/>
      <c r="L462" s="2835"/>
      <c r="M462" s="2835"/>
      <c r="N462" s="2835"/>
    </row>
    <row r="463" spans="1:14" x14ac:dyDescent="0.15" ht="13.5" customHeight="true" hidden="false">
      <c r="A463" s="2835"/>
      <c r="B463" s="2835"/>
      <c r="C463" s="2835"/>
      <c r="D463" s="2835" t="s">
        <v>6958</v>
      </c>
      <c r="E463" s="2835" t="s">
        <v>9627</v>
      </c>
      <c r="F463" s="2835" t="n">
        <v>386.9</v>
      </c>
      <c r="G463" s="2835" t="s">
        <v>6999</v>
      </c>
      <c r="H463" s="2835" t="s">
        <v>9673</v>
      </c>
      <c r="I463" s="2835" t="n">
        <v>0.0</v>
      </c>
      <c r="J463" s="2835"/>
      <c r="K463" s="2835"/>
      <c r="L463" s="2835"/>
      <c r="M463" s="2835"/>
      <c r="N463" s="2835"/>
    </row>
    <row r="464" spans="1:14" x14ac:dyDescent="0.15" ht="13.5" customHeight="true" hidden="false">
      <c r="A464" s="2835"/>
      <c r="B464" s="2835"/>
      <c r="C464" s="2835"/>
      <c r="D464" s="2835" t="s">
        <v>6958</v>
      </c>
      <c r="E464" s="2835" t="s">
        <v>9628</v>
      </c>
      <c r="F464" s="2835" t="n">
        <v>698.5</v>
      </c>
      <c r="G464" s="2835" t="s">
        <v>6999</v>
      </c>
      <c r="H464" s="2835" t="s">
        <v>9674</v>
      </c>
      <c r="I464" s="2835" t="n">
        <v>0.0</v>
      </c>
      <c r="J464" s="2835"/>
      <c r="K464" s="2835"/>
      <c r="L464" s="2835"/>
      <c r="M464" s="2835"/>
      <c r="N464" s="2835"/>
    </row>
    <row r="465" spans="1:14" x14ac:dyDescent="0.15" ht="13.5" customHeight="true" hidden="false">
      <c r="A465" s="2835"/>
      <c r="B465" s="2835"/>
      <c r="C465" s="2835"/>
      <c r="D465" s="2835" t="s">
        <v>6958</v>
      </c>
      <c r="E465" s="2835" t="s">
        <v>9629</v>
      </c>
      <c r="F465" s="2835" t="n">
        <v>0.0</v>
      </c>
      <c r="G465" s="2835" t="s">
        <v>6999</v>
      </c>
      <c r="H465" s="2835" t="s">
        <v>9675</v>
      </c>
      <c r="I465" s="2835" t="n">
        <v>0.0</v>
      </c>
      <c r="J465" s="2835"/>
      <c r="K465" s="2835"/>
      <c r="L465" s="2835"/>
      <c r="M465" s="2835"/>
      <c r="N465" s="2835"/>
    </row>
    <row r="466" spans="1:14" x14ac:dyDescent="0.15" ht="13.5" customHeight="true" hidden="false">
      <c r="A466" s="2835"/>
      <c r="B466" s="2835"/>
      <c r="C466" s="2835"/>
      <c r="D466" s="2835" t="s">
        <v>6958</v>
      </c>
      <c r="E466" s="2835" t="s">
        <v>9633</v>
      </c>
      <c r="F466" s="2835" t="n">
        <v>501.7</v>
      </c>
      <c r="G466" s="2835" t="s">
        <v>6999</v>
      </c>
      <c r="H466" s="2835" t="s">
        <v>9676</v>
      </c>
      <c r="I466" s="2835" t="n">
        <v>0.0</v>
      </c>
      <c r="J466" s="2835"/>
      <c r="K466" s="2835"/>
      <c r="L466" s="2835"/>
      <c r="M466" s="2835"/>
      <c r="N466" s="2835"/>
    </row>
    <row r="467" spans="1:14" x14ac:dyDescent="0.15" ht="13.5" customHeight="true" hidden="false">
      <c r="A467" s="2835"/>
      <c r="B467" s="2835"/>
      <c r="C467" s="2835"/>
      <c r="D467" s="2835" t="s">
        <v>6958</v>
      </c>
      <c r="E467" s="2835" t="s">
        <v>9634</v>
      </c>
      <c r="F467" s="2835" t="n">
        <v>0.0</v>
      </c>
      <c r="G467" s="2835" t="s">
        <v>6999</v>
      </c>
      <c r="H467" s="2835" t="s">
        <v>9677</v>
      </c>
      <c r="I467" s="2835" t="n">
        <v>0.0</v>
      </c>
      <c r="J467" s="2835"/>
      <c r="K467" s="2835"/>
      <c r="L467" s="2835"/>
      <c r="M467" s="2835"/>
      <c r="N467" s="2835"/>
    </row>
    <row r="468" spans="1:14" x14ac:dyDescent="0.15" ht="13.5" customHeight="true" hidden="false">
      <c r="A468" s="2835"/>
      <c r="B468" s="2835"/>
      <c r="C468" s="2835"/>
      <c r="D468" s="2835" t="s">
        <v>6958</v>
      </c>
      <c r="E468" s="2835" t="s">
        <v>9635</v>
      </c>
      <c r="F468" s="2835" t="n">
        <v>0.0</v>
      </c>
      <c r="G468" s="2835" t="s">
        <v>6999</v>
      </c>
      <c r="H468" s="2835" t="s">
        <v>9678</v>
      </c>
      <c r="I468" s="2835" t="n">
        <v>0.0</v>
      </c>
      <c r="J468" s="2835"/>
      <c r="K468" s="2835"/>
      <c r="L468" s="2835"/>
      <c r="M468" s="2835"/>
      <c r="N468" s="2835"/>
    </row>
    <row r="469" spans="1:14" x14ac:dyDescent="0.15" ht="13.5" customHeight="true" hidden="false">
      <c r="A469" s="2835"/>
      <c r="B469" s="2835"/>
      <c r="C469" s="2835"/>
      <c r="D469" s="2835" t="s">
        <v>6958</v>
      </c>
      <c r="E469" s="2835" t="s">
        <v>9636</v>
      </c>
      <c r="F469" s="2835" t="n">
        <v>957.0</v>
      </c>
      <c r="G469" s="2835" t="s">
        <v>6999</v>
      </c>
      <c r="H469" s="2835" t="s">
        <v>9679</v>
      </c>
      <c r="I469" s="2835" t="n">
        <v>0.0</v>
      </c>
      <c r="J469" s="2835"/>
      <c r="K469" s="2835"/>
      <c r="L469" s="2835"/>
      <c r="M469" s="2835"/>
      <c r="N469" s="2835"/>
    </row>
    <row r="470" spans="1:14" x14ac:dyDescent="0.15" ht="13.5" customHeight="true" hidden="false">
      <c r="A470" s="2835"/>
      <c r="B470" s="2835"/>
      <c r="C470" s="2835"/>
      <c r="D470" s="2835" t="s">
        <v>6958</v>
      </c>
      <c r="E470" s="2835" t="s">
        <v>9637</v>
      </c>
      <c r="F470" s="2835" t="n">
        <v>0.0</v>
      </c>
      <c r="G470" s="2835" t="s">
        <v>6999</v>
      </c>
      <c r="H470" s="2835" t="s">
        <v>9680</v>
      </c>
      <c r="I470" s="2835" t="n">
        <v>0.0</v>
      </c>
      <c r="J470" s="2835"/>
      <c r="K470" s="2835"/>
      <c r="L470" s="2835"/>
      <c r="M470" s="2835"/>
      <c r="N470" s="2835"/>
    </row>
    <row r="471" spans="1:14" x14ac:dyDescent="0.15" ht="13.5" customHeight="true" hidden="false">
      <c r="A471" s="2835"/>
      <c r="B471" s="2835"/>
      <c r="C471" s="2835"/>
      <c r="D471" s="2835" t="s">
        <v>6958</v>
      </c>
      <c r="E471" s="2835" t="s">
        <v>9638</v>
      </c>
      <c r="F471" s="2835" t="n">
        <v>479.5</v>
      </c>
      <c r="G471" s="2835" t="s">
        <v>6999</v>
      </c>
      <c r="H471" s="2835" t="s">
        <v>9681</v>
      </c>
      <c r="I471" s="2835" t="n">
        <v>0.0</v>
      </c>
      <c r="J471" s="2835"/>
      <c r="K471" s="2835"/>
      <c r="L471" s="2835"/>
      <c r="M471" s="2835"/>
      <c r="N471" s="2835"/>
    </row>
    <row r="472" spans="1:14" x14ac:dyDescent="0.15" ht="13.5" customHeight="true" hidden="false">
      <c r="A472" s="2835"/>
      <c r="B472" s="2835"/>
      <c r="C472" s="2835"/>
      <c r="D472" s="2835" t="s">
        <v>6958</v>
      </c>
      <c r="E472" s="2835" t="s">
        <v>9657</v>
      </c>
      <c r="F472" s="2835" t="n">
        <v>386.9</v>
      </c>
      <c r="G472" s="2835" t="s">
        <v>6999</v>
      </c>
      <c r="H472" s="2835" t="s">
        <v>9682</v>
      </c>
      <c r="I472" s="2835" t="n">
        <v>0.0</v>
      </c>
      <c r="J472" s="2835"/>
      <c r="K472" s="2835"/>
      <c r="L472" s="2835"/>
      <c r="M472" s="2835"/>
      <c r="N472" s="2835"/>
    </row>
    <row r="473" spans="1:14" x14ac:dyDescent="0.15" ht="13.5" customHeight="true" hidden="false">
      <c r="A473" s="2835"/>
      <c r="B473" s="2835"/>
      <c r="C473" s="2835"/>
      <c r="D473" s="2835" t="s">
        <v>6958</v>
      </c>
      <c r="E473" s="2835" t="s">
        <v>9659</v>
      </c>
      <c r="F473" s="2835" t="n">
        <v>0.0</v>
      </c>
      <c r="G473" s="2835" t="s">
        <v>6999</v>
      </c>
      <c r="H473" s="2835" t="s">
        <v>9683</v>
      </c>
      <c r="I473" s="2835" t="n">
        <v>0.0</v>
      </c>
      <c r="J473" s="2835"/>
      <c r="K473" s="2835"/>
      <c r="L473" s="2835"/>
      <c r="M473" s="2835"/>
      <c r="N473" s="2835"/>
    </row>
    <row r="474" spans="1:14" x14ac:dyDescent="0.15" ht="13.5" customHeight="true" hidden="false">
      <c r="A474" s="2835"/>
      <c r="B474" s="2835"/>
      <c r="C474" s="2835"/>
      <c r="D474" s="2835" t="s">
        <v>6958</v>
      </c>
      <c r="E474" s="2835" t="s">
        <v>9661</v>
      </c>
      <c r="F474" s="2835" t="n">
        <v>698.5</v>
      </c>
      <c r="G474" s="2835" t="s">
        <v>6999</v>
      </c>
      <c r="H474" s="2835" t="s">
        <v>9684</v>
      </c>
      <c r="I474" s="2835" t="n">
        <v>0.0</v>
      </c>
      <c r="J474" s="2835"/>
      <c r="K474" s="2835"/>
      <c r="L474" s="2835"/>
      <c r="M474" s="2835"/>
      <c r="N474" s="2835"/>
    </row>
    <row r="475" spans="1:14" x14ac:dyDescent="0.15" ht="13.5" customHeight="true" hidden="false">
      <c r="A475" s="2835"/>
      <c r="B475" s="2835"/>
      <c r="C475" s="2835"/>
      <c r="D475" s="2835" t="s">
        <v>6958</v>
      </c>
      <c r="E475" s="2835" t="s">
        <v>9663</v>
      </c>
      <c r="F475" s="2835" t="n">
        <v>0.0</v>
      </c>
      <c r="G475" s="2835" t="s">
        <v>6999</v>
      </c>
      <c r="H475" s="2835" t="s">
        <v>9685</v>
      </c>
      <c r="I475" s="2835" t="n">
        <v>0.0</v>
      </c>
      <c r="J475" s="2835"/>
      <c r="K475" s="2835"/>
      <c r="L475" s="2835"/>
      <c r="M475" s="2835"/>
      <c r="N475" s="2835"/>
    </row>
    <row r="476" spans="1:14" x14ac:dyDescent="0.15" ht="13.5" customHeight="true" hidden="false">
      <c r="A476" s="2835"/>
      <c r="B476" s="2835"/>
      <c r="C476" s="2835"/>
      <c r="D476" s="2835" t="s">
        <v>6958</v>
      </c>
      <c r="E476" s="2835" t="s">
        <v>9665</v>
      </c>
      <c r="F476" s="2835" t="n">
        <v>0.0</v>
      </c>
      <c r="G476" s="2835" t="s">
        <v>6999</v>
      </c>
      <c r="H476" s="2835" t="s">
        <v>9686</v>
      </c>
      <c r="I476" s="2835" t="n">
        <v>0.0</v>
      </c>
      <c r="J476" s="2835"/>
      <c r="K476" s="2835"/>
      <c r="L476" s="2835"/>
      <c r="M476" s="2835"/>
      <c r="N476" s="2835"/>
    </row>
    <row r="477" spans="1:14" x14ac:dyDescent="0.15" ht="13.5" customHeight="true" hidden="false">
      <c r="A477" s="2835"/>
      <c r="B477" s="2835"/>
      <c r="C477" s="2835"/>
      <c r="D477" s="2835" t="s">
        <v>6958</v>
      </c>
      <c r="E477" s="2835" t="s">
        <v>9667</v>
      </c>
      <c r="F477" s="2835" t="n">
        <v>957.0</v>
      </c>
      <c r="G477" s="2835" t="s">
        <v>6999</v>
      </c>
      <c r="H477" s="2835" t="s">
        <v>9687</v>
      </c>
      <c r="I477" s="2835" t="n">
        <v>0.0</v>
      </c>
      <c r="J477" s="2835"/>
      <c r="K477" s="2835"/>
      <c r="L477" s="2835"/>
      <c r="M477" s="2835"/>
      <c r="N477" s="2835"/>
    </row>
    <row r="478" spans="1:14" x14ac:dyDescent="0.15" ht="13.5" customHeight="true" hidden="false">
      <c r="A478" s="2835"/>
      <c r="B478" s="2835"/>
      <c r="C478" s="2835"/>
      <c r="D478" s="2835" t="s">
        <v>6958</v>
      </c>
      <c r="E478" s="2835" t="s">
        <v>9669</v>
      </c>
      <c r="F478" s="2835" t="n">
        <v>501.7</v>
      </c>
      <c r="G478" s="2835" t="s">
        <v>6999</v>
      </c>
      <c r="H478" s="2835" t="s">
        <v>9688</v>
      </c>
      <c r="I478" s="2835" t="n">
        <v>0.0</v>
      </c>
      <c r="J478" s="2835"/>
      <c r="K478" s="2835"/>
      <c r="L478" s="2835"/>
      <c r="M478" s="2835"/>
      <c r="N478" s="2835"/>
    </row>
    <row r="479" spans="1:14" x14ac:dyDescent="0.15" ht="13.5" customHeight="true" hidden="false">
      <c r="A479" s="2835"/>
      <c r="B479" s="2835"/>
      <c r="C479" s="2835"/>
      <c r="D479" s="2835" t="s">
        <v>6958</v>
      </c>
      <c r="E479" s="2835" t="s">
        <v>9671</v>
      </c>
      <c r="F479" s="2835" t="n">
        <v>767.5</v>
      </c>
      <c r="G479" s="2835" t="s">
        <v>6999</v>
      </c>
      <c r="H479" s="2835" t="s">
        <v>9689</v>
      </c>
      <c r="I479" s="2835" t="n">
        <v>0.0</v>
      </c>
      <c r="J479" s="2835"/>
      <c r="K479" s="2835"/>
      <c r="L479" s="2835"/>
      <c r="M479" s="2835"/>
      <c r="N479" s="2835"/>
    </row>
    <row r="480" spans="1:14" x14ac:dyDescent="0.15" ht="13.5" customHeight="true" hidden="false">
      <c r="A480" s="2835"/>
      <c r="B480" s="2835"/>
      <c r="C480" s="2835"/>
      <c r="D480" s="2835" t="s">
        <v>6958</v>
      </c>
      <c r="E480" s="2835" t="s">
        <v>9673</v>
      </c>
      <c r="F480" s="2835" t="n">
        <v>0.0</v>
      </c>
      <c r="G480" s="2835" t="s">
        <v>6999</v>
      </c>
      <c r="H480" s="2835" t="s">
        <v>9690</v>
      </c>
      <c r="I480" s="2835" t="n">
        <v>0.0</v>
      </c>
      <c r="J480" s="2835"/>
      <c r="K480" s="2835"/>
      <c r="L480" s="2835"/>
      <c r="M480" s="2835"/>
      <c r="N480" s="2835"/>
    </row>
    <row r="481" spans="1:14" x14ac:dyDescent="0.15" ht="13.5" customHeight="true" hidden="false">
      <c r="A481" s="2835"/>
      <c r="B481" s="2835"/>
      <c r="C481" s="2835"/>
      <c r="D481" s="2835" t="s">
        <v>6958</v>
      </c>
      <c r="E481" s="2835" t="s">
        <v>9674</v>
      </c>
      <c r="F481" s="2835" t="n">
        <v>932.7</v>
      </c>
      <c r="G481" s="2835" t="s">
        <v>6999</v>
      </c>
      <c r="H481" s="2835" t="s">
        <v>9691</v>
      </c>
      <c r="I481" s="2835" t="n">
        <v>0.0</v>
      </c>
      <c r="J481" s="2835"/>
      <c r="K481" s="2835"/>
      <c r="L481" s="2835"/>
      <c r="M481" s="2835"/>
      <c r="N481" s="2835"/>
    </row>
    <row r="482" spans="1:14" x14ac:dyDescent="0.15" ht="13.5" customHeight="true" hidden="false">
      <c r="A482" s="2835"/>
      <c r="B482" s="2835"/>
      <c r="C482" s="2835"/>
      <c r="D482" s="2835" t="s">
        <v>6958</v>
      </c>
      <c r="E482" s="2835" t="s">
        <v>9675</v>
      </c>
      <c r="F482" s="2835" t="n">
        <v>761.5</v>
      </c>
      <c r="G482" s="2835" t="s">
        <v>6999</v>
      </c>
      <c r="H482" s="2835" t="s">
        <v>9692</v>
      </c>
      <c r="I482" s="2835" t="n">
        <v>0.0</v>
      </c>
      <c r="J482" s="2835"/>
      <c r="K482" s="2835"/>
      <c r="L482" s="2835"/>
      <c r="M482" s="2835"/>
      <c r="N482" s="2835"/>
    </row>
    <row r="483" spans="1:14" x14ac:dyDescent="0.15" ht="13.5" customHeight="true" hidden="false">
      <c r="A483" s="2835"/>
      <c r="B483" s="2835"/>
      <c r="C483" s="2835"/>
      <c r="D483" s="2835" t="s">
        <v>6958</v>
      </c>
      <c r="E483" s="2835" t="s">
        <v>9676</v>
      </c>
      <c r="F483" s="2835" t="n">
        <v>1022.6</v>
      </c>
      <c r="G483" s="2835" t="s">
        <v>6999</v>
      </c>
      <c r="H483" s="2835" t="s">
        <v>9693</v>
      </c>
      <c r="I483" s="2835" t="n">
        <v>0.0</v>
      </c>
      <c r="J483" s="2835"/>
      <c r="K483" s="2835"/>
      <c r="L483" s="2835"/>
      <c r="M483" s="2835"/>
      <c r="N483" s="2835"/>
    </row>
    <row r="484" spans="1:14" x14ac:dyDescent="0.15" ht="13.5" customHeight="true" hidden="false">
      <c r="A484" s="2835"/>
      <c r="B484" s="2835"/>
      <c r="C484" s="2835"/>
      <c r="D484" s="2835" t="s">
        <v>6958</v>
      </c>
      <c r="E484" s="2835" t="s">
        <v>9677</v>
      </c>
      <c r="F484" s="2835" t="n">
        <v>1022.6</v>
      </c>
      <c r="G484" s="2835" t="s">
        <v>6999</v>
      </c>
      <c r="H484" s="2835" t="s">
        <v>9694</v>
      </c>
      <c r="I484" s="2835" t="n">
        <v>0.0</v>
      </c>
      <c r="J484" s="2835"/>
      <c r="K484" s="2835"/>
      <c r="L484" s="2835"/>
      <c r="M484" s="2835"/>
      <c r="N484" s="2835"/>
    </row>
    <row r="485" spans="1:14" x14ac:dyDescent="0.15" ht="13.5" customHeight="true" hidden="false">
      <c r="A485" s="2835"/>
      <c r="B485" s="2835"/>
      <c r="C485" s="2835"/>
      <c r="D485" s="2835" t="s">
        <v>6958</v>
      </c>
      <c r="E485" s="2835" t="s">
        <v>9678</v>
      </c>
      <c r="F485" s="2835" t="n">
        <v>481.0</v>
      </c>
      <c r="G485" s="2835" t="s">
        <v>6999</v>
      </c>
      <c r="H485" s="2835" t="s">
        <v>9695</v>
      </c>
      <c r="I485" s="2835" t="n">
        <v>0.0</v>
      </c>
      <c r="J485" s="2835"/>
      <c r="K485" s="2835"/>
      <c r="L485" s="2835"/>
      <c r="M485" s="2835"/>
      <c r="N485" s="2835"/>
    </row>
    <row r="486" spans="1:14" x14ac:dyDescent="0.15" ht="13.5" customHeight="true" hidden="false">
      <c r="A486" s="2835"/>
      <c r="B486" s="2835"/>
      <c r="C486" s="2835"/>
      <c r="D486" s="2835" t="s">
        <v>6956</v>
      </c>
      <c r="E486" s="2835" t="s">
        <v>9618</v>
      </c>
      <c r="F486" s="2835" t="n">
        <v>0.0</v>
      </c>
      <c r="G486" s="2835" t="s">
        <v>6999</v>
      </c>
      <c r="H486" s="2835" t="s">
        <v>9696</v>
      </c>
      <c r="I486" s="2835" t="n">
        <v>0.0</v>
      </c>
      <c r="J486" s="2835"/>
      <c r="K486" s="2835"/>
      <c r="L486" s="2835"/>
      <c r="M486" s="2835"/>
      <c r="N486" s="2835"/>
    </row>
    <row r="487" spans="1:14" x14ac:dyDescent="0.15" ht="13.5" customHeight="true" hidden="false">
      <c r="A487" s="2835"/>
      <c r="B487" s="2835"/>
      <c r="C487" s="2835"/>
      <c r="D487" s="2835" t="s">
        <v>6956</v>
      </c>
      <c r="E487" s="2835" t="s">
        <v>9619</v>
      </c>
      <c r="F487" s="2835" t="n">
        <v>858.5</v>
      </c>
      <c r="G487" s="2835" t="s">
        <v>7000</v>
      </c>
      <c r="H487" s="2835" t="s">
        <v>9618</v>
      </c>
      <c r="I487" s="2835" t="n">
        <v>0.0</v>
      </c>
      <c r="J487" s="2835"/>
      <c r="K487" s="2835"/>
      <c r="L487" s="2835"/>
      <c r="M487" s="2835"/>
      <c r="N487" s="2835"/>
    </row>
    <row r="488" spans="1:14" x14ac:dyDescent="0.15" ht="13.5" customHeight="true" hidden="false">
      <c r="A488" s="2835"/>
      <c r="B488" s="2835"/>
      <c r="C488" s="2835"/>
      <c r="D488" s="2835" t="s">
        <v>6956</v>
      </c>
      <c r="E488" s="2835" t="s">
        <v>9620</v>
      </c>
      <c r="F488" s="2835" t="n">
        <v>858.5</v>
      </c>
      <c r="G488" s="2835" t="s">
        <v>7000</v>
      </c>
      <c r="H488" s="2835" t="s">
        <v>9619</v>
      </c>
      <c r="I488" s="2835" t="n">
        <v>0.0</v>
      </c>
      <c r="J488" s="2835"/>
      <c r="K488" s="2835"/>
      <c r="L488" s="2835"/>
      <c r="M488" s="2835"/>
      <c r="N488" s="2835"/>
    </row>
    <row r="489" spans="1:14" x14ac:dyDescent="0.15" ht="13.5" customHeight="true" hidden="false">
      <c r="A489" s="2835"/>
      <c r="B489" s="2835"/>
      <c r="C489" s="2835"/>
      <c r="D489" s="2835" t="s">
        <v>6956</v>
      </c>
      <c r="E489" s="2835" t="s">
        <v>9621</v>
      </c>
      <c r="F489" s="2835" t="n">
        <v>0.0</v>
      </c>
      <c r="G489" s="2835" t="s">
        <v>7000</v>
      </c>
      <c r="H489" s="2835" t="s">
        <v>9620</v>
      </c>
      <c r="I489" s="2835" t="n">
        <v>0.0</v>
      </c>
      <c r="J489" s="2835"/>
      <c r="K489" s="2835"/>
      <c r="L489" s="2835"/>
      <c r="M489" s="2835"/>
      <c r="N489" s="2835"/>
    </row>
    <row r="490" spans="1:14" x14ac:dyDescent="0.15" ht="13.5" customHeight="true" hidden="false">
      <c r="A490" s="2835"/>
      <c r="B490" s="2835"/>
      <c r="C490" s="2835"/>
      <c r="D490" s="2835" t="s">
        <v>6956</v>
      </c>
      <c r="E490" s="2835" t="s">
        <v>9622</v>
      </c>
      <c r="F490" s="2835" t="n">
        <v>583.1</v>
      </c>
      <c r="G490" s="2835" t="s">
        <v>7000</v>
      </c>
      <c r="H490" s="2835" t="s">
        <v>9621</v>
      </c>
      <c r="I490" s="2835" t="n">
        <v>0.0</v>
      </c>
      <c r="J490" s="2835"/>
      <c r="K490" s="2835"/>
      <c r="L490" s="2835"/>
      <c r="M490" s="2835"/>
      <c r="N490" s="2835"/>
    </row>
    <row r="491" spans="1:14" x14ac:dyDescent="0.15" ht="13.5" customHeight="true" hidden="false">
      <c r="A491" s="2835"/>
      <c r="B491" s="2835"/>
      <c r="C491" s="2835"/>
      <c r="D491" s="2835" t="s">
        <v>6956</v>
      </c>
      <c r="E491" s="2835" t="s">
        <v>9623</v>
      </c>
      <c r="F491" s="2835" t="n">
        <v>920.8</v>
      </c>
      <c r="G491" s="2835" t="s">
        <v>7000</v>
      </c>
      <c r="H491" s="2835" t="s">
        <v>9622</v>
      </c>
      <c r="I491" s="2835" t="n">
        <v>0.0</v>
      </c>
      <c r="J491" s="2835"/>
      <c r="K491" s="2835"/>
      <c r="L491" s="2835"/>
      <c r="M491" s="2835"/>
      <c r="N491" s="2835"/>
    </row>
    <row r="492" spans="1:14" x14ac:dyDescent="0.15" ht="13.5" customHeight="true" hidden="false">
      <c r="A492" s="2835"/>
      <c r="B492" s="2835"/>
      <c r="C492" s="2835"/>
      <c r="D492" s="2835" t="s">
        <v>6956</v>
      </c>
      <c r="E492" s="2835" t="s">
        <v>9624</v>
      </c>
      <c r="F492" s="2835" t="n">
        <v>70.6</v>
      </c>
      <c r="G492" s="2835" t="s">
        <v>7000</v>
      </c>
      <c r="H492" s="2835" t="s">
        <v>9623</v>
      </c>
      <c r="I492" s="2835" t="n">
        <v>0.0</v>
      </c>
      <c r="J492" s="2835"/>
      <c r="K492" s="2835"/>
      <c r="L492" s="2835"/>
      <c r="M492" s="2835"/>
      <c r="N492" s="2835"/>
    </row>
    <row r="493" spans="1:14" x14ac:dyDescent="0.15" ht="13.5" customHeight="true" hidden="false">
      <c r="A493" s="2835"/>
      <c r="B493" s="2835"/>
      <c r="C493" s="2835"/>
      <c r="D493" s="2835" t="s">
        <v>6956</v>
      </c>
      <c r="E493" s="2835" t="s">
        <v>9625</v>
      </c>
      <c r="F493" s="2835" t="n">
        <v>614.9</v>
      </c>
      <c r="G493" s="2835" t="s">
        <v>7000</v>
      </c>
      <c r="H493" s="2835" t="s">
        <v>9624</v>
      </c>
      <c r="I493" s="2835" t="n">
        <v>0.0</v>
      </c>
      <c r="J493" s="2835"/>
      <c r="K493" s="2835"/>
      <c r="L493" s="2835"/>
      <c r="M493" s="2835"/>
      <c r="N493" s="2835"/>
    </row>
    <row r="494" spans="1:14" x14ac:dyDescent="0.15" ht="13.5" customHeight="true" hidden="false">
      <c r="A494" s="2835"/>
      <c r="B494" s="2835"/>
      <c r="C494" s="2835"/>
      <c r="D494" s="2835" t="s">
        <v>6956</v>
      </c>
      <c r="E494" s="2835" t="s">
        <v>9626</v>
      </c>
      <c r="F494" s="2835" t="n">
        <v>0.0</v>
      </c>
      <c r="G494" s="2835" t="s">
        <v>7000</v>
      </c>
      <c r="H494" s="2835" t="s">
        <v>9625</v>
      </c>
      <c r="I494" s="2835" t="n">
        <v>0.0</v>
      </c>
      <c r="J494" s="2835"/>
      <c r="K494" s="2835"/>
      <c r="L494" s="2835"/>
      <c r="M494" s="2835"/>
      <c r="N494" s="2835"/>
    </row>
    <row r="495" spans="1:14" x14ac:dyDescent="0.15" ht="13.5" customHeight="true" hidden="false">
      <c r="A495" s="2835"/>
      <c r="B495" s="2835"/>
      <c r="C495" s="2835"/>
      <c r="D495" s="2835" t="s">
        <v>6956</v>
      </c>
      <c r="E495" s="2835" t="s">
        <v>9627</v>
      </c>
      <c r="F495" s="2835" t="n">
        <v>922.1</v>
      </c>
      <c r="G495" s="2835" t="s">
        <v>7000</v>
      </c>
      <c r="H495" s="2835" t="s">
        <v>9626</v>
      </c>
      <c r="I495" s="2835" t="n">
        <v>0.0</v>
      </c>
      <c r="J495" s="2835"/>
      <c r="K495" s="2835"/>
      <c r="L495" s="2835"/>
      <c r="M495" s="2835"/>
      <c r="N495" s="2835"/>
    </row>
    <row r="496" spans="1:14" x14ac:dyDescent="0.15" ht="13.5" customHeight="true" hidden="false">
      <c r="A496" s="2835"/>
      <c r="B496" s="2835"/>
      <c r="C496" s="2835"/>
      <c r="D496" s="2835" t="s">
        <v>6956</v>
      </c>
      <c r="E496" s="2835" t="s">
        <v>9628</v>
      </c>
      <c r="F496" s="2835" t="n">
        <v>408.8</v>
      </c>
      <c r="G496" s="2835" t="s">
        <v>7000</v>
      </c>
      <c r="H496" s="2835" t="s">
        <v>9627</v>
      </c>
      <c r="I496" s="2835" t="n">
        <v>0.0</v>
      </c>
      <c r="J496" s="2835"/>
      <c r="K496" s="2835"/>
      <c r="L496" s="2835"/>
      <c r="M496" s="2835"/>
      <c r="N496" s="2835"/>
    </row>
    <row r="497" spans="1:14" x14ac:dyDescent="0.15" ht="13.5" customHeight="true" hidden="false">
      <c r="A497" s="2835"/>
      <c r="B497" s="2835"/>
      <c r="C497" s="2835"/>
      <c r="D497" s="2835" t="s">
        <v>6956</v>
      </c>
      <c r="E497" s="2835" t="s">
        <v>9629</v>
      </c>
      <c r="F497" s="2835" t="n">
        <v>1493.0</v>
      </c>
      <c r="G497" s="2835" t="s">
        <v>7000</v>
      </c>
      <c r="H497" s="2835" t="s">
        <v>9628</v>
      </c>
      <c r="I497" s="2835" t="n">
        <v>0.0</v>
      </c>
      <c r="J497" s="2835"/>
      <c r="K497" s="2835"/>
      <c r="L497" s="2835"/>
      <c r="M497" s="2835"/>
      <c r="N497" s="2835"/>
    </row>
    <row r="498" spans="1:14" x14ac:dyDescent="0.15" ht="13.5" customHeight="true" hidden="false">
      <c r="A498" s="2835"/>
      <c r="B498" s="2835"/>
      <c r="C498" s="2835"/>
      <c r="D498" s="2835" t="s">
        <v>6956</v>
      </c>
      <c r="E498" s="2835" t="s">
        <v>9633</v>
      </c>
      <c r="F498" s="2835" t="n">
        <v>385.3</v>
      </c>
      <c r="G498" s="2835" t="s">
        <v>7000</v>
      </c>
      <c r="H498" s="2835" t="s">
        <v>9629</v>
      </c>
      <c r="I498" s="2835" t="n">
        <v>0.0</v>
      </c>
      <c r="J498" s="2835"/>
      <c r="K498" s="2835"/>
      <c r="L498" s="2835"/>
      <c r="M498" s="2835"/>
      <c r="N498" s="2835"/>
    </row>
    <row r="499" spans="1:14" x14ac:dyDescent="0.15" ht="13.5" customHeight="true" hidden="false">
      <c r="A499" s="2835"/>
      <c r="B499" s="2835"/>
      <c r="C499" s="2835"/>
      <c r="D499" s="2835" t="s">
        <v>6956</v>
      </c>
      <c r="E499" s="2835" t="s">
        <v>9634</v>
      </c>
      <c r="F499" s="2835" t="n">
        <v>0.0</v>
      </c>
      <c r="G499" s="2835" t="s">
        <v>7000</v>
      </c>
      <c r="H499" s="2835" t="s">
        <v>9633</v>
      </c>
      <c r="I499" s="2835" t="n">
        <v>0.0</v>
      </c>
      <c r="J499" s="2835"/>
      <c r="K499" s="2835"/>
      <c r="L499" s="2835"/>
      <c r="M499" s="2835"/>
      <c r="N499" s="2835"/>
    </row>
    <row r="500" spans="1:14" x14ac:dyDescent="0.15" ht="13.5" customHeight="true" hidden="false">
      <c r="A500" s="2835"/>
      <c r="B500" s="2835"/>
      <c r="C500" s="2835"/>
      <c r="D500" s="2835" t="s">
        <v>6956</v>
      </c>
      <c r="E500" s="2835" t="s">
        <v>9635</v>
      </c>
      <c r="F500" s="2835" t="n">
        <v>0.0</v>
      </c>
      <c r="G500" s="2835" t="s">
        <v>7000</v>
      </c>
      <c r="H500" s="2835" t="s">
        <v>9634</v>
      </c>
      <c r="I500" s="2835" t="n">
        <v>0.0</v>
      </c>
      <c r="J500" s="2835"/>
      <c r="K500" s="2835"/>
      <c r="L500" s="2835"/>
      <c r="M500" s="2835"/>
      <c r="N500" s="2835"/>
    </row>
    <row r="501" spans="1:14" x14ac:dyDescent="0.15" ht="13.5" customHeight="true" hidden="false">
      <c r="A501" s="2835"/>
      <c r="B501" s="2835"/>
      <c r="C501" s="2835"/>
      <c r="D501" s="2835" t="s">
        <v>6956</v>
      </c>
      <c r="E501" s="2835" t="s">
        <v>9636</v>
      </c>
      <c r="F501" s="2835" t="n">
        <v>632.2</v>
      </c>
      <c r="G501" s="2835" t="s">
        <v>7000</v>
      </c>
      <c r="H501" s="2835" t="s">
        <v>9635</v>
      </c>
      <c r="I501" s="2835" t="n">
        <v>0.0</v>
      </c>
      <c r="J501" s="2835"/>
      <c r="K501" s="2835"/>
      <c r="L501" s="2835"/>
      <c r="M501" s="2835"/>
      <c r="N501" s="2835"/>
    </row>
    <row r="502" spans="1:14" x14ac:dyDescent="0.15" ht="13.5" customHeight="true" hidden="false">
      <c r="A502" s="2835"/>
      <c r="B502" s="2835"/>
      <c r="C502" s="2835"/>
      <c r="D502" s="2835" t="s">
        <v>6956</v>
      </c>
      <c r="E502" s="2835" t="s">
        <v>9637</v>
      </c>
      <c r="F502" s="2835" t="n">
        <v>0.0</v>
      </c>
      <c r="G502" s="2835" t="s">
        <v>7000</v>
      </c>
      <c r="H502" s="2835" t="s">
        <v>9636</v>
      </c>
      <c r="I502" s="2835" t="n">
        <v>0.0</v>
      </c>
      <c r="J502" s="2835"/>
      <c r="K502" s="2835"/>
      <c r="L502" s="2835"/>
      <c r="M502" s="2835"/>
      <c r="N502" s="2835"/>
    </row>
    <row r="503" spans="1:14" x14ac:dyDescent="0.15" ht="13.5" customHeight="true" hidden="false">
      <c r="A503" s="2835"/>
      <c r="B503" s="2835"/>
      <c r="C503" s="2835"/>
      <c r="D503" s="2835" t="s">
        <v>6956</v>
      </c>
      <c r="E503" s="2835" t="s">
        <v>9638</v>
      </c>
      <c r="F503" s="2835" t="n">
        <v>0.0</v>
      </c>
      <c r="G503" s="2835" t="s">
        <v>7000</v>
      </c>
      <c r="H503" s="2835" t="s">
        <v>9637</v>
      </c>
      <c r="I503" s="2835" t="n">
        <v>0.0</v>
      </c>
      <c r="J503" s="2835"/>
      <c r="K503" s="2835"/>
      <c r="L503" s="2835"/>
      <c r="M503" s="2835"/>
      <c r="N503" s="2835"/>
    </row>
    <row r="504" spans="1:14" x14ac:dyDescent="0.15" ht="13.5" customHeight="true" hidden="false">
      <c r="A504" s="2835"/>
      <c r="B504" s="2835"/>
      <c r="C504" s="2835"/>
      <c r="D504" s="2835" t="s">
        <v>6956</v>
      </c>
      <c r="E504" s="2835" t="s">
        <v>9657</v>
      </c>
      <c r="F504" s="2835" t="n">
        <v>922.1</v>
      </c>
      <c r="G504" s="2835" t="s">
        <v>7000</v>
      </c>
      <c r="H504" s="2835" t="s">
        <v>9638</v>
      </c>
      <c r="I504" s="2835" t="n">
        <v>0.0</v>
      </c>
      <c r="J504" s="2835"/>
      <c r="K504" s="2835"/>
      <c r="L504" s="2835"/>
      <c r="M504" s="2835"/>
      <c r="N504" s="2835"/>
    </row>
    <row r="505" spans="1:14" x14ac:dyDescent="0.15" ht="13.5" customHeight="true" hidden="false">
      <c r="A505" s="2835"/>
      <c r="B505" s="2835"/>
      <c r="C505" s="2835"/>
      <c r="D505" s="2835" t="s">
        <v>6956</v>
      </c>
      <c r="E505" s="2835" t="s">
        <v>9659</v>
      </c>
      <c r="F505" s="2835" t="n">
        <v>614.9</v>
      </c>
      <c r="G505" s="2835" t="s">
        <v>7000</v>
      </c>
      <c r="H505" s="2835" t="s">
        <v>9657</v>
      </c>
      <c r="I505" s="2835" t="n">
        <v>0.0</v>
      </c>
      <c r="J505" s="2835"/>
      <c r="K505" s="2835"/>
      <c r="L505" s="2835"/>
      <c r="M505" s="2835"/>
      <c r="N505" s="2835"/>
    </row>
    <row r="506" spans="1:14" x14ac:dyDescent="0.15" ht="13.5" customHeight="true" hidden="false">
      <c r="A506" s="2835"/>
      <c r="B506" s="2835"/>
      <c r="C506" s="2835"/>
      <c r="D506" s="2835" t="s">
        <v>6956</v>
      </c>
      <c r="E506" s="2835" t="s">
        <v>9661</v>
      </c>
      <c r="F506" s="2835" t="n">
        <v>408.8</v>
      </c>
      <c r="G506" s="2835" t="s">
        <v>7000</v>
      </c>
      <c r="H506" s="2835" t="s">
        <v>9659</v>
      </c>
      <c r="I506" s="2835" t="n">
        <v>0.0</v>
      </c>
      <c r="J506" s="2835"/>
      <c r="K506" s="2835"/>
      <c r="L506" s="2835"/>
      <c r="M506" s="2835"/>
      <c r="N506" s="2835"/>
    </row>
    <row r="507" spans="1:14" x14ac:dyDescent="0.15" ht="13.5" customHeight="true" hidden="false">
      <c r="A507" s="2835"/>
      <c r="B507" s="2835"/>
      <c r="C507" s="2835"/>
      <c r="D507" s="2835" t="s">
        <v>6956</v>
      </c>
      <c r="E507" s="2835" t="s">
        <v>9663</v>
      </c>
      <c r="F507" s="2835" t="n">
        <v>0.0</v>
      </c>
      <c r="G507" s="2835" t="s">
        <v>7000</v>
      </c>
      <c r="H507" s="2835" t="s">
        <v>9661</v>
      </c>
      <c r="I507" s="2835" t="n">
        <v>0.0</v>
      </c>
      <c r="J507" s="2835"/>
      <c r="K507" s="2835"/>
      <c r="L507" s="2835"/>
      <c r="M507" s="2835"/>
      <c r="N507" s="2835"/>
    </row>
    <row r="508" spans="1:14" x14ac:dyDescent="0.15" ht="13.5" customHeight="true" hidden="false">
      <c r="A508" s="2835"/>
      <c r="B508" s="2835"/>
      <c r="C508" s="2835"/>
      <c r="D508" s="2835" t="s">
        <v>6956</v>
      </c>
      <c r="E508" s="2835" t="s">
        <v>9665</v>
      </c>
      <c r="F508" s="2835" t="n">
        <v>1493.0</v>
      </c>
      <c r="G508" s="2835" t="s">
        <v>7000</v>
      </c>
      <c r="H508" s="2835" t="s">
        <v>9663</v>
      </c>
      <c r="I508" s="2835" t="n">
        <v>0.0</v>
      </c>
      <c r="J508" s="2835"/>
      <c r="K508" s="2835"/>
      <c r="L508" s="2835"/>
      <c r="M508" s="2835"/>
      <c r="N508" s="2835"/>
    </row>
    <row r="509" spans="1:14" x14ac:dyDescent="0.15" ht="13.5" customHeight="true" hidden="false">
      <c r="A509" s="2835"/>
      <c r="B509" s="2835"/>
      <c r="C509" s="2835"/>
      <c r="D509" s="2835" t="s">
        <v>6956</v>
      </c>
      <c r="E509" s="2835" t="s">
        <v>9667</v>
      </c>
      <c r="F509" s="2835" t="n">
        <v>632.2</v>
      </c>
      <c r="G509" s="2835" t="s">
        <v>7000</v>
      </c>
      <c r="H509" s="2835" t="s">
        <v>9665</v>
      </c>
      <c r="I509" s="2835" t="n">
        <v>0.0</v>
      </c>
      <c r="J509" s="2835"/>
      <c r="K509" s="2835"/>
      <c r="L509" s="2835"/>
      <c r="M509" s="2835"/>
      <c r="N509" s="2835"/>
    </row>
    <row r="510" spans="1:14" x14ac:dyDescent="0.15" ht="13.5" customHeight="true" hidden="false">
      <c r="A510" s="2835"/>
      <c r="B510" s="2835"/>
      <c r="C510" s="2835"/>
      <c r="D510" s="2835" t="s">
        <v>6956</v>
      </c>
      <c r="E510" s="2835" t="s">
        <v>9669</v>
      </c>
      <c r="F510" s="2835" t="n">
        <v>385.3</v>
      </c>
      <c r="G510" s="2835" t="s">
        <v>7000</v>
      </c>
      <c r="H510" s="2835" t="s">
        <v>9667</v>
      </c>
      <c r="I510" s="2835" t="n">
        <v>0.0</v>
      </c>
      <c r="J510" s="2835"/>
      <c r="K510" s="2835"/>
      <c r="L510" s="2835"/>
      <c r="M510" s="2835"/>
      <c r="N510" s="2835"/>
    </row>
    <row r="511" spans="1:14" x14ac:dyDescent="0.15" ht="13.5" customHeight="true" hidden="false">
      <c r="A511" s="2835"/>
      <c r="B511" s="2835"/>
      <c r="C511" s="2835"/>
      <c r="D511" s="2835" t="s">
        <v>6956</v>
      </c>
      <c r="E511" s="2835" t="s">
        <v>9671</v>
      </c>
      <c r="F511" s="2835" t="n">
        <v>271.0</v>
      </c>
      <c r="G511" s="2835" t="s">
        <v>7000</v>
      </c>
      <c r="H511" s="2835" t="s">
        <v>9669</v>
      </c>
      <c r="I511" s="2835" t="n">
        <v>0.0</v>
      </c>
      <c r="J511" s="2835"/>
      <c r="K511" s="2835"/>
      <c r="L511" s="2835"/>
      <c r="M511" s="2835"/>
      <c r="N511" s="2835"/>
    </row>
    <row r="512" spans="1:14" x14ac:dyDescent="0.15" ht="13.5" customHeight="true" hidden="false">
      <c r="A512" s="2835"/>
      <c r="B512" s="2835"/>
      <c r="C512" s="2835"/>
      <c r="D512" s="2835" t="s">
        <v>6956</v>
      </c>
      <c r="E512" s="2835" t="s">
        <v>9673</v>
      </c>
      <c r="F512" s="2835" t="n">
        <v>0.0</v>
      </c>
      <c r="G512" s="2835" t="s">
        <v>7000</v>
      </c>
      <c r="H512" s="2835" t="s">
        <v>9671</v>
      </c>
      <c r="I512" s="2835" t="n">
        <v>0.0</v>
      </c>
      <c r="J512" s="2835"/>
      <c r="K512" s="2835"/>
      <c r="L512" s="2835"/>
      <c r="M512" s="2835"/>
      <c r="N512" s="2835"/>
    </row>
    <row r="513" spans="1:14" x14ac:dyDescent="0.15" ht="13.5" customHeight="true" hidden="false">
      <c r="A513" s="2835"/>
      <c r="B513" s="2835"/>
      <c r="C513" s="2835"/>
      <c r="D513" s="2835" t="s">
        <v>6956</v>
      </c>
      <c r="E513" s="2835" t="s">
        <v>9674</v>
      </c>
      <c r="F513" s="2835" t="n">
        <v>0.0</v>
      </c>
      <c r="G513" s="2835" t="s">
        <v>7000</v>
      </c>
      <c r="H513" s="2835" t="s">
        <v>9673</v>
      </c>
      <c r="I513" s="2835" t="n">
        <v>0.0</v>
      </c>
      <c r="J513" s="2835"/>
      <c r="K513" s="2835"/>
      <c r="L513" s="2835"/>
      <c r="M513" s="2835"/>
      <c r="N513" s="2835"/>
    </row>
    <row r="514" spans="1:14" x14ac:dyDescent="0.15" ht="13.5" customHeight="true" hidden="false">
      <c r="A514" s="2835"/>
      <c r="B514" s="2835"/>
      <c r="C514" s="2835"/>
      <c r="D514" s="2835" t="s">
        <v>6956</v>
      </c>
      <c r="E514" s="2835" t="s">
        <v>9675</v>
      </c>
      <c r="F514" s="2835" t="n">
        <v>271.0</v>
      </c>
      <c r="G514" s="2835" t="s">
        <v>7000</v>
      </c>
      <c r="H514" s="2835" t="s">
        <v>9674</v>
      </c>
      <c r="I514" s="2835" t="n">
        <v>0.0</v>
      </c>
      <c r="J514" s="2835"/>
      <c r="K514" s="2835"/>
      <c r="L514" s="2835"/>
      <c r="M514" s="2835"/>
      <c r="N514" s="2835"/>
    </row>
    <row r="515" spans="1:14" x14ac:dyDescent="0.15" ht="13.5" customHeight="true" hidden="false">
      <c r="A515" s="2835"/>
      <c r="B515" s="2835"/>
      <c r="C515" s="2835"/>
      <c r="D515" s="2835" t="s">
        <v>6956</v>
      </c>
      <c r="E515" s="2835" t="s">
        <v>9676</v>
      </c>
      <c r="F515" s="2835" t="n">
        <v>0.0</v>
      </c>
      <c r="G515" s="2835" t="s">
        <v>7000</v>
      </c>
      <c r="H515" s="2835" t="s">
        <v>9675</v>
      </c>
      <c r="I515" s="2835" t="n">
        <v>0.0</v>
      </c>
      <c r="J515" s="2835"/>
      <c r="K515" s="2835"/>
      <c r="L515" s="2835"/>
      <c r="M515" s="2835"/>
      <c r="N515" s="2835"/>
    </row>
    <row r="516" spans="1:14" x14ac:dyDescent="0.15" ht="13.5" customHeight="true" hidden="false">
      <c r="A516" s="2835"/>
      <c r="B516" s="2835"/>
      <c r="C516" s="2835"/>
      <c r="D516" s="2835" t="s">
        <v>6956</v>
      </c>
      <c r="E516" s="2835" t="s">
        <v>9677</v>
      </c>
      <c r="F516" s="2835" t="n">
        <v>0.0</v>
      </c>
      <c r="G516" s="2835" t="s">
        <v>7000</v>
      </c>
      <c r="H516" s="2835" t="s">
        <v>9676</v>
      </c>
      <c r="I516" s="2835" t="n">
        <v>0.0</v>
      </c>
      <c r="J516" s="2835"/>
      <c r="K516" s="2835"/>
      <c r="L516" s="2835"/>
      <c r="M516" s="2835"/>
      <c r="N516" s="2835"/>
    </row>
    <row r="517" spans="1:14" x14ac:dyDescent="0.15" ht="13.5" customHeight="true" hidden="false">
      <c r="A517" s="2835"/>
      <c r="B517" s="2835"/>
      <c r="C517" s="2835"/>
      <c r="D517" s="2835" t="s">
        <v>6956</v>
      </c>
      <c r="E517" s="2835" t="s">
        <v>9678</v>
      </c>
      <c r="F517" s="2835" t="n">
        <v>0.0</v>
      </c>
      <c r="G517" s="2835" t="s">
        <v>7000</v>
      </c>
      <c r="H517" s="2835" t="s">
        <v>9677</v>
      </c>
      <c r="I517" s="2835" t="n">
        <v>0.0</v>
      </c>
      <c r="J517" s="2835"/>
      <c r="K517" s="2835"/>
      <c r="L517" s="2835"/>
      <c r="M517" s="2835"/>
      <c r="N517" s="2835"/>
    </row>
    <row r="518" spans="1:14" x14ac:dyDescent="0.15" ht="13.5" customHeight="true" hidden="false">
      <c r="A518" s="2835"/>
      <c r="B518" s="2835"/>
      <c r="C518" s="2835"/>
      <c r="D518" s="2835" t="s">
        <v>6959</v>
      </c>
      <c r="E518" s="2835" t="s">
        <v>9618</v>
      </c>
      <c r="F518" s="2835" t="n">
        <v>0.0</v>
      </c>
      <c r="G518" s="2835" t="s">
        <v>7000</v>
      </c>
      <c r="H518" s="2835" t="s">
        <v>9678</v>
      </c>
      <c r="I518" s="2835" t="n">
        <v>0.0</v>
      </c>
      <c r="J518" s="2835"/>
      <c r="K518" s="2835"/>
      <c r="L518" s="2835"/>
      <c r="M518" s="2835"/>
      <c r="N518" s="2835"/>
    </row>
    <row r="519" spans="1:14" x14ac:dyDescent="0.15" ht="13.5" customHeight="true" hidden="false">
      <c r="A519" s="2835"/>
      <c r="B519" s="2835"/>
      <c r="C519" s="2835"/>
      <c r="D519" s="2835" t="s">
        <v>6959</v>
      </c>
      <c r="E519" s="2835" t="s">
        <v>9619</v>
      </c>
      <c r="F519" s="2835" t="n">
        <v>473.8</v>
      </c>
      <c r="G519" s="2835" t="s">
        <v>7000</v>
      </c>
      <c r="H519" s="2835" t="s">
        <v>9679</v>
      </c>
      <c r="I519" s="2835" t="n">
        <v>0.0</v>
      </c>
      <c r="J519" s="2835"/>
      <c r="K519" s="2835"/>
      <c r="L519" s="2835"/>
      <c r="M519" s="2835"/>
      <c r="N519" s="2835"/>
    </row>
    <row r="520" spans="1:14" x14ac:dyDescent="0.15" ht="13.5" customHeight="true" hidden="false">
      <c r="A520" s="2835"/>
      <c r="B520" s="2835"/>
      <c r="C520" s="2835"/>
      <c r="D520" s="2835" t="s">
        <v>6959</v>
      </c>
      <c r="E520" s="2835" t="s">
        <v>9620</v>
      </c>
      <c r="F520" s="2835" t="n">
        <v>473.8</v>
      </c>
      <c r="G520" s="2835" t="s">
        <v>7000</v>
      </c>
      <c r="H520" s="2835" t="s">
        <v>9680</v>
      </c>
      <c r="I520" s="2835" t="n">
        <v>0.0</v>
      </c>
      <c r="J520" s="2835"/>
      <c r="K520" s="2835"/>
      <c r="L520" s="2835"/>
      <c r="M520" s="2835"/>
      <c r="N520" s="2835"/>
    </row>
    <row r="521" spans="1:14" x14ac:dyDescent="0.15" ht="13.5" customHeight="true" hidden="false">
      <c r="A521" s="2835"/>
      <c r="B521" s="2835"/>
      <c r="C521" s="2835"/>
      <c r="D521" s="2835" t="s">
        <v>6959</v>
      </c>
      <c r="E521" s="2835" t="s">
        <v>9621</v>
      </c>
      <c r="F521" s="2835" t="n">
        <v>1078.9</v>
      </c>
      <c r="G521" s="2835" t="s">
        <v>7000</v>
      </c>
      <c r="H521" s="2835" t="s">
        <v>9681</v>
      </c>
      <c r="I521" s="2835" t="n">
        <v>0.0</v>
      </c>
      <c r="J521" s="2835"/>
      <c r="K521" s="2835"/>
      <c r="L521" s="2835"/>
      <c r="M521" s="2835"/>
      <c r="N521" s="2835"/>
    </row>
    <row r="522" spans="1:14" x14ac:dyDescent="0.15" ht="13.5" customHeight="true" hidden="false">
      <c r="A522" s="2835"/>
      <c r="B522" s="2835"/>
      <c r="C522" s="2835"/>
      <c r="D522" s="2835" t="s">
        <v>6959</v>
      </c>
      <c r="E522" s="2835" t="s">
        <v>9622</v>
      </c>
      <c r="F522" s="2835" t="n">
        <v>0.0</v>
      </c>
      <c r="G522" s="2835" t="s">
        <v>7000</v>
      </c>
      <c r="H522" s="2835" t="s">
        <v>9682</v>
      </c>
      <c r="I522" s="2835" t="n">
        <v>0.0</v>
      </c>
      <c r="J522" s="2835"/>
      <c r="K522" s="2835"/>
      <c r="L522" s="2835"/>
      <c r="M522" s="2835"/>
      <c r="N522" s="2835"/>
    </row>
    <row r="523" spans="1:14" x14ac:dyDescent="0.15" ht="13.5" customHeight="true" hidden="false">
      <c r="A523" s="2835"/>
      <c r="B523" s="2835"/>
      <c r="C523" s="2835"/>
      <c r="D523" s="2835" t="s">
        <v>6959</v>
      </c>
      <c r="E523" s="2835" t="s">
        <v>9623</v>
      </c>
      <c r="F523" s="2835" t="n">
        <v>425.8</v>
      </c>
      <c r="G523" s="2835" t="s">
        <v>7000</v>
      </c>
      <c r="H523" s="2835" t="s">
        <v>9683</v>
      </c>
      <c r="I523" s="2835" t="n">
        <v>0.0</v>
      </c>
      <c r="J523" s="2835"/>
      <c r="K523" s="2835"/>
      <c r="L523" s="2835"/>
      <c r="M523" s="2835"/>
      <c r="N523" s="2835"/>
    </row>
    <row r="524" spans="1:14" x14ac:dyDescent="0.15" ht="13.5" customHeight="true" hidden="false">
      <c r="A524" s="2835"/>
      <c r="B524" s="2835"/>
      <c r="C524" s="2835"/>
      <c r="D524" s="2835" t="s">
        <v>6959</v>
      </c>
      <c r="E524" s="2835" t="s">
        <v>9624</v>
      </c>
      <c r="F524" s="2835" t="n">
        <v>244.0</v>
      </c>
      <c r="G524" s="2835" t="s">
        <v>7000</v>
      </c>
      <c r="H524" s="2835" t="s">
        <v>9684</v>
      </c>
      <c r="I524" s="2835" t="n">
        <v>0.0</v>
      </c>
      <c r="J524" s="2835"/>
      <c r="K524" s="2835"/>
      <c r="L524" s="2835"/>
      <c r="M524" s="2835"/>
      <c r="N524" s="2835"/>
    </row>
    <row r="525" spans="1:14" x14ac:dyDescent="0.15" ht="13.5" customHeight="true" hidden="false">
      <c r="A525" s="2835"/>
      <c r="B525" s="2835"/>
      <c r="C525" s="2835"/>
      <c r="D525" s="2835" t="s">
        <v>6959</v>
      </c>
      <c r="E525" s="2835" t="s">
        <v>9625</v>
      </c>
      <c r="F525" s="2835" t="n">
        <v>0.0</v>
      </c>
      <c r="G525" s="2835" t="s">
        <v>7000</v>
      </c>
      <c r="H525" s="2835" t="s">
        <v>9685</v>
      </c>
      <c r="I525" s="2835" t="n">
        <v>0.0</v>
      </c>
      <c r="J525" s="2835"/>
      <c r="K525" s="2835"/>
      <c r="L525" s="2835"/>
      <c r="M525" s="2835"/>
      <c r="N525" s="2835"/>
    </row>
    <row r="526" spans="1:14" x14ac:dyDescent="0.15" ht="13.5" customHeight="true" hidden="false">
      <c r="A526" s="2835"/>
      <c r="B526" s="2835"/>
      <c r="C526" s="2835"/>
      <c r="D526" s="2835" t="s">
        <v>6959</v>
      </c>
      <c r="E526" s="2835" t="s">
        <v>9626</v>
      </c>
      <c r="F526" s="2835" t="n">
        <v>121.0</v>
      </c>
      <c r="G526" s="2835" t="s">
        <v>7000</v>
      </c>
      <c r="H526" s="2835" t="s">
        <v>9686</v>
      </c>
      <c r="I526" s="2835" t="n">
        <v>0.0</v>
      </c>
      <c r="J526" s="2835"/>
      <c r="K526" s="2835"/>
      <c r="L526" s="2835"/>
      <c r="M526" s="2835"/>
      <c r="N526" s="2835"/>
    </row>
    <row r="527" spans="1:14" x14ac:dyDescent="0.15" ht="13.5" customHeight="true" hidden="false">
      <c r="A527" s="2835"/>
      <c r="B527" s="2835"/>
      <c r="C527" s="2835"/>
      <c r="D527" s="2835" t="s">
        <v>6959</v>
      </c>
      <c r="E527" s="2835" t="s">
        <v>9627</v>
      </c>
      <c r="F527" s="2835" t="n">
        <v>390.3</v>
      </c>
      <c r="G527" s="2835" t="s">
        <v>7000</v>
      </c>
      <c r="H527" s="2835" t="s">
        <v>9687</v>
      </c>
      <c r="I527" s="2835" t="n">
        <v>0.0</v>
      </c>
      <c r="J527" s="2835"/>
      <c r="K527" s="2835"/>
      <c r="L527" s="2835"/>
      <c r="M527" s="2835"/>
      <c r="N527" s="2835"/>
    </row>
    <row r="528" spans="1:14" x14ac:dyDescent="0.15" ht="13.5" customHeight="true" hidden="false">
      <c r="A528" s="2835"/>
      <c r="B528" s="2835"/>
      <c r="C528" s="2835"/>
      <c r="D528" s="2835" t="s">
        <v>6959</v>
      </c>
      <c r="E528" s="2835" t="s">
        <v>9628</v>
      </c>
      <c r="F528" s="2835" t="n">
        <v>554.7</v>
      </c>
      <c r="G528" s="2835" t="s">
        <v>7000</v>
      </c>
      <c r="H528" s="2835" t="s">
        <v>9688</v>
      </c>
      <c r="I528" s="2835" t="n">
        <v>0.0</v>
      </c>
      <c r="J528" s="2835"/>
      <c r="K528" s="2835"/>
      <c r="L528" s="2835"/>
      <c r="M528" s="2835"/>
      <c r="N528" s="2835"/>
    </row>
    <row r="529" spans="1:14" x14ac:dyDescent="0.15" ht="13.5" customHeight="true" hidden="false">
      <c r="A529" s="2835"/>
      <c r="B529" s="2835"/>
      <c r="C529" s="2835"/>
      <c r="D529" s="2835" t="s">
        <v>6959</v>
      </c>
      <c r="E529" s="2835" t="s">
        <v>9629</v>
      </c>
      <c r="F529" s="2835" t="n">
        <v>404.9</v>
      </c>
      <c r="G529" s="2835" t="s">
        <v>7000</v>
      </c>
      <c r="H529" s="2835" t="s">
        <v>9689</v>
      </c>
      <c r="I529" s="2835" t="n">
        <v>0.0</v>
      </c>
      <c r="J529" s="2835"/>
      <c r="K529" s="2835"/>
      <c r="L529" s="2835"/>
      <c r="M529" s="2835"/>
      <c r="N529" s="2835"/>
    </row>
    <row r="530" spans="1:14" x14ac:dyDescent="0.15" ht="13.5" customHeight="true" hidden="false">
      <c r="A530" s="2835"/>
      <c r="B530" s="2835"/>
      <c r="C530" s="2835"/>
      <c r="D530" s="2835" t="s">
        <v>6959</v>
      </c>
      <c r="E530" s="2835" t="s">
        <v>9633</v>
      </c>
      <c r="F530" s="2835" t="n">
        <v>244.0</v>
      </c>
      <c r="G530" s="2835" t="s">
        <v>7000</v>
      </c>
      <c r="H530" s="2835" t="s">
        <v>9690</v>
      </c>
      <c r="I530" s="2835" t="n">
        <v>0.0</v>
      </c>
      <c r="J530" s="2835"/>
      <c r="K530" s="2835"/>
      <c r="L530" s="2835"/>
      <c r="M530" s="2835"/>
      <c r="N530" s="2835"/>
    </row>
    <row r="531" spans="1:14" x14ac:dyDescent="0.15" ht="13.5" customHeight="true" hidden="false">
      <c r="A531" s="2835"/>
      <c r="B531" s="2835"/>
      <c r="C531" s="2835"/>
      <c r="D531" s="2835" t="s">
        <v>6959</v>
      </c>
      <c r="E531" s="2835" t="s">
        <v>9634</v>
      </c>
      <c r="F531" s="2835" t="n">
        <v>518.7</v>
      </c>
      <c r="G531" s="2835" t="s">
        <v>7000</v>
      </c>
      <c r="H531" s="2835" t="s">
        <v>9691</v>
      </c>
      <c r="I531" s="2835" t="n">
        <v>0.0</v>
      </c>
      <c r="J531" s="2835"/>
      <c r="K531" s="2835"/>
      <c r="L531" s="2835"/>
      <c r="M531" s="2835"/>
      <c r="N531" s="2835"/>
    </row>
    <row r="532" spans="1:14" x14ac:dyDescent="0.15" ht="13.5" customHeight="true" hidden="false">
      <c r="A532" s="2835"/>
      <c r="B532" s="2835"/>
      <c r="C532" s="2835"/>
      <c r="D532" s="2835" t="s">
        <v>6959</v>
      </c>
      <c r="E532" s="2835" t="s">
        <v>9635</v>
      </c>
      <c r="F532" s="2835" t="n">
        <v>0.0</v>
      </c>
      <c r="G532" s="2835" t="s">
        <v>7000</v>
      </c>
      <c r="H532" s="2835" t="s">
        <v>9692</v>
      </c>
      <c r="I532" s="2835" t="n">
        <v>0.0</v>
      </c>
      <c r="J532" s="2835"/>
      <c r="K532" s="2835"/>
      <c r="L532" s="2835"/>
      <c r="M532" s="2835"/>
      <c r="N532" s="2835"/>
    </row>
    <row r="533" spans="1:14" x14ac:dyDescent="0.15" ht="13.5" customHeight="true" hidden="false">
      <c r="A533" s="2835"/>
      <c r="B533" s="2835"/>
      <c r="C533" s="2835"/>
      <c r="D533" s="2835" t="s">
        <v>6959</v>
      </c>
      <c r="E533" s="2835" t="s">
        <v>9636</v>
      </c>
      <c r="F533" s="2835" t="n">
        <v>0.0</v>
      </c>
      <c r="G533" s="2835" t="s">
        <v>7000</v>
      </c>
      <c r="H533" s="2835" t="s">
        <v>9693</v>
      </c>
      <c r="I533" s="2835" t="n">
        <v>0.0</v>
      </c>
      <c r="J533" s="2835"/>
      <c r="K533" s="2835"/>
      <c r="L533" s="2835"/>
      <c r="M533" s="2835"/>
      <c r="N533" s="2835"/>
    </row>
    <row r="534" spans="1:14" x14ac:dyDescent="0.15" ht="13.5" customHeight="true" hidden="false">
      <c r="A534" s="2835"/>
      <c r="B534" s="2835"/>
      <c r="C534" s="2835"/>
      <c r="D534" s="2835" t="s">
        <v>6959</v>
      </c>
      <c r="E534" s="2835" t="s">
        <v>9637</v>
      </c>
      <c r="F534" s="2835" t="n">
        <v>121.0</v>
      </c>
      <c r="G534" s="2835" t="s">
        <v>7000</v>
      </c>
      <c r="H534" s="2835" t="s">
        <v>9694</v>
      </c>
      <c r="I534" s="2835" t="n">
        <v>0.0</v>
      </c>
      <c r="J534" s="2835"/>
      <c r="K534" s="2835"/>
      <c r="L534" s="2835"/>
      <c r="M534" s="2835"/>
      <c r="N534" s="2835"/>
    </row>
    <row r="535" spans="1:14" x14ac:dyDescent="0.15" ht="13.5" customHeight="true" hidden="false">
      <c r="A535" s="2835"/>
      <c r="B535" s="2835"/>
      <c r="C535" s="2835"/>
      <c r="D535" s="2835" t="s">
        <v>6959</v>
      </c>
      <c r="E535" s="2835" t="s">
        <v>9638</v>
      </c>
      <c r="F535" s="2835" t="n">
        <v>1078.9</v>
      </c>
      <c r="G535" s="2835" t="s">
        <v>7000</v>
      </c>
      <c r="H535" s="2835" t="s">
        <v>9695</v>
      </c>
      <c r="I535" s="2835" t="n">
        <v>0.0</v>
      </c>
      <c r="J535" s="2835"/>
      <c r="K535" s="2835"/>
      <c r="L535" s="2835"/>
      <c r="M535" s="2835"/>
      <c r="N535" s="2835"/>
    </row>
    <row r="536" spans="1:14" x14ac:dyDescent="0.15" ht="13.5" customHeight="true" hidden="false">
      <c r="A536" s="2835"/>
      <c r="B536" s="2835"/>
      <c r="C536" s="2835"/>
      <c r="D536" s="2835" t="s">
        <v>6959</v>
      </c>
      <c r="E536" s="2835" t="s">
        <v>9657</v>
      </c>
      <c r="F536" s="2835" t="n">
        <v>425.8</v>
      </c>
      <c r="G536" s="2835" t="s">
        <v>7000</v>
      </c>
      <c r="H536" s="2835" t="s">
        <v>9696</v>
      </c>
      <c r="I536" s="2835" t="n">
        <v>0.0</v>
      </c>
      <c r="J536" s="2835"/>
      <c r="K536" s="2835"/>
      <c r="L536" s="2835"/>
      <c r="M536" s="2835"/>
      <c r="N536" s="2835"/>
    </row>
    <row r="537" spans="1:14" x14ac:dyDescent="0.15" ht="13.5" customHeight="true" hidden="false">
      <c r="A537" s="2835"/>
      <c r="B537" s="2835"/>
      <c r="C537" s="2835"/>
      <c r="D537" s="2835" t="s">
        <v>6959</v>
      </c>
      <c r="E537" s="2835" t="s">
        <v>9659</v>
      </c>
      <c r="F537" s="2835" t="n">
        <v>0.0</v>
      </c>
      <c r="G537" s="2835" t="s">
        <v>7001</v>
      </c>
      <c r="H537" s="2835" t="s">
        <v>9618</v>
      </c>
      <c r="I537" s="2835" t="n">
        <v>0.0</v>
      </c>
      <c r="J537" s="2835"/>
      <c r="K537" s="2835"/>
      <c r="L537" s="2835"/>
      <c r="M537" s="2835"/>
      <c r="N537" s="2835"/>
    </row>
    <row r="538" spans="1:14" x14ac:dyDescent="0.15" ht="13.5" customHeight="true" hidden="false">
      <c r="A538" s="2835"/>
      <c r="B538" s="2835"/>
      <c r="C538" s="2835"/>
      <c r="D538" s="2835" t="s">
        <v>6959</v>
      </c>
      <c r="E538" s="2835" t="s">
        <v>9661</v>
      </c>
      <c r="F538" s="2835" t="n">
        <v>554.7</v>
      </c>
      <c r="G538" s="2835" t="s">
        <v>7001</v>
      </c>
      <c r="H538" s="2835" t="s">
        <v>9619</v>
      </c>
      <c r="I538" s="2835" t="n">
        <v>0.0</v>
      </c>
      <c r="J538" s="2835"/>
      <c r="K538" s="2835"/>
      <c r="L538" s="2835"/>
      <c r="M538" s="2835"/>
      <c r="N538" s="2835"/>
    </row>
    <row r="539" spans="1:14" x14ac:dyDescent="0.15" ht="13.5" customHeight="true" hidden="false">
      <c r="A539" s="2835"/>
      <c r="B539" s="2835"/>
      <c r="C539" s="2835"/>
      <c r="D539" s="2835" t="s">
        <v>6959</v>
      </c>
      <c r="E539" s="2835" t="s">
        <v>9663</v>
      </c>
      <c r="F539" s="2835" t="n">
        <v>0.0</v>
      </c>
      <c r="G539" s="2835" t="s">
        <v>7001</v>
      </c>
      <c r="H539" s="2835" t="s">
        <v>9620</v>
      </c>
      <c r="I539" s="2835" t="n">
        <v>0.0</v>
      </c>
      <c r="J539" s="2835"/>
      <c r="K539" s="2835"/>
      <c r="L539" s="2835"/>
      <c r="M539" s="2835"/>
      <c r="N539" s="2835"/>
    </row>
    <row r="540" spans="1:14" x14ac:dyDescent="0.15" ht="13.5" customHeight="true" hidden="false">
      <c r="A540" s="2835"/>
      <c r="B540" s="2835"/>
      <c r="C540" s="2835"/>
      <c r="D540" s="2835" t="s">
        <v>6959</v>
      </c>
      <c r="E540" s="2835" t="s">
        <v>9665</v>
      </c>
      <c r="F540" s="2835" t="n">
        <v>518.7</v>
      </c>
      <c r="G540" s="2835" t="s">
        <v>7001</v>
      </c>
      <c r="H540" s="2835" t="s">
        <v>9621</v>
      </c>
      <c r="I540" s="2835" t="n">
        <v>0.0</v>
      </c>
      <c r="J540" s="2835"/>
      <c r="K540" s="2835"/>
      <c r="L540" s="2835"/>
      <c r="M540" s="2835"/>
      <c r="N540" s="2835"/>
    </row>
    <row r="541" spans="1:14" x14ac:dyDescent="0.15" ht="13.5" customHeight="true" hidden="false">
      <c r="A541" s="2835"/>
      <c r="B541" s="2835"/>
      <c r="C541" s="2835"/>
      <c r="D541" s="2835" t="s">
        <v>6959</v>
      </c>
      <c r="E541" s="2835" t="s">
        <v>9667</v>
      </c>
      <c r="F541" s="2835" t="n">
        <v>801.6</v>
      </c>
      <c r="G541" s="2835" t="s">
        <v>7001</v>
      </c>
      <c r="H541" s="2835" t="s">
        <v>9622</v>
      </c>
      <c r="I541" s="2835" t="n">
        <v>0.0</v>
      </c>
      <c r="J541" s="2835"/>
      <c r="K541" s="2835"/>
      <c r="L541" s="2835"/>
      <c r="M541" s="2835"/>
      <c r="N541" s="2835"/>
    </row>
    <row r="542" spans="1:14" x14ac:dyDescent="0.15" ht="13.5" customHeight="true" hidden="false">
      <c r="A542" s="2835"/>
      <c r="B542" s="2835"/>
      <c r="C542" s="2835"/>
      <c r="D542" s="2835" t="s">
        <v>6959</v>
      </c>
      <c r="E542" s="2835" t="s">
        <v>9669</v>
      </c>
      <c r="F542" s="2835" t="n">
        <v>0.0</v>
      </c>
      <c r="G542" s="2835" t="s">
        <v>7001</v>
      </c>
      <c r="H542" s="2835" t="s">
        <v>9623</v>
      </c>
      <c r="I542" s="2835" t="n">
        <v>0.0</v>
      </c>
      <c r="J542" s="2835"/>
      <c r="K542" s="2835"/>
      <c r="L542" s="2835"/>
      <c r="M542" s="2835"/>
      <c r="N542" s="2835"/>
    </row>
    <row r="543" spans="1:14" x14ac:dyDescent="0.15" ht="13.5" customHeight="true" hidden="false">
      <c r="A543" s="2835"/>
      <c r="B543" s="2835"/>
      <c r="C543" s="2835"/>
      <c r="D543" s="2835" t="s">
        <v>6959</v>
      </c>
      <c r="E543" s="2835" t="s">
        <v>9671</v>
      </c>
      <c r="F543" s="2835" t="n">
        <v>0.0</v>
      </c>
      <c r="G543" s="2835" t="s">
        <v>7001</v>
      </c>
      <c r="H543" s="2835" t="s">
        <v>9624</v>
      </c>
      <c r="I543" s="2835" t="n">
        <v>0.0</v>
      </c>
      <c r="J543" s="2835"/>
      <c r="K543" s="2835"/>
      <c r="L543" s="2835"/>
      <c r="M543" s="2835"/>
      <c r="N543" s="2835"/>
    </row>
    <row r="544" spans="1:14" x14ac:dyDescent="0.15" ht="13.5" customHeight="true" hidden="false">
      <c r="A544" s="2835"/>
      <c r="B544" s="2835"/>
      <c r="C544" s="2835"/>
      <c r="D544" s="2835" t="s">
        <v>6959</v>
      </c>
      <c r="E544" s="2835" t="s">
        <v>9673</v>
      </c>
      <c r="F544" s="2835" t="n">
        <v>0.0</v>
      </c>
      <c r="G544" s="2835" t="s">
        <v>7001</v>
      </c>
      <c r="H544" s="2835" t="s">
        <v>9625</v>
      </c>
      <c r="I544" s="2835" t="n">
        <v>0.0</v>
      </c>
      <c r="J544" s="2835"/>
      <c r="K544" s="2835"/>
      <c r="L544" s="2835"/>
      <c r="M544" s="2835"/>
      <c r="N544" s="2835"/>
    </row>
    <row r="545" spans="1:14" x14ac:dyDescent="0.15" ht="13.5" customHeight="true" hidden="false">
      <c r="A545" s="2835"/>
      <c r="B545" s="2835"/>
      <c r="C545" s="2835"/>
      <c r="D545" s="2835" t="s">
        <v>6959</v>
      </c>
      <c r="E545" s="2835" t="s">
        <v>9674</v>
      </c>
      <c r="F545" s="2835" t="n">
        <v>801.6</v>
      </c>
      <c r="G545" s="2835" t="s">
        <v>7001</v>
      </c>
      <c r="H545" s="2835" t="s">
        <v>9626</v>
      </c>
      <c r="I545" s="2835" t="n">
        <v>0.0</v>
      </c>
      <c r="J545" s="2835"/>
      <c r="K545" s="2835"/>
      <c r="L545" s="2835"/>
      <c r="M545" s="2835"/>
      <c r="N545" s="2835"/>
    </row>
    <row r="546" spans="1:14" x14ac:dyDescent="0.15" ht="13.5" customHeight="true" hidden="false">
      <c r="A546" s="2835"/>
      <c r="B546" s="2835"/>
      <c r="C546" s="2835"/>
      <c r="D546" s="2835" t="s">
        <v>6959</v>
      </c>
      <c r="E546" s="2835" t="s">
        <v>9675</v>
      </c>
      <c r="F546" s="2835" t="n">
        <v>0.0</v>
      </c>
      <c r="G546" s="2835" t="s">
        <v>7001</v>
      </c>
      <c r="H546" s="2835" t="s">
        <v>9627</v>
      </c>
      <c r="I546" s="2835" t="n">
        <v>825.6</v>
      </c>
      <c r="J546" s="2835"/>
      <c r="K546" s="2835"/>
      <c r="L546" s="2835"/>
      <c r="M546" s="2835"/>
      <c r="N546" s="2835"/>
    </row>
    <row r="547" spans="1:14" x14ac:dyDescent="0.15" ht="13.5" customHeight="true" hidden="false">
      <c r="A547" s="2835"/>
      <c r="B547" s="2835"/>
      <c r="C547" s="2835"/>
      <c r="D547" s="2835" t="s">
        <v>6959</v>
      </c>
      <c r="E547" s="2835" t="s">
        <v>9676</v>
      </c>
      <c r="F547" s="2835" t="n">
        <v>0.0</v>
      </c>
      <c r="G547" s="2835" t="s">
        <v>7001</v>
      </c>
      <c r="H547" s="2835" t="s">
        <v>9628</v>
      </c>
      <c r="I547" s="2835" t="n">
        <v>0.0</v>
      </c>
      <c r="J547" s="2835"/>
      <c r="K547" s="2835"/>
      <c r="L547" s="2835"/>
      <c r="M547" s="2835"/>
      <c r="N547" s="2835"/>
    </row>
    <row r="548" spans="1:14" x14ac:dyDescent="0.15" ht="13.5" customHeight="true" hidden="false">
      <c r="A548" s="2835"/>
      <c r="B548" s="2835"/>
      <c r="C548" s="2835"/>
      <c r="D548" s="2835" t="s">
        <v>6959</v>
      </c>
      <c r="E548" s="2835" t="s">
        <v>9677</v>
      </c>
      <c r="F548" s="2835" t="n">
        <v>0.0</v>
      </c>
      <c r="G548" s="2835" t="s">
        <v>7001</v>
      </c>
      <c r="H548" s="2835" t="s">
        <v>9629</v>
      </c>
      <c r="I548" s="2835" t="n">
        <v>0.0</v>
      </c>
      <c r="J548" s="2835"/>
      <c r="K548" s="2835"/>
      <c r="L548" s="2835"/>
      <c r="M548" s="2835"/>
      <c r="N548" s="2835"/>
    </row>
    <row r="549" spans="1:14" x14ac:dyDescent="0.15" ht="13.5" customHeight="true" hidden="false">
      <c r="A549" s="2835"/>
      <c r="B549" s="2835"/>
      <c r="C549" s="2835"/>
      <c r="D549" s="2835" t="s">
        <v>6959</v>
      </c>
      <c r="E549" s="2835" t="s">
        <v>9678</v>
      </c>
      <c r="F549" s="2835" t="n">
        <v>25.5</v>
      </c>
      <c r="G549" s="2835" t="s">
        <v>7001</v>
      </c>
      <c r="H549" s="2835" t="s">
        <v>9633</v>
      </c>
      <c r="I549" s="2835" t="n">
        <v>0.0</v>
      </c>
      <c r="J549" s="2835"/>
      <c r="K549" s="2835"/>
      <c r="L549" s="2835"/>
      <c r="M549" s="2835"/>
      <c r="N549" s="2835"/>
    </row>
    <row r="550" spans="1:14" x14ac:dyDescent="0.15" ht="13.5" customHeight="true" hidden="false">
      <c r="A550" s="2835"/>
      <c r="B550" s="2835"/>
      <c r="C550" s="2835"/>
      <c r="D550" s="2835" t="s">
        <v>6957</v>
      </c>
      <c r="E550" s="2835" t="s">
        <v>9618</v>
      </c>
      <c r="F550" s="2835" t="n">
        <v>2228.2</v>
      </c>
      <c r="G550" s="2835" t="s">
        <v>7001</v>
      </c>
      <c r="H550" s="2835" t="s">
        <v>9634</v>
      </c>
      <c r="I550" s="2835" t="n">
        <v>0.0</v>
      </c>
      <c r="J550" s="2835"/>
      <c r="K550" s="2835"/>
      <c r="L550" s="2835"/>
      <c r="M550" s="2835"/>
      <c r="N550" s="2835"/>
    </row>
    <row r="551" spans="1:14" x14ac:dyDescent="0.15" ht="13.5" customHeight="true" hidden="false">
      <c r="A551" s="2835"/>
      <c r="B551" s="2835"/>
      <c r="C551" s="2835"/>
      <c r="D551" s="2835" t="s">
        <v>6957</v>
      </c>
      <c r="E551" s="2835" t="s">
        <v>9619</v>
      </c>
      <c r="F551" s="2835" t="n">
        <v>1305.1</v>
      </c>
      <c r="G551" s="2835" t="s">
        <v>7001</v>
      </c>
      <c r="H551" s="2835" t="s">
        <v>9635</v>
      </c>
      <c r="I551" s="2835" t="n">
        <v>0.0</v>
      </c>
      <c r="J551" s="2835"/>
      <c r="K551" s="2835"/>
      <c r="L551" s="2835"/>
      <c r="M551" s="2835"/>
      <c r="N551" s="2835"/>
    </row>
    <row r="552" spans="1:14" x14ac:dyDescent="0.15" ht="13.5" customHeight="true" hidden="false">
      <c r="A552" s="2835"/>
      <c r="B552" s="2835"/>
      <c r="C552" s="2835"/>
      <c r="D552" s="2835" t="s">
        <v>6957</v>
      </c>
      <c r="E552" s="2835" t="s">
        <v>9620</v>
      </c>
      <c r="F552" s="2835" t="n">
        <v>0.0</v>
      </c>
      <c r="G552" s="2835" t="s">
        <v>7001</v>
      </c>
      <c r="H552" s="2835" t="s">
        <v>9636</v>
      </c>
      <c r="I552" s="2835" t="n">
        <v>0.0</v>
      </c>
      <c r="J552" s="2835"/>
      <c r="K552" s="2835"/>
      <c r="L552" s="2835"/>
      <c r="M552" s="2835"/>
      <c r="N552" s="2835"/>
    </row>
    <row r="553" spans="1:14" x14ac:dyDescent="0.15" ht="13.5" customHeight="true" hidden="false">
      <c r="A553" s="2835"/>
      <c r="B553" s="2835"/>
      <c r="C553" s="2835"/>
      <c r="D553" s="2835" t="s">
        <v>6957</v>
      </c>
      <c r="E553" s="2835" t="s">
        <v>9621</v>
      </c>
      <c r="F553" s="2835" t="n">
        <v>580.7</v>
      </c>
      <c r="G553" s="2835" t="s">
        <v>7001</v>
      </c>
      <c r="H553" s="2835" t="s">
        <v>9637</v>
      </c>
      <c r="I553" s="2835" t="n">
        <v>0.0</v>
      </c>
      <c r="J553" s="2835"/>
      <c r="K553" s="2835"/>
      <c r="L553" s="2835"/>
      <c r="M553" s="2835"/>
      <c r="N553" s="2835"/>
    </row>
    <row r="554" spans="1:14" x14ac:dyDescent="0.15" ht="13.5" customHeight="true" hidden="false">
      <c r="A554" s="2835"/>
      <c r="B554" s="2835"/>
      <c r="C554" s="2835"/>
      <c r="D554" s="2835" t="s">
        <v>6957</v>
      </c>
      <c r="E554" s="2835" t="s">
        <v>9622</v>
      </c>
      <c r="F554" s="2835" t="n">
        <v>210.4</v>
      </c>
      <c r="G554" s="2835" t="s">
        <v>7001</v>
      </c>
      <c r="H554" s="2835" t="s">
        <v>9638</v>
      </c>
      <c r="I554" s="2835" t="n">
        <v>0.0</v>
      </c>
      <c r="J554" s="2835"/>
      <c r="K554" s="2835"/>
      <c r="L554" s="2835"/>
      <c r="M554" s="2835"/>
      <c r="N554" s="2835"/>
    </row>
    <row r="555" spans="1:14" x14ac:dyDescent="0.15" ht="13.5" customHeight="true" hidden="false">
      <c r="A555" s="2835"/>
      <c r="B555" s="2835"/>
      <c r="C555" s="2835"/>
      <c r="D555" s="2835" t="s">
        <v>6957</v>
      </c>
      <c r="E555" s="2835" t="s">
        <v>9623</v>
      </c>
      <c r="F555" s="2835" t="n">
        <v>0.0</v>
      </c>
      <c r="G555" s="2835" t="s">
        <v>7001</v>
      </c>
      <c r="H555" s="2835" t="s">
        <v>9657</v>
      </c>
      <c r="I555" s="2835" t="n">
        <v>825.6</v>
      </c>
      <c r="J555" s="2835"/>
      <c r="K555" s="2835"/>
      <c r="L555" s="2835"/>
      <c r="M555" s="2835"/>
      <c r="N555" s="2835"/>
    </row>
    <row r="556" spans="1:14" x14ac:dyDescent="0.15" ht="13.5" customHeight="true" hidden="false">
      <c r="A556" s="2835"/>
      <c r="B556" s="2835"/>
      <c r="C556" s="2835"/>
      <c r="D556" s="2835" t="s">
        <v>6957</v>
      </c>
      <c r="E556" s="2835" t="s">
        <v>9624</v>
      </c>
      <c r="F556" s="2835" t="n">
        <v>580.7</v>
      </c>
      <c r="G556" s="2835" t="s">
        <v>7001</v>
      </c>
      <c r="H556" s="2835" t="s">
        <v>9659</v>
      </c>
      <c r="I556" s="2835" t="n">
        <v>0.0</v>
      </c>
      <c r="J556" s="2835"/>
      <c r="K556" s="2835"/>
      <c r="L556" s="2835"/>
      <c r="M556" s="2835"/>
      <c r="N556" s="2835"/>
    </row>
    <row r="557" spans="1:14" x14ac:dyDescent="0.15" ht="13.5" customHeight="true" hidden="false">
      <c r="A557" s="2835"/>
      <c r="B557" s="2835"/>
      <c r="C557" s="2835"/>
      <c r="D557" s="2835" t="s">
        <v>6957</v>
      </c>
      <c r="E557" s="2835" t="s">
        <v>9625</v>
      </c>
      <c r="F557" s="2835" t="n">
        <v>620.2</v>
      </c>
      <c r="G557" s="2835" t="s">
        <v>7001</v>
      </c>
      <c r="H557" s="2835" t="s">
        <v>9661</v>
      </c>
      <c r="I557" s="2835" t="n">
        <v>0.0</v>
      </c>
      <c r="J557" s="2835"/>
      <c r="K557" s="2835"/>
      <c r="L557" s="2835"/>
      <c r="M557" s="2835"/>
      <c r="N557" s="2835"/>
    </row>
    <row r="558" spans="1:14" x14ac:dyDescent="0.15" ht="13.5" customHeight="true" hidden="false">
      <c r="A558" s="2835"/>
      <c r="B558" s="2835"/>
      <c r="C558" s="2835"/>
      <c r="D558" s="2835" t="s">
        <v>6957</v>
      </c>
      <c r="E558" s="2835" t="s">
        <v>9626</v>
      </c>
      <c r="F558" s="2835" t="n">
        <v>210.4</v>
      </c>
      <c r="G558" s="2835" t="s">
        <v>7001</v>
      </c>
      <c r="H558" s="2835" t="s">
        <v>9663</v>
      </c>
      <c r="I558" s="2835" t="n">
        <v>0.0</v>
      </c>
      <c r="J558" s="2835"/>
      <c r="K558" s="2835"/>
      <c r="L558" s="2835"/>
      <c r="M558" s="2835"/>
      <c r="N558" s="2835"/>
    </row>
    <row r="559" spans="1:14" x14ac:dyDescent="0.15" ht="13.5" customHeight="true" hidden="false">
      <c r="A559" s="2835"/>
      <c r="B559" s="2835"/>
      <c r="C559" s="2835"/>
      <c r="D559" s="2835" t="s">
        <v>6957</v>
      </c>
      <c r="E559" s="2835" t="s">
        <v>9627</v>
      </c>
      <c r="F559" s="2835" t="n">
        <v>52.0</v>
      </c>
      <c r="G559" s="2835" t="s">
        <v>7001</v>
      </c>
      <c r="H559" s="2835" t="s">
        <v>9665</v>
      </c>
      <c r="I559" s="2835" t="n">
        <v>0.0</v>
      </c>
      <c r="J559" s="2835"/>
      <c r="K559" s="2835"/>
      <c r="L559" s="2835"/>
      <c r="M559" s="2835"/>
      <c r="N559" s="2835"/>
    </row>
    <row r="560" spans="1:14" x14ac:dyDescent="0.15" ht="13.5" customHeight="true" hidden="false">
      <c r="A560" s="2835"/>
      <c r="B560" s="2835"/>
      <c r="C560" s="2835"/>
      <c r="D560" s="2835" t="s">
        <v>6957</v>
      </c>
      <c r="E560" s="2835" t="s">
        <v>9628</v>
      </c>
      <c r="F560" s="2835" t="n">
        <v>0.0</v>
      </c>
      <c r="G560" s="2835" t="s">
        <v>7001</v>
      </c>
      <c r="H560" s="2835" t="s">
        <v>9667</v>
      </c>
      <c r="I560" s="2835" t="n">
        <v>0.0</v>
      </c>
      <c r="J560" s="2835"/>
      <c r="K560" s="2835"/>
      <c r="L560" s="2835"/>
      <c r="M560" s="2835"/>
      <c r="N560" s="2835"/>
    </row>
    <row r="561" spans="1:14" x14ac:dyDescent="0.15" ht="13.5" customHeight="true" hidden="false">
      <c r="A561" s="2835"/>
      <c r="B561" s="2835"/>
      <c r="C561" s="2835"/>
      <c r="D561" s="2835" t="s">
        <v>6957</v>
      </c>
      <c r="E561" s="2835" t="s">
        <v>9629</v>
      </c>
      <c r="F561" s="2835" t="n">
        <v>363.1</v>
      </c>
      <c r="G561" s="2835" t="s">
        <v>7001</v>
      </c>
      <c r="H561" s="2835" t="s">
        <v>9669</v>
      </c>
      <c r="I561" s="2835" t="n">
        <v>0.0</v>
      </c>
      <c r="J561" s="2835"/>
      <c r="K561" s="2835"/>
      <c r="L561" s="2835"/>
      <c r="M561" s="2835"/>
      <c r="N561" s="2835"/>
    </row>
    <row r="562" spans="1:14" x14ac:dyDescent="0.15" ht="13.5" customHeight="true" hidden="false">
      <c r="A562" s="2835"/>
      <c r="B562" s="2835"/>
      <c r="C562" s="2835"/>
      <c r="D562" s="2835" t="s">
        <v>6957</v>
      </c>
      <c r="E562" s="2835" t="s">
        <v>9633</v>
      </c>
      <c r="F562" s="2835" t="n">
        <v>98.4</v>
      </c>
      <c r="G562" s="2835" t="s">
        <v>7001</v>
      </c>
      <c r="H562" s="2835" t="s">
        <v>9671</v>
      </c>
      <c r="I562" s="2835" t="n">
        <v>0.0</v>
      </c>
      <c r="J562" s="2835"/>
      <c r="K562" s="2835"/>
      <c r="L562" s="2835"/>
      <c r="M562" s="2835"/>
      <c r="N562" s="2835"/>
    </row>
    <row r="563" spans="1:14" x14ac:dyDescent="0.15" ht="13.5" customHeight="true" hidden="false">
      <c r="A563" s="2835"/>
      <c r="B563" s="2835"/>
      <c r="C563" s="2835"/>
      <c r="D563" s="2835" t="s">
        <v>6957</v>
      </c>
      <c r="E563" s="2835" t="s">
        <v>9634</v>
      </c>
      <c r="F563" s="2835" t="n">
        <v>176.3</v>
      </c>
      <c r="G563" s="2835" t="s">
        <v>7001</v>
      </c>
      <c r="H563" s="2835" t="s">
        <v>9673</v>
      </c>
      <c r="I563" s="2835" t="n">
        <v>0.0</v>
      </c>
      <c r="J563" s="2835"/>
      <c r="K563" s="2835"/>
      <c r="L563" s="2835"/>
      <c r="M563" s="2835"/>
      <c r="N563" s="2835"/>
    </row>
    <row r="564" spans="1:14" x14ac:dyDescent="0.15" ht="13.5" customHeight="true" hidden="false">
      <c r="A564" s="2835"/>
      <c r="B564" s="2835"/>
      <c r="C564" s="2835"/>
      <c r="D564" s="2835" t="s">
        <v>6957</v>
      </c>
      <c r="E564" s="2835" t="s">
        <v>9635</v>
      </c>
      <c r="F564" s="2835" t="n">
        <v>22.9</v>
      </c>
      <c r="G564" s="2835" t="s">
        <v>7001</v>
      </c>
      <c r="H564" s="2835" t="s">
        <v>9674</v>
      </c>
      <c r="I564" s="2835" t="n">
        <v>0.0</v>
      </c>
      <c r="J564" s="2835"/>
      <c r="K564" s="2835"/>
      <c r="L564" s="2835"/>
      <c r="M564" s="2835"/>
      <c r="N564" s="2835"/>
    </row>
    <row r="565" spans="1:14" x14ac:dyDescent="0.15" ht="13.5" customHeight="true" hidden="false">
      <c r="A565" s="2835"/>
      <c r="B565" s="2835"/>
      <c r="C565" s="2835"/>
      <c r="D565" s="2835" t="s">
        <v>6957</v>
      </c>
      <c r="E565" s="2835" t="s">
        <v>9636</v>
      </c>
      <c r="F565" s="2835" t="n">
        <v>1305.1</v>
      </c>
      <c r="G565" s="2835" t="s">
        <v>7001</v>
      </c>
      <c r="H565" s="2835" t="s">
        <v>9675</v>
      </c>
      <c r="I565" s="2835" t="n">
        <v>0.0</v>
      </c>
      <c r="J565" s="2835"/>
      <c r="K565" s="2835"/>
      <c r="L565" s="2835"/>
      <c r="M565" s="2835"/>
      <c r="N565" s="2835"/>
    </row>
    <row r="566" spans="1:14" x14ac:dyDescent="0.15" ht="13.5" customHeight="true" hidden="false">
      <c r="A566" s="2835"/>
      <c r="B566" s="2835"/>
      <c r="C566" s="2835"/>
      <c r="D566" s="2835" t="s">
        <v>6957</v>
      </c>
      <c r="E566" s="2835" t="s">
        <v>9637</v>
      </c>
      <c r="F566" s="2835" t="n">
        <v>0.0</v>
      </c>
      <c r="G566" s="2835" t="s">
        <v>7001</v>
      </c>
      <c r="H566" s="2835" t="s">
        <v>9676</v>
      </c>
      <c r="I566" s="2835" t="n">
        <v>0.0</v>
      </c>
      <c r="J566" s="2835"/>
      <c r="K566" s="2835"/>
      <c r="L566" s="2835"/>
      <c r="M566" s="2835"/>
      <c r="N566" s="2835"/>
    </row>
    <row r="567" spans="1:14" x14ac:dyDescent="0.15" ht="13.5" customHeight="true" hidden="false">
      <c r="A567" s="2835"/>
      <c r="B567" s="2835"/>
      <c r="C567" s="2835"/>
      <c r="D567" s="2835" t="s">
        <v>6957</v>
      </c>
      <c r="E567" s="2835" t="s">
        <v>9638</v>
      </c>
      <c r="F567" s="2835" t="n">
        <v>0.0</v>
      </c>
      <c r="G567" s="2835" t="s">
        <v>7001</v>
      </c>
      <c r="H567" s="2835" t="s">
        <v>9677</v>
      </c>
      <c r="I567" s="2835" t="n">
        <v>0.0</v>
      </c>
      <c r="J567" s="2835"/>
      <c r="K567" s="2835"/>
      <c r="L567" s="2835"/>
      <c r="M567" s="2835"/>
      <c r="N567" s="2835"/>
    </row>
    <row r="568" spans="1:14" x14ac:dyDescent="0.15" ht="13.5" customHeight="true" hidden="false">
      <c r="A568" s="2835"/>
      <c r="B568" s="2835"/>
      <c r="C568" s="2835"/>
      <c r="D568" s="2835" t="s">
        <v>6957</v>
      </c>
      <c r="E568" s="2835" t="s">
        <v>9657</v>
      </c>
      <c r="F568" s="2835" t="n">
        <v>620.2</v>
      </c>
      <c r="G568" s="2835" t="s">
        <v>7001</v>
      </c>
      <c r="H568" s="2835" t="s">
        <v>9678</v>
      </c>
      <c r="I568" s="2835" t="n">
        <v>0.0</v>
      </c>
      <c r="J568" s="2835"/>
      <c r="K568" s="2835"/>
      <c r="L568" s="2835"/>
      <c r="M568" s="2835"/>
      <c r="N568" s="2835"/>
    </row>
    <row r="569" spans="1:14" x14ac:dyDescent="0.15" ht="13.5" customHeight="true" hidden="false">
      <c r="A569" s="2835"/>
      <c r="B569" s="2835"/>
      <c r="C569" s="2835"/>
      <c r="D569" s="2835" t="s">
        <v>6957</v>
      </c>
      <c r="E569" s="2835" t="s">
        <v>9659</v>
      </c>
      <c r="F569" s="2835" t="n">
        <v>52.0</v>
      </c>
      <c r="G569" s="2835" t="s">
        <v>7001</v>
      </c>
      <c r="H569" s="2835" t="s">
        <v>9679</v>
      </c>
      <c r="I569" s="2835" t="n">
        <v>0.0</v>
      </c>
      <c r="J569" s="2835"/>
      <c r="K569" s="2835"/>
      <c r="L569" s="2835"/>
      <c r="M569" s="2835"/>
      <c r="N569" s="2835"/>
    </row>
    <row r="570" spans="1:14" x14ac:dyDescent="0.15" ht="13.5" customHeight="true" hidden="false">
      <c r="A570" s="2835"/>
      <c r="B570" s="2835"/>
      <c r="C570" s="2835"/>
      <c r="D570" s="2835" t="s">
        <v>6957</v>
      </c>
      <c r="E570" s="2835" t="s">
        <v>9661</v>
      </c>
      <c r="F570" s="2835" t="n">
        <v>303.5</v>
      </c>
      <c r="G570" s="2835" t="s">
        <v>7001</v>
      </c>
      <c r="H570" s="2835" t="s">
        <v>9680</v>
      </c>
      <c r="I570" s="2835" t="n">
        <v>0.0</v>
      </c>
      <c r="J570" s="2835"/>
      <c r="K570" s="2835"/>
      <c r="L570" s="2835"/>
      <c r="M570" s="2835"/>
      <c r="N570" s="2835"/>
    </row>
    <row r="571" spans="1:14" x14ac:dyDescent="0.15" ht="13.5" customHeight="true" hidden="false">
      <c r="A571" s="2835"/>
      <c r="B571" s="2835"/>
      <c r="C571" s="2835"/>
      <c r="D571" s="2835" t="s">
        <v>6957</v>
      </c>
      <c r="E571" s="2835" t="s">
        <v>9663</v>
      </c>
      <c r="F571" s="2835" t="n">
        <v>176.3</v>
      </c>
      <c r="G571" s="2835" t="s">
        <v>7001</v>
      </c>
      <c r="H571" s="2835" t="s">
        <v>9681</v>
      </c>
      <c r="I571" s="2835" t="n">
        <v>0.0</v>
      </c>
      <c r="J571" s="2835"/>
      <c r="K571" s="2835"/>
      <c r="L571" s="2835"/>
      <c r="M571" s="2835"/>
      <c r="N571" s="2835"/>
    </row>
    <row r="572" spans="1:14" x14ac:dyDescent="0.15" ht="13.5" customHeight="true" hidden="false">
      <c r="A572" s="2835"/>
      <c r="B572" s="2835"/>
      <c r="C572" s="2835"/>
      <c r="D572" s="2835" t="s">
        <v>6957</v>
      </c>
      <c r="E572" s="2835" t="s">
        <v>9665</v>
      </c>
      <c r="F572" s="2835" t="n">
        <v>363.1</v>
      </c>
      <c r="G572" s="2835" t="s">
        <v>7001</v>
      </c>
      <c r="H572" s="2835" t="s">
        <v>9682</v>
      </c>
      <c r="I572" s="2835" t="n">
        <v>0.0</v>
      </c>
      <c r="J572" s="2835"/>
      <c r="K572" s="2835"/>
      <c r="L572" s="2835"/>
      <c r="M572" s="2835"/>
      <c r="N572" s="2835"/>
    </row>
    <row r="573" spans="1:14" x14ac:dyDescent="0.15" ht="13.5" customHeight="true" hidden="false">
      <c r="A573" s="2835"/>
      <c r="B573" s="2835"/>
      <c r="C573" s="2835"/>
      <c r="D573" s="2835" t="s">
        <v>6957</v>
      </c>
      <c r="E573" s="2835" t="s">
        <v>9667</v>
      </c>
      <c r="F573" s="2835" t="n">
        <v>0.0</v>
      </c>
      <c r="G573" s="2835" t="s">
        <v>7001</v>
      </c>
      <c r="H573" s="2835" t="s">
        <v>9683</v>
      </c>
      <c r="I573" s="2835" t="n">
        <v>0.0</v>
      </c>
      <c r="J573" s="2835"/>
      <c r="K573" s="2835"/>
      <c r="L573" s="2835"/>
      <c r="M573" s="2835"/>
      <c r="N573" s="2835"/>
    </row>
    <row r="574" spans="1:14" x14ac:dyDescent="0.15" ht="13.5" customHeight="true" hidden="false">
      <c r="A574" s="2835"/>
      <c r="B574" s="2835"/>
      <c r="C574" s="2835"/>
      <c r="D574" s="2835" t="s">
        <v>6957</v>
      </c>
      <c r="E574" s="2835" t="s">
        <v>9669</v>
      </c>
      <c r="F574" s="2835" t="n">
        <v>0.0</v>
      </c>
      <c r="G574" s="2835" t="s">
        <v>7001</v>
      </c>
      <c r="H574" s="2835" t="s">
        <v>9684</v>
      </c>
      <c r="I574" s="2835" t="n">
        <v>0.0</v>
      </c>
      <c r="J574" s="2835"/>
      <c r="K574" s="2835"/>
      <c r="L574" s="2835"/>
      <c r="M574" s="2835"/>
      <c r="N574" s="2835"/>
    </row>
    <row r="575" spans="1:14" x14ac:dyDescent="0.15" ht="13.5" customHeight="true" hidden="false">
      <c r="A575" s="2835"/>
      <c r="B575" s="2835"/>
      <c r="C575" s="2835"/>
      <c r="D575" s="2835" t="s">
        <v>6957</v>
      </c>
      <c r="E575" s="2835" t="s">
        <v>9671</v>
      </c>
      <c r="F575" s="2835" t="n">
        <v>0.0</v>
      </c>
      <c r="G575" s="2835" t="s">
        <v>7001</v>
      </c>
      <c r="H575" s="2835" t="s">
        <v>9685</v>
      </c>
      <c r="I575" s="2835" t="n">
        <v>0.0</v>
      </c>
      <c r="J575" s="2835"/>
      <c r="K575" s="2835"/>
      <c r="L575" s="2835"/>
      <c r="M575" s="2835"/>
      <c r="N575" s="2835"/>
    </row>
    <row r="576" spans="1:14" x14ac:dyDescent="0.15" ht="13.5" customHeight="true" hidden="false">
      <c r="A576" s="2835"/>
      <c r="B576" s="2835"/>
      <c r="C576" s="2835"/>
      <c r="D576" s="2835" t="s">
        <v>6957</v>
      </c>
      <c r="E576" s="2835" t="s">
        <v>9673</v>
      </c>
      <c r="F576" s="2835" t="n">
        <v>0.0</v>
      </c>
      <c r="G576" s="2835" t="s">
        <v>7001</v>
      </c>
      <c r="H576" s="2835" t="s">
        <v>9686</v>
      </c>
      <c r="I576" s="2835" t="n">
        <v>0.0</v>
      </c>
      <c r="J576" s="2835"/>
      <c r="K576" s="2835"/>
      <c r="L576" s="2835"/>
      <c r="M576" s="2835"/>
      <c r="N576" s="2835"/>
    </row>
    <row r="577" spans="1:14" x14ac:dyDescent="0.15" ht="13.5" customHeight="true" hidden="false">
      <c r="A577" s="2835"/>
      <c r="B577" s="2835"/>
      <c r="C577" s="2835"/>
      <c r="D577" s="2835" t="s">
        <v>6957</v>
      </c>
      <c r="E577" s="2835" t="s">
        <v>9674</v>
      </c>
      <c r="F577" s="2835" t="n">
        <v>78.4</v>
      </c>
      <c r="G577" s="2835" t="s">
        <v>7001</v>
      </c>
      <c r="H577" s="2835" t="s">
        <v>9687</v>
      </c>
      <c r="I577" s="2835" t="n">
        <v>0.0</v>
      </c>
      <c r="J577" s="2835"/>
      <c r="K577" s="2835"/>
      <c r="L577" s="2835"/>
      <c r="M577" s="2835"/>
      <c r="N577" s="2835"/>
    </row>
    <row r="578" spans="1:14" x14ac:dyDescent="0.15" ht="13.5" customHeight="true" hidden="false">
      <c r="A578" s="2835"/>
      <c r="B578" s="2835"/>
      <c r="C578" s="2835"/>
      <c r="D578" s="2835" t="s">
        <v>6957</v>
      </c>
      <c r="E578" s="2835" t="s">
        <v>9675</v>
      </c>
      <c r="F578" s="2835" t="n">
        <v>78.4</v>
      </c>
      <c r="G578" s="2835" t="s">
        <v>7001</v>
      </c>
      <c r="H578" s="2835" t="s">
        <v>9688</v>
      </c>
      <c r="I578" s="2835" t="n">
        <v>0.0</v>
      </c>
      <c r="J578" s="2835"/>
      <c r="K578" s="2835"/>
      <c r="L578" s="2835"/>
      <c r="M578" s="2835"/>
      <c r="N578" s="2835"/>
    </row>
    <row r="579" spans="1:14" x14ac:dyDescent="0.15" ht="13.5" customHeight="true" hidden="false">
      <c r="A579" s="2835"/>
      <c r="B579" s="2835"/>
      <c r="C579" s="2835"/>
      <c r="D579" s="2835" t="s">
        <v>6957</v>
      </c>
      <c r="E579" s="2835" t="s">
        <v>9676</v>
      </c>
      <c r="F579" s="2835" t="n">
        <v>0.0</v>
      </c>
      <c r="G579" s="2835" t="s">
        <v>7001</v>
      </c>
      <c r="H579" s="2835" t="s">
        <v>9689</v>
      </c>
      <c r="I579" s="2835" t="n">
        <v>0.0</v>
      </c>
      <c r="J579" s="2835"/>
      <c r="K579" s="2835"/>
      <c r="L579" s="2835"/>
      <c r="M579" s="2835"/>
      <c r="N579" s="2835"/>
    </row>
    <row r="580" spans="1:14" x14ac:dyDescent="0.15" ht="13.5" customHeight="true" hidden="false">
      <c r="A580" s="2835"/>
      <c r="B580" s="2835"/>
      <c r="C580" s="2835"/>
      <c r="D580" s="2835" t="s">
        <v>6960</v>
      </c>
      <c r="E580" s="2835" t="s">
        <v>9618</v>
      </c>
      <c r="F580" s="2835" t="n">
        <v>1683.1</v>
      </c>
      <c r="G580" s="2835" t="s">
        <v>7001</v>
      </c>
      <c r="H580" s="2835" t="s">
        <v>9690</v>
      </c>
      <c r="I580" s="2835" t="n">
        <v>0.0</v>
      </c>
      <c r="J580" s="2835"/>
      <c r="K580" s="2835"/>
      <c r="L580" s="2835"/>
      <c r="M580" s="2835"/>
      <c r="N580" s="2835"/>
    </row>
    <row r="581" spans="1:14" x14ac:dyDescent="0.15" ht="13.5" customHeight="true" hidden="false">
      <c r="A581" s="2835"/>
      <c r="B581" s="2835"/>
      <c r="C581" s="2835"/>
      <c r="D581" s="2835" t="s">
        <v>6960</v>
      </c>
      <c r="E581" s="2835" t="s">
        <v>9619</v>
      </c>
      <c r="F581" s="2835" t="n">
        <v>1289.6</v>
      </c>
      <c r="G581" s="2835" t="s">
        <v>7001</v>
      </c>
      <c r="H581" s="2835" t="s">
        <v>9691</v>
      </c>
      <c r="I581" s="2835" t="n">
        <v>0.0</v>
      </c>
      <c r="J581" s="2835"/>
      <c r="K581" s="2835"/>
      <c r="L581" s="2835"/>
      <c r="M581" s="2835"/>
      <c r="N581" s="2835"/>
    </row>
    <row r="582" spans="1:14" x14ac:dyDescent="0.15" ht="13.5" customHeight="true" hidden="false">
      <c r="A582" s="2835"/>
      <c r="B582" s="2835"/>
      <c r="C582" s="2835"/>
      <c r="D582" s="2835" t="s">
        <v>6960</v>
      </c>
      <c r="E582" s="2835" t="s">
        <v>9620</v>
      </c>
      <c r="F582" s="2835" t="n">
        <v>0.0</v>
      </c>
      <c r="G582" s="2835" t="s">
        <v>7001</v>
      </c>
      <c r="H582" s="2835" t="s">
        <v>9692</v>
      </c>
      <c r="I582" s="2835" t="n">
        <v>0.0</v>
      </c>
      <c r="J582" s="2835"/>
      <c r="K582" s="2835"/>
      <c r="L582" s="2835"/>
      <c r="M582" s="2835"/>
      <c r="N582" s="2835"/>
    </row>
    <row r="583" spans="1:14" x14ac:dyDescent="0.15" ht="13.5" customHeight="true" hidden="false">
      <c r="A583" s="2835"/>
      <c r="B583" s="2835"/>
      <c r="C583" s="2835"/>
      <c r="D583" s="2835" t="s">
        <v>6960</v>
      </c>
      <c r="E583" s="2835" t="s">
        <v>9621</v>
      </c>
      <c r="F583" s="2835" t="n">
        <v>621.2</v>
      </c>
      <c r="G583" s="2835" t="s">
        <v>7001</v>
      </c>
      <c r="H583" s="2835" t="s">
        <v>9693</v>
      </c>
      <c r="I583" s="2835" t="n">
        <v>0.0</v>
      </c>
      <c r="J583" s="2835"/>
      <c r="K583" s="2835"/>
      <c r="L583" s="2835"/>
      <c r="M583" s="2835"/>
      <c r="N583" s="2835"/>
    </row>
    <row r="584" spans="1:14" x14ac:dyDescent="0.15" ht="13.5" customHeight="true" hidden="false">
      <c r="A584" s="2835"/>
      <c r="B584" s="2835"/>
      <c r="C584" s="2835"/>
      <c r="D584" s="2835" t="s">
        <v>6960</v>
      </c>
      <c r="E584" s="2835" t="s">
        <v>9622</v>
      </c>
      <c r="F584" s="2835" t="n">
        <v>220.5</v>
      </c>
      <c r="G584" s="2835" t="s">
        <v>7001</v>
      </c>
      <c r="H584" s="2835" t="s">
        <v>9694</v>
      </c>
      <c r="I584" s="2835" t="n">
        <v>0.0</v>
      </c>
      <c r="J584" s="2835"/>
      <c r="K584" s="2835"/>
      <c r="L584" s="2835"/>
      <c r="M584" s="2835"/>
      <c r="N584" s="2835"/>
    </row>
    <row r="585" spans="1:14" x14ac:dyDescent="0.15" ht="13.5" customHeight="true" hidden="false">
      <c r="A585" s="2835"/>
      <c r="B585" s="2835"/>
      <c r="C585" s="2835"/>
      <c r="D585" s="2835" t="s">
        <v>6960</v>
      </c>
      <c r="E585" s="2835" t="s">
        <v>9623</v>
      </c>
      <c r="F585" s="2835" t="n">
        <v>0.0</v>
      </c>
      <c r="G585" s="2835" t="s">
        <v>7001</v>
      </c>
      <c r="H585" s="2835" t="s">
        <v>9695</v>
      </c>
      <c r="I585" s="2835" t="n">
        <v>0.0</v>
      </c>
      <c r="J585" s="2835"/>
      <c r="K585" s="2835"/>
      <c r="L585" s="2835"/>
      <c r="M585" s="2835"/>
      <c r="N585" s="2835"/>
    </row>
    <row r="586" spans="1:14" x14ac:dyDescent="0.15" ht="13.5" customHeight="true" hidden="false">
      <c r="A586" s="2835"/>
      <c r="B586" s="2835"/>
      <c r="C586" s="2835"/>
      <c r="D586" s="2835" t="s">
        <v>6960</v>
      </c>
      <c r="E586" s="2835" t="s">
        <v>9624</v>
      </c>
      <c r="F586" s="2835" t="n">
        <v>621.2</v>
      </c>
      <c r="G586" s="2835" t="s">
        <v>7001</v>
      </c>
      <c r="H586" s="2835" t="s">
        <v>9696</v>
      </c>
      <c r="I586" s="2835" t="n">
        <v>0.0</v>
      </c>
      <c r="J586" s="2835"/>
      <c r="K586" s="2835"/>
      <c r="L586" s="2835"/>
      <c r="M586" s="2835"/>
      <c r="N586" s="2835"/>
    </row>
    <row r="587" spans="1:14" x14ac:dyDescent="0.15" ht="13.5" customHeight="true" hidden="false">
      <c r="A587" s="2835"/>
      <c r="B587" s="2835"/>
      <c r="C587" s="2835"/>
      <c r="D587" s="2835" t="s">
        <v>6960</v>
      </c>
      <c r="E587" s="2835" t="s">
        <v>9625</v>
      </c>
      <c r="F587" s="2835" t="n">
        <v>669.9</v>
      </c>
      <c r="G587" s="2835" t="s">
        <v>7002</v>
      </c>
      <c r="H587" s="2835" t="s">
        <v>9618</v>
      </c>
      <c r="I587" s="2835" t="n">
        <v>0.0</v>
      </c>
      <c r="J587" s="2835"/>
      <c r="K587" s="2835"/>
      <c r="L587" s="2835"/>
      <c r="M587" s="2835"/>
      <c r="N587" s="2835"/>
    </row>
    <row r="588" spans="1:14" x14ac:dyDescent="0.15" ht="13.5" customHeight="true" hidden="false">
      <c r="A588" s="2835"/>
      <c r="B588" s="2835"/>
      <c r="C588" s="2835"/>
      <c r="D588" s="2835" t="s">
        <v>6960</v>
      </c>
      <c r="E588" s="2835" t="s">
        <v>9626</v>
      </c>
      <c r="F588" s="2835" t="n">
        <v>249.6</v>
      </c>
      <c r="G588" s="2835" t="s">
        <v>7002</v>
      </c>
      <c r="H588" s="2835" t="s">
        <v>9619</v>
      </c>
      <c r="I588" s="2835" t="n">
        <v>0.0</v>
      </c>
      <c r="J588" s="2835"/>
      <c r="K588" s="2835"/>
      <c r="L588" s="2835"/>
      <c r="M588" s="2835"/>
      <c r="N588" s="2835"/>
    </row>
    <row r="589" spans="1:14" x14ac:dyDescent="0.15" ht="13.5" customHeight="true" hidden="false">
      <c r="A589" s="2835"/>
      <c r="B589" s="2835"/>
      <c r="C589" s="2835"/>
      <c r="D589" s="2835" t="s">
        <v>6960</v>
      </c>
      <c r="E589" s="2835" t="s">
        <v>9627</v>
      </c>
      <c r="F589" s="2835" t="n">
        <v>1.3</v>
      </c>
      <c r="G589" s="2835" t="s">
        <v>7002</v>
      </c>
      <c r="H589" s="2835" t="s">
        <v>9620</v>
      </c>
      <c r="I589" s="2835" t="n">
        <v>0.0</v>
      </c>
      <c r="J589" s="2835"/>
      <c r="K589" s="2835"/>
      <c r="L589" s="2835"/>
      <c r="M589" s="2835"/>
      <c r="N589" s="2835"/>
    </row>
    <row r="590" spans="1:14" x14ac:dyDescent="0.15" ht="13.5" customHeight="true" hidden="false">
      <c r="A590" s="2835"/>
      <c r="B590" s="2835"/>
      <c r="C590" s="2835"/>
      <c r="D590" s="2835" t="s">
        <v>6960</v>
      </c>
      <c r="E590" s="2835" t="s">
        <v>9628</v>
      </c>
      <c r="F590" s="2835" t="n">
        <v>51.6</v>
      </c>
      <c r="G590" s="2835" t="s">
        <v>7002</v>
      </c>
      <c r="H590" s="2835" t="s">
        <v>9621</v>
      </c>
      <c r="I590" s="2835" t="n">
        <v>0.0</v>
      </c>
      <c r="J590" s="2835"/>
      <c r="K590" s="2835"/>
      <c r="L590" s="2835"/>
      <c r="M590" s="2835"/>
      <c r="N590" s="2835"/>
    </row>
    <row r="591" spans="1:14" x14ac:dyDescent="0.15" ht="13.5" customHeight="true" hidden="false">
      <c r="A591" s="2835"/>
      <c r="B591" s="2835"/>
      <c r="C591" s="2835"/>
      <c r="D591" s="2835" t="s">
        <v>6960</v>
      </c>
      <c r="E591" s="2835" t="s">
        <v>9629</v>
      </c>
      <c r="F591" s="2835" t="n">
        <v>319.2</v>
      </c>
      <c r="G591" s="2835" t="s">
        <v>7002</v>
      </c>
      <c r="H591" s="2835" t="s">
        <v>9622</v>
      </c>
      <c r="I591" s="2835" t="n">
        <v>0.0</v>
      </c>
      <c r="J591" s="2835"/>
      <c r="K591" s="2835"/>
      <c r="L591" s="2835"/>
      <c r="M591" s="2835"/>
      <c r="N591" s="2835"/>
    </row>
    <row r="592" spans="1:14" x14ac:dyDescent="0.15" ht="13.5" customHeight="true" hidden="false">
      <c r="A592" s="2835"/>
      <c r="B592" s="2835"/>
      <c r="C592" s="2835"/>
      <c r="D592" s="2835" t="s">
        <v>6960</v>
      </c>
      <c r="E592" s="2835" t="s">
        <v>9633</v>
      </c>
      <c r="F592" s="2835" t="n">
        <v>258.3</v>
      </c>
      <c r="G592" s="2835" t="s">
        <v>7002</v>
      </c>
      <c r="H592" s="2835" t="s">
        <v>9623</v>
      </c>
      <c r="I592" s="2835" t="n">
        <v>0.0</v>
      </c>
      <c r="J592" s="2835"/>
      <c r="K592" s="2835"/>
      <c r="L592" s="2835"/>
      <c r="M592" s="2835"/>
      <c r="N592" s="2835"/>
    </row>
    <row r="593" spans="1:14" x14ac:dyDescent="0.15" ht="13.5" customHeight="true" hidden="false">
      <c r="A593" s="2835"/>
      <c r="B593" s="2835"/>
      <c r="C593" s="2835"/>
      <c r="D593" s="2835" t="s">
        <v>6960</v>
      </c>
      <c r="E593" s="2835" t="s">
        <v>9634</v>
      </c>
      <c r="F593" s="2835" t="n">
        <v>232.9</v>
      </c>
      <c r="G593" s="2835" t="s">
        <v>7002</v>
      </c>
      <c r="H593" s="2835" t="s">
        <v>9624</v>
      </c>
      <c r="I593" s="2835" t="n">
        <v>0.0</v>
      </c>
      <c r="J593" s="2835"/>
      <c r="K593" s="2835"/>
      <c r="L593" s="2835"/>
      <c r="M593" s="2835"/>
      <c r="N593" s="2835"/>
    </row>
    <row r="594" spans="1:14" x14ac:dyDescent="0.15" ht="13.5" customHeight="true" hidden="false">
      <c r="A594" s="2835"/>
      <c r="B594" s="2835"/>
      <c r="C594" s="2835"/>
      <c r="D594" s="2835" t="s">
        <v>6960</v>
      </c>
      <c r="E594" s="2835" t="s">
        <v>9635</v>
      </c>
      <c r="F594" s="2835" t="n">
        <v>392.5</v>
      </c>
      <c r="G594" s="2835" t="s">
        <v>7002</v>
      </c>
      <c r="H594" s="2835" t="s">
        <v>9625</v>
      </c>
      <c r="I594" s="2835" t="n">
        <v>0.0</v>
      </c>
      <c r="J594" s="2835"/>
      <c r="K594" s="2835"/>
      <c r="L594" s="2835"/>
      <c r="M594" s="2835"/>
      <c r="N594" s="2835"/>
    </row>
    <row r="595" spans="1:14" x14ac:dyDescent="0.15" ht="13.5" customHeight="true" hidden="false">
      <c r="A595" s="2835"/>
      <c r="B595" s="2835"/>
      <c r="C595" s="2835"/>
      <c r="D595" s="2835" t="s">
        <v>6960</v>
      </c>
      <c r="E595" s="2835" t="s">
        <v>9636</v>
      </c>
      <c r="F595" s="2835" t="n">
        <v>1289.6</v>
      </c>
      <c r="G595" s="2835" t="s">
        <v>7002</v>
      </c>
      <c r="H595" s="2835" t="s">
        <v>9626</v>
      </c>
      <c r="I595" s="2835" t="n">
        <v>0.0</v>
      </c>
      <c r="J595" s="2835"/>
      <c r="K595" s="2835"/>
      <c r="L595" s="2835"/>
      <c r="M595" s="2835"/>
      <c r="N595" s="2835"/>
    </row>
    <row r="596" spans="1:14" x14ac:dyDescent="0.15" ht="13.5" customHeight="true" hidden="false">
      <c r="A596" s="2835"/>
      <c r="B596" s="2835"/>
      <c r="C596" s="2835"/>
      <c r="D596" s="2835" t="s">
        <v>6960</v>
      </c>
      <c r="E596" s="2835" t="s">
        <v>9637</v>
      </c>
      <c r="F596" s="2835" t="n">
        <v>249.6</v>
      </c>
      <c r="G596" s="2835" t="s">
        <v>7002</v>
      </c>
      <c r="H596" s="2835" t="s">
        <v>9627</v>
      </c>
      <c r="I596" s="2835" t="n">
        <v>825.7</v>
      </c>
      <c r="J596" s="2835"/>
      <c r="K596" s="2835"/>
      <c r="L596" s="2835"/>
      <c r="M596" s="2835"/>
      <c r="N596" s="2835"/>
    </row>
    <row r="597" spans="1:14" x14ac:dyDescent="0.15" ht="13.5" customHeight="true" hidden="false">
      <c r="A597" s="2835"/>
      <c r="B597" s="2835"/>
      <c r="C597" s="2835"/>
      <c r="D597" s="2835" t="s">
        <v>6960</v>
      </c>
      <c r="E597" s="2835" t="s">
        <v>9638</v>
      </c>
      <c r="F597" s="2835" t="n">
        <v>0.0</v>
      </c>
      <c r="G597" s="2835" t="s">
        <v>7002</v>
      </c>
      <c r="H597" s="2835" t="s">
        <v>9628</v>
      </c>
      <c r="I597" s="2835" t="n">
        <v>0.0</v>
      </c>
      <c r="J597" s="2835"/>
      <c r="K597" s="2835"/>
      <c r="L597" s="2835"/>
      <c r="M597" s="2835"/>
      <c r="N597" s="2835"/>
    </row>
    <row r="598" spans="1:14" x14ac:dyDescent="0.15" ht="13.5" customHeight="true" hidden="false">
      <c r="A598" s="2835"/>
      <c r="B598" s="2835"/>
      <c r="C598" s="2835"/>
      <c r="D598" s="2835" t="s">
        <v>6960</v>
      </c>
      <c r="E598" s="2835" t="s">
        <v>9657</v>
      </c>
      <c r="F598" s="2835" t="n">
        <v>669.9</v>
      </c>
      <c r="G598" s="2835" t="s">
        <v>7002</v>
      </c>
      <c r="H598" s="2835" t="s">
        <v>9629</v>
      </c>
      <c r="I598" s="2835" t="n">
        <v>0.0</v>
      </c>
      <c r="J598" s="2835"/>
      <c r="K598" s="2835"/>
      <c r="L598" s="2835"/>
      <c r="M598" s="2835"/>
      <c r="N598" s="2835"/>
    </row>
    <row r="599" spans="1:14" x14ac:dyDescent="0.15" ht="13.5" customHeight="true" hidden="false">
      <c r="A599" s="2835"/>
      <c r="B599" s="2835"/>
      <c r="C599" s="2835"/>
      <c r="D599" s="2835" t="s">
        <v>6960</v>
      </c>
      <c r="E599" s="2835" t="s">
        <v>9659</v>
      </c>
      <c r="F599" s="2835" t="n">
        <v>80.1</v>
      </c>
      <c r="G599" s="2835" t="s">
        <v>7002</v>
      </c>
      <c r="H599" s="2835" t="s">
        <v>9633</v>
      </c>
      <c r="I599" s="2835" t="n">
        <v>0.0</v>
      </c>
      <c r="J599" s="2835"/>
      <c r="K599" s="2835"/>
      <c r="L599" s="2835"/>
      <c r="M599" s="2835"/>
      <c r="N599" s="2835"/>
    </row>
    <row r="600" spans="1:14" x14ac:dyDescent="0.15" ht="13.5" customHeight="true" hidden="false">
      <c r="A600" s="2835"/>
      <c r="B600" s="2835"/>
      <c r="C600" s="2835"/>
      <c r="D600" s="2835" t="s">
        <v>6960</v>
      </c>
      <c r="E600" s="2835" t="s">
        <v>9661</v>
      </c>
      <c r="F600" s="2835" t="n">
        <v>319.2</v>
      </c>
      <c r="G600" s="2835" t="s">
        <v>7002</v>
      </c>
      <c r="H600" s="2835" t="s">
        <v>9634</v>
      </c>
      <c r="I600" s="2835" t="n">
        <v>0.0</v>
      </c>
      <c r="J600" s="2835"/>
      <c r="K600" s="2835"/>
      <c r="L600" s="2835"/>
      <c r="M600" s="2835"/>
      <c r="N600" s="2835"/>
    </row>
    <row r="601" spans="1:14" x14ac:dyDescent="0.15" ht="13.5" customHeight="true" hidden="false">
      <c r="A601" s="2835"/>
      <c r="B601" s="2835"/>
      <c r="C601" s="2835"/>
      <c r="D601" s="2835" t="s">
        <v>6960</v>
      </c>
      <c r="E601" s="2835" t="s">
        <v>9663</v>
      </c>
      <c r="F601" s="2835" t="n">
        <v>204.0</v>
      </c>
      <c r="G601" s="2835" t="s">
        <v>7002</v>
      </c>
      <c r="H601" s="2835" t="s">
        <v>9635</v>
      </c>
      <c r="I601" s="2835" t="n">
        <v>0.0</v>
      </c>
      <c r="J601" s="2835"/>
      <c r="K601" s="2835"/>
      <c r="L601" s="2835"/>
      <c r="M601" s="2835"/>
      <c r="N601" s="2835"/>
    </row>
    <row r="602" spans="1:14" x14ac:dyDescent="0.15" ht="13.5" customHeight="true" hidden="false">
      <c r="A602" s="2835"/>
      <c r="B602" s="2835"/>
      <c r="C602" s="2835"/>
      <c r="D602" s="2835" t="s">
        <v>6960</v>
      </c>
      <c r="E602" s="2835" t="s">
        <v>9665</v>
      </c>
      <c r="F602" s="2835" t="n">
        <v>0.0</v>
      </c>
      <c r="G602" s="2835" t="s">
        <v>7002</v>
      </c>
      <c r="H602" s="2835" t="s">
        <v>9636</v>
      </c>
      <c r="I602" s="2835" t="n">
        <v>0.0</v>
      </c>
      <c r="J602" s="2835"/>
      <c r="K602" s="2835"/>
      <c r="L602" s="2835"/>
      <c r="M602" s="2835"/>
      <c r="N602" s="2835"/>
    </row>
    <row r="603" spans="1:14" x14ac:dyDescent="0.15" ht="13.5" customHeight="true" hidden="false">
      <c r="A603" s="2835"/>
      <c r="B603" s="2835"/>
      <c r="C603" s="2835"/>
      <c r="D603" s="2835" t="s">
        <v>6960</v>
      </c>
      <c r="E603" s="2835" t="s">
        <v>9667</v>
      </c>
      <c r="F603" s="2835" t="n">
        <v>219.9</v>
      </c>
      <c r="G603" s="2835" t="s">
        <v>7002</v>
      </c>
      <c r="H603" s="2835" t="s">
        <v>9637</v>
      </c>
      <c r="I603" s="2835" t="n">
        <v>0.0</v>
      </c>
      <c r="J603" s="2835"/>
      <c r="K603" s="2835"/>
      <c r="L603" s="2835"/>
      <c r="M603" s="2835"/>
      <c r="N603" s="2835"/>
    </row>
    <row r="604" spans="1:14" x14ac:dyDescent="0.15" ht="13.5" customHeight="true" hidden="false">
      <c r="A604" s="2835"/>
      <c r="B604" s="2835"/>
      <c r="C604" s="2835"/>
      <c r="D604" s="2835" t="s">
        <v>6960</v>
      </c>
      <c r="E604" s="2835" t="s">
        <v>9669</v>
      </c>
      <c r="F604" s="2835" t="n">
        <v>80.1</v>
      </c>
      <c r="G604" s="2835" t="s">
        <v>7002</v>
      </c>
      <c r="H604" s="2835" t="s">
        <v>9638</v>
      </c>
      <c r="I604" s="2835" t="n">
        <v>0.0</v>
      </c>
      <c r="J604" s="2835"/>
      <c r="K604" s="2835"/>
      <c r="L604" s="2835"/>
      <c r="M604" s="2835"/>
      <c r="N604" s="2835"/>
    </row>
    <row r="605" spans="1:14" x14ac:dyDescent="0.15" ht="13.5" customHeight="true" hidden="false">
      <c r="A605" s="2835"/>
      <c r="B605" s="2835"/>
      <c r="C605" s="2835"/>
      <c r="D605" s="2835" t="s">
        <v>6960</v>
      </c>
      <c r="E605" s="2835" t="s">
        <v>9671</v>
      </c>
      <c r="F605" s="2835" t="n">
        <v>80.4</v>
      </c>
      <c r="G605" s="2835" t="s">
        <v>7002</v>
      </c>
      <c r="H605" s="2835" t="s">
        <v>9657</v>
      </c>
      <c r="I605" s="2835" t="n">
        <v>825.7</v>
      </c>
      <c r="J605" s="2835"/>
      <c r="K605" s="2835"/>
      <c r="L605" s="2835"/>
      <c r="M605" s="2835"/>
      <c r="N605" s="2835"/>
    </row>
    <row r="606" spans="1:14" x14ac:dyDescent="0.15" ht="13.5" customHeight="true" hidden="false">
      <c r="A606" s="2835"/>
      <c r="B606" s="2835"/>
      <c r="C606" s="2835"/>
      <c r="D606" s="2835" t="s">
        <v>6960</v>
      </c>
      <c r="E606" s="2835" t="s">
        <v>9673</v>
      </c>
      <c r="F606" s="2835" t="n">
        <v>232.9</v>
      </c>
      <c r="G606" s="2835" t="s">
        <v>7002</v>
      </c>
      <c r="H606" s="2835" t="s">
        <v>9659</v>
      </c>
      <c r="I606" s="2835" t="n">
        <v>0.0</v>
      </c>
      <c r="J606" s="2835"/>
      <c r="K606" s="2835"/>
      <c r="L606" s="2835"/>
      <c r="M606" s="2835"/>
      <c r="N606" s="2835"/>
    </row>
    <row r="607" spans="1:14" x14ac:dyDescent="0.15" ht="13.5" customHeight="true" hidden="false">
      <c r="A607" s="2835"/>
      <c r="B607" s="2835"/>
      <c r="C607" s="2835"/>
      <c r="D607" s="2835" t="s">
        <v>6960</v>
      </c>
      <c r="E607" s="2835" t="s">
        <v>9674</v>
      </c>
      <c r="F607" s="2835" t="n">
        <v>21.5</v>
      </c>
      <c r="G607" s="2835" t="s">
        <v>7002</v>
      </c>
      <c r="H607" s="2835" t="s">
        <v>9661</v>
      </c>
      <c r="I607" s="2835" t="n">
        <v>0.0</v>
      </c>
      <c r="J607" s="2835"/>
      <c r="K607" s="2835"/>
      <c r="L607" s="2835"/>
      <c r="M607" s="2835"/>
      <c r="N607" s="2835"/>
    </row>
    <row r="608" spans="1:14" x14ac:dyDescent="0.15" ht="13.5" customHeight="true" hidden="false">
      <c r="A608" s="2835"/>
      <c r="B608" s="2835"/>
      <c r="C608" s="2835"/>
      <c r="D608" s="2835" t="s">
        <v>6960</v>
      </c>
      <c r="E608" s="2835" t="s">
        <v>9675</v>
      </c>
      <c r="F608" s="2835" t="n">
        <v>349.4</v>
      </c>
      <c r="G608" s="2835" t="s">
        <v>7002</v>
      </c>
      <c r="H608" s="2835" t="s">
        <v>9663</v>
      </c>
      <c r="I608" s="2835" t="n">
        <v>0.0</v>
      </c>
      <c r="J608" s="2835"/>
      <c r="K608" s="2835"/>
      <c r="L608" s="2835"/>
      <c r="M608" s="2835"/>
      <c r="N608" s="2835"/>
    </row>
    <row r="609" spans="1:14" x14ac:dyDescent="0.15" ht="13.5" customHeight="true" hidden="false">
      <c r="A609" s="2835"/>
      <c r="B609" s="2835"/>
      <c r="C609" s="2835"/>
      <c r="D609" s="2835" t="s">
        <v>6960</v>
      </c>
      <c r="E609" s="2835" t="s">
        <v>9676</v>
      </c>
      <c r="F609" s="2835" t="n">
        <v>42.2</v>
      </c>
      <c r="G609" s="2835" t="s">
        <v>7002</v>
      </c>
      <c r="H609" s="2835" t="s">
        <v>9665</v>
      </c>
      <c r="I609" s="2835" t="n">
        <v>0.0</v>
      </c>
      <c r="J609" s="2835"/>
      <c r="K609" s="2835"/>
      <c r="L609" s="2835"/>
      <c r="M609" s="2835"/>
      <c r="N609" s="2835"/>
    </row>
    <row r="610" spans="1:14" x14ac:dyDescent="0.15" ht="13.5" customHeight="true" hidden="false">
      <c r="A610" s="2835"/>
      <c r="B610" s="2835"/>
      <c r="C610" s="2835"/>
      <c r="D610" s="2835" t="s">
        <v>6961</v>
      </c>
      <c r="E610" s="2835" t="s">
        <v>9604</v>
      </c>
      <c r="F610" s="2835" t="n">
        <v>88.4</v>
      </c>
      <c r="G610" s="2835" t="s">
        <v>7002</v>
      </c>
      <c r="H610" s="2835" t="s">
        <v>9667</v>
      </c>
      <c r="I610" s="2835" t="n">
        <v>0.0</v>
      </c>
      <c r="J610" s="2835"/>
      <c r="K610" s="2835"/>
      <c r="L610" s="2835"/>
      <c r="M610" s="2835"/>
      <c r="N610" s="2835"/>
    </row>
    <row r="611" spans="1:14" x14ac:dyDescent="0.15" ht="13.5" customHeight="true" hidden="false">
      <c r="A611" s="2835"/>
      <c r="B611" s="2835"/>
      <c r="C611" s="2835"/>
      <c r="D611" s="2835" t="s">
        <v>6961</v>
      </c>
      <c r="E611" s="2835" t="s">
        <v>9605</v>
      </c>
      <c r="F611" s="2835" t="n">
        <v>117.7</v>
      </c>
      <c r="G611" s="2835" t="s">
        <v>7002</v>
      </c>
      <c r="H611" s="2835" t="s">
        <v>9669</v>
      </c>
      <c r="I611" s="2835" t="n">
        <v>0.0</v>
      </c>
      <c r="J611" s="2835"/>
      <c r="K611" s="2835"/>
      <c r="L611" s="2835"/>
      <c r="M611" s="2835"/>
      <c r="N611" s="2835"/>
    </row>
    <row r="612" spans="1:14" x14ac:dyDescent="0.15" ht="13.5" customHeight="true" hidden="false">
      <c r="A612" s="2835"/>
      <c r="B612" s="2835"/>
      <c r="C612" s="2835"/>
      <c r="D612" s="2835" t="s">
        <v>6961</v>
      </c>
      <c r="E612" s="2835" t="s">
        <v>9606</v>
      </c>
      <c r="F612" s="2835" t="n">
        <v>0.0</v>
      </c>
      <c r="G612" s="2835" t="s">
        <v>7002</v>
      </c>
      <c r="H612" s="2835" t="s">
        <v>9671</v>
      </c>
      <c r="I612" s="2835" t="n">
        <v>0.0</v>
      </c>
      <c r="J612" s="2835"/>
      <c r="K612" s="2835"/>
      <c r="L612" s="2835"/>
      <c r="M612" s="2835"/>
      <c r="N612" s="2835"/>
    </row>
    <row r="613" spans="1:14" x14ac:dyDescent="0.15" ht="13.5" customHeight="true" hidden="false">
      <c r="A613" s="2835"/>
      <c r="B613" s="2835"/>
      <c r="C613" s="2835"/>
      <c r="D613" s="2835" t="s">
        <v>6961</v>
      </c>
      <c r="E613" s="2835" t="s">
        <v>9607</v>
      </c>
      <c r="F613" s="2835" t="n">
        <v>0.0</v>
      </c>
      <c r="G613" s="2835" t="s">
        <v>7002</v>
      </c>
      <c r="H613" s="2835" t="s">
        <v>9673</v>
      </c>
      <c r="I613" s="2835" t="n">
        <v>0.0</v>
      </c>
      <c r="J613" s="2835"/>
      <c r="K613" s="2835"/>
      <c r="L613" s="2835"/>
      <c r="M613" s="2835"/>
      <c r="N613" s="2835"/>
    </row>
    <row r="614" spans="1:14" x14ac:dyDescent="0.15" ht="13.5" customHeight="true" hidden="false">
      <c r="A614" s="2835"/>
      <c r="B614" s="2835"/>
      <c r="C614" s="2835"/>
      <c r="D614" s="2835" t="s">
        <v>6961</v>
      </c>
      <c r="E614" s="2835" t="s">
        <v>9610</v>
      </c>
      <c r="F614" s="2835" t="n">
        <v>1151.2</v>
      </c>
      <c r="G614" s="2835" t="s">
        <v>7002</v>
      </c>
      <c r="H614" s="2835" t="s">
        <v>9674</v>
      </c>
      <c r="I614" s="2835" t="n">
        <v>0.0</v>
      </c>
      <c r="J614" s="2835"/>
      <c r="K614" s="2835"/>
      <c r="L614" s="2835"/>
      <c r="M614" s="2835"/>
      <c r="N614" s="2835"/>
    </row>
    <row r="615" spans="1:14" x14ac:dyDescent="0.15" ht="13.5" customHeight="true" hidden="false">
      <c r="A615" s="2835"/>
      <c r="B615" s="2835"/>
      <c r="C615" s="2835"/>
      <c r="D615" s="2835" t="s">
        <v>6961</v>
      </c>
      <c r="E615" s="2835" t="s">
        <v>9611</v>
      </c>
      <c r="F615" s="2835" t="n">
        <v>71.5</v>
      </c>
      <c r="G615" s="2835" t="s">
        <v>7002</v>
      </c>
      <c r="H615" s="2835" t="s">
        <v>9675</v>
      </c>
      <c r="I615" s="2835" t="n">
        <v>0.0</v>
      </c>
      <c r="J615" s="2835"/>
      <c r="K615" s="2835"/>
      <c r="L615" s="2835"/>
      <c r="M615" s="2835"/>
      <c r="N615" s="2835"/>
    </row>
    <row r="616" spans="1:14" x14ac:dyDescent="0.15" ht="13.5" customHeight="true" hidden="false">
      <c r="A616" s="2835"/>
      <c r="B616" s="2835"/>
      <c r="C616" s="2835"/>
      <c r="D616" s="2835" t="s">
        <v>6961</v>
      </c>
      <c r="E616" s="2835" t="s">
        <v>9612</v>
      </c>
      <c r="F616" s="2835" t="n">
        <v>0.0</v>
      </c>
      <c r="G616" s="2835" t="s">
        <v>7002</v>
      </c>
      <c r="H616" s="2835" t="s">
        <v>9676</v>
      </c>
      <c r="I616" s="2835" t="n">
        <v>0.0</v>
      </c>
      <c r="J616" s="2835"/>
      <c r="K616" s="2835"/>
      <c r="L616" s="2835"/>
      <c r="M616" s="2835"/>
      <c r="N616" s="2835"/>
    </row>
    <row r="617" spans="1:14" x14ac:dyDescent="0.15" ht="13.5" customHeight="true" hidden="false">
      <c r="A617" s="2835"/>
      <c r="B617" s="2835"/>
      <c r="C617" s="2835"/>
      <c r="D617" s="2835" t="s">
        <v>6961</v>
      </c>
      <c r="E617" s="2835" t="s">
        <v>9613</v>
      </c>
      <c r="F617" s="2835" t="n">
        <v>331.8</v>
      </c>
      <c r="G617" s="2835" t="s">
        <v>7002</v>
      </c>
      <c r="H617" s="2835" t="s">
        <v>9677</v>
      </c>
      <c r="I617" s="2835" t="n">
        <v>0.0</v>
      </c>
      <c r="J617" s="2835"/>
      <c r="K617" s="2835"/>
      <c r="L617" s="2835"/>
      <c r="M617" s="2835"/>
      <c r="N617" s="2835"/>
    </row>
    <row r="618" spans="1:14" x14ac:dyDescent="0.15" ht="13.5" customHeight="true" hidden="false">
      <c r="A618" s="2835"/>
      <c r="B618" s="2835"/>
      <c r="C618" s="2835"/>
      <c r="D618" s="2835" t="s">
        <v>6961</v>
      </c>
      <c r="E618" s="2835" t="s">
        <v>9614</v>
      </c>
      <c r="F618" s="2835" t="n">
        <v>1151.2</v>
      </c>
      <c r="G618" s="2835" t="s">
        <v>7002</v>
      </c>
      <c r="H618" s="2835" t="s">
        <v>9678</v>
      </c>
      <c r="I618" s="2835" t="n">
        <v>0.0</v>
      </c>
      <c r="J618" s="2835"/>
      <c r="K618" s="2835"/>
      <c r="L618" s="2835"/>
      <c r="M618" s="2835"/>
      <c r="N618" s="2835"/>
    </row>
    <row r="619" spans="1:14" x14ac:dyDescent="0.15" ht="13.5" customHeight="true" hidden="false">
      <c r="A619" s="2835"/>
      <c r="B619" s="2835"/>
      <c r="C619" s="2835"/>
      <c r="D619" s="2835" t="s">
        <v>6961</v>
      </c>
      <c r="E619" s="2835" t="s">
        <v>9615</v>
      </c>
      <c r="F619" s="2835" t="n">
        <v>0.0</v>
      </c>
      <c r="G619" s="2835" t="s">
        <v>7002</v>
      </c>
      <c r="H619" s="2835" t="s">
        <v>9679</v>
      </c>
      <c r="I619" s="2835" t="n">
        <v>0.0</v>
      </c>
      <c r="J619" s="2835"/>
      <c r="K619" s="2835"/>
      <c r="L619" s="2835"/>
      <c r="M619" s="2835"/>
      <c r="N619" s="2835"/>
    </row>
    <row r="620" spans="1:14" x14ac:dyDescent="0.15" ht="13.5" customHeight="true" hidden="false">
      <c r="A620" s="2835"/>
      <c r="B620" s="2835"/>
      <c r="C620" s="2835"/>
      <c r="D620" s="2835" t="s">
        <v>6961</v>
      </c>
      <c r="E620" s="2835" t="s">
        <v>9616</v>
      </c>
      <c r="F620" s="2835" t="n">
        <v>71.5</v>
      </c>
      <c r="G620" s="2835" t="s">
        <v>7002</v>
      </c>
      <c r="H620" s="2835" t="s">
        <v>9680</v>
      </c>
      <c r="I620" s="2835" t="n">
        <v>0.0</v>
      </c>
      <c r="J620" s="2835"/>
      <c r="K620" s="2835"/>
      <c r="L620" s="2835"/>
      <c r="M620" s="2835"/>
      <c r="N620" s="2835"/>
    </row>
    <row r="621" spans="1:14" x14ac:dyDescent="0.15" ht="13.5" customHeight="true" hidden="false">
      <c r="A621" s="2835"/>
      <c r="B621" s="2835"/>
      <c r="C621" s="2835"/>
      <c r="D621" s="2835" t="s">
        <v>6961</v>
      </c>
      <c r="E621" s="2835" t="s">
        <v>9617</v>
      </c>
      <c r="F621" s="2835" t="n">
        <v>165.5</v>
      </c>
      <c r="G621" s="2835" t="s">
        <v>7002</v>
      </c>
      <c r="H621" s="2835" t="s">
        <v>9681</v>
      </c>
      <c r="I621" s="2835" t="n">
        <v>0.0</v>
      </c>
      <c r="J621" s="2835"/>
      <c r="K621" s="2835"/>
      <c r="L621" s="2835"/>
      <c r="M621" s="2835"/>
      <c r="N621" s="2835"/>
    </row>
    <row r="622" spans="1:14" x14ac:dyDescent="0.15" ht="13.5" customHeight="true" hidden="false">
      <c r="A622" s="2835"/>
      <c r="B622" s="2835"/>
      <c r="C622" s="2835"/>
      <c r="D622" s="2835" t="s">
        <v>6961</v>
      </c>
      <c r="E622" s="2835" t="s">
        <v>9701</v>
      </c>
      <c r="F622" s="2835" t="n">
        <v>254.4</v>
      </c>
      <c r="G622" s="2835" t="s">
        <v>7002</v>
      </c>
      <c r="H622" s="2835" t="s">
        <v>9682</v>
      </c>
      <c r="I622" s="2835" t="n">
        <v>0.0</v>
      </c>
      <c r="J622" s="2835"/>
      <c r="K622" s="2835"/>
      <c r="L622" s="2835"/>
      <c r="M622" s="2835"/>
      <c r="N622" s="2835"/>
    </row>
    <row r="623" spans="1:14" x14ac:dyDescent="0.15" ht="13.5" customHeight="true" hidden="false">
      <c r="A623" s="2835"/>
      <c r="B623" s="2835"/>
      <c r="C623" s="2835"/>
      <c r="D623" s="2835" t="s">
        <v>6961</v>
      </c>
      <c r="E623" s="2835" t="s">
        <v>9702</v>
      </c>
      <c r="F623" s="2835" t="n">
        <v>0.0</v>
      </c>
      <c r="G623" s="2835" t="s">
        <v>7002</v>
      </c>
      <c r="H623" s="2835" t="s">
        <v>9683</v>
      </c>
      <c r="I623" s="2835" t="n">
        <v>0.0</v>
      </c>
      <c r="J623" s="2835"/>
      <c r="K623" s="2835"/>
      <c r="L623" s="2835"/>
      <c r="M623" s="2835"/>
      <c r="N623" s="2835"/>
    </row>
    <row r="624" spans="1:14" x14ac:dyDescent="0.15" ht="13.5" customHeight="true" hidden="false">
      <c r="A624" s="2835"/>
      <c r="B624" s="2835"/>
      <c r="C624" s="2835"/>
      <c r="D624" s="2835" t="s">
        <v>6961</v>
      </c>
      <c r="E624" s="2835" t="s">
        <v>9703</v>
      </c>
      <c r="F624" s="2835" t="n">
        <v>0.0</v>
      </c>
      <c r="G624" s="2835" t="s">
        <v>7002</v>
      </c>
      <c r="H624" s="2835" t="s">
        <v>9684</v>
      </c>
      <c r="I624" s="2835" t="n">
        <v>0.0</v>
      </c>
      <c r="J624" s="2835"/>
      <c r="K624" s="2835"/>
      <c r="L624" s="2835"/>
      <c r="M624" s="2835"/>
      <c r="N624" s="2835"/>
    </row>
    <row r="625" spans="1:14" x14ac:dyDescent="0.15" ht="13.5" customHeight="true" hidden="false">
      <c r="A625" s="2835"/>
      <c r="B625" s="2835"/>
      <c r="C625" s="2835"/>
      <c r="D625" s="2835" t="s">
        <v>6961</v>
      </c>
      <c r="E625" s="2835" t="s">
        <v>9704</v>
      </c>
      <c r="F625" s="2835" t="n">
        <v>0.0</v>
      </c>
      <c r="G625" s="2835" t="s">
        <v>7002</v>
      </c>
      <c r="H625" s="2835" t="s">
        <v>9685</v>
      </c>
      <c r="I625" s="2835" t="n">
        <v>0.0</v>
      </c>
      <c r="J625" s="2835"/>
      <c r="K625" s="2835"/>
      <c r="L625" s="2835"/>
      <c r="M625" s="2835"/>
      <c r="N625" s="2835"/>
    </row>
    <row r="626" spans="1:14" x14ac:dyDescent="0.15" ht="13.5" customHeight="true" hidden="false">
      <c r="A626" s="2835"/>
      <c r="B626" s="2835"/>
      <c r="C626" s="2835"/>
      <c r="D626" s="2835" t="s">
        <v>6961</v>
      </c>
      <c r="E626" s="2835" t="s">
        <v>9705</v>
      </c>
      <c r="F626" s="2835" t="n">
        <v>80.9</v>
      </c>
      <c r="G626" s="2835" t="s">
        <v>7002</v>
      </c>
      <c r="H626" s="2835" t="s">
        <v>9686</v>
      </c>
      <c r="I626" s="2835" t="n">
        <v>0.0</v>
      </c>
      <c r="J626" s="2835"/>
      <c r="K626" s="2835"/>
      <c r="L626" s="2835"/>
      <c r="M626" s="2835"/>
      <c r="N626" s="2835"/>
    </row>
    <row r="627" spans="1:14" x14ac:dyDescent="0.15" ht="13.5" customHeight="true" hidden="false">
      <c r="A627" s="2835"/>
      <c r="B627" s="2835"/>
      <c r="C627" s="2835"/>
      <c r="D627" s="2835" t="s">
        <v>6961</v>
      </c>
      <c r="E627" s="2835" t="s">
        <v>9706</v>
      </c>
      <c r="F627" s="2835" t="n">
        <v>117.7</v>
      </c>
      <c r="G627" s="2835" t="s">
        <v>7002</v>
      </c>
      <c r="H627" s="2835" t="s">
        <v>9687</v>
      </c>
      <c r="I627" s="2835" t="n">
        <v>0.0</v>
      </c>
      <c r="J627" s="2835"/>
      <c r="K627" s="2835"/>
      <c r="L627" s="2835"/>
      <c r="M627" s="2835"/>
      <c r="N627" s="2835"/>
    </row>
    <row r="628" spans="1:14" x14ac:dyDescent="0.15" ht="13.5" customHeight="true" hidden="false">
      <c r="A628" s="2835"/>
      <c r="B628" s="2835"/>
      <c r="C628" s="2835"/>
      <c r="D628" s="2835" t="s">
        <v>6961</v>
      </c>
      <c r="E628" s="2835" t="s">
        <v>9707</v>
      </c>
      <c r="F628" s="2835" t="n">
        <v>0.0</v>
      </c>
      <c r="G628" s="2835" t="s">
        <v>7002</v>
      </c>
      <c r="H628" s="2835" t="s">
        <v>9688</v>
      </c>
      <c r="I628" s="2835" t="n">
        <v>0.0</v>
      </c>
      <c r="J628" s="2835"/>
      <c r="K628" s="2835"/>
      <c r="L628" s="2835"/>
      <c r="M628" s="2835"/>
      <c r="N628" s="2835"/>
    </row>
    <row r="629" spans="1:14" x14ac:dyDescent="0.15" ht="13.5" customHeight="true" hidden="false">
      <c r="A629" s="2835"/>
      <c r="B629" s="2835"/>
      <c r="C629" s="2835"/>
      <c r="D629" s="2835" t="s">
        <v>6961</v>
      </c>
      <c r="E629" s="2835" t="s">
        <v>9708</v>
      </c>
      <c r="F629" s="2835" t="n">
        <v>0.0</v>
      </c>
      <c r="G629" s="2835" t="s">
        <v>7002</v>
      </c>
      <c r="H629" s="2835" t="s">
        <v>9689</v>
      </c>
      <c r="I629" s="2835" t="n">
        <v>0.0</v>
      </c>
      <c r="J629" s="2835"/>
      <c r="K629" s="2835"/>
      <c r="L629" s="2835"/>
      <c r="M629" s="2835"/>
      <c r="N629" s="2835"/>
    </row>
    <row r="630" spans="1:14" x14ac:dyDescent="0.15" ht="13.5" customHeight="true" hidden="false">
      <c r="A630" s="2835"/>
      <c r="B630" s="2835"/>
      <c r="C630" s="2835"/>
      <c r="D630" s="2835" t="s">
        <v>6961</v>
      </c>
      <c r="E630" s="2835" t="s">
        <v>9709</v>
      </c>
      <c r="F630" s="2835" t="n">
        <v>331.8</v>
      </c>
      <c r="G630" s="2835" t="s">
        <v>7002</v>
      </c>
      <c r="H630" s="2835" t="s">
        <v>9690</v>
      </c>
      <c r="I630" s="2835" t="n">
        <v>0.0</v>
      </c>
      <c r="J630" s="2835"/>
      <c r="K630" s="2835"/>
      <c r="L630" s="2835"/>
      <c r="M630" s="2835"/>
      <c r="N630" s="2835"/>
    </row>
    <row r="631" spans="1:14" x14ac:dyDescent="0.15" ht="13.5" customHeight="true" hidden="false">
      <c r="A631" s="2835"/>
      <c r="B631" s="2835"/>
      <c r="C631" s="2835"/>
      <c r="D631" s="2835" t="s">
        <v>6961</v>
      </c>
      <c r="E631" s="2835" t="s">
        <v>9710</v>
      </c>
      <c r="F631" s="2835" t="n">
        <v>0.0</v>
      </c>
      <c r="G631" s="2835" t="s">
        <v>7002</v>
      </c>
      <c r="H631" s="2835" t="s">
        <v>9691</v>
      </c>
      <c r="I631" s="2835" t="n">
        <v>0.0</v>
      </c>
      <c r="J631" s="2835"/>
      <c r="K631" s="2835"/>
      <c r="L631" s="2835"/>
      <c r="M631" s="2835"/>
      <c r="N631" s="2835"/>
    </row>
    <row r="632" spans="1:14" x14ac:dyDescent="0.15" ht="13.5" customHeight="true" hidden="false">
      <c r="A632" s="2835"/>
      <c r="B632" s="2835"/>
      <c r="C632" s="2835"/>
      <c r="D632" s="2835" t="s">
        <v>6961</v>
      </c>
      <c r="E632" s="2835" t="s">
        <v>9711</v>
      </c>
      <c r="F632" s="2835" t="n">
        <v>165.5</v>
      </c>
      <c r="G632" s="2835" t="s">
        <v>7002</v>
      </c>
      <c r="H632" s="2835" t="s">
        <v>9692</v>
      </c>
      <c r="I632" s="2835" t="n">
        <v>0.0</v>
      </c>
      <c r="J632" s="2835"/>
      <c r="K632" s="2835"/>
      <c r="L632" s="2835"/>
      <c r="M632" s="2835"/>
      <c r="N632" s="2835"/>
    </row>
    <row r="633" spans="1:14" x14ac:dyDescent="0.15" ht="13.5" customHeight="true" hidden="false">
      <c r="A633" s="2835"/>
      <c r="B633" s="2835"/>
      <c r="C633" s="2835"/>
      <c r="D633" s="2835" t="s">
        <v>6961</v>
      </c>
      <c r="E633" s="2835" t="s">
        <v>9712</v>
      </c>
      <c r="F633" s="2835" t="n">
        <v>0.0</v>
      </c>
      <c r="G633" s="2835" t="s">
        <v>7002</v>
      </c>
      <c r="H633" s="2835" t="s">
        <v>9693</v>
      </c>
      <c r="I633" s="2835" t="n">
        <v>0.0</v>
      </c>
      <c r="J633" s="2835"/>
      <c r="K633" s="2835"/>
      <c r="L633" s="2835"/>
      <c r="M633" s="2835"/>
      <c r="N633" s="2835"/>
    </row>
    <row r="634" spans="1:14" x14ac:dyDescent="0.15" ht="13.5" customHeight="true" hidden="false">
      <c r="A634" s="2835"/>
      <c r="B634" s="2835"/>
      <c r="C634" s="2835"/>
      <c r="D634" s="2835" t="s">
        <v>6961</v>
      </c>
      <c r="E634" s="2835" t="s">
        <v>9713</v>
      </c>
      <c r="F634" s="2835" t="n">
        <v>254.4</v>
      </c>
      <c r="G634" s="2835" t="s">
        <v>7002</v>
      </c>
      <c r="H634" s="2835" t="s">
        <v>9694</v>
      </c>
      <c r="I634" s="2835" t="n">
        <v>0.0</v>
      </c>
      <c r="J634" s="2835"/>
      <c r="K634" s="2835"/>
      <c r="L634" s="2835"/>
      <c r="M634" s="2835"/>
      <c r="N634" s="2835"/>
    </row>
    <row r="635" spans="1:14" x14ac:dyDescent="0.15" ht="13.5" customHeight="true" hidden="false">
      <c r="A635" s="2835"/>
      <c r="B635" s="2835"/>
      <c r="C635" s="2835"/>
      <c r="D635" s="2835" t="s">
        <v>6961</v>
      </c>
      <c r="E635" s="2835" t="s">
        <v>9714</v>
      </c>
      <c r="F635" s="2835" t="n">
        <v>0.0</v>
      </c>
      <c r="G635" s="2835" t="s">
        <v>7002</v>
      </c>
      <c r="H635" s="2835" t="s">
        <v>9695</v>
      </c>
      <c r="I635" s="2835" t="n">
        <v>0.0</v>
      </c>
      <c r="J635" s="2835"/>
      <c r="K635" s="2835"/>
      <c r="L635" s="2835"/>
      <c r="M635" s="2835"/>
      <c r="N635" s="2835"/>
    </row>
    <row r="636" spans="1:14" x14ac:dyDescent="0.15" ht="13.5" customHeight="true" hidden="false">
      <c r="A636" s="2835"/>
      <c r="B636" s="2835"/>
      <c r="C636" s="2835"/>
      <c r="D636" s="2835" t="s">
        <v>6961</v>
      </c>
      <c r="E636" s="2835" t="s">
        <v>9715</v>
      </c>
      <c r="F636" s="2835" t="n">
        <v>0.0</v>
      </c>
      <c r="G636" s="2835" t="s">
        <v>7002</v>
      </c>
      <c r="H636" s="2835" t="s">
        <v>9696</v>
      </c>
      <c r="I636" s="2835" t="n">
        <v>0.0</v>
      </c>
      <c r="J636" s="2835"/>
      <c r="K636" s="2835"/>
      <c r="L636" s="2835"/>
      <c r="M636" s="2835"/>
      <c r="N636" s="2835"/>
    </row>
    <row r="637" spans="1:14" x14ac:dyDescent="0.15" ht="13.5" customHeight="true" hidden="false">
      <c r="A637" s="2835"/>
      <c r="B637" s="2835"/>
      <c r="C637" s="2835"/>
      <c r="D637" s="2835" t="s">
        <v>6961</v>
      </c>
      <c r="E637" s="2835" t="s">
        <v>9716</v>
      </c>
      <c r="F637" s="2835" t="n">
        <v>0.0</v>
      </c>
      <c r="G637" s="2835" t="s">
        <v>6997</v>
      </c>
      <c r="H637" s="2835" t="s">
        <v>9618</v>
      </c>
      <c r="I637" s="2835" t="n">
        <v>0.0</v>
      </c>
      <c r="J637" s="2835"/>
      <c r="K637" s="2835"/>
      <c r="L637" s="2835"/>
      <c r="M637" s="2835"/>
      <c r="N637" s="2835"/>
    </row>
    <row r="638" spans="1:14" x14ac:dyDescent="0.15" ht="13.5" customHeight="true" hidden="false">
      <c r="A638" s="2835"/>
      <c r="B638" s="2835"/>
      <c r="C638" s="2835"/>
      <c r="D638" s="2835" t="s">
        <v>6961</v>
      </c>
      <c r="E638" s="2835" t="s">
        <v>9717</v>
      </c>
      <c r="F638" s="2835" t="n">
        <v>0.0</v>
      </c>
      <c r="G638" s="2835" t="s">
        <v>6997</v>
      </c>
      <c r="H638" s="2835" t="s">
        <v>9619</v>
      </c>
      <c r="I638" s="2835" t="n">
        <v>0.0</v>
      </c>
      <c r="J638" s="2835"/>
      <c r="K638" s="2835"/>
      <c r="L638" s="2835"/>
      <c r="M638" s="2835"/>
      <c r="N638" s="2835"/>
    </row>
    <row r="639" spans="1:14" x14ac:dyDescent="0.15" ht="13.5" customHeight="true" hidden="false">
      <c r="A639" s="2835"/>
      <c r="B639" s="2835"/>
      <c r="C639" s="2835"/>
      <c r="D639" s="2835" t="s">
        <v>6961</v>
      </c>
      <c r="E639" s="2835" t="s">
        <v>9718</v>
      </c>
      <c r="F639" s="2835" t="n">
        <v>0.0</v>
      </c>
      <c r="G639" s="2835" t="s">
        <v>6997</v>
      </c>
      <c r="H639" s="2835" t="s">
        <v>9620</v>
      </c>
      <c r="I639" s="2835" t="n">
        <v>0.0</v>
      </c>
      <c r="J639" s="2835"/>
      <c r="K639" s="2835"/>
      <c r="L639" s="2835"/>
      <c r="M639" s="2835"/>
      <c r="N639" s="2835"/>
    </row>
    <row r="640" spans="1:14" x14ac:dyDescent="0.15" ht="13.5" customHeight="true" hidden="false">
      <c r="A640" s="2835"/>
      <c r="B640" s="2835"/>
      <c r="C640" s="2835"/>
      <c r="D640" s="2835" t="s">
        <v>6961</v>
      </c>
      <c r="E640" s="2835" t="s">
        <v>9719</v>
      </c>
      <c r="F640" s="2835" t="n">
        <v>0.0</v>
      </c>
      <c r="G640" s="2835" t="s">
        <v>6997</v>
      </c>
      <c r="H640" s="2835" t="s">
        <v>9621</v>
      </c>
      <c r="I640" s="2835" t="n">
        <v>0.0</v>
      </c>
      <c r="J640" s="2835"/>
      <c r="K640" s="2835"/>
      <c r="L640" s="2835"/>
      <c r="M640" s="2835"/>
      <c r="N640" s="2835"/>
    </row>
    <row r="641" spans="1:14" x14ac:dyDescent="0.15" ht="13.5" customHeight="true" hidden="false">
      <c r="A641" s="2835"/>
      <c r="B641" s="2835"/>
      <c r="C641" s="2835"/>
      <c r="D641" s="2835" t="s">
        <v>6961</v>
      </c>
      <c r="E641" s="2835" t="s">
        <v>9720</v>
      </c>
      <c r="F641" s="2835" t="n">
        <v>0.0</v>
      </c>
      <c r="G641" s="2835" t="s">
        <v>6997</v>
      </c>
      <c r="H641" s="2835" t="s">
        <v>9622</v>
      </c>
      <c r="I641" s="2835" t="n">
        <v>0.0</v>
      </c>
      <c r="J641" s="2835"/>
      <c r="K641" s="2835"/>
      <c r="L641" s="2835"/>
      <c r="M641" s="2835"/>
      <c r="N641" s="2835"/>
    </row>
    <row r="642" spans="1:14" x14ac:dyDescent="0.15" ht="13.5" customHeight="true" hidden="false">
      <c r="A642" s="2835"/>
      <c r="B642" s="2835"/>
      <c r="C642" s="2835"/>
      <c r="D642" s="2835" t="s">
        <v>6961</v>
      </c>
      <c r="E642" s="2835" t="s">
        <v>9721</v>
      </c>
      <c r="F642" s="2835" t="n">
        <v>0.0</v>
      </c>
      <c r="G642" s="2835" t="s">
        <v>6997</v>
      </c>
      <c r="H642" s="2835" t="s">
        <v>9623</v>
      </c>
      <c r="I642" s="2835" t="n">
        <v>0.0</v>
      </c>
      <c r="J642" s="2835"/>
      <c r="K642" s="2835"/>
      <c r="L642" s="2835"/>
      <c r="M642" s="2835"/>
      <c r="N642" s="2835"/>
    </row>
    <row r="643" spans="1:14" x14ac:dyDescent="0.15" ht="13.5" customHeight="true" hidden="false">
      <c r="A643" s="2835"/>
      <c r="B643" s="2835"/>
      <c r="C643" s="2835"/>
      <c r="D643" s="2835" t="s">
        <v>6961</v>
      </c>
      <c r="E643" s="2835" t="s">
        <v>9722</v>
      </c>
      <c r="F643" s="2835" t="n">
        <v>0.0</v>
      </c>
      <c r="G643" s="2835" t="s">
        <v>6997</v>
      </c>
      <c r="H643" s="2835" t="s">
        <v>9624</v>
      </c>
      <c r="I643" s="2835" t="n">
        <v>0.0</v>
      </c>
      <c r="J643" s="2835"/>
      <c r="K643" s="2835"/>
      <c r="L643" s="2835"/>
      <c r="M643" s="2835"/>
      <c r="N643" s="2835"/>
    </row>
    <row r="644" spans="1:14" x14ac:dyDescent="0.15" ht="13.5" customHeight="true" hidden="false">
      <c r="A644" s="2835"/>
      <c r="B644" s="2835"/>
      <c r="C644" s="2835"/>
      <c r="D644" s="2835" t="s">
        <v>6962</v>
      </c>
      <c r="E644" s="2835" t="s">
        <v>9604</v>
      </c>
      <c r="F644" s="2835" t="n">
        <v>105.4</v>
      </c>
      <c r="G644" s="2835" t="s">
        <v>6997</v>
      </c>
      <c r="H644" s="2835" t="s">
        <v>9625</v>
      </c>
      <c r="I644" s="2835" t="n">
        <v>0.0</v>
      </c>
      <c r="J644" s="2835"/>
      <c r="K644" s="2835"/>
      <c r="L644" s="2835"/>
      <c r="M644" s="2835"/>
      <c r="N644" s="2835"/>
    </row>
    <row r="645" spans="1:14" x14ac:dyDescent="0.15" ht="13.5" customHeight="true" hidden="false">
      <c r="A645" s="2835"/>
      <c r="B645" s="2835"/>
      <c r="C645" s="2835"/>
      <c r="D645" s="2835" t="s">
        <v>6962</v>
      </c>
      <c r="E645" s="2835" t="s">
        <v>9605</v>
      </c>
      <c r="F645" s="2835" t="n">
        <v>110.2</v>
      </c>
      <c r="G645" s="2835" t="s">
        <v>6997</v>
      </c>
      <c r="H645" s="2835" t="s">
        <v>9626</v>
      </c>
      <c r="I645" s="2835" t="n">
        <v>0.0</v>
      </c>
      <c r="J645" s="2835"/>
      <c r="K645" s="2835"/>
      <c r="L645" s="2835"/>
      <c r="M645" s="2835"/>
      <c r="N645" s="2835"/>
    </row>
    <row r="646" spans="1:14" x14ac:dyDescent="0.15" ht="13.5" customHeight="true" hidden="false">
      <c r="A646" s="2835"/>
      <c r="B646" s="2835"/>
      <c r="C646" s="2835"/>
      <c r="D646" s="2835" t="s">
        <v>6962</v>
      </c>
      <c r="E646" s="2835" t="s">
        <v>9606</v>
      </c>
      <c r="F646" s="2835" t="n">
        <v>0.0</v>
      </c>
      <c r="G646" s="2835" t="s">
        <v>6997</v>
      </c>
      <c r="H646" s="2835" t="s">
        <v>9627</v>
      </c>
      <c r="I646" s="2835" t="n">
        <v>0.0</v>
      </c>
      <c r="J646" s="2835"/>
      <c r="K646" s="2835"/>
      <c r="L646" s="2835"/>
      <c r="M646" s="2835"/>
      <c r="N646" s="2835"/>
    </row>
    <row r="647" spans="1:14" x14ac:dyDescent="0.15" ht="13.5" customHeight="true" hidden="false">
      <c r="A647" s="2835"/>
      <c r="B647" s="2835"/>
      <c r="C647" s="2835"/>
      <c r="D647" s="2835" t="s">
        <v>6962</v>
      </c>
      <c r="E647" s="2835" t="s">
        <v>9607</v>
      </c>
      <c r="F647" s="2835" t="n">
        <v>0.0</v>
      </c>
      <c r="G647" s="2835" t="s">
        <v>6997</v>
      </c>
      <c r="H647" s="2835" t="s">
        <v>9628</v>
      </c>
      <c r="I647" s="2835" t="n">
        <v>0.0</v>
      </c>
      <c r="J647" s="2835"/>
      <c r="K647" s="2835"/>
      <c r="L647" s="2835"/>
      <c r="M647" s="2835"/>
      <c r="N647" s="2835"/>
    </row>
    <row r="648" spans="1:14" x14ac:dyDescent="0.15" ht="13.5" customHeight="true" hidden="false">
      <c r="A648" s="2835"/>
      <c r="B648" s="2835"/>
      <c r="C648" s="2835"/>
      <c r="D648" s="2835" t="s">
        <v>6962</v>
      </c>
      <c r="E648" s="2835" t="s">
        <v>9610</v>
      </c>
      <c r="F648" s="2835" t="n">
        <v>771.5</v>
      </c>
      <c r="G648" s="2835" t="s">
        <v>6997</v>
      </c>
      <c r="H648" s="2835" t="s">
        <v>9629</v>
      </c>
      <c r="I648" s="2835" t="n">
        <v>0.0</v>
      </c>
      <c r="J648" s="2835"/>
      <c r="K648" s="2835"/>
      <c r="L648" s="2835"/>
      <c r="M648" s="2835"/>
      <c r="N648" s="2835"/>
    </row>
    <row r="649" spans="1:14" x14ac:dyDescent="0.15" ht="13.5" customHeight="true" hidden="false">
      <c r="A649" s="2835"/>
      <c r="B649" s="2835"/>
      <c r="C649" s="2835"/>
      <c r="D649" s="2835" t="s">
        <v>6962</v>
      </c>
      <c r="E649" s="2835" t="s">
        <v>9611</v>
      </c>
      <c r="F649" s="2835" t="n">
        <v>52.7</v>
      </c>
      <c r="G649" s="2835" t="s">
        <v>6997</v>
      </c>
      <c r="H649" s="2835" t="s">
        <v>9633</v>
      </c>
      <c r="I649" s="2835" t="n">
        <v>0.0</v>
      </c>
      <c r="J649" s="2835"/>
      <c r="K649" s="2835"/>
      <c r="L649" s="2835"/>
      <c r="M649" s="2835"/>
      <c r="N649" s="2835"/>
    </row>
    <row r="650" spans="1:14" x14ac:dyDescent="0.15" ht="13.5" customHeight="true" hidden="false">
      <c r="A650" s="2835"/>
      <c r="B650" s="2835"/>
      <c r="C650" s="2835"/>
      <c r="D650" s="2835" t="s">
        <v>6962</v>
      </c>
      <c r="E650" s="2835" t="s">
        <v>9612</v>
      </c>
      <c r="F650" s="2835" t="n">
        <v>0.0</v>
      </c>
      <c r="G650" s="2835" t="s">
        <v>6997</v>
      </c>
      <c r="H650" s="2835" t="s">
        <v>9634</v>
      </c>
      <c r="I650" s="2835" t="n">
        <v>0.0</v>
      </c>
      <c r="J650" s="2835"/>
      <c r="K650" s="2835"/>
      <c r="L650" s="2835"/>
      <c r="M650" s="2835"/>
      <c r="N650" s="2835"/>
    </row>
    <row r="651" spans="1:14" x14ac:dyDescent="0.15" ht="13.5" customHeight="true" hidden="false">
      <c r="A651" s="2835"/>
      <c r="B651" s="2835"/>
      <c r="C651" s="2835"/>
      <c r="D651" s="2835" t="s">
        <v>6962</v>
      </c>
      <c r="E651" s="2835" t="s">
        <v>9613</v>
      </c>
      <c r="F651" s="2835" t="n">
        <v>321.1</v>
      </c>
      <c r="G651" s="2835" t="s">
        <v>6997</v>
      </c>
      <c r="H651" s="2835" t="s">
        <v>9635</v>
      </c>
      <c r="I651" s="2835" t="n">
        <v>0.0</v>
      </c>
      <c r="J651" s="2835"/>
      <c r="K651" s="2835"/>
      <c r="L651" s="2835"/>
      <c r="M651" s="2835"/>
      <c r="N651" s="2835"/>
    </row>
    <row r="652" spans="1:14" x14ac:dyDescent="0.15" ht="13.5" customHeight="true" hidden="false">
      <c r="A652" s="2835"/>
      <c r="B652" s="2835"/>
      <c r="C652" s="2835"/>
      <c r="D652" s="2835" t="s">
        <v>6962</v>
      </c>
      <c r="E652" s="2835" t="s">
        <v>9614</v>
      </c>
      <c r="F652" s="2835" t="n">
        <v>771.5</v>
      </c>
      <c r="G652" s="2835" t="s">
        <v>6997</v>
      </c>
      <c r="H652" s="2835" t="s">
        <v>9636</v>
      </c>
      <c r="I652" s="2835" t="n">
        <v>0.0</v>
      </c>
      <c r="J652" s="2835"/>
      <c r="K652" s="2835"/>
      <c r="L652" s="2835"/>
      <c r="M652" s="2835"/>
      <c r="N652" s="2835"/>
    </row>
    <row r="653" spans="1:14" x14ac:dyDescent="0.15" ht="13.5" customHeight="true" hidden="false">
      <c r="A653" s="2835"/>
      <c r="B653" s="2835"/>
      <c r="C653" s="2835"/>
      <c r="D653" s="2835" t="s">
        <v>6962</v>
      </c>
      <c r="E653" s="2835" t="s">
        <v>9615</v>
      </c>
      <c r="F653" s="2835" t="n">
        <v>0.0</v>
      </c>
      <c r="G653" s="2835" t="s">
        <v>6997</v>
      </c>
      <c r="H653" s="2835" t="s">
        <v>9637</v>
      </c>
      <c r="I653" s="2835" t="n">
        <v>0.0</v>
      </c>
      <c r="J653" s="2835"/>
      <c r="K653" s="2835"/>
      <c r="L653" s="2835"/>
      <c r="M653" s="2835"/>
      <c r="N653" s="2835"/>
    </row>
    <row r="654" spans="1:14" x14ac:dyDescent="0.15" ht="13.5" customHeight="true" hidden="false">
      <c r="A654" s="2835"/>
      <c r="B654" s="2835"/>
      <c r="C654" s="2835"/>
      <c r="D654" s="2835" t="s">
        <v>6962</v>
      </c>
      <c r="E654" s="2835" t="s">
        <v>9616</v>
      </c>
      <c r="F654" s="2835" t="n">
        <v>52.7</v>
      </c>
      <c r="G654" s="2835" t="s">
        <v>6997</v>
      </c>
      <c r="H654" s="2835" t="s">
        <v>9638</v>
      </c>
      <c r="I654" s="2835" t="n">
        <v>0.0</v>
      </c>
      <c r="J654" s="2835"/>
      <c r="K654" s="2835"/>
      <c r="L654" s="2835"/>
      <c r="M654" s="2835"/>
      <c r="N654" s="2835"/>
    </row>
    <row r="655" spans="1:14" x14ac:dyDescent="0.15" ht="13.5" customHeight="true" hidden="false">
      <c r="A655" s="2835"/>
      <c r="B655" s="2835"/>
      <c r="C655" s="2835"/>
      <c r="D655" s="2835" t="s">
        <v>6962</v>
      </c>
      <c r="E655" s="2835" t="s">
        <v>9617</v>
      </c>
      <c r="F655" s="2835" t="n">
        <v>146.1</v>
      </c>
      <c r="G655" s="2835" t="s">
        <v>6997</v>
      </c>
      <c r="H655" s="2835" t="s">
        <v>9657</v>
      </c>
      <c r="I655" s="2835" t="n">
        <v>0.0</v>
      </c>
      <c r="J655" s="2835"/>
      <c r="K655" s="2835"/>
      <c r="L655" s="2835"/>
      <c r="M655" s="2835"/>
      <c r="N655" s="2835"/>
    </row>
    <row r="656" spans="1:14" x14ac:dyDescent="0.15" ht="13.5" customHeight="true" hidden="false">
      <c r="A656" s="2835"/>
      <c r="B656" s="2835"/>
      <c r="C656" s="2835"/>
      <c r="D656" s="2835" t="s">
        <v>6962</v>
      </c>
      <c r="E656" s="2835" t="s">
        <v>9701</v>
      </c>
      <c r="F656" s="2835" t="n">
        <v>73.7</v>
      </c>
      <c r="G656" s="2835" t="s">
        <v>6997</v>
      </c>
      <c r="H656" s="2835" t="s">
        <v>9659</v>
      </c>
      <c r="I656" s="2835" t="n">
        <v>0.0</v>
      </c>
      <c r="J656" s="2835"/>
      <c r="K656" s="2835"/>
      <c r="L656" s="2835"/>
      <c r="M656" s="2835"/>
      <c r="N656" s="2835"/>
    </row>
    <row r="657" spans="1:14" x14ac:dyDescent="0.15" ht="13.5" customHeight="true" hidden="false">
      <c r="A657" s="2835"/>
      <c r="B657" s="2835"/>
      <c r="C657" s="2835"/>
      <c r="D657" s="2835" t="s">
        <v>6962</v>
      </c>
      <c r="E657" s="2835" t="s">
        <v>9702</v>
      </c>
      <c r="F657" s="2835" t="n">
        <v>0.0</v>
      </c>
      <c r="G657" s="2835" t="s">
        <v>6997</v>
      </c>
      <c r="H657" s="2835" t="s">
        <v>9661</v>
      </c>
      <c r="I657" s="2835" t="n">
        <v>0.0</v>
      </c>
      <c r="J657" s="2835"/>
      <c r="K657" s="2835"/>
      <c r="L657" s="2835"/>
      <c r="M657" s="2835"/>
      <c r="N657" s="2835"/>
    </row>
    <row r="658" spans="1:14" x14ac:dyDescent="0.15" ht="13.5" customHeight="true" hidden="false">
      <c r="A658" s="2835"/>
      <c r="B658" s="2835"/>
      <c r="C658" s="2835"/>
      <c r="D658" s="2835" t="s">
        <v>6962</v>
      </c>
      <c r="E658" s="2835" t="s">
        <v>9703</v>
      </c>
      <c r="F658" s="2835" t="n">
        <v>0.0</v>
      </c>
      <c r="G658" s="2835" t="s">
        <v>6997</v>
      </c>
      <c r="H658" s="2835" t="s">
        <v>9663</v>
      </c>
      <c r="I658" s="2835" t="n">
        <v>0.0</v>
      </c>
      <c r="J658" s="2835"/>
      <c r="K658" s="2835"/>
      <c r="L658" s="2835"/>
      <c r="M658" s="2835"/>
      <c r="N658" s="2835"/>
    </row>
    <row r="659" spans="1:14" x14ac:dyDescent="0.15" ht="13.5" customHeight="true" hidden="false">
      <c r="A659" s="2835"/>
      <c r="B659" s="2835"/>
      <c r="C659" s="2835"/>
      <c r="D659" s="2835" t="s">
        <v>6962</v>
      </c>
      <c r="E659" s="2835" t="s">
        <v>9704</v>
      </c>
      <c r="F659" s="2835" t="n">
        <v>0.0</v>
      </c>
      <c r="G659" s="2835" t="s">
        <v>6997</v>
      </c>
      <c r="H659" s="2835" t="s">
        <v>9665</v>
      </c>
      <c r="I659" s="2835" t="n">
        <v>0.0</v>
      </c>
      <c r="J659" s="2835"/>
      <c r="K659" s="2835"/>
      <c r="L659" s="2835"/>
      <c r="M659" s="2835"/>
      <c r="N659" s="2835"/>
    </row>
    <row r="660" spans="1:14" x14ac:dyDescent="0.15" ht="13.5" customHeight="true" hidden="false">
      <c r="A660" s="2835"/>
      <c r="B660" s="2835"/>
      <c r="C660" s="2835"/>
      <c r="D660" s="2835" t="s">
        <v>6962</v>
      </c>
      <c r="E660" s="2835" t="s">
        <v>9705</v>
      </c>
      <c r="F660" s="2835" t="n">
        <v>0.0</v>
      </c>
      <c r="G660" s="2835" t="s">
        <v>6997</v>
      </c>
      <c r="H660" s="2835" t="s">
        <v>9667</v>
      </c>
      <c r="I660" s="2835" t="n">
        <v>0.0</v>
      </c>
      <c r="J660" s="2835"/>
      <c r="K660" s="2835"/>
      <c r="L660" s="2835"/>
      <c r="M660" s="2835"/>
      <c r="N660" s="2835"/>
    </row>
    <row r="661" spans="1:14" x14ac:dyDescent="0.15" ht="13.5" customHeight="true" hidden="false">
      <c r="A661" s="2835"/>
      <c r="B661" s="2835"/>
      <c r="C661" s="2835"/>
      <c r="D661" s="2835" t="s">
        <v>6962</v>
      </c>
      <c r="E661" s="2835" t="s">
        <v>9706</v>
      </c>
      <c r="F661" s="2835" t="n">
        <v>110.2</v>
      </c>
      <c r="G661" s="2835" t="s">
        <v>6997</v>
      </c>
      <c r="H661" s="2835" t="s">
        <v>9669</v>
      </c>
      <c r="I661" s="2835" t="n">
        <v>0.0</v>
      </c>
      <c r="J661" s="2835"/>
      <c r="K661" s="2835"/>
      <c r="L661" s="2835"/>
      <c r="M661" s="2835"/>
      <c r="N661" s="2835"/>
    </row>
    <row r="662" spans="1:14" x14ac:dyDescent="0.15" ht="13.5" customHeight="true" hidden="false">
      <c r="A662" s="2835"/>
      <c r="B662" s="2835"/>
      <c r="C662" s="2835"/>
      <c r="D662" s="2835" t="s">
        <v>6962</v>
      </c>
      <c r="E662" s="2835" t="s">
        <v>9707</v>
      </c>
      <c r="F662" s="2835" t="n">
        <v>0.0</v>
      </c>
      <c r="G662" s="2835" t="s">
        <v>6997</v>
      </c>
      <c r="H662" s="2835" t="s">
        <v>9671</v>
      </c>
      <c r="I662" s="2835" t="n">
        <v>0.0</v>
      </c>
      <c r="J662" s="2835"/>
      <c r="K662" s="2835"/>
      <c r="L662" s="2835"/>
      <c r="M662" s="2835"/>
      <c r="N662" s="2835"/>
    </row>
    <row r="663" spans="1:14" x14ac:dyDescent="0.15" ht="13.5" customHeight="true" hidden="false">
      <c r="A663" s="2835"/>
      <c r="B663" s="2835"/>
      <c r="C663" s="2835"/>
      <c r="D663" s="2835" t="s">
        <v>6962</v>
      </c>
      <c r="E663" s="2835" t="s">
        <v>9708</v>
      </c>
      <c r="F663" s="2835" t="n">
        <v>0.0</v>
      </c>
      <c r="G663" s="2835" t="s">
        <v>6997</v>
      </c>
      <c r="H663" s="2835" t="s">
        <v>9673</v>
      </c>
      <c r="I663" s="2835" t="n">
        <v>0.0</v>
      </c>
      <c r="J663" s="2835"/>
      <c r="K663" s="2835"/>
      <c r="L663" s="2835"/>
      <c r="M663" s="2835"/>
      <c r="N663" s="2835"/>
    </row>
    <row r="664" spans="1:14" x14ac:dyDescent="0.15" ht="13.5" customHeight="true" hidden="false">
      <c r="A664" s="2835"/>
      <c r="B664" s="2835"/>
      <c r="C664" s="2835"/>
      <c r="D664" s="2835" t="s">
        <v>6962</v>
      </c>
      <c r="E664" s="2835" t="s">
        <v>9709</v>
      </c>
      <c r="F664" s="2835" t="n">
        <v>321.1</v>
      </c>
      <c r="G664" s="2835" t="s">
        <v>6997</v>
      </c>
      <c r="H664" s="2835" t="s">
        <v>9674</v>
      </c>
      <c r="I664" s="2835" t="n">
        <v>0.0</v>
      </c>
      <c r="J664" s="2835"/>
      <c r="K664" s="2835"/>
      <c r="L664" s="2835"/>
      <c r="M664" s="2835"/>
      <c r="N664" s="2835"/>
    </row>
    <row r="665" spans="1:14" x14ac:dyDescent="0.15" ht="13.5" customHeight="true" hidden="false">
      <c r="A665" s="2835"/>
      <c r="B665" s="2835"/>
      <c r="C665" s="2835"/>
      <c r="D665" s="2835" t="s">
        <v>6962</v>
      </c>
      <c r="E665" s="2835" t="s">
        <v>9710</v>
      </c>
      <c r="F665" s="2835" t="n">
        <v>0.0</v>
      </c>
      <c r="G665" s="2835" t="s">
        <v>6997</v>
      </c>
      <c r="H665" s="2835" t="s">
        <v>9675</v>
      </c>
      <c r="I665" s="2835" t="n">
        <v>0.0</v>
      </c>
      <c r="J665" s="2835"/>
      <c r="K665" s="2835"/>
      <c r="L665" s="2835"/>
      <c r="M665" s="2835"/>
      <c r="N665" s="2835"/>
    </row>
    <row r="666" spans="1:14" x14ac:dyDescent="0.15" ht="13.5" customHeight="true" hidden="false">
      <c r="A666" s="2835"/>
      <c r="B666" s="2835"/>
      <c r="C666" s="2835"/>
      <c r="D666" s="2835" t="s">
        <v>6962</v>
      </c>
      <c r="E666" s="2835" t="s">
        <v>9711</v>
      </c>
      <c r="F666" s="2835" t="n">
        <v>146.1</v>
      </c>
      <c r="G666" s="2835" t="s">
        <v>6997</v>
      </c>
      <c r="H666" s="2835" t="s">
        <v>9676</v>
      </c>
      <c r="I666" s="2835" t="n">
        <v>0.0</v>
      </c>
      <c r="J666" s="2835"/>
      <c r="K666" s="2835"/>
      <c r="L666" s="2835"/>
      <c r="M666" s="2835"/>
      <c r="N666" s="2835"/>
    </row>
    <row r="667" spans="1:14" x14ac:dyDescent="0.15" ht="13.5" customHeight="true" hidden="false">
      <c r="A667" s="2835"/>
      <c r="B667" s="2835"/>
      <c r="C667" s="2835"/>
      <c r="D667" s="2835" t="s">
        <v>6962</v>
      </c>
      <c r="E667" s="2835" t="s">
        <v>9712</v>
      </c>
      <c r="F667" s="2835" t="n">
        <v>0.0</v>
      </c>
      <c r="G667" s="2835" t="s">
        <v>6997</v>
      </c>
      <c r="H667" s="2835" t="s">
        <v>9677</v>
      </c>
      <c r="I667" s="2835" t="n">
        <v>0.0</v>
      </c>
      <c r="J667" s="2835"/>
      <c r="K667" s="2835"/>
      <c r="L667" s="2835"/>
      <c r="M667" s="2835"/>
      <c r="N667" s="2835"/>
    </row>
    <row r="668" spans="1:14" x14ac:dyDescent="0.15" ht="13.5" customHeight="true" hidden="false">
      <c r="A668" s="2835"/>
      <c r="B668" s="2835"/>
      <c r="C668" s="2835"/>
      <c r="D668" s="2835" t="s">
        <v>6962</v>
      </c>
      <c r="E668" s="2835" t="s">
        <v>9713</v>
      </c>
      <c r="F668" s="2835" t="n">
        <v>73.7</v>
      </c>
      <c r="G668" s="2835" t="s">
        <v>6997</v>
      </c>
      <c r="H668" s="2835" t="s">
        <v>9678</v>
      </c>
      <c r="I668" s="2835" t="n">
        <v>0.0</v>
      </c>
      <c r="J668" s="2835"/>
      <c r="K668" s="2835"/>
      <c r="L668" s="2835"/>
      <c r="M668" s="2835"/>
      <c r="N668" s="2835"/>
    </row>
    <row r="669" spans="1:14" x14ac:dyDescent="0.15" ht="13.5" customHeight="true" hidden="false">
      <c r="A669" s="2835"/>
      <c r="B669" s="2835"/>
      <c r="C669" s="2835"/>
      <c r="D669" s="2835" t="s">
        <v>6962</v>
      </c>
      <c r="E669" s="2835" t="s">
        <v>9714</v>
      </c>
      <c r="F669" s="2835" t="n">
        <v>0.0</v>
      </c>
      <c r="G669" s="2835" t="s">
        <v>6997</v>
      </c>
      <c r="H669" s="2835" t="s">
        <v>9679</v>
      </c>
      <c r="I669" s="2835" t="n">
        <v>0.0</v>
      </c>
      <c r="J669" s="2835"/>
      <c r="K669" s="2835"/>
      <c r="L669" s="2835"/>
      <c r="M669" s="2835"/>
      <c r="N669" s="2835"/>
    </row>
    <row r="670" spans="1:14" x14ac:dyDescent="0.15" ht="13.5" customHeight="true" hidden="false">
      <c r="A670" s="2835"/>
      <c r="B670" s="2835"/>
      <c r="C670" s="2835"/>
      <c r="D670" s="2835" t="s">
        <v>6962</v>
      </c>
      <c r="E670" s="2835" t="s">
        <v>9715</v>
      </c>
      <c r="F670" s="2835" t="n">
        <v>0.0</v>
      </c>
      <c r="G670" s="2835" t="s">
        <v>6997</v>
      </c>
      <c r="H670" s="2835" t="s">
        <v>9680</v>
      </c>
      <c r="I670" s="2835" t="n">
        <v>0.0</v>
      </c>
      <c r="J670" s="2835"/>
      <c r="K670" s="2835"/>
      <c r="L670" s="2835"/>
      <c r="M670" s="2835"/>
      <c r="N670" s="2835"/>
    </row>
    <row r="671" spans="1:14" x14ac:dyDescent="0.15" ht="13.5" customHeight="true" hidden="false">
      <c r="A671" s="2835"/>
      <c r="B671" s="2835"/>
      <c r="C671" s="2835"/>
      <c r="D671" s="2835" t="s">
        <v>6962</v>
      </c>
      <c r="E671" s="2835" t="s">
        <v>9716</v>
      </c>
      <c r="F671" s="2835" t="n">
        <v>0.0</v>
      </c>
      <c r="G671" s="2835" t="s">
        <v>6997</v>
      </c>
      <c r="H671" s="2835" t="s">
        <v>9681</v>
      </c>
      <c r="I671" s="2835" t="n">
        <v>0.0</v>
      </c>
      <c r="J671" s="2835"/>
      <c r="K671" s="2835"/>
      <c r="L671" s="2835"/>
      <c r="M671" s="2835"/>
      <c r="N671" s="2835"/>
    </row>
    <row r="672" spans="1:14" x14ac:dyDescent="0.15" ht="13.5" customHeight="true" hidden="false">
      <c r="A672" s="2835"/>
      <c r="B672" s="2835"/>
      <c r="C672" s="2835"/>
      <c r="D672" s="2835" t="s">
        <v>6962</v>
      </c>
      <c r="E672" s="2835" t="s">
        <v>9717</v>
      </c>
      <c r="F672" s="2835" t="n">
        <v>0.0</v>
      </c>
      <c r="G672" s="2835" t="s">
        <v>6997</v>
      </c>
      <c r="H672" s="2835" t="s">
        <v>9682</v>
      </c>
      <c r="I672" s="2835" t="n">
        <v>0.0</v>
      </c>
      <c r="J672" s="2835"/>
      <c r="K672" s="2835"/>
      <c r="L672" s="2835"/>
      <c r="M672" s="2835"/>
      <c r="N672" s="2835"/>
    </row>
    <row r="673" spans="1:14" x14ac:dyDescent="0.15" ht="13.5" customHeight="true" hidden="false">
      <c r="A673" s="2835"/>
      <c r="B673" s="2835"/>
      <c r="C673" s="2835"/>
      <c r="D673" s="2835" t="s">
        <v>6962</v>
      </c>
      <c r="E673" s="2835" t="s">
        <v>9718</v>
      </c>
      <c r="F673" s="2835" t="n">
        <v>0.0</v>
      </c>
      <c r="G673" s="2835" t="s">
        <v>6997</v>
      </c>
      <c r="H673" s="2835" t="s">
        <v>9683</v>
      </c>
      <c r="I673" s="2835" t="n">
        <v>0.0</v>
      </c>
      <c r="J673" s="2835"/>
      <c r="K673" s="2835"/>
      <c r="L673" s="2835"/>
      <c r="M673" s="2835"/>
      <c r="N673" s="2835"/>
    </row>
    <row r="674" spans="1:14" x14ac:dyDescent="0.15" ht="13.5" customHeight="true" hidden="false">
      <c r="A674" s="2835"/>
      <c r="B674" s="2835"/>
      <c r="C674" s="2835"/>
      <c r="D674" s="2835" t="s">
        <v>6962</v>
      </c>
      <c r="E674" s="2835" t="s">
        <v>9719</v>
      </c>
      <c r="F674" s="2835" t="n">
        <v>0.0</v>
      </c>
      <c r="G674" s="2835" t="s">
        <v>6997</v>
      </c>
      <c r="H674" s="2835" t="s">
        <v>9684</v>
      </c>
      <c r="I674" s="2835" t="n">
        <v>0.0</v>
      </c>
      <c r="J674" s="2835"/>
      <c r="K674" s="2835"/>
      <c r="L674" s="2835"/>
      <c r="M674" s="2835"/>
      <c r="N674" s="2835"/>
    </row>
    <row r="675" spans="1:14" x14ac:dyDescent="0.15" ht="13.5" customHeight="true" hidden="false">
      <c r="A675" s="2835"/>
      <c r="B675" s="2835"/>
      <c r="C675" s="2835"/>
      <c r="D675" s="2835" t="s">
        <v>6962</v>
      </c>
      <c r="E675" s="2835" t="s">
        <v>9720</v>
      </c>
      <c r="F675" s="2835" t="n">
        <v>0.0</v>
      </c>
      <c r="G675" s="2835" t="s">
        <v>6997</v>
      </c>
      <c r="H675" s="2835" t="s">
        <v>9685</v>
      </c>
      <c r="I675" s="2835" t="n">
        <v>0.0</v>
      </c>
      <c r="J675" s="2835"/>
      <c r="K675" s="2835"/>
      <c r="L675" s="2835"/>
      <c r="M675" s="2835"/>
      <c r="N675" s="2835"/>
    </row>
    <row r="676" spans="1:14" x14ac:dyDescent="0.15" ht="13.5" customHeight="true" hidden="false">
      <c r="A676" s="2835"/>
      <c r="B676" s="2835"/>
      <c r="C676" s="2835"/>
      <c r="D676" s="2835" t="s">
        <v>6962</v>
      </c>
      <c r="E676" s="2835" t="s">
        <v>9721</v>
      </c>
      <c r="F676" s="2835" t="n">
        <v>0.0</v>
      </c>
      <c r="G676" s="2835" t="s">
        <v>6997</v>
      </c>
      <c r="H676" s="2835" t="s">
        <v>9686</v>
      </c>
      <c r="I676" s="2835" t="n">
        <v>0.0</v>
      </c>
      <c r="J676" s="2835"/>
      <c r="K676" s="2835"/>
      <c r="L676" s="2835"/>
      <c r="M676" s="2835"/>
      <c r="N676" s="2835"/>
    </row>
    <row r="677" spans="1:14" x14ac:dyDescent="0.15" ht="13.5" customHeight="true" hidden="false">
      <c r="A677" s="2835"/>
      <c r="B677" s="2835"/>
      <c r="C677" s="2835"/>
      <c r="D677" s="2835" t="s">
        <v>6962</v>
      </c>
      <c r="E677" s="2835" t="s">
        <v>9722</v>
      </c>
      <c r="F677" s="2835" t="n">
        <v>0.0</v>
      </c>
      <c r="G677" s="2835" t="s">
        <v>6997</v>
      </c>
      <c r="H677" s="2835" t="s">
        <v>9687</v>
      </c>
      <c r="I677" s="2835" t="n">
        <v>0.0</v>
      </c>
      <c r="J677" s="2835"/>
      <c r="K677" s="2835"/>
      <c r="L677" s="2835"/>
      <c r="M677" s="2835"/>
      <c r="N677" s="2835"/>
    </row>
    <row r="678" spans="1:14" x14ac:dyDescent="0.15" ht="13.5" customHeight="true" hidden="false">
      <c r="A678" s="2835"/>
      <c r="B678" s="2835"/>
      <c r="C678" s="2835"/>
      <c r="D678" s="2835" t="s">
        <v>6963</v>
      </c>
      <c r="E678" s="2835" t="s">
        <v>9604</v>
      </c>
      <c r="F678" s="2835" t="n">
        <v>683.5</v>
      </c>
      <c r="G678" s="2835" t="s">
        <v>6997</v>
      </c>
      <c r="H678" s="2835" t="s">
        <v>9688</v>
      </c>
      <c r="I678" s="2835" t="n">
        <v>0.0</v>
      </c>
      <c r="J678" s="2835"/>
      <c r="K678" s="2835"/>
      <c r="L678" s="2835"/>
      <c r="M678" s="2835"/>
      <c r="N678" s="2835"/>
    </row>
    <row r="679" spans="1:14" x14ac:dyDescent="0.15" ht="13.5" customHeight="true" hidden="false">
      <c r="A679" s="2835"/>
      <c r="B679" s="2835"/>
      <c r="C679" s="2835"/>
      <c r="D679" s="2835" t="s">
        <v>6963</v>
      </c>
      <c r="E679" s="2835" t="s">
        <v>9605</v>
      </c>
      <c r="F679" s="2835" t="n">
        <v>872.5</v>
      </c>
      <c r="G679" s="2835" t="s">
        <v>6997</v>
      </c>
      <c r="H679" s="2835" t="s">
        <v>9689</v>
      </c>
      <c r="I679" s="2835" t="n">
        <v>0.0</v>
      </c>
      <c r="J679" s="2835"/>
      <c r="K679" s="2835"/>
      <c r="L679" s="2835"/>
      <c r="M679" s="2835"/>
      <c r="N679" s="2835"/>
    </row>
    <row r="680" spans="1:14" x14ac:dyDescent="0.15" ht="13.5" customHeight="true" hidden="false">
      <c r="A680" s="2835"/>
      <c r="B680" s="2835"/>
      <c r="C680" s="2835"/>
      <c r="D680" s="2835" t="s">
        <v>6963</v>
      </c>
      <c r="E680" s="2835" t="s">
        <v>9606</v>
      </c>
      <c r="F680" s="2835" t="n">
        <v>727.9</v>
      </c>
      <c r="G680" s="2835" t="s">
        <v>6997</v>
      </c>
      <c r="H680" s="2835" t="s">
        <v>9690</v>
      </c>
      <c r="I680" s="2835" t="n">
        <v>0.0</v>
      </c>
      <c r="J680" s="2835"/>
      <c r="K680" s="2835"/>
      <c r="L680" s="2835"/>
      <c r="M680" s="2835"/>
      <c r="N680" s="2835"/>
    </row>
    <row r="681" spans="1:14" x14ac:dyDescent="0.15" ht="13.5" customHeight="true" hidden="false">
      <c r="A681" s="2835"/>
      <c r="B681" s="2835"/>
      <c r="C681" s="2835"/>
      <c r="D681" s="2835" t="s">
        <v>6963</v>
      </c>
      <c r="E681" s="2835" t="s">
        <v>9607</v>
      </c>
      <c r="F681" s="2835" t="n">
        <v>955.7</v>
      </c>
      <c r="G681" s="2835" t="s">
        <v>6997</v>
      </c>
      <c r="H681" s="2835" t="s">
        <v>9691</v>
      </c>
      <c r="I681" s="2835" t="n">
        <v>0.0</v>
      </c>
      <c r="J681" s="2835"/>
      <c r="K681" s="2835"/>
      <c r="L681" s="2835"/>
      <c r="M681" s="2835"/>
      <c r="N681" s="2835"/>
    </row>
    <row r="682" spans="1:14" x14ac:dyDescent="0.15" ht="13.5" customHeight="true" hidden="false">
      <c r="A682" s="2835"/>
      <c r="B682" s="2835"/>
      <c r="C682" s="2835"/>
      <c r="D682" s="2835" t="s">
        <v>6963</v>
      </c>
      <c r="E682" s="2835" t="s">
        <v>9610</v>
      </c>
      <c r="F682" s="2835" t="n">
        <v>550.6</v>
      </c>
      <c r="G682" s="2835" t="s">
        <v>6997</v>
      </c>
      <c r="H682" s="2835" t="s">
        <v>9692</v>
      </c>
      <c r="I682" s="2835" t="n">
        <v>0.0</v>
      </c>
      <c r="J682" s="2835"/>
      <c r="K682" s="2835"/>
      <c r="L682" s="2835"/>
      <c r="M682" s="2835"/>
      <c r="N682" s="2835"/>
    </row>
    <row r="683" spans="1:14" x14ac:dyDescent="0.15" ht="13.5" customHeight="true" hidden="false">
      <c r="A683" s="2835"/>
      <c r="B683" s="2835"/>
      <c r="C683" s="2835"/>
      <c r="D683" s="2835" t="s">
        <v>6963</v>
      </c>
      <c r="E683" s="2835" t="s">
        <v>9611</v>
      </c>
      <c r="F683" s="2835" t="n">
        <v>517.8</v>
      </c>
      <c r="G683" s="2835" t="s">
        <v>6997</v>
      </c>
      <c r="H683" s="2835" t="s">
        <v>9693</v>
      </c>
      <c r="I683" s="2835" t="n">
        <v>0.0</v>
      </c>
      <c r="J683" s="2835"/>
      <c r="K683" s="2835"/>
      <c r="L683" s="2835"/>
      <c r="M683" s="2835"/>
      <c r="N683" s="2835"/>
    </row>
    <row r="684" spans="1:14" x14ac:dyDescent="0.15" ht="13.5" customHeight="true" hidden="false">
      <c r="A684" s="2835"/>
      <c r="B684" s="2835"/>
      <c r="C684" s="2835"/>
      <c r="D684" s="2835" t="s">
        <v>6963</v>
      </c>
      <c r="E684" s="2835" t="s">
        <v>9612</v>
      </c>
      <c r="F684" s="2835" t="n">
        <v>955.7</v>
      </c>
      <c r="G684" s="2835" t="s">
        <v>6997</v>
      </c>
      <c r="H684" s="2835" t="s">
        <v>9694</v>
      </c>
      <c r="I684" s="2835" t="n">
        <v>0.0</v>
      </c>
      <c r="J684" s="2835"/>
      <c r="K684" s="2835"/>
      <c r="L684" s="2835"/>
      <c r="M684" s="2835"/>
      <c r="N684" s="2835"/>
    </row>
    <row r="685" spans="1:14" x14ac:dyDescent="0.15" ht="13.5" customHeight="true" hidden="false">
      <c r="A685" s="2835"/>
      <c r="B685" s="2835"/>
      <c r="C685" s="2835"/>
      <c r="D685" s="2835" t="s">
        <v>6963</v>
      </c>
      <c r="E685" s="2835" t="s">
        <v>9613</v>
      </c>
      <c r="F685" s="2835" t="n">
        <v>841.8</v>
      </c>
      <c r="G685" s="2835" t="s">
        <v>6997</v>
      </c>
      <c r="H685" s="2835" t="s">
        <v>9695</v>
      </c>
      <c r="I685" s="2835" t="n">
        <v>0.0</v>
      </c>
      <c r="J685" s="2835"/>
      <c r="K685" s="2835"/>
      <c r="L685" s="2835"/>
      <c r="M685" s="2835"/>
      <c r="N685" s="2835"/>
    </row>
    <row r="686" spans="1:14" x14ac:dyDescent="0.15" ht="13.5" customHeight="true" hidden="false">
      <c r="A686" s="2835"/>
      <c r="B686" s="2835"/>
      <c r="C686" s="2835"/>
      <c r="D686" s="2835" t="s">
        <v>6963</v>
      </c>
      <c r="E686" s="2835" t="s">
        <v>9614</v>
      </c>
      <c r="F686" s="2835" t="n">
        <v>615.1</v>
      </c>
      <c r="G686" s="2835" t="s">
        <v>6997</v>
      </c>
      <c r="H686" s="2835" t="s">
        <v>9696</v>
      </c>
      <c r="I686" s="2835" t="n">
        <v>0.0</v>
      </c>
      <c r="J686" s="2835"/>
      <c r="K686" s="2835"/>
      <c r="L686" s="2835"/>
      <c r="M686" s="2835"/>
      <c r="N686" s="2835"/>
    </row>
    <row r="687" spans="1:14" x14ac:dyDescent="0.15" ht="13.5" customHeight="true" hidden="false">
      <c r="A687" s="2835"/>
      <c r="B687" s="2835"/>
      <c r="C687" s="2835"/>
      <c r="D687" s="2835" t="s">
        <v>6963</v>
      </c>
      <c r="E687" s="2835" t="s">
        <v>9615</v>
      </c>
      <c r="F687" s="2835" t="n">
        <v>1080.0</v>
      </c>
      <c r="G687" s="2835" t="s">
        <v>6997</v>
      </c>
      <c r="H687" s="2835" t="s">
        <v>9697</v>
      </c>
      <c r="I687" s="2835" t="n">
        <v>0.0</v>
      </c>
      <c r="J687" s="2835"/>
      <c r="K687" s="2835"/>
      <c r="L687" s="2835"/>
      <c r="M687" s="2835"/>
      <c r="N687" s="2835"/>
    </row>
    <row r="688" spans="1:14" x14ac:dyDescent="0.15" ht="13.5" customHeight="true" hidden="false">
      <c r="A688" s="2835"/>
      <c r="B688" s="2835"/>
      <c r="C688" s="2835"/>
      <c r="D688" s="2835" t="s">
        <v>6963</v>
      </c>
      <c r="E688" s="2835" t="s">
        <v>9616</v>
      </c>
      <c r="F688" s="2835" t="n">
        <v>490.7</v>
      </c>
      <c r="G688" s="2835" t="s">
        <v>6997</v>
      </c>
      <c r="H688" s="2835" t="s">
        <v>9698</v>
      </c>
      <c r="I688" s="2835" t="n">
        <v>0.0</v>
      </c>
      <c r="J688" s="2835"/>
      <c r="K688" s="2835"/>
      <c r="L688" s="2835"/>
      <c r="M688" s="2835"/>
      <c r="N688" s="2835"/>
    </row>
    <row r="689" spans="1:14" x14ac:dyDescent="0.15" ht="13.5" customHeight="true" hidden="false">
      <c r="A689" s="2835"/>
      <c r="B689" s="2835"/>
      <c r="C689" s="2835"/>
      <c r="D689" s="2835" t="s">
        <v>6963</v>
      </c>
      <c r="E689" s="2835" t="s">
        <v>9617</v>
      </c>
      <c r="F689" s="2835" t="n">
        <v>563.6</v>
      </c>
      <c r="G689" s="2835" t="s">
        <v>6997</v>
      </c>
      <c r="H689" s="2835" t="s">
        <v>9699</v>
      </c>
      <c r="I689" s="2835" t="n">
        <v>0.0</v>
      </c>
      <c r="J689" s="2835"/>
      <c r="K689" s="2835"/>
      <c r="L689" s="2835"/>
      <c r="M689" s="2835"/>
      <c r="N689" s="2835"/>
    </row>
    <row r="690" spans="1:14" x14ac:dyDescent="0.15" ht="13.5" customHeight="true" hidden="false">
      <c r="A690" s="2835"/>
      <c r="B690" s="2835"/>
      <c r="C690" s="2835"/>
      <c r="D690" s="2835" t="s">
        <v>6963</v>
      </c>
      <c r="E690" s="2835" t="s">
        <v>9701</v>
      </c>
      <c r="F690" s="2835" t="n">
        <v>872.5</v>
      </c>
      <c r="G690" s="2835" t="s">
        <v>6997</v>
      </c>
      <c r="H690" s="2835" t="s">
        <v>9700</v>
      </c>
      <c r="I690" s="2835" t="n">
        <v>0.0</v>
      </c>
      <c r="J690" s="2835"/>
      <c r="K690" s="2835"/>
      <c r="L690" s="2835"/>
      <c r="M690" s="2835"/>
      <c r="N690" s="2835"/>
    </row>
    <row r="691" spans="1:14" x14ac:dyDescent="0.15" ht="13.5" customHeight="true" hidden="false">
      <c r="A691" s="2835"/>
      <c r="B691" s="2835"/>
      <c r="C691" s="2835"/>
      <c r="D691" s="2835" t="s">
        <v>6963</v>
      </c>
      <c r="E691" s="2835" t="s">
        <v>9702</v>
      </c>
      <c r="F691" s="2835" t="n">
        <v>382.5</v>
      </c>
      <c r="G691" s="2835" t="s">
        <v>6998</v>
      </c>
      <c r="H691" s="2835" t="s">
        <v>9618</v>
      </c>
      <c r="I691" s="2835" t="n">
        <v>0.0</v>
      </c>
      <c r="J691" s="2835"/>
      <c r="K691" s="2835"/>
      <c r="L691" s="2835"/>
      <c r="M691" s="2835"/>
      <c r="N691" s="2835"/>
    </row>
    <row r="692" spans="1:14" x14ac:dyDescent="0.15" ht="13.5" customHeight="true" hidden="false">
      <c r="A692" s="2835"/>
      <c r="B692" s="2835"/>
      <c r="C692" s="2835"/>
      <c r="D692" s="2835" t="s">
        <v>6963</v>
      </c>
      <c r="E692" s="2835" t="s">
        <v>9703</v>
      </c>
      <c r="F692" s="2835" t="n">
        <v>938.7</v>
      </c>
      <c r="G692" s="2835" t="s">
        <v>6998</v>
      </c>
      <c r="H692" s="2835" t="s">
        <v>9619</v>
      </c>
      <c r="I692" s="2835" t="n">
        <v>0.0</v>
      </c>
      <c r="J692" s="2835"/>
      <c r="K692" s="2835"/>
      <c r="L692" s="2835"/>
      <c r="M692" s="2835"/>
      <c r="N692" s="2835"/>
    </row>
    <row r="693" spans="1:14" x14ac:dyDescent="0.15" ht="13.5" customHeight="true" hidden="false">
      <c r="A693" s="2835"/>
      <c r="B693" s="2835"/>
      <c r="C693" s="2835"/>
      <c r="D693" s="2835" t="s">
        <v>6963</v>
      </c>
      <c r="E693" s="2835" t="s">
        <v>9704</v>
      </c>
      <c r="F693" s="2835" t="n">
        <v>1093.0</v>
      </c>
      <c r="G693" s="2835" t="s">
        <v>6998</v>
      </c>
      <c r="H693" s="2835" t="s">
        <v>9620</v>
      </c>
      <c r="I693" s="2835" t="n">
        <v>0.0</v>
      </c>
      <c r="J693" s="2835"/>
      <c r="K693" s="2835"/>
      <c r="L693" s="2835"/>
      <c r="M693" s="2835"/>
      <c r="N693" s="2835"/>
    </row>
    <row r="694" spans="1:14" x14ac:dyDescent="0.15" ht="13.5" customHeight="true" hidden="false">
      <c r="A694" s="2835"/>
      <c r="B694" s="2835"/>
      <c r="C694" s="2835"/>
      <c r="D694" s="2835" t="s">
        <v>6963</v>
      </c>
      <c r="E694" s="2835" t="s">
        <v>9705</v>
      </c>
      <c r="F694" s="2835" t="n">
        <v>1080.0</v>
      </c>
      <c r="G694" s="2835" t="s">
        <v>6998</v>
      </c>
      <c r="H694" s="2835" t="s">
        <v>9621</v>
      </c>
      <c r="I694" s="2835" t="n">
        <v>0.0</v>
      </c>
      <c r="J694" s="2835"/>
      <c r="K694" s="2835"/>
      <c r="L694" s="2835"/>
      <c r="M694" s="2835"/>
      <c r="N694" s="2835"/>
    </row>
    <row r="695" spans="1:14" x14ac:dyDescent="0.15" ht="13.5" customHeight="true" hidden="false">
      <c r="A695" s="2835"/>
      <c r="B695" s="2835"/>
      <c r="C695" s="2835"/>
      <c r="D695" s="2835" t="s">
        <v>6963</v>
      </c>
      <c r="E695" s="2835" t="s">
        <v>9706</v>
      </c>
      <c r="F695" s="2835" t="n">
        <v>966.1</v>
      </c>
      <c r="G695" s="2835" t="s">
        <v>6998</v>
      </c>
      <c r="H695" s="2835" t="s">
        <v>9622</v>
      </c>
      <c r="I695" s="2835" t="n">
        <v>0.0</v>
      </c>
      <c r="J695" s="2835"/>
      <c r="K695" s="2835"/>
      <c r="L695" s="2835"/>
      <c r="M695" s="2835"/>
      <c r="N695" s="2835"/>
    </row>
    <row r="696" spans="1:14" x14ac:dyDescent="0.15" ht="13.5" customHeight="true" hidden="false">
      <c r="A696" s="2835"/>
      <c r="B696" s="2835"/>
      <c r="C696" s="2835"/>
      <c r="D696" s="2835" t="s">
        <v>6963</v>
      </c>
      <c r="E696" s="2835" t="s">
        <v>9707</v>
      </c>
      <c r="F696" s="2835" t="n">
        <v>577.6</v>
      </c>
      <c r="G696" s="2835" t="s">
        <v>6998</v>
      </c>
      <c r="H696" s="2835" t="s">
        <v>9623</v>
      </c>
      <c r="I696" s="2835" t="n">
        <v>0.0</v>
      </c>
      <c r="J696" s="2835"/>
      <c r="K696" s="2835"/>
      <c r="L696" s="2835"/>
      <c r="M696" s="2835"/>
      <c r="N696" s="2835"/>
    </row>
    <row r="697" spans="1:14" x14ac:dyDescent="0.15" ht="13.5" customHeight="true" hidden="false">
      <c r="A697" s="2835"/>
      <c r="B697" s="2835"/>
      <c r="C697" s="2835"/>
      <c r="D697" s="2835" t="s">
        <v>6963</v>
      </c>
      <c r="E697" s="2835" t="s">
        <v>9708</v>
      </c>
      <c r="F697" s="2835" t="n">
        <v>1246.3</v>
      </c>
      <c r="G697" s="2835" t="s">
        <v>6998</v>
      </c>
      <c r="H697" s="2835" t="s">
        <v>9624</v>
      </c>
      <c r="I697" s="2835" t="n">
        <v>0.0</v>
      </c>
      <c r="J697" s="2835"/>
      <c r="K697" s="2835"/>
      <c r="L697" s="2835"/>
      <c r="M697" s="2835"/>
      <c r="N697" s="2835"/>
    </row>
    <row r="698" spans="1:14" x14ac:dyDescent="0.15" ht="13.5" customHeight="true" hidden="false">
      <c r="A698" s="2835"/>
      <c r="B698" s="2835"/>
      <c r="C698" s="2835"/>
      <c r="D698" s="2835" t="s">
        <v>6963</v>
      </c>
      <c r="E698" s="2835" t="s">
        <v>9709</v>
      </c>
      <c r="F698" s="2835" t="n">
        <v>966.1</v>
      </c>
      <c r="G698" s="2835" t="s">
        <v>6998</v>
      </c>
      <c r="H698" s="2835" t="s">
        <v>9625</v>
      </c>
      <c r="I698" s="2835" t="n">
        <v>0.0</v>
      </c>
      <c r="J698" s="2835"/>
      <c r="K698" s="2835"/>
      <c r="L698" s="2835"/>
      <c r="M698" s="2835"/>
      <c r="N698" s="2835"/>
    </row>
    <row r="699" spans="1:14" x14ac:dyDescent="0.15" ht="13.5" customHeight="true" hidden="false">
      <c r="A699" s="2835"/>
      <c r="B699" s="2835"/>
      <c r="C699" s="2835"/>
      <c r="D699" s="2835" t="s">
        <v>6963</v>
      </c>
      <c r="E699" s="2835" t="s">
        <v>9710</v>
      </c>
      <c r="F699" s="2835" t="n">
        <v>1402.0</v>
      </c>
      <c r="G699" s="2835" t="s">
        <v>6998</v>
      </c>
      <c r="H699" s="2835" t="s">
        <v>9626</v>
      </c>
      <c r="I699" s="2835" t="n">
        <v>0.0</v>
      </c>
      <c r="J699" s="2835"/>
      <c r="K699" s="2835"/>
      <c r="L699" s="2835"/>
      <c r="M699" s="2835"/>
      <c r="N699" s="2835"/>
    </row>
    <row r="700" spans="1:14" x14ac:dyDescent="0.15" ht="13.5" customHeight="true" hidden="false">
      <c r="A700" s="2835"/>
      <c r="B700" s="2835"/>
      <c r="C700" s="2835"/>
      <c r="D700" s="2835" t="s">
        <v>6963</v>
      </c>
      <c r="E700" s="2835" t="s">
        <v>9711</v>
      </c>
      <c r="F700" s="2835" t="n">
        <v>1402.0</v>
      </c>
      <c r="G700" s="2835" t="s">
        <v>6998</v>
      </c>
      <c r="H700" s="2835" t="s">
        <v>9627</v>
      </c>
      <c r="I700" s="2835" t="n">
        <v>0.0</v>
      </c>
      <c r="J700" s="2835"/>
      <c r="K700" s="2835"/>
      <c r="L700" s="2835"/>
      <c r="M700" s="2835"/>
      <c r="N700" s="2835"/>
    </row>
    <row r="701" spans="1:14" x14ac:dyDescent="0.15" ht="13.5" customHeight="true" hidden="false">
      <c r="A701" s="2835"/>
      <c r="B701" s="2835"/>
      <c r="C701" s="2835"/>
      <c r="D701" s="2835" t="s">
        <v>6963</v>
      </c>
      <c r="E701" s="2835" t="s">
        <v>9712</v>
      </c>
      <c r="F701" s="2835" t="n">
        <v>0.0</v>
      </c>
      <c r="G701" s="2835" t="s">
        <v>6998</v>
      </c>
      <c r="H701" s="2835" t="s">
        <v>9628</v>
      </c>
      <c r="I701" s="2835" t="n">
        <v>0.0</v>
      </c>
      <c r="J701" s="2835"/>
      <c r="K701" s="2835"/>
      <c r="L701" s="2835"/>
      <c r="M701" s="2835"/>
      <c r="N701" s="2835"/>
    </row>
    <row r="702" spans="1:14" x14ac:dyDescent="0.15" ht="13.5" customHeight="true" hidden="false">
      <c r="A702" s="2835"/>
      <c r="B702" s="2835"/>
      <c r="C702" s="2835"/>
      <c r="D702" s="2835" t="s">
        <v>6964</v>
      </c>
      <c r="E702" s="2835" t="s">
        <v>9604</v>
      </c>
      <c r="F702" s="2835" t="n">
        <v>690.0</v>
      </c>
      <c r="G702" s="2835" t="s">
        <v>6998</v>
      </c>
      <c r="H702" s="2835" t="s">
        <v>9629</v>
      </c>
      <c r="I702" s="2835" t="n">
        <v>0.0</v>
      </c>
      <c r="J702" s="2835"/>
      <c r="K702" s="2835"/>
      <c r="L702" s="2835"/>
      <c r="M702" s="2835"/>
      <c r="N702" s="2835"/>
    </row>
    <row r="703" spans="1:14" x14ac:dyDescent="0.15" ht="13.5" customHeight="true" hidden="false">
      <c r="A703" s="2835"/>
      <c r="B703" s="2835"/>
      <c r="C703" s="2835"/>
      <c r="D703" s="2835" t="s">
        <v>6964</v>
      </c>
      <c r="E703" s="2835" t="s">
        <v>9605</v>
      </c>
      <c r="F703" s="2835" t="n">
        <v>1024.4</v>
      </c>
      <c r="G703" s="2835" t="s">
        <v>6998</v>
      </c>
      <c r="H703" s="2835" t="s">
        <v>9633</v>
      </c>
      <c r="I703" s="2835" t="n">
        <v>0.0</v>
      </c>
      <c r="J703" s="2835"/>
      <c r="K703" s="2835"/>
      <c r="L703" s="2835"/>
      <c r="M703" s="2835"/>
      <c r="N703" s="2835"/>
    </row>
    <row r="704" spans="1:14" x14ac:dyDescent="0.15" ht="13.5" customHeight="true" hidden="false">
      <c r="A704" s="2835"/>
      <c r="B704" s="2835"/>
      <c r="C704" s="2835"/>
      <c r="D704" s="2835" t="s">
        <v>6964</v>
      </c>
      <c r="E704" s="2835" t="s">
        <v>9606</v>
      </c>
      <c r="F704" s="2835" t="n">
        <v>692.5</v>
      </c>
      <c r="G704" s="2835" t="s">
        <v>6998</v>
      </c>
      <c r="H704" s="2835" t="s">
        <v>9634</v>
      </c>
      <c r="I704" s="2835" t="n">
        <v>0.0</v>
      </c>
      <c r="J704" s="2835"/>
      <c r="K704" s="2835"/>
      <c r="L704" s="2835"/>
      <c r="M704" s="2835"/>
      <c r="N704" s="2835"/>
    </row>
    <row r="705" spans="1:14" x14ac:dyDescent="0.15" ht="13.5" customHeight="true" hidden="false">
      <c r="A705" s="2835"/>
      <c r="B705" s="2835"/>
      <c r="C705" s="2835"/>
      <c r="D705" s="2835" t="s">
        <v>6964</v>
      </c>
      <c r="E705" s="2835" t="s">
        <v>9607</v>
      </c>
      <c r="F705" s="2835" t="n">
        <v>967.8</v>
      </c>
      <c r="G705" s="2835" t="s">
        <v>6998</v>
      </c>
      <c r="H705" s="2835" t="s">
        <v>9635</v>
      </c>
      <c r="I705" s="2835" t="n">
        <v>0.0</v>
      </c>
      <c r="J705" s="2835"/>
      <c r="K705" s="2835"/>
      <c r="L705" s="2835"/>
      <c r="M705" s="2835"/>
      <c r="N705" s="2835"/>
    </row>
    <row r="706" spans="1:14" x14ac:dyDescent="0.15" ht="13.5" customHeight="true" hidden="false">
      <c r="A706" s="2835"/>
      <c r="B706" s="2835"/>
      <c r="C706" s="2835"/>
      <c r="D706" s="2835" t="s">
        <v>6964</v>
      </c>
      <c r="E706" s="2835" t="s">
        <v>9610</v>
      </c>
      <c r="F706" s="2835" t="n">
        <v>547.2</v>
      </c>
      <c r="G706" s="2835" t="s">
        <v>6998</v>
      </c>
      <c r="H706" s="2835" t="s">
        <v>9636</v>
      </c>
      <c r="I706" s="2835" t="n">
        <v>0.0</v>
      </c>
      <c r="J706" s="2835"/>
      <c r="K706" s="2835"/>
      <c r="L706" s="2835"/>
      <c r="M706" s="2835"/>
      <c r="N706" s="2835"/>
    </row>
    <row r="707" spans="1:14" x14ac:dyDescent="0.15" ht="13.5" customHeight="true" hidden="false">
      <c r="A707" s="2835"/>
      <c r="B707" s="2835"/>
      <c r="C707" s="2835"/>
      <c r="D707" s="2835" t="s">
        <v>6964</v>
      </c>
      <c r="E707" s="2835" t="s">
        <v>9611</v>
      </c>
      <c r="F707" s="2835" t="n">
        <v>324.9</v>
      </c>
      <c r="G707" s="2835" t="s">
        <v>6998</v>
      </c>
      <c r="H707" s="2835" t="s">
        <v>9637</v>
      </c>
      <c r="I707" s="2835" t="n">
        <v>0.0</v>
      </c>
      <c r="J707" s="2835"/>
      <c r="K707" s="2835"/>
      <c r="L707" s="2835"/>
      <c r="M707" s="2835"/>
      <c r="N707" s="2835"/>
    </row>
    <row r="708" spans="1:14" x14ac:dyDescent="0.15" ht="13.5" customHeight="true" hidden="false">
      <c r="A708" s="2835"/>
      <c r="B708" s="2835"/>
      <c r="C708" s="2835"/>
      <c r="D708" s="2835" t="s">
        <v>6964</v>
      </c>
      <c r="E708" s="2835" t="s">
        <v>9612</v>
      </c>
      <c r="F708" s="2835" t="n">
        <v>967.8</v>
      </c>
      <c r="G708" s="2835" t="s">
        <v>6998</v>
      </c>
      <c r="H708" s="2835" t="s">
        <v>9638</v>
      </c>
      <c r="I708" s="2835" t="n">
        <v>0.0</v>
      </c>
      <c r="J708" s="2835"/>
      <c r="K708" s="2835"/>
      <c r="L708" s="2835"/>
      <c r="M708" s="2835"/>
      <c r="N708" s="2835"/>
    </row>
    <row r="709" spans="1:14" x14ac:dyDescent="0.15" ht="13.5" customHeight="true" hidden="false">
      <c r="A709" s="2835"/>
      <c r="B709" s="2835"/>
      <c r="C709" s="2835"/>
      <c r="D709" s="2835" t="s">
        <v>6964</v>
      </c>
      <c r="E709" s="2835" t="s">
        <v>9613</v>
      </c>
      <c r="F709" s="2835" t="n">
        <v>933.8</v>
      </c>
      <c r="G709" s="2835" t="s">
        <v>6998</v>
      </c>
      <c r="H709" s="2835" t="s">
        <v>9657</v>
      </c>
      <c r="I709" s="2835" t="n">
        <v>0.0</v>
      </c>
      <c r="J709" s="2835"/>
      <c r="K709" s="2835"/>
      <c r="L709" s="2835"/>
      <c r="M709" s="2835"/>
      <c r="N709" s="2835"/>
    </row>
    <row r="710" spans="1:14" x14ac:dyDescent="0.15" ht="13.5" customHeight="true" hidden="false">
      <c r="A710" s="2835"/>
      <c r="B710" s="2835"/>
      <c r="C710" s="2835"/>
      <c r="D710" s="2835" t="s">
        <v>6964</v>
      </c>
      <c r="E710" s="2835" t="s">
        <v>9614</v>
      </c>
      <c r="F710" s="2835" t="n">
        <v>672.3</v>
      </c>
      <c r="G710" s="2835" t="s">
        <v>6998</v>
      </c>
      <c r="H710" s="2835" t="s">
        <v>9659</v>
      </c>
      <c r="I710" s="2835" t="n">
        <v>0.0</v>
      </c>
      <c r="J710" s="2835"/>
      <c r="K710" s="2835"/>
      <c r="L710" s="2835"/>
      <c r="M710" s="2835"/>
      <c r="N710" s="2835"/>
    </row>
    <row r="711" spans="1:14" x14ac:dyDescent="0.15" ht="13.5" customHeight="true" hidden="false">
      <c r="A711" s="2835"/>
      <c r="B711" s="2835"/>
      <c r="C711" s="2835"/>
      <c r="D711" s="2835" t="s">
        <v>6964</v>
      </c>
      <c r="E711" s="2835" t="s">
        <v>9615</v>
      </c>
      <c r="F711" s="2835" t="n">
        <v>1091.5</v>
      </c>
      <c r="G711" s="2835" t="s">
        <v>6998</v>
      </c>
      <c r="H711" s="2835" t="s">
        <v>9661</v>
      </c>
      <c r="I711" s="2835" t="n">
        <v>0.0</v>
      </c>
      <c r="J711" s="2835"/>
      <c r="K711" s="2835"/>
      <c r="L711" s="2835"/>
      <c r="M711" s="2835"/>
      <c r="N711" s="2835"/>
    </row>
    <row r="712" spans="1:14" x14ac:dyDescent="0.15" ht="13.5" customHeight="true" hidden="false">
      <c r="A712" s="2835"/>
      <c r="B712" s="2835"/>
      <c r="C712" s="2835"/>
      <c r="D712" s="2835" t="s">
        <v>6964</v>
      </c>
      <c r="E712" s="2835" t="s">
        <v>9616</v>
      </c>
      <c r="F712" s="2835" t="n">
        <v>373.6</v>
      </c>
      <c r="G712" s="2835" t="s">
        <v>6998</v>
      </c>
      <c r="H712" s="2835" t="s">
        <v>9663</v>
      </c>
      <c r="I712" s="2835" t="n">
        <v>0.0</v>
      </c>
      <c r="J712" s="2835"/>
      <c r="K712" s="2835"/>
      <c r="L712" s="2835"/>
      <c r="M712" s="2835"/>
      <c r="N712" s="2835"/>
    </row>
    <row r="713" spans="1:14" x14ac:dyDescent="0.15" ht="13.5" customHeight="true" hidden="false">
      <c r="A713" s="2835"/>
      <c r="B713" s="2835"/>
      <c r="C713" s="2835"/>
      <c r="D713" s="2835" t="s">
        <v>6964</v>
      </c>
      <c r="E713" s="2835" t="s">
        <v>9617</v>
      </c>
      <c r="F713" s="2835" t="n">
        <v>542.3</v>
      </c>
      <c r="G713" s="2835" t="s">
        <v>6998</v>
      </c>
      <c r="H713" s="2835" t="s">
        <v>9665</v>
      </c>
      <c r="I713" s="2835" t="n">
        <v>0.0</v>
      </c>
      <c r="J713" s="2835"/>
      <c r="K713" s="2835"/>
      <c r="L713" s="2835"/>
      <c r="M713" s="2835"/>
      <c r="N713" s="2835"/>
    </row>
    <row r="714" spans="1:14" x14ac:dyDescent="0.15" ht="13.5" customHeight="true" hidden="false">
      <c r="A714" s="2835"/>
      <c r="B714" s="2835"/>
      <c r="C714" s="2835"/>
      <c r="D714" s="2835" t="s">
        <v>6964</v>
      </c>
      <c r="E714" s="2835" t="s">
        <v>9701</v>
      </c>
      <c r="F714" s="2835" t="n">
        <v>1024.4</v>
      </c>
      <c r="G714" s="2835" t="s">
        <v>6998</v>
      </c>
      <c r="H714" s="2835" t="s">
        <v>9667</v>
      </c>
      <c r="I714" s="2835" t="n">
        <v>0.0</v>
      </c>
      <c r="J714" s="2835"/>
      <c r="K714" s="2835"/>
      <c r="L714" s="2835"/>
      <c r="M714" s="2835"/>
      <c r="N714" s="2835"/>
    </row>
    <row r="715" spans="1:14" x14ac:dyDescent="0.15" ht="13.5" customHeight="true" hidden="false">
      <c r="A715" s="2835"/>
      <c r="B715" s="2835"/>
      <c r="C715" s="2835"/>
      <c r="D715" s="2835" t="s">
        <v>6964</v>
      </c>
      <c r="E715" s="2835" t="s">
        <v>9702</v>
      </c>
      <c r="F715" s="2835" t="n">
        <v>357.4</v>
      </c>
      <c r="G715" s="2835" t="s">
        <v>6998</v>
      </c>
      <c r="H715" s="2835" t="s">
        <v>9669</v>
      </c>
      <c r="I715" s="2835" t="n">
        <v>0.0</v>
      </c>
      <c r="J715" s="2835"/>
      <c r="K715" s="2835"/>
      <c r="L715" s="2835"/>
      <c r="M715" s="2835"/>
      <c r="N715" s="2835"/>
    </row>
    <row r="716" spans="1:14" x14ac:dyDescent="0.15" ht="13.5" customHeight="true" hidden="false">
      <c r="A716" s="2835"/>
      <c r="B716" s="2835"/>
      <c r="C716" s="2835"/>
      <c r="D716" s="2835" t="s">
        <v>6964</v>
      </c>
      <c r="E716" s="2835" t="s">
        <v>9703</v>
      </c>
      <c r="F716" s="2835" t="n">
        <v>1029.1</v>
      </c>
      <c r="G716" s="2835" t="s">
        <v>6998</v>
      </c>
      <c r="H716" s="2835" t="s">
        <v>9671</v>
      </c>
      <c r="I716" s="2835" t="n">
        <v>0.0</v>
      </c>
      <c r="J716" s="2835"/>
      <c r="K716" s="2835"/>
      <c r="L716" s="2835"/>
      <c r="M716" s="2835"/>
      <c r="N716" s="2835"/>
    </row>
    <row r="717" spans="1:14" x14ac:dyDescent="0.15" ht="13.5" customHeight="true" hidden="false">
      <c r="A717" s="2835"/>
      <c r="B717" s="2835"/>
      <c r="C717" s="2835"/>
      <c r="D717" s="2835" t="s">
        <v>6964</v>
      </c>
      <c r="E717" s="2835" t="s">
        <v>9704</v>
      </c>
      <c r="F717" s="2835" t="n">
        <v>1111.2</v>
      </c>
      <c r="G717" s="2835" t="s">
        <v>6998</v>
      </c>
      <c r="H717" s="2835" t="s">
        <v>9673</v>
      </c>
      <c r="I717" s="2835" t="n">
        <v>0.0</v>
      </c>
      <c r="J717" s="2835"/>
      <c r="K717" s="2835"/>
      <c r="L717" s="2835"/>
      <c r="M717" s="2835"/>
      <c r="N717" s="2835"/>
    </row>
    <row r="718" spans="1:14" x14ac:dyDescent="0.15" ht="13.5" customHeight="true" hidden="false">
      <c r="A718" s="2835"/>
      <c r="B718" s="2835"/>
      <c r="C718" s="2835"/>
      <c r="D718" s="2835" t="s">
        <v>6964</v>
      </c>
      <c r="E718" s="2835" t="s">
        <v>9705</v>
      </c>
      <c r="F718" s="2835" t="n">
        <v>1091.5</v>
      </c>
      <c r="G718" s="2835" t="s">
        <v>6998</v>
      </c>
      <c r="H718" s="2835" t="s">
        <v>9674</v>
      </c>
      <c r="I718" s="2835" t="n">
        <v>0.0</v>
      </c>
      <c r="J718" s="2835"/>
      <c r="K718" s="2835"/>
      <c r="L718" s="2835"/>
      <c r="M718" s="2835"/>
      <c r="N718" s="2835"/>
    </row>
    <row r="719" spans="1:14" x14ac:dyDescent="0.15" ht="13.5" customHeight="true" hidden="false">
      <c r="A719" s="2835"/>
      <c r="B719" s="2835"/>
      <c r="C719" s="2835"/>
      <c r="D719" s="2835" t="s">
        <v>6964</v>
      </c>
      <c r="E719" s="2835" t="s">
        <v>9706</v>
      </c>
      <c r="F719" s="2835" t="n">
        <v>933.4</v>
      </c>
      <c r="G719" s="2835" t="s">
        <v>6998</v>
      </c>
      <c r="H719" s="2835" t="s">
        <v>9675</v>
      </c>
      <c r="I719" s="2835" t="n">
        <v>0.0</v>
      </c>
      <c r="J719" s="2835"/>
      <c r="K719" s="2835"/>
      <c r="L719" s="2835"/>
      <c r="M719" s="2835"/>
      <c r="N719" s="2835"/>
    </row>
    <row r="720" spans="1:14" x14ac:dyDescent="0.15" ht="13.5" customHeight="true" hidden="false">
      <c r="A720" s="2835"/>
      <c r="B720" s="2835"/>
      <c r="C720" s="2835"/>
      <c r="D720" s="2835" t="s">
        <v>6964</v>
      </c>
      <c r="E720" s="2835" t="s">
        <v>9707</v>
      </c>
      <c r="F720" s="2835" t="n">
        <v>596.0</v>
      </c>
      <c r="G720" s="2835" t="s">
        <v>6998</v>
      </c>
      <c r="H720" s="2835" t="s">
        <v>9676</v>
      </c>
      <c r="I720" s="2835" t="n">
        <v>0.0</v>
      </c>
      <c r="J720" s="2835"/>
      <c r="K720" s="2835"/>
      <c r="L720" s="2835"/>
      <c r="M720" s="2835"/>
      <c r="N720" s="2835"/>
    </row>
    <row r="721" spans="1:14" x14ac:dyDescent="0.15" ht="13.5" customHeight="true" hidden="false">
      <c r="A721" s="2835"/>
      <c r="B721" s="2835"/>
      <c r="C721" s="2835"/>
      <c r="D721" s="2835" t="s">
        <v>6964</v>
      </c>
      <c r="E721" s="2835" t="s">
        <v>9708</v>
      </c>
      <c r="F721" s="2835" t="n">
        <v>1028.6</v>
      </c>
      <c r="G721" s="2835" t="s">
        <v>6998</v>
      </c>
      <c r="H721" s="2835" t="s">
        <v>9677</v>
      </c>
      <c r="I721" s="2835" t="n">
        <v>0.0</v>
      </c>
      <c r="J721" s="2835"/>
      <c r="K721" s="2835"/>
      <c r="L721" s="2835"/>
      <c r="M721" s="2835"/>
      <c r="N721" s="2835"/>
    </row>
    <row r="722" spans="1:14" x14ac:dyDescent="0.15" ht="13.5" customHeight="true" hidden="false">
      <c r="A722" s="2835"/>
      <c r="B722" s="2835"/>
      <c r="C722" s="2835"/>
      <c r="D722" s="2835" t="s">
        <v>6964</v>
      </c>
      <c r="E722" s="2835" t="s">
        <v>9709</v>
      </c>
      <c r="F722" s="2835" t="n">
        <v>933.4</v>
      </c>
      <c r="G722" s="2835" t="s">
        <v>6998</v>
      </c>
      <c r="H722" s="2835" t="s">
        <v>9678</v>
      </c>
      <c r="I722" s="2835" t="n">
        <v>0.0</v>
      </c>
      <c r="J722" s="2835"/>
      <c r="K722" s="2835"/>
      <c r="L722" s="2835"/>
      <c r="M722" s="2835"/>
      <c r="N722" s="2835"/>
    </row>
    <row r="723" spans="1:14" x14ac:dyDescent="0.15" ht="13.5" customHeight="true" hidden="false">
      <c r="A723" s="2835"/>
      <c r="B723" s="2835"/>
      <c r="C723" s="2835"/>
      <c r="D723" s="2835" t="s">
        <v>6964</v>
      </c>
      <c r="E723" s="2835" t="s">
        <v>9710</v>
      </c>
      <c r="F723" s="2835" t="n">
        <v>527.9</v>
      </c>
      <c r="G723" s="2835" t="s">
        <v>6998</v>
      </c>
      <c r="H723" s="2835" t="s">
        <v>9679</v>
      </c>
      <c r="I723" s="2835" t="n">
        <v>0.0</v>
      </c>
      <c r="J723" s="2835"/>
      <c r="K723" s="2835"/>
      <c r="L723" s="2835"/>
      <c r="M723" s="2835"/>
      <c r="N723" s="2835"/>
    </row>
    <row r="724" spans="1:14" x14ac:dyDescent="0.15" ht="13.5" customHeight="true" hidden="false">
      <c r="A724" s="2835"/>
      <c r="B724" s="2835"/>
      <c r="C724" s="2835"/>
      <c r="D724" s="2835" t="s">
        <v>6964</v>
      </c>
      <c r="E724" s="2835" t="s">
        <v>9711</v>
      </c>
      <c r="F724" s="2835" t="n">
        <v>527.9</v>
      </c>
      <c r="G724" s="2835" t="s">
        <v>6998</v>
      </c>
      <c r="H724" s="2835" t="s">
        <v>9680</v>
      </c>
      <c r="I724" s="2835" t="n">
        <v>0.0</v>
      </c>
      <c r="J724" s="2835"/>
      <c r="K724" s="2835"/>
      <c r="L724" s="2835"/>
      <c r="M724" s="2835"/>
      <c r="N724" s="2835"/>
    </row>
    <row r="725" spans="1:14" x14ac:dyDescent="0.15" ht="13.5" customHeight="true" hidden="false">
      <c r="A725" s="2835"/>
      <c r="B725" s="2835"/>
      <c r="C725" s="2835"/>
      <c r="D725" s="2835" t="s">
        <v>6964</v>
      </c>
      <c r="E725" s="2835" t="s">
        <v>9712</v>
      </c>
      <c r="F725" s="2835" t="n">
        <v>0.0</v>
      </c>
      <c r="G725" s="2835" t="s">
        <v>6998</v>
      </c>
      <c r="H725" s="2835" t="s">
        <v>9681</v>
      </c>
      <c r="I725" s="2835" t="n">
        <v>0.0</v>
      </c>
      <c r="J725" s="2835"/>
      <c r="K725" s="2835"/>
      <c r="L725" s="2835"/>
      <c r="M725" s="2835"/>
      <c r="N725" s="2835"/>
    </row>
    <row r="726" spans="1:14" x14ac:dyDescent="0.15" ht="13.5" customHeight="true" hidden="false">
      <c r="A726" s="2835"/>
      <c r="B726" s="2835"/>
      <c r="C726" s="2835"/>
      <c r="D726" s="2835" t="s">
        <v>6965</v>
      </c>
      <c r="E726" s="2835" t="s">
        <v>9604</v>
      </c>
      <c r="F726" s="2835" t="n">
        <v>626.7</v>
      </c>
      <c r="G726" s="2835" t="s">
        <v>6998</v>
      </c>
      <c r="H726" s="2835" t="s">
        <v>9682</v>
      </c>
      <c r="I726" s="2835" t="n">
        <v>0.0</v>
      </c>
      <c r="J726" s="2835"/>
      <c r="K726" s="2835"/>
      <c r="L726" s="2835"/>
      <c r="M726" s="2835"/>
      <c r="N726" s="2835"/>
    </row>
    <row r="727" spans="1:14" x14ac:dyDescent="0.15" ht="13.5" customHeight="true" hidden="false">
      <c r="A727" s="2835"/>
      <c r="B727" s="2835"/>
      <c r="C727" s="2835"/>
      <c r="D727" s="2835" t="s">
        <v>6965</v>
      </c>
      <c r="E727" s="2835" t="s">
        <v>9605</v>
      </c>
      <c r="F727" s="2835" t="n">
        <v>508.4</v>
      </c>
      <c r="G727" s="2835" t="s">
        <v>6998</v>
      </c>
      <c r="H727" s="2835" t="s">
        <v>9683</v>
      </c>
      <c r="I727" s="2835" t="n">
        <v>0.0</v>
      </c>
      <c r="J727" s="2835"/>
      <c r="K727" s="2835"/>
      <c r="L727" s="2835"/>
      <c r="M727" s="2835"/>
      <c r="N727" s="2835"/>
    </row>
    <row r="728" spans="1:14" x14ac:dyDescent="0.15" ht="13.5" customHeight="true" hidden="false">
      <c r="A728" s="2835"/>
      <c r="B728" s="2835"/>
      <c r="C728" s="2835"/>
      <c r="D728" s="2835" t="s">
        <v>6965</v>
      </c>
      <c r="E728" s="2835" t="s">
        <v>9606</v>
      </c>
      <c r="F728" s="2835" t="n">
        <v>849.1</v>
      </c>
      <c r="G728" s="2835" t="s">
        <v>6998</v>
      </c>
      <c r="H728" s="2835" t="s">
        <v>9684</v>
      </c>
      <c r="I728" s="2835" t="n">
        <v>0.0</v>
      </c>
      <c r="J728" s="2835"/>
      <c r="K728" s="2835"/>
      <c r="L728" s="2835"/>
      <c r="M728" s="2835"/>
      <c r="N728" s="2835"/>
    </row>
    <row r="729" spans="1:14" x14ac:dyDescent="0.15" ht="13.5" customHeight="true" hidden="false">
      <c r="A729" s="2835"/>
      <c r="B729" s="2835"/>
      <c r="C729" s="2835"/>
      <c r="D729" s="2835" t="s">
        <v>6965</v>
      </c>
      <c r="E729" s="2835" t="s">
        <v>9607</v>
      </c>
      <c r="F729" s="2835" t="n">
        <v>431.6</v>
      </c>
      <c r="G729" s="2835" t="s">
        <v>6998</v>
      </c>
      <c r="H729" s="2835" t="s">
        <v>9685</v>
      </c>
      <c r="I729" s="2835" t="n">
        <v>0.0</v>
      </c>
      <c r="J729" s="2835"/>
      <c r="K729" s="2835"/>
      <c r="L729" s="2835"/>
      <c r="M729" s="2835"/>
      <c r="N729" s="2835"/>
    </row>
    <row r="730" spans="1:14" x14ac:dyDescent="0.15" ht="13.5" customHeight="true" hidden="false">
      <c r="A730" s="2835"/>
      <c r="B730" s="2835"/>
      <c r="C730" s="2835"/>
      <c r="D730" s="2835" t="s">
        <v>6965</v>
      </c>
      <c r="E730" s="2835" t="s">
        <v>9610</v>
      </c>
      <c r="F730" s="2835" t="n">
        <v>977.1</v>
      </c>
      <c r="G730" s="2835" t="s">
        <v>6998</v>
      </c>
      <c r="H730" s="2835" t="s">
        <v>9686</v>
      </c>
      <c r="I730" s="2835" t="n">
        <v>0.0</v>
      </c>
      <c r="J730" s="2835"/>
      <c r="K730" s="2835"/>
      <c r="L730" s="2835"/>
      <c r="M730" s="2835"/>
      <c r="N730" s="2835"/>
    </row>
    <row r="731" spans="1:14" x14ac:dyDescent="0.15" ht="13.5" customHeight="true" hidden="false">
      <c r="A731" s="2835"/>
      <c r="B731" s="2835"/>
      <c r="C731" s="2835"/>
      <c r="D731" s="2835" t="s">
        <v>6965</v>
      </c>
      <c r="E731" s="2835" t="s">
        <v>9611</v>
      </c>
      <c r="F731" s="2835" t="n">
        <v>733.9</v>
      </c>
      <c r="G731" s="2835" t="s">
        <v>6998</v>
      </c>
      <c r="H731" s="2835" t="s">
        <v>9687</v>
      </c>
      <c r="I731" s="2835" t="n">
        <v>0.0</v>
      </c>
      <c r="J731" s="2835"/>
      <c r="K731" s="2835"/>
      <c r="L731" s="2835"/>
      <c r="M731" s="2835"/>
      <c r="N731" s="2835"/>
    </row>
    <row r="732" spans="1:14" x14ac:dyDescent="0.15" ht="13.5" customHeight="true" hidden="false">
      <c r="A732" s="2835"/>
      <c r="B732" s="2835"/>
      <c r="C732" s="2835"/>
      <c r="D732" s="2835" t="s">
        <v>6965</v>
      </c>
      <c r="E732" s="2835" t="s">
        <v>9612</v>
      </c>
      <c r="F732" s="2835" t="n">
        <v>533.4</v>
      </c>
      <c r="G732" s="2835" t="s">
        <v>6998</v>
      </c>
      <c r="H732" s="2835" t="s">
        <v>9688</v>
      </c>
      <c r="I732" s="2835" t="n">
        <v>0.0</v>
      </c>
      <c r="J732" s="2835"/>
      <c r="K732" s="2835"/>
      <c r="L732" s="2835"/>
      <c r="M732" s="2835"/>
      <c r="N732" s="2835"/>
    </row>
    <row r="733" spans="1:14" x14ac:dyDescent="0.15" ht="13.5" customHeight="true" hidden="false">
      <c r="A733" s="2835"/>
      <c r="B733" s="2835"/>
      <c r="C733" s="2835"/>
      <c r="D733" s="2835" t="s">
        <v>6965</v>
      </c>
      <c r="E733" s="2835" t="s">
        <v>9613</v>
      </c>
      <c r="F733" s="2835" t="n">
        <v>918.0</v>
      </c>
      <c r="G733" s="2835" t="s">
        <v>6998</v>
      </c>
      <c r="H733" s="2835" t="s">
        <v>9689</v>
      </c>
      <c r="I733" s="2835" t="n">
        <v>0.0</v>
      </c>
      <c r="J733" s="2835"/>
      <c r="K733" s="2835"/>
      <c r="L733" s="2835"/>
      <c r="M733" s="2835"/>
      <c r="N733" s="2835"/>
    </row>
    <row r="734" spans="1:14" x14ac:dyDescent="0.15" ht="13.5" customHeight="true" hidden="false">
      <c r="A734" s="2835"/>
      <c r="B734" s="2835"/>
      <c r="C734" s="2835"/>
      <c r="D734" s="2835" t="s">
        <v>6965</v>
      </c>
      <c r="E734" s="2835" t="s">
        <v>9614</v>
      </c>
      <c r="F734" s="2835" t="n">
        <v>709.8</v>
      </c>
      <c r="G734" s="2835" t="s">
        <v>6998</v>
      </c>
      <c r="H734" s="2835" t="s">
        <v>9690</v>
      </c>
      <c r="I734" s="2835" t="n">
        <v>0.0</v>
      </c>
      <c r="J734" s="2835"/>
      <c r="K734" s="2835"/>
      <c r="L734" s="2835"/>
      <c r="M734" s="2835"/>
      <c r="N734" s="2835"/>
    </row>
    <row r="735" spans="1:14" x14ac:dyDescent="0.15" ht="13.5" customHeight="true" hidden="false">
      <c r="A735" s="2835"/>
      <c r="B735" s="2835"/>
      <c r="C735" s="2835"/>
      <c r="D735" s="2835" t="s">
        <v>6965</v>
      </c>
      <c r="E735" s="2835" t="s">
        <v>9615</v>
      </c>
      <c r="F735" s="2835" t="n">
        <v>1163.9</v>
      </c>
      <c r="G735" s="2835" t="s">
        <v>6998</v>
      </c>
      <c r="H735" s="2835" t="s">
        <v>9691</v>
      </c>
      <c r="I735" s="2835" t="n">
        <v>0.0</v>
      </c>
      <c r="J735" s="2835"/>
      <c r="K735" s="2835"/>
      <c r="L735" s="2835"/>
      <c r="M735" s="2835"/>
      <c r="N735" s="2835"/>
    </row>
    <row r="736" spans="1:14" x14ac:dyDescent="0.15" ht="13.5" customHeight="true" hidden="false">
      <c r="A736" s="2835"/>
      <c r="B736" s="2835"/>
      <c r="C736" s="2835"/>
      <c r="D736" s="2835" t="s">
        <v>6965</v>
      </c>
      <c r="E736" s="2835" t="s">
        <v>9616</v>
      </c>
      <c r="F736" s="2835" t="n">
        <v>706.2</v>
      </c>
      <c r="G736" s="2835" t="s">
        <v>6998</v>
      </c>
      <c r="H736" s="2835" t="s">
        <v>9692</v>
      </c>
      <c r="I736" s="2835" t="n">
        <v>0.0</v>
      </c>
      <c r="J736" s="2835"/>
      <c r="K736" s="2835"/>
      <c r="L736" s="2835"/>
      <c r="M736" s="2835"/>
      <c r="N736" s="2835"/>
    </row>
    <row r="737" spans="1:14" x14ac:dyDescent="0.15" ht="13.5" customHeight="true" hidden="false">
      <c r="A737" s="2835"/>
      <c r="B737" s="2835"/>
      <c r="C737" s="2835"/>
      <c r="D737" s="2835" t="s">
        <v>6965</v>
      </c>
      <c r="E737" s="2835" t="s">
        <v>9617</v>
      </c>
      <c r="F737" s="2835" t="n">
        <v>257.8</v>
      </c>
      <c r="G737" s="2835" t="s">
        <v>6998</v>
      </c>
      <c r="H737" s="2835" t="s">
        <v>9693</v>
      </c>
      <c r="I737" s="2835" t="n">
        <v>0.0</v>
      </c>
      <c r="J737" s="2835"/>
      <c r="K737" s="2835"/>
      <c r="L737" s="2835"/>
      <c r="M737" s="2835"/>
      <c r="N737" s="2835"/>
    </row>
    <row r="738" spans="1:14" x14ac:dyDescent="0.15" ht="13.5" customHeight="true" hidden="false">
      <c r="A738" s="2835"/>
      <c r="B738" s="2835"/>
      <c r="C738" s="2835"/>
      <c r="D738" s="2835" t="s">
        <v>6965</v>
      </c>
      <c r="E738" s="2835" t="s">
        <v>9701</v>
      </c>
      <c r="F738" s="2835" t="n">
        <v>813.2</v>
      </c>
      <c r="G738" s="2835" t="s">
        <v>6998</v>
      </c>
      <c r="H738" s="2835" t="s">
        <v>9694</v>
      </c>
      <c r="I738" s="2835" t="n">
        <v>0.0</v>
      </c>
      <c r="J738" s="2835"/>
      <c r="K738" s="2835"/>
      <c r="L738" s="2835"/>
      <c r="M738" s="2835"/>
      <c r="N738" s="2835"/>
    </row>
    <row r="739" spans="1:14" x14ac:dyDescent="0.15" ht="13.5" customHeight="true" hidden="false">
      <c r="A739" s="2835"/>
      <c r="B739" s="2835"/>
      <c r="C739" s="2835"/>
      <c r="D739" s="2835" t="s">
        <v>6965</v>
      </c>
      <c r="E739" s="2835" t="s">
        <v>9702</v>
      </c>
      <c r="F739" s="2835" t="n">
        <v>1072.7</v>
      </c>
      <c r="G739" s="2835" t="s">
        <v>6998</v>
      </c>
      <c r="H739" s="2835" t="s">
        <v>9695</v>
      </c>
      <c r="I739" s="2835" t="n">
        <v>0.0</v>
      </c>
      <c r="J739" s="2835"/>
      <c r="K739" s="2835"/>
      <c r="L739" s="2835"/>
      <c r="M739" s="2835"/>
      <c r="N739" s="2835"/>
    </row>
    <row r="740" spans="1:14" x14ac:dyDescent="0.15" ht="13.5" customHeight="true" hidden="false">
      <c r="A740" s="2835"/>
      <c r="B740" s="2835"/>
      <c r="C740" s="2835"/>
      <c r="D740" s="2835" t="s">
        <v>6965</v>
      </c>
      <c r="E740" s="2835" t="s">
        <v>9703</v>
      </c>
      <c r="F740" s="2835" t="n">
        <v>733.9</v>
      </c>
      <c r="G740" s="2835" t="s">
        <v>6998</v>
      </c>
      <c r="H740" s="2835" t="s">
        <v>9696</v>
      </c>
      <c r="I740" s="2835" t="n">
        <v>0.0</v>
      </c>
      <c r="J740" s="2835"/>
      <c r="K740" s="2835"/>
      <c r="L740" s="2835"/>
      <c r="M740" s="2835"/>
      <c r="N740" s="2835"/>
    </row>
    <row r="741" spans="1:14" x14ac:dyDescent="0.15" ht="13.5" customHeight="true" hidden="false">
      <c r="A741" s="2835"/>
      <c r="B741" s="2835"/>
      <c r="C741" s="2835"/>
      <c r="D741" s="2835" t="s">
        <v>6965</v>
      </c>
      <c r="E741" s="2835" t="s">
        <v>9704</v>
      </c>
      <c r="F741" s="2835" t="n">
        <v>1403.5</v>
      </c>
      <c r="G741" s="2835" t="s">
        <v>6998</v>
      </c>
      <c r="H741" s="2835" t="s">
        <v>9697</v>
      </c>
      <c r="I741" s="2835" t="n">
        <v>0.0</v>
      </c>
      <c r="J741" s="2835"/>
      <c r="K741" s="2835"/>
      <c r="L741" s="2835"/>
      <c r="M741" s="2835"/>
      <c r="N741" s="2835"/>
    </row>
    <row r="742" spans="1:14" x14ac:dyDescent="0.15" ht="13.5" customHeight="true" hidden="false">
      <c r="A742" s="2835"/>
      <c r="B742" s="2835"/>
      <c r="C742" s="2835"/>
      <c r="D742" s="2835" t="s">
        <v>6965</v>
      </c>
      <c r="E742" s="2835" t="s">
        <v>9705</v>
      </c>
      <c r="F742" s="2835" t="n">
        <v>1163.9</v>
      </c>
      <c r="G742" s="2835" t="s">
        <v>6998</v>
      </c>
      <c r="H742" s="2835" t="s">
        <v>9698</v>
      </c>
      <c r="I742" s="2835" t="n">
        <v>0.0</v>
      </c>
      <c r="J742" s="2835"/>
      <c r="K742" s="2835"/>
      <c r="L742" s="2835"/>
      <c r="M742" s="2835"/>
      <c r="N742" s="2835"/>
    </row>
    <row r="743" spans="1:14" x14ac:dyDescent="0.15" ht="13.5" customHeight="true" hidden="false">
      <c r="A743" s="2835"/>
      <c r="B743" s="2835"/>
      <c r="C743" s="2835"/>
      <c r="D743" s="2835" t="s">
        <v>6965</v>
      </c>
      <c r="E743" s="2835" t="s">
        <v>9706</v>
      </c>
      <c r="F743" s="2835" t="n">
        <v>956.1</v>
      </c>
      <c r="G743" s="2835" t="s">
        <v>6998</v>
      </c>
      <c r="H743" s="2835" t="s">
        <v>9699</v>
      </c>
      <c r="I743" s="2835" t="n">
        <v>0.0</v>
      </c>
      <c r="J743" s="2835"/>
      <c r="K743" s="2835"/>
      <c r="L743" s="2835"/>
      <c r="M743" s="2835"/>
      <c r="N743" s="2835"/>
    </row>
    <row r="744" spans="1:14" x14ac:dyDescent="0.15" ht="13.5" customHeight="true" hidden="false">
      <c r="A744" s="2835"/>
      <c r="B744" s="2835"/>
      <c r="C744" s="2835"/>
      <c r="D744" s="2835" t="s">
        <v>6965</v>
      </c>
      <c r="E744" s="2835" t="s">
        <v>9707</v>
      </c>
      <c r="F744" s="2835" t="n">
        <v>1072.7</v>
      </c>
      <c r="G744" s="2835" t="s">
        <v>6998</v>
      </c>
      <c r="H744" s="2835" t="s">
        <v>9700</v>
      </c>
      <c r="I744" s="2835" t="n">
        <v>0.0</v>
      </c>
      <c r="J744" s="2835"/>
      <c r="K744" s="2835"/>
      <c r="L744" s="2835"/>
      <c r="M744" s="2835"/>
      <c r="N744" s="2835"/>
    </row>
    <row r="745" spans="1:14" x14ac:dyDescent="0.15" ht="13.5" customHeight="true" hidden="false">
      <c r="A745" s="2835"/>
      <c r="B745" s="2835"/>
      <c r="C745" s="2835"/>
      <c r="D745" s="2835" t="s">
        <v>6965</v>
      </c>
      <c r="E745" s="2835" t="s">
        <v>9708</v>
      </c>
      <c r="F745" s="2835" t="n">
        <v>1358.4</v>
      </c>
      <c r="G745" s="2835"/>
      <c r="H745" s="2835"/>
      <c r="I745" s="2835"/>
      <c r="J745" s="2835"/>
      <c r="K745" s="2835"/>
      <c r="L745" s="2835"/>
      <c r="M745" s="2835"/>
      <c r="N745" s="2835"/>
    </row>
    <row r="746" spans="1:14" x14ac:dyDescent="0.15" ht="13.5" customHeight="true" hidden="false">
      <c r="A746" s="2835"/>
      <c r="B746" s="2835"/>
      <c r="C746" s="2835"/>
      <c r="D746" s="2835" t="s">
        <v>6965</v>
      </c>
      <c r="E746" s="2835" t="s">
        <v>9709</v>
      </c>
      <c r="F746" s="2835" t="n">
        <v>956.1</v>
      </c>
      <c r="G746" s="2835"/>
      <c r="H746" s="2835"/>
      <c r="I746" s="2835"/>
      <c r="J746" s="2835"/>
      <c r="K746" s="2835"/>
      <c r="L746" s="2835"/>
      <c r="M746" s="2835"/>
      <c r="N746" s="2835"/>
    </row>
    <row r="747" spans="1:14" x14ac:dyDescent="0.15" ht="13.5" customHeight="true" hidden="false">
      <c r="A747" s="2835"/>
      <c r="B747" s="2835"/>
      <c r="C747" s="2835"/>
      <c r="D747" s="2835" t="s">
        <v>6965</v>
      </c>
      <c r="E747" s="2835" t="s">
        <v>9710</v>
      </c>
      <c r="F747" s="2835" t="n">
        <v>1343.6</v>
      </c>
      <c r="G747" s="2835"/>
      <c r="H747" s="2835"/>
      <c r="I747" s="2835"/>
      <c r="J747" s="2835"/>
      <c r="K747" s="2835"/>
      <c r="L747" s="2835"/>
      <c r="M747" s="2835"/>
      <c r="N747" s="2835"/>
    </row>
    <row r="748" spans="1:14" x14ac:dyDescent="0.15" ht="13.5" customHeight="true" hidden="false">
      <c r="A748" s="2835"/>
      <c r="B748" s="2835"/>
      <c r="C748" s="2835"/>
      <c r="D748" s="2835" t="s">
        <v>6965</v>
      </c>
      <c r="E748" s="2835" t="s">
        <v>9711</v>
      </c>
      <c r="F748" s="2835" t="n">
        <v>1221.8</v>
      </c>
      <c r="G748" s="2835"/>
      <c r="H748" s="2835"/>
      <c r="I748" s="2835"/>
      <c r="J748" s="2835"/>
      <c r="K748" s="2835"/>
      <c r="L748" s="2835"/>
      <c r="M748" s="2835"/>
      <c r="N748" s="2835"/>
    </row>
    <row r="749" spans="1:14" x14ac:dyDescent="0.15" ht="13.5" customHeight="true" hidden="false">
      <c r="A749" s="2835"/>
      <c r="B749" s="2835"/>
      <c r="C749" s="2835"/>
      <c r="D749" s="2835" t="s">
        <v>6965</v>
      </c>
      <c r="E749" s="2835" t="s">
        <v>9712</v>
      </c>
      <c r="F749" s="2835" t="n">
        <v>0.0</v>
      </c>
      <c r="G749" s="2835"/>
      <c r="H749" s="2835"/>
      <c r="I749" s="2835"/>
      <c r="J749" s="2835"/>
      <c r="K749" s="2835"/>
      <c r="L749" s="2835"/>
      <c r="M749" s="2835"/>
      <c r="N749" s="2835"/>
    </row>
    <row r="750" spans="1:14" x14ac:dyDescent="0.15" ht="13.5" customHeight="true" hidden="false">
      <c r="A750" s="2835"/>
      <c r="B750" s="2835"/>
      <c r="C750" s="2835"/>
      <c r="D750" s="2835" t="s">
        <v>6966</v>
      </c>
      <c r="E750" s="2835" t="s">
        <v>9604</v>
      </c>
      <c r="F750" s="2835" t="n">
        <v>685.7</v>
      </c>
      <c r="G750" s="2835"/>
      <c r="H750" s="2835"/>
      <c r="I750" s="2835"/>
      <c r="J750" s="2835"/>
      <c r="K750" s="2835"/>
      <c r="L750" s="2835"/>
      <c r="M750" s="2835"/>
      <c r="N750" s="2835"/>
    </row>
    <row r="751" spans="1:14" x14ac:dyDescent="0.15" ht="13.5" customHeight="true" hidden="false">
      <c r="A751" s="2835"/>
      <c r="B751" s="2835"/>
      <c r="C751" s="2835"/>
      <c r="D751" s="2835" t="s">
        <v>6966</v>
      </c>
      <c r="E751" s="2835" t="s">
        <v>9605</v>
      </c>
      <c r="F751" s="2835" t="n">
        <v>543.1</v>
      </c>
      <c r="G751" s="2835"/>
      <c r="H751" s="2835"/>
      <c r="I751" s="2835"/>
      <c r="J751" s="2835"/>
      <c r="K751" s="2835"/>
      <c r="L751" s="2835"/>
      <c r="M751" s="2835"/>
      <c r="N751" s="2835"/>
    </row>
    <row r="752" spans="1:14" x14ac:dyDescent="0.15" ht="13.5" customHeight="true" hidden="false">
      <c r="A752" s="2835"/>
      <c r="B752" s="2835"/>
      <c r="C752" s="2835"/>
      <c r="D752" s="2835" t="s">
        <v>6966</v>
      </c>
      <c r="E752" s="2835" t="s">
        <v>9606</v>
      </c>
      <c r="F752" s="2835" t="n">
        <v>749.1</v>
      </c>
      <c r="G752" s="2835"/>
      <c r="H752" s="2835"/>
      <c r="I752" s="2835"/>
      <c r="J752" s="2835"/>
      <c r="K752" s="2835"/>
      <c r="L752" s="2835"/>
      <c r="M752" s="2835"/>
      <c r="N752" s="2835"/>
    </row>
    <row r="753" spans="1:14" x14ac:dyDescent="0.15" ht="13.5" customHeight="true" hidden="false">
      <c r="A753" s="2835"/>
      <c r="B753" s="2835"/>
      <c r="C753" s="2835"/>
      <c r="D753" s="2835" t="s">
        <v>6966</v>
      </c>
      <c r="E753" s="2835" t="s">
        <v>9607</v>
      </c>
      <c r="F753" s="2835" t="n">
        <v>424.6</v>
      </c>
      <c r="G753" s="2835"/>
      <c r="H753" s="2835"/>
      <c r="I753" s="2835"/>
      <c r="J753" s="2835"/>
      <c r="K753" s="2835"/>
      <c r="L753" s="2835"/>
      <c r="M753" s="2835"/>
      <c r="N753" s="2835"/>
    </row>
    <row r="754" spans="1:14" x14ac:dyDescent="0.15" ht="13.5" customHeight="true" hidden="false">
      <c r="A754" s="2835"/>
      <c r="B754" s="2835"/>
      <c r="C754" s="2835"/>
      <c r="D754" s="2835" t="s">
        <v>6966</v>
      </c>
      <c r="E754" s="2835" t="s">
        <v>9610</v>
      </c>
      <c r="F754" s="2835" t="n">
        <v>892.5</v>
      </c>
      <c r="G754" s="2835"/>
      <c r="H754" s="2835"/>
      <c r="I754" s="2835"/>
      <c r="J754" s="2835"/>
      <c r="K754" s="2835"/>
      <c r="L754" s="2835"/>
      <c r="M754" s="2835"/>
      <c r="N754" s="2835"/>
    </row>
    <row r="755" spans="1:14" x14ac:dyDescent="0.15" ht="13.5" customHeight="true" hidden="false">
      <c r="A755" s="2835"/>
      <c r="B755" s="2835"/>
      <c r="C755" s="2835"/>
      <c r="D755" s="2835" t="s">
        <v>6966</v>
      </c>
      <c r="E755" s="2835" t="s">
        <v>9611</v>
      </c>
      <c r="F755" s="2835" t="n">
        <v>736.5</v>
      </c>
      <c r="G755" s="2835"/>
      <c r="H755" s="2835"/>
      <c r="I755" s="2835"/>
      <c r="J755" s="2835"/>
      <c r="K755" s="2835"/>
      <c r="L755" s="2835"/>
      <c r="M755" s="2835"/>
      <c r="N755" s="2835"/>
    </row>
    <row r="756" spans="1:14" x14ac:dyDescent="0.15" ht="13.5" customHeight="true" hidden="false">
      <c r="A756" s="2835"/>
      <c r="B756" s="2835"/>
      <c r="C756" s="2835"/>
      <c r="D756" s="2835" t="s">
        <v>6966</v>
      </c>
      <c r="E756" s="2835" t="s">
        <v>9612</v>
      </c>
      <c r="F756" s="2835" t="n">
        <v>518.8</v>
      </c>
      <c r="G756" s="2835"/>
      <c r="H756" s="2835"/>
      <c r="I756" s="2835"/>
      <c r="J756" s="2835"/>
      <c r="K756" s="2835"/>
      <c r="L756" s="2835"/>
      <c r="M756" s="2835"/>
      <c r="N756" s="2835"/>
    </row>
    <row r="757" spans="1:14" x14ac:dyDescent="0.15" ht="13.5" customHeight="true" hidden="false">
      <c r="A757" s="2835"/>
      <c r="B757" s="2835"/>
      <c r="C757" s="2835"/>
      <c r="D757" s="2835" t="s">
        <v>6966</v>
      </c>
      <c r="E757" s="2835" t="s">
        <v>9613</v>
      </c>
      <c r="F757" s="2835" t="n">
        <v>979.2</v>
      </c>
      <c r="G757" s="2835"/>
      <c r="H757" s="2835"/>
      <c r="I757" s="2835"/>
      <c r="J757" s="2835"/>
      <c r="K757" s="2835"/>
      <c r="L757" s="2835"/>
      <c r="M757" s="2835"/>
      <c r="N757" s="2835"/>
    </row>
    <row r="758" spans="1:14" x14ac:dyDescent="0.15" ht="13.5" customHeight="true" hidden="false">
      <c r="A758" s="2835"/>
      <c r="B758" s="2835"/>
      <c r="C758" s="2835"/>
      <c r="D758" s="2835" t="s">
        <v>6966</v>
      </c>
      <c r="E758" s="2835" t="s">
        <v>9614</v>
      </c>
      <c r="F758" s="2835" t="n">
        <v>694.9</v>
      </c>
      <c r="G758" s="2835"/>
      <c r="H758" s="2835"/>
      <c r="I758" s="2835"/>
      <c r="J758" s="2835"/>
      <c r="K758" s="2835"/>
      <c r="L758" s="2835"/>
      <c r="M758" s="2835"/>
      <c r="N758" s="2835"/>
    </row>
    <row r="759" spans="1:14" x14ac:dyDescent="0.15" ht="13.5" customHeight="true" hidden="false">
      <c r="A759" s="2835"/>
      <c r="B759" s="2835"/>
      <c r="C759" s="2835"/>
      <c r="D759" s="2835" t="s">
        <v>6966</v>
      </c>
      <c r="E759" s="2835" t="s">
        <v>9615</v>
      </c>
      <c r="F759" s="2835" t="n">
        <v>1168.7</v>
      </c>
      <c r="G759" s="2835"/>
      <c r="H759" s="2835"/>
      <c r="I759" s="2835"/>
      <c r="J759" s="2835"/>
      <c r="K759" s="2835"/>
      <c r="L759" s="2835"/>
      <c r="M759" s="2835"/>
      <c r="N759" s="2835"/>
    </row>
    <row r="760" spans="1:14" x14ac:dyDescent="0.15" ht="13.5" customHeight="true" hidden="false">
      <c r="A760" s="2835"/>
      <c r="B760" s="2835"/>
      <c r="C760" s="2835"/>
      <c r="D760" s="2835" t="s">
        <v>6966</v>
      </c>
      <c r="E760" s="2835" t="s">
        <v>9616</v>
      </c>
      <c r="F760" s="2835" t="n">
        <v>736.5</v>
      </c>
      <c r="G760" s="2835"/>
      <c r="H760" s="2835"/>
      <c r="I760" s="2835"/>
      <c r="J760" s="2835"/>
      <c r="K760" s="2835"/>
      <c r="L760" s="2835"/>
      <c r="M760" s="2835"/>
      <c r="N760" s="2835"/>
    </row>
    <row r="761" spans="1:14" x14ac:dyDescent="0.15" ht="13.5" customHeight="true" hidden="false">
      <c r="A761" s="2835"/>
      <c r="B761" s="2835"/>
      <c r="C761" s="2835"/>
      <c r="D761" s="2835" t="s">
        <v>6966</v>
      </c>
      <c r="E761" s="2835" t="s">
        <v>9617</v>
      </c>
      <c r="F761" s="2835" t="n">
        <v>260.2</v>
      </c>
      <c r="G761" s="2835"/>
      <c r="H761" s="2835"/>
      <c r="I761" s="2835"/>
      <c r="J761" s="2835"/>
      <c r="K761" s="2835"/>
      <c r="L761" s="2835"/>
      <c r="M761" s="2835"/>
      <c r="N761" s="2835"/>
    </row>
    <row r="762" spans="1:14" x14ac:dyDescent="0.15" ht="13.5" customHeight="true" hidden="false">
      <c r="A762" s="2835"/>
      <c r="B762" s="2835"/>
      <c r="C762" s="2835"/>
      <c r="D762" s="2835" t="s">
        <v>6966</v>
      </c>
      <c r="E762" s="2835" t="s">
        <v>9701</v>
      </c>
      <c r="F762" s="2835" t="n">
        <v>765.0</v>
      </c>
      <c r="G762" s="2835"/>
      <c r="H762" s="2835"/>
      <c r="I762" s="2835"/>
      <c r="J762" s="2835"/>
      <c r="K762" s="2835"/>
      <c r="L762" s="2835"/>
      <c r="M762" s="2835"/>
      <c r="N762" s="2835"/>
    </row>
    <row r="763" spans="1:14" x14ac:dyDescent="0.15" ht="13.5" customHeight="true" hidden="false">
      <c r="A763" s="2835"/>
      <c r="B763" s="2835"/>
      <c r="C763" s="2835"/>
      <c r="D763" s="2835" t="s">
        <v>6966</v>
      </c>
      <c r="E763" s="2835" t="s">
        <v>9702</v>
      </c>
      <c r="F763" s="2835" t="n">
        <v>1109.5</v>
      </c>
      <c r="G763" s="2835"/>
      <c r="H763" s="2835"/>
      <c r="I763" s="2835"/>
      <c r="J763" s="2835"/>
      <c r="K763" s="2835"/>
      <c r="L763" s="2835"/>
      <c r="M763" s="2835"/>
      <c r="N763" s="2835"/>
    </row>
    <row r="764" spans="1:14" x14ac:dyDescent="0.15" ht="13.5" customHeight="true" hidden="false">
      <c r="A764" s="2835"/>
      <c r="B764" s="2835"/>
      <c r="C764" s="2835"/>
      <c r="D764" s="2835" t="s">
        <v>6966</v>
      </c>
      <c r="E764" s="2835" t="s">
        <v>9703</v>
      </c>
      <c r="F764" s="2835" t="n">
        <v>664.4</v>
      </c>
      <c r="G764" s="2835"/>
      <c r="H764" s="2835"/>
      <c r="I764" s="2835"/>
      <c r="J764" s="2835"/>
      <c r="K764" s="2835"/>
      <c r="L764" s="2835"/>
      <c r="M764" s="2835"/>
      <c r="N764" s="2835"/>
    </row>
    <row r="765" spans="1:14" x14ac:dyDescent="0.15" ht="13.5" customHeight="true" hidden="false">
      <c r="A765" s="2835"/>
      <c r="B765" s="2835"/>
      <c r="C765" s="2835"/>
      <c r="D765" s="2835" t="s">
        <v>6966</v>
      </c>
      <c r="E765" s="2835" t="s">
        <v>9704</v>
      </c>
      <c r="F765" s="2835" t="n">
        <v>1457.3</v>
      </c>
      <c r="G765" s="2835"/>
      <c r="H765" s="2835"/>
      <c r="I765" s="2835"/>
      <c r="J765" s="2835"/>
      <c r="K765" s="2835"/>
      <c r="L765" s="2835"/>
      <c r="M765" s="2835"/>
      <c r="N765" s="2835"/>
    </row>
    <row r="766" spans="1:14" x14ac:dyDescent="0.15" ht="13.5" customHeight="true" hidden="false">
      <c r="A766" s="2835"/>
      <c r="B766" s="2835"/>
      <c r="C766" s="2835"/>
      <c r="D766" s="2835" t="s">
        <v>6966</v>
      </c>
      <c r="E766" s="2835" t="s">
        <v>9705</v>
      </c>
      <c r="F766" s="2835" t="n">
        <v>1168.7</v>
      </c>
      <c r="G766" s="2835"/>
      <c r="H766" s="2835"/>
      <c r="I766" s="2835"/>
      <c r="J766" s="2835"/>
      <c r="K766" s="2835"/>
      <c r="L766" s="2835"/>
      <c r="M766" s="2835"/>
      <c r="N766" s="2835"/>
    </row>
    <row r="767" spans="1:14" x14ac:dyDescent="0.15" ht="13.5" customHeight="true" hidden="false">
      <c r="A767" s="2835"/>
      <c r="B767" s="2835"/>
      <c r="C767" s="2835"/>
      <c r="D767" s="2835" t="s">
        <v>6966</v>
      </c>
      <c r="E767" s="2835" t="s">
        <v>9706</v>
      </c>
      <c r="F767" s="2835" t="n">
        <v>907.9</v>
      </c>
      <c r="G767" s="2835"/>
      <c r="H767" s="2835"/>
      <c r="I767" s="2835"/>
      <c r="J767" s="2835"/>
      <c r="K767" s="2835"/>
      <c r="L767" s="2835"/>
      <c r="M767" s="2835"/>
      <c r="N767" s="2835"/>
    </row>
    <row r="768" spans="1:14" x14ac:dyDescent="0.15" ht="13.5" customHeight="true" hidden="false">
      <c r="A768" s="2835"/>
      <c r="B768" s="2835"/>
      <c r="C768" s="2835"/>
      <c r="D768" s="2835" t="s">
        <v>6966</v>
      </c>
      <c r="E768" s="2835" t="s">
        <v>9707</v>
      </c>
      <c r="F768" s="2835" t="n">
        <v>1109.5</v>
      </c>
      <c r="G768" s="2835"/>
      <c r="H768" s="2835"/>
      <c r="I768" s="2835"/>
      <c r="J768" s="2835"/>
      <c r="K768" s="2835"/>
      <c r="L768" s="2835"/>
      <c r="M768" s="2835"/>
      <c r="N768" s="2835"/>
    </row>
    <row r="769" spans="1:14" x14ac:dyDescent="0.15" ht="13.5" customHeight="true" hidden="false">
      <c r="A769" s="2835"/>
      <c r="B769" s="2835"/>
      <c r="C769" s="2835"/>
      <c r="D769" s="2835" t="s">
        <v>6966</v>
      </c>
      <c r="E769" s="2835" t="s">
        <v>9708</v>
      </c>
      <c r="F769" s="2835" t="n">
        <v>1412.8</v>
      </c>
      <c r="G769" s="2835"/>
      <c r="H769" s="2835"/>
      <c r="I769" s="2835"/>
      <c r="J769" s="2835"/>
      <c r="K769" s="2835"/>
      <c r="L769" s="2835"/>
      <c r="M769" s="2835"/>
      <c r="N769" s="2835"/>
    </row>
    <row r="770" spans="1:14" x14ac:dyDescent="0.15" ht="13.5" customHeight="true" hidden="false">
      <c r="A770" s="2835"/>
      <c r="B770" s="2835"/>
      <c r="C770" s="2835"/>
      <c r="D770" s="2835" t="s">
        <v>6966</v>
      </c>
      <c r="E770" s="2835" t="s">
        <v>9709</v>
      </c>
      <c r="F770" s="2835" t="n">
        <v>907.9</v>
      </c>
      <c r="G770" s="2835"/>
      <c r="H770" s="2835"/>
      <c r="I770" s="2835"/>
      <c r="J770" s="2835"/>
      <c r="K770" s="2835"/>
      <c r="L770" s="2835"/>
      <c r="M770" s="2835"/>
      <c r="N770" s="2835"/>
    </row>
    <row r="771" spans="1:14" x14ac:dyDescent="0.15" ht="13.5" customHeight="true" hidden="false">
      <c r="A771" s="2835"/>
      <c r="B771" s="2835"/>
      <c r="C771" s="2835"/>
      <c r="D771" s="2835" t="s">
        <v>6966</v>
      </c>
      <c r="E771" s="2835" t="s">
        <v>9710</v>
      </c>
      <c r="F771" s="2835" t="n">
        <v>596.4</v>
      </c>
      <c r="G771" s="2835"/>
      <c r="H771" s="2835"/>
      <c r="I771" s="2835"/>
      <c r="J771" s="2835"/>
      <c r="K771" s="2835"/>
      <c r="L771" s="2835"/>
      <c r="M771" s="2835"/>
      <c r="N771" s="2835"/>
    </row>
    <row r="772" spans="1:14" x14ac:dyDescent="0.15" ht="13.5" customHeight="true" hidden="false">
      <c r="A772" s="2835"/>
      <c r="B772" s="2835"/>
      <c r="C772" s="2835"/>
      <c r="D772" s="2835" t="s">
        <v>6966</v>
      </c>
      <c r="E772" s="2835" t="s">
        <v>9711</v>
      </c>
      <c r="F772" s="2835" t="n">
        <v>172.8</v>
      </c>
      <c r="G772" s="2835"/>
      <c r="H772" s="2835"/>
      <c r="I772" s="2835"/>
      <c r="J772" s="2835"/>
      <c r="K772" s="2835"/>
      <c r="L772" s="2835"/>
      <c r="M772" s="2835"/>
      <c r="N772" s="2835"/>
    </row>
    <row r="773" spans="1:14" x14ac:dyDescent="0.15" ht="13.5" customHeight="true" hidden="false">
      <c r="A773" s="2835"/>
      <c r="B773" s="2835"/>
      <c r="C773" s="2835"/>
      <c r="D773" s="2835" t="s">
        <v>6966</v>
      </c>
      <c r="E773" s="2835" t="s">
        <v>9712</v>
      </c>
      <c r="F773" s="2835" t="n">
        <v>0.0</v>
      </c>
      <c r="G773" s="2835"/>
      <c r="H773" s="2835"/>
      <c r="I773" s="2835"/>
      <c r="J773" s="2835"/>
      <c r="K773" s="2835"/>
      <c r="L773" s="2835"/>
      <c r="M773" s="2835"/>
      <c r="N773" s="2835"/>
    </row>
    <row r="774" spans="1:14" x14ac:dyDescent="0.15">
      <c r="A774" s="2835"/>
      <c r="B774" s="2835"/>
      <c r="C774" s="2835"/>
      <c r="D774" s="2835"/>
      <c r="E774" s="2835"/>
      <c r="F774" s="2835"/>
      <c r="G774" s="2835"/>
      <c r="H774" s="2835"/>
      <c r="I774" s="2835"/>
      <c r="J774" s="2835"/>
      <c r="K774" s="2835"/>
      <c r="L774" s="2835"/>
      <c r="M774" s="2835"/>
      <c r="N774" s="2835"/>
    </row>
    <row r="775" spans="1:14" x14ac:dyDescent="0.15">
      <c r="A775" s="2835"/>
      <c r="B775" s="2835"/>
      <c r="C775" s="2835"/>
      <c r="D775" s="2835"/>
      <c r="E775" s="2835"/>
      <c r="F775" s="2835"/>
      <c r="G775" s="2835"/>
      <c r="H775" s="2835"/>
      <c r="I775" s="2835"/>
      <c r="J775" s="2835"/>
      <c r="K775" s="2835"/>
      <c r="L775" s="2835"/>
      <c r="M775" s="2835"/>
      <c r="N775" s="2835"/>
    </row>
    <row r="776" spans="1:14" x14ac:dyDescent="0.15">
      <c r="A776" s="2835"/>
      <c r="B776" s="2835"/>
      <c r="C776" s="2835"/>
      <c r="D776" s="2835"/>
      <c r="E776" s="2835"/>
      <c r="F776" s="2835"/>
      <c r="G776" s="2835"/>
      <c r="H776" s="2835"/>
      <c r="I776" s="2835"/>
      <c r="J776" s="2835"/>
      <c r="K776" s="2835"/>
      <c r="L776" s="2835"/>
      <c r="M776" s="2835"/>
      <c r="N776" s="2835"/>
    </row>
    <row r="777" spans="1:14" x14ac:dyDescent="0.15">
      <c r="A777" s="2835"/>
      <c r="B777" s="2835"/>
      <c r="C777" s="2835"/>
      <c r="D777" s="2835"/>
      <c r="E777" s="2835"/>
      <c r="F777" s="2835"/>
      <c r="G777" s="2835"/>
      <c r="H777" s="2835"/>
      <c r="I777" s="2835"/>
      <c r="J777" s="2835"/>
      <c r="K777" s="2835"/>
      <c r="L777" s="2835"/>
      <c r="M777" s="2835"/>
      <c r="N777" s="2835"/>
    </row>
    <row r="778" spans="1:14" x14ac:dyDescent="0.15">
      <c r="A778" s="2835"/>
      <c r="B778" s="2835"/>
      <c r="C778" s="2835"/>
      <c r="D778" s="2835"/>
      <c r="E778" s="2835"/>
      <c r="F778" s="2835"/>
      <c r="G778" s="2835"/>
      <c r="H778" s="2835"/>
      <c r="I778" s="2835"/>
      <c r="J778" s="2835"/>
      <c r="K778" s="2835"/>
      <c r="L778" s="2835"/>
      <c r="M778" s="2835"/>
      <c r="N778" s="2835"/>
    </row>
    <row r="779" spans="1:14" x14ac:dyDescent="0.15">
      <c r="A779" s="2835"/>
      <c r="B779" s="2835"/>
      <c r="C779" s="2835"/>
      <c r="D779" s="2835"/>
      <c r="E779" s="2835"/>
      <c r="F779" s="2835"/>
      <c r="G779" s="2835"/>
      <c r="H779" s="2835"/>
      <c r="I779" s="2835"/>
      <c r="J779" s="2835"/>
      <c r="K779" s="2835"/>
      <c r="L779" s="2835"/>
      <c r="M779" s="2835"/>
      <c r="N779" s="2835"/>
    </row>
    <row r="780" spans="1:14" x14ac:dyDescent="0.15">
      <c r="A780" s="2835"/>
      <c r="B780" s="2835"/>
      <c r="C780" s="2835"/>
      <c r="D780" s="2835"/>
      <c r="E780" s="2835"/>
      <c r="F780" s="2835"/>
      <c r="G780" s="2835"/>
      <c r="H780" s="2835"/>
      <c r="I780" s="2835"/>
      <c r="J780" s="2835"/>
      <c r="K780" s="2835"/>
      <c r="L780" s="2835"/>
      <c r="M780" s="2835"/>
      <c r="N780" s="2835"/>
    </row>
    <row r="781" spans="1:14" x14ac:dyDescent="0.15">
      <c r="A781" s="2835"/>
      <c r="B781" s="2835"/>
      <c r="C781" s="2835"/>
      <c r="D781" s="2835"/>
      <c r="E781" s="2835"/>
      <c r="F781" s="2835"/>
      <c r="G781" s="2835"/>
      <c r="H781" s="2835"/>
      <c r="I781" s="2835"/>
      <c r="J781" s="2835"/>
      <c r="K781" s="2835"/>
      <c r="L781" s="2835"/>
      <c r="M781" s="2835"/>
      <c r="N781" s="2835"/>
    </row>
    <row r="782" spans="1:14" x14ac:dyDescent="0.15">
      <c r="A782" s="2835"/>
      <c r="B782" s="2835"/>
      <c r="C782" s="2835"/>
      <c r="D782" s="2835"/>
      <c r="E782" s="2835"/>
      <c r="F782" s="2835"/>
      <c r="G782" s="2835"/>
      <c r="H782" s="2835"/>
      <c r="I782" s="2835"/>
      <c r="J782" s="2835"/>
      <c r="K782" s="2835"/>
      <c r="L782" s="2835"/>
      <c r="M782" s="2835"/>
      <c r="N782" s="2835"/>
    </row>
    <row r="783" spans="1:14" x14ac:dyDescent="0.15">
      <c r="A783" s="2835"/>
      <c r="B783" s="2835"/>
      <c r="C783" s="2835"/>
      <c r="D783" s="2835"/>
      <c r="E783" s="2835"/>
      <c r="F783" s="2835"/>
      <c r="G783" s="2835"/>
      <c r="H783" s="2835"/>
      <c r="I783" s="2835"/>
      <c r="J783" s="2835"/>
      <c r="K783" s="2835"/>
      <c r="L783" s="2835"/>
      <c r="M783" s="2835"/>
      <c r="N783" s="2835"/>
    </row>
    <row r="784" spans="1:14" x14ac:dyDescent="0.15">
      <c r="A784" s="2835"/>
      <c r="B784" s="2835"/>
      <c r="C784" s="2835"/>
      <c r="D784" s="2835"/>
      <c r="E784" s="2835"/>
      <c r="F784" s="2835"/>
      <c r="G784" s="2835"/>
      <c r="H784" s="2835"/>
      <c r="I784" s="2835"/>
      <c r="J784" s="2835"/>
      <c r="K784" s="2835"/>
      <c r="L784" s="2835"/>
      <c r="M784" s="2835"/>
      <c r="N784" s="2835"/>
    </row>
    <row r="785" spans="1:14" x14ac:dyDescent="0.15">
      <c r="A785" s="2835"/>
      <c r="B785" s="2835"/>
      <c r="C785" s="2835"/>
      <c r="D785" s="2835"/>
      <c r="E785" s="2835"/>
      <c r="F785" s="2835"/>
      <c r="G785" s="2835"/>
      <c r="H785" s="2835"/>
      <c r="I785" s="2835"/>
      <c r="J785" s="2835"/>
      <c r="K785" s="2835"/>
      <c r="L785" s="2835"/>
      <c r="M785" s="2835"/>
      <c r="N785" s="2835"/>
    </row>
    <row r="786" spans="1:14" x14ac:dyDescent="0.15">
      <c r="A786" s="2835"/>
      <c r="B786" s="2835"/>
      <c r="C786" s="2835"/>
      <c r="D786" s="2835"/>
      <c r="E786" s="2835"/>
      <c r="F786" s="2835"/>
      <c r="G786" s="2835"/>
      <c r="H786" s="2835"/>
      <c r="I786" s="2835"/>
      <c r="J786" s="2835"/>
      <c r="K786" s="2835"/>
      <c r="L786" s="2835"/>
      <c r="M786" s="2835"/>
      <c r="N786" s="2835"/>
    </row>
    <row r="787" spans="1:14" x14ac:dyDescent="0.15">
      <c r="A787" s="2835"/>
      <c r="B787" s="2835"/>
      <c r="C787" s="2835"/>
      <c r="D787" s="2835"/>
      <c r="E787" s="2835"/>
      <c r="F787" s="2835"/>
      <c r="G787" s="2835"/>
      <c r="H787" s="2835"/>
      <c r="I787" s="2835"/>
      <c r="J787" s="2835"/>
      <c r="K787" s="2835"/>
      <c r="L787" s="2835"/>
      <c r="M787" s="2835"/>
      <c r="N787" s="2835"/>
    </row>
    <row r="788" spans="1:14" x14ac:dyDescent="0.15">
      <c r="A788" s="2835"/>
      <c r="B788" s="2835"/>
      <c r="C788" s="2835"/>
      <c r="D788" s="2835"/>
      <c r="E788" s="2835"/>
      <c r="F788" s="2835"/>
      <c r="G788" s="2835"/>
      <c r="H788" s="2835"/>
      <c r="I788" s="2835"/>
      <c r="J788" s="2835"/>
      <c r="K788" s="2835"/>
      <c r="L788" s="2835"/>
      <c r="M788" s="2835"/>
      <c r="N788" s="2835"/>
    </row>
    <row r="789" spans="1:14" x14ac:dyDescent="0.15">
      <c r="A789" s="2835"/>
      <c r="B789" s="2835"/>
      <c r="C789" s="2835"/>
      <c r="D789" s="2835"/>
      <c r="E789" s="2835"/>
      <c r="F789" s="2835"/>
      <c r="G789" s="2835"/>
      <c r="H789" s="2835"/>
      <c r="I789" s="2835"/>
      <c r="J789" s="2835"/>
      <c r="K789" s="2835"/>
      <c r="L789" s="2835"/>
      <c r="M789" s="2835"/>
      <c r="N789" s="2835"/>
    </row>
    <row r="790" spans="1:14" x14ac:dyDescent="0.15">
      <c r="A790" s="2835"/>
      <c r="B790" s="2835"/>
      <c r="C790" s="2835"/>
      <c r="D790" s="2835"/>
      <c r="E790" s="2835"/>
      <c r="F790" s="2835"/>
      <c r="G790" s="2835"/>
      <c r="H790" s="2835"/>
      <c r="I790" s="2835"/>
      <c r="J790" s="2835"/>
      <c r="K790" s="2835"/>
      <c r="L790" s="2835"/>
      <c r="M790" s="2835"/>
      <c r="N790" s="2835"/>
    </row>
    <row r="791" spans="1:14" x14ac:dyDescent="0.15">
      <c r="A791" s="2835"/>
      <c r="B791" s="2835"/>
      <c r="C791" s="2835"/>
      <c r="D791" s="2835"/>
      <c r="E791" s="2835"/>
      <c r="F791" s="2835"/>
      <c r="G791" s="2835"/>
      <c r="H791" s="2835"/>
      <c r="I791" s="2835"/>
      <c r="J791" s="2835"/>
      <c r="K791" s="2835"/>
      <c r="L791" s="2835"/>
      <c r="M791" s="2835"/>
      <c r="N791" s="2835"/>
    </row>
    <row r="792" spans="1:14" x14ac:dyDescent="0.15">
      <c r="A792" s="2835"/>
      <c r="B792" s="2835"/>
      <c r="C792" s="2835"/>
      <c r="D792" s="2835"/>
      <c r="E792" s="2835"/>
      <c r="F792" s="2835"/>
      <c r="G792" s="2835"/>
      <c r="H792" s="2835"/>
      <c r="I792" s="2835"/>
      <c r="J792" s="2835"/>
      <c r="K792" s="2835"/>
      <c r="L792" s="2835"/>
      <c r="M792" s="2835"/>
      <c r="N792" s="2835"/>
    </row>
    <row r="793" spans="1:14" x14ac:dyDescent="0.15">
      <c r="A793" s="2835"/>
      <c r="B793" s="2835"/>
      <c r="C793" s="2835"/>
      <c r="D793" s="2835"/>
      <c r="E793" s="2835"/>
      <c r="F793" s="2835"/>
      <c r="G793" s="2835"/>
      <c r="H793" s="2835"/>
      <c r="I793" s="2835"/>
      <c r="J793" s="2835"/>
      <c r="K793" s="2835"/>
      <c r="L793" s="2835"/>
      <c r="M793" s="2835"/>
      <c r="N793" s="2835"/>
    </row>
    <row r="794" spans="1:14" x14ac:dyDescent="0.15">
      <c r="A794" s="2835"/>
      <c r="B794" s="2835"/>
      <c r="C794" s="2835"/>
      <c r="D794" s="2835"/>
      <c r="E794" s="2835"/>
      <c r="F794" s="2835"/>
      <c r="G794" s="2835"/>
      <c r="H794" s="2835"/>
      <c r="I794" s="2835"/>
      <c r="J794" s="2835"/>
      <c r="K794" s="2835"/>
      <c r="L794" s="2835"/>
      <c r="M794" s="2835"/>
      <c r="N794" s="2835"/>
    </row>
    <row r="795" spans="1:14" x14ac:dyDescent="0.15">
      <c r="A795" s="2835"/>
      <c r="B795" s="2835"/>
      <c r="C795" s="2835"/>
      <c r="D795" s="2835"/>
      <c r="E795" s="2835"/>
      <c r="F795" s="2835"/>
      <c r="G795" s="2835"/>
      <c r="H795" s="2835"/>
      <c r="I795" s="2835"/>
      <c r="J795" s="2835"/>
      <c r="K795" s="2835"/>
      <c r="L795" s="2835"/>
      <c r="M795" s="2835"/>
      <c r="N795" s="2835"/>
    </row>
    <row r="796" spans="1:14" x14ac:dyDescent="0.15">
      <c r="A796" s="2835"/>
      <c r="B796" s="2835"/>
      <c r="C796" s="2835"/>
      <c r="D796" s="2835"/>
      <c r="E796" s="2835"/>
      <c r="F796" s="2835"/>
      <c r="G796" s="2835"/>
      <c r="H796" s="2835"/>
      <c r="I796" s="2835"/>
      <c r="J796" s="2835"/>
      <c r="K796" s="2835"/>
      <c r="L796" s="2835"/>
      <c r="M796" s="2835"/>
      <c r="N796" s="2835"/>
    </row>
    <row r="797" spans="1:14" x14ac:dyDescent="0.15">
      <c r="A797" s="2835"/>
      <c r="B797" s="2835"/>
      <c r="C797" s="2835"/>
      <c r="D797" s="2835"/>
      <c r="E797" s="2835"/>
      <c r="F797" s="2835"/>
      <c r="G797" s="2835"/>
      <c r="H797" s="2835"/>
      <c r="I797" s="2835"/>
      <c r="J797" s="2835"/>
      <c r="K797" s="2835"/>
      <c r="L797" s="2835"/>
      <c r="M797" s="2835"/>
      <c r="N797" s="2835"/>
    </row>
    <row r="798" spans="1:14" x14ac:dyDescent="0.15">
      <c r="A798" s="2835"/>
      <c r="B798" s="2835"/>
      <c r="C798" s="2835"/>
      <c r="D798" s="2835"/>
      <c r="E798" s="2835"/>
      <c r="F798" s="2835"/>
      <c r="G798" s="2835"/>
      <c r="H798" s="2835"/>
      <c r="I798" s="2835"/>
      <c r="J798" s="2835"/>
      <c r="K798" s="2835"/>
      <c r="L798" s="2835"/>
      <c r="M798" s="2835"/>
      <c r="N798" s="2835"/>
    </row>
    <row r="799" spans="1:14" x14ac:dyDescent="0.15">
      <c r="A799" s="2835"/>
      <c r="B799" s="2835"/>
      <c r="C799" s="2835"/>
      <c r="D799" s="2835"/>
      <c r="E799" s="2835"/>
      <c r="F799" s="2835"/>
      <c r="G799" s="2835"/>
      <c r="H799" s="2835"/>
      <c r="I799" s="2835"/>
      <c r="J799" s="2835"/>
      <c r="K799" s="2835"/>
      <c r="L799" s="2835"/>
      <c r="M799" s="2835"/>
      <c r="N799" s="2835"/>
    </row>
    <row r="800" spans="1:14" x14ac:dyDescent="0.15">
      <c r="A800" s="2835"/>
      <c r="B800" s="2835"/>
      <c r="C800" s="2835"/>
      <c r="D800" s="2835"/>
      <c r="E800" s="2835"/>
      <c r="F800" s="2835"/>
      <c r="G800" s="2835"/>
      <c r="H800" s="2835"/>
      <c r="I800" s="2835"/>
      <c r="J800" s="2835"/>
      <c r="K800" s="2835"/>
      <c r="L800" s="2835"/>
      <c r="M800" s="2835"/>
      <c r="N800" s="2835"/>
    </row>
    <row r="801" spans="1:14" x14ac:dyDescent="0.15">
      <c r="A801" s="2835"/>
      <c r="B801" s="2835"/>
      <c r="C801" s="2835"/>
      <c r="D801" s="2835"/>
      <c r="E801" s="2835"/>
      <c r="F801" s="2835"/>
      <c r="G801" s="2835"/>
      <c r="H801" s="2835"/>
      <c r="I801" s="2835"/>
      <c r="J801" s="2835"/>
      <c r="K801" s="2835"/>
      <c r="L801" s="2835"/>
      <c r="M801" s="2835"/>
      <c r="N801" s="2835"/>
    </row>
    <row r="802" spans="1:14" x14ac:dyDescent="0.15">
      <c r="A802" s="2835"/>
      <c r="B802" s="2835"/>
      <c r="C802" s="2835"/>
      <c r="D802" s="2835"/>
      <c r="E802" s="2835"/>
      <c r="F802" s="2835"/>
      <c r="G802" s="2835"/>
      <c r="H802" s="2835"/>
      <c r="I802" s="2835"/>
      <c r="J802" s="2835"/>
      <c r="K802" s="2835"/>
      <c r="L802" s="2835"/>
      <c r="M802" s="2835"/>
      <c r="N802" s="2835"/>
    </row>
    <row r="803" spans="1:14" x14ac:dyDescent="0.15">
      <c r="A803" s="2835"/>
      <c r="B803" s="2835"/>
      <c r="C803" s="2835"/>
      <c r="D803" s="2835"/>
      <c r="E803" s="2835"/>
      <c r="F803" s="2835"/>
      <c r="G803" s="2835"/>
      <c r="H803" s="2835"/>
      <c r="I803" s="2835"/>
      <c r="J803" s="2835"/>
      <c r="K803" s="2835"/>
      <c r="L803" s="2835"/>
      <c r="M803" s="2835"/>
      <c r="N803" s="2835"/>
    </row>
    <row r="804" spans="1:14" x14ac:dyDescent="0.15">
      <c r="A804" s="2835"/>
      <c r="B804" s="2835"/>
      <c r="C804" s="2835"/>
      <c r="D804" s="2835"/>
      <c r="E804" s="2835"/>
      <c r="F804" s="2835"/>
      <c r="G804" s="2835"/>
      <c r="H804" s="2835"/>
      <c r="I804" s="2835"/>
      <c r="J804" s="2835"/>
      <c r="K804" s="2835"/>
      <c r="L804" s="2835"/>
      <c r="M804" s="2835"/>
      <c r="N804" s="2835"/>
    </row>
    <row r="805" spans="1:14" x14ac:dyDescent="0.15">
      <c r="A805" s="2835"/>
      <c r="B805" s="2835"/>
      <c r="C805" s="2835"/>
      <c r="D805" s="2835"/>
      <c r="E805" s="2835"/>
      <c r="F805" s="2835"/>
      <c r="G805" s="2835"/>
      <c r="H805" s="2835"/>
      <c r="I805" s="2835"/>
      <c r="J805" s="2835"/>
      <c r="K805" s="2835"/>
      <c r="L805" s="2835"/>
      <c r="M805" s="2835"/>
      <c r="N805" s="2835"/>
    </row>
    <row r="806" spans="1:14" x14ac:dyDescent="0.15">
      <c r="A806" s="2835"/>
      <c r="B806" s="2835"/>
      <c r="C806" s="2835"/>
      <c r="D806" s="2835"/>
      <c r="E806" s="2835"/>
      <c r="F806" s="2835"/>
      <c r="G806" s="2835"/>
      <c r="H806" s="2835"/>
      <c r="I806" s="2835"/>
      <c r="J806" s="2835"/>
      <c r="K806" s="2835"/>
      <c r="L806" s="2835"/>
      <c r="M806" s="2835"/>
      <c r="N806" s="2835"/>
    </row>
    <row r="807" spans="1:14" x14ac:dyDescent="0.15">
      <c r="A807" s="2835"/>
      <c r="B807" s="2835"/>
      <c r="C807" s="2835"/>
      <c r="D807" s="2835"/>
      <c r="E807" s="2835"/>
      <c r="F807" s="2835"/>
      <c r="G807" s="2835"/>
      <c r="H807" s="2835"/>
      <c r="I807" s="2835"/>
      <c r="J807" s="2835"/>
      <c r="K807" s="2835"/>
      <c r="L807" s="2835"/>
      <c r="M807" s="2835"/>
      <c r="N807" s="2835"/>
    </row>
    <row r="808" spans="1:14" x14ac:dyDescent="0.15">
      <c r="A808" s="2835"/>
      <c r="B808" s="2835"/>
      <c r="C808" s="2835"/>
      <c r="D808" s="2835"/>
      <c r="E808" s="2835"/>
      <c r="F808" s="2835"/>
      <c r="G808" s="2835"/>
      <c r="H808" s="2835"/>
      <c r="I808" s="2835"/>
      <c r="J808" s="2835"/>
      <c r="K808" s="2835"/>
      <c r="L808" s="2835"/>
      <c r="M808" s="2835"/>
      <c r="N808" s="2835"/>
    </row>
    <row r="809" spans="1:14" x14ac:dyDescent="0.15">
      <c r="A809" s="2835"/>
      <c r="B809" s="2835"/>
      <c r="C809" s="2835"/>
      <c r="D809" s="2835"/>
      <c r="E809" s="2835"/>
      <c r="F809" s="2835"/>
      <c r="G809" s="2835"/>
      <c r="H809" s="2835"/>
      <c r="I809" s="2835"/>
      <c r="J809" s="2835"/>
      <c r="K809" s="2835"/>
      <c r="L809" s="2835"/>
      <c r="M809" s="2835"/>
      <c r="N809" s="2835"/>
    </row>
    <row r="810" spans="1:14" x14ac:dyDescent="0.15">
      <c r="A810" s="2835"/>
      <c r="B810" s="2835"/>
      <c r="C810" s="2835"/>
      <c r="D810" s="2835"/>
      <c r="E810" s="2835"/>
      <c r="F810" s="2835"/>
      <c r="G810" s="2835"/>
      <c r="H810" s="2835"/>
      <c r="I810" s="2835"/>
      <c r="J810" s="2835"/>
      <c r="K810" s="2835"/>
      <c r="L810" s="2835"/>
      <c r="M810" s="2835"/>
      <c r="N810" s="2835"/>
    </row>
    <row r="811" spans="1:14" x14ac:dyDescent="0.15">
      <c r="A811" s="2835"/>
      <c r="B811" s="2835"/>
      <c r="C811" s="2835"/>
      <c r="D811" s="2835"/>
      <c r="E811" s="2835"/>
      <c r="F811" s="2835"/>
      <c r="G811" s="2835"/>
      <c r="H811" s="2835"/>
      <c r="I811" s="2835"/>
      <c r="J811" s="2835"/>
      <c r="K811" s="2835"/>
      <c r="L811" s="2835"/>
      <c r="M811" s="2835"/>
      <c r="N811" s="2835"/>
    </row>
    <row r="812" spans="1:14" x14ac:dyDescent="0.15">
      <c r="A812" s="2835"/>
      <c r="B812" s="2835"/>
      <c r="C812" s="2835"/>
      <c r="D812" s="2835"/>
      <c r="E812" s="2835"/>
      <c r="F812" s="2835"/>
      <c r="G812" s="2835"/>
      <c r="H812" s="2835"/>
      <c r="I812" s="2835"/>
      <c r="J812" s="2835"/>
      <c r="K812" s="2835"/>
      <c r="L812" s="2835"/>
      <c r="M812" s="2835"/>
      <c r="N812" s="2835"/>
    </row>
    <row r="813" spans="1:14" x14ac:dyDescent="0.15">
      <c r="A813" s="2835"/>
      <c r="B813" s="2835"/>
      <c r="C813" s="2835"/>
      <c r="D813" s="2835"/>
      <c r="E813" s="2835"/>
      <c r="F813" s="2835"/>
      <c r="G813" s="2835"/>
      <c r="H813" s="2835"/>
      <c r="I813" s="2835"/>
      <c r="J813" s="2835"/>
      <c r="K813" s="2835"/>
      <c r="L813" s="2835"/>
      <c r="M813" s="2835"/>
      <c r="N813" s="2835"/>
    </row>
    <row r="814" spans="1:14" x14ac:dyDescent="0.15">
      <c r="A814" s="2835"/>
      <c r="B814" s="2835"/>
      <c r="C814" s="2835"/>
      <c r="D814" s="2835"/>
      <c r="E814" s="2835"/>
      <c r="F814" s="2835"/>
      <c r="G814" s="2835"/>
      <c r="H814" s="2835"/>
      <c r="I814" s="2835"/>
      <c r="J814" s="2835"/>
      <c r="K814" s="2835"/>
      <c r="L814" s="2835"/>
      <c r="M814" s="2835"/>
      <c r="N814" s="2835"/>
    </row>
    <row r="815" spans="1:14" x14ac:dyDescent="0.15">
      <c r="A815" s="2835"/>
      <c r="B815" s="2835"/>
      <c r="C815" s="2835"/>
      <c r="D815" s="2835"/>
      <c r="E815" s="2835"/>
      <c r="F815" s="2835"/>
      <c r="G815" s="2835"/>
      <c r="H815" s="2835"/>
      <c r="I815" s="2835"/>
      <c r="J815" s="2835"/>
      <c r="K815" s="2835"/>
      <c r="L815" s="2835"/>
      <c r="M815" s="2835"/>
      <c r="N815" s="2835"/>
    </row>
    <row r="816" spans="1:14" x14ac:dyDescent="0.15">
      <c r="A816" s="2835"/>
      <c r="B816" s="2835"/>
      <c r="C816" s="2835"/>
      <c r="D816" s="2835"/>
      <c r="E816" s="2835"/>
      <c r="F816" s="2835"/>
      <c r="G816" s="2835"/>
      <c r="H816" s="2835"/>
      <c r="I816" s="2835"/>
      <c r="J816" s="2835"/>
      <c r="K816" s="2835"/>
      <c r="L816" s="2835"/>
      <c r="M816" s="2835"/>
      <c r="N816" s="2835"/>
    </row>
    <row r="817" spans="1:14" x14ac:dyDescent="0.15">
      <c r="A817" s="2835"/>
      <c r="B817" s="2835"/>
      <c r="C817" s="2835"/>
      <c r="D817" s="2835"/>
      <c r="E817" s="2835"/>
      <c r="F817" s="2835"/>
      <c r="G817" s="2835"/>
      <c r="H817" s="2835"/>
      <c r="I817" s="2835"/>
      <c r="J817" s="2835"/>
      <c r="K817" s="2835"/>
      <c r="L817" s="2835"/>
      <c r="M817" s="2835"/>
      <c r="N817" s="2835"/>
    </row>
    <row r="818" spans="1:14" x14ac:dyDescent="0.15">
      <c r="A818" s="2835"/>
      <c r="B818" s="2835"/>
      <c r="C818" s="2835"/>
      <c r="D818" s="2835"/>
      <c r="E818" s="2835"/>
      <c r="F818" s="2835"/>
      <c r="G818" s="2835"/>
      <c r="H818" s="2835"/>
      <c r="I818" s="2835"/>
      <c r="J818" s="2835"/>
      <c r="K818" s="2835"/>
      <c r="L818" s="2835"/>
      <c r="M818" s="2835"/>
      <c r="N818" s="2835"/>
    </row>
    <row r="819" spans="1:14" x14ac:dyDescent="0.15">
      <c r="A819" s="2835"/>
      <c r="B819" s="2835"/>
      <c r="C819" s="2835"/>
      <c r="D819" s="2835"/>
      <c r="E819" s="2835"/>
      <c r="F819" s="2835"/>
      <c r="G819" s="2835"/>
      <c r="H819" s="2835"/>
      <c r="I819" s="2835"/>
      <c r="J819" s="2835"/>
      <c r="K819" s="2835"/>
      <c r="L819" s="2835"/>
      <c r="M819" s="2835"/>
      <c r="N819" s="2835"/>
    </row>
    <row r="820" spans="1:14" x14ac:dyDescent="0.15">
      <c r="A820" s="2835"/>
      <c r="B820" s="2835"/>
      <c r="C820" s="2835"/>
      <c r="D820" s="2835"/>
      <c r="E820" s="2835"/>
      <c r="F820" s="2835"/>
      <c r="G820" s="2835"/>
      <c r="H820" s="2835"/>
      <c r="I820" s="2835"/>
      <c r="J820" s="2835"/>
      <c r="K820" s="2835"/>
      <c r="L820" s="2835"/>
      <c r="M820" s="2835"/>
      <c r="N820" s="2835"/>
    </row>
    <row r="821" spans="1:14" x14ac:dyDescent="0.15">
      <c r="A821" s="2835"/>
      <c r="B821" s="2835"/>
      <c r="C821" s="2835"/>
      <c r="D821" s="2835"/>
      <c r="E821" s="2835"/>
      <c r="F821" s="2835"/>
      <c r="G821" s="2835"/>
      <c r="H821" s="2835"/>
      <c r="I821" s="2835"/>
      <c r="J821" s="2835"/>
      <c r="K821" s="2835"/>
      <c r="L821" s="2835"/>
      <c r="M821" s="2835"/>
      <c r="N821" s="2835"/>
    </row>
    <row r="822" spans="1:14" x14ac:dyDescent="0.15">
      <c r="A822" s="2835"/>
      <c r="B822" s="2835"/>
      <c r="C822" s="2835"/>
      <c r="D822" s="2835"/>
      <c r="E822" s="2835"/>
      <c r="F822" s="2835"/>
      <c r="G822" s="2835"/>
      <c r="H822" s="2835"/>
      <c r="I822" s="2835"/>
      <c r="J822" s="2835"/>
      <c r="K822" s="2835"/>
      <c r="L822" s="2835"/>
      <c r="M822" s="2835"/>
      <c r="N822" s="2835"/>
    </row>
    <row r="823" spans="1:14" x14ac:dyDescent="0.15">
      <c r="A823" s="2835"/>
      <c r="B823" s="2835"/>
      <c r="C823" s="2835"/>
      <c r="D823" s="2835"/>
      <c r="E823" s="2835"/>
      <c r="F823" s="2835"/>
      <c r="G823" s="2835"/>
      <c r="H823" s="2835"/>
      <c r="I823" s="2835"/>
      <c r="J823" s="2835"/>
      <c r="K823" s="2835"/>
      <c r="L823" s="2835"/>
      <c r="M823" s="2835"/>
      <c r="N823" s="2835"/>
    </row>
    <row r="824" spans="1:14" x14ac:dyDescent="0.15">
      <c r="A824" s="2835"/>
      <c r="B824" s="2835"/>
      <c r="C824" s="2835"/>
      <c r="D824" s="2835"/>
      <c r="E824" s="2835"/>
      <c r="F824" s="2835"/>
      <c r="G824" s="2835"/>
      <c r="H824" s="2835"/>
      <c r="I824" s="2835"/>
      <c r="J824" s="2835"/>
      <c r="K824" s="2835"/>
      <c r="L824" s="2835"/>
      <c r="M824" s="2835"/>
      <c r="N824" s="2835"/>
    </row>
    <row r="825" spans="1:14" x14ac:dyDescent="0.15">
      <c r="A825" s="2835"/>
      <c r="B825" s="2835"/>
      <c r="C825" s="2835"/>
      <c r="D825" s="2835"/>
      <c r="E825" s="2835"/>
      <c r="F825" s="2835"/>
      <c r="G825" s="2835"/>
      <c r="H825" s="2835"/>
      <c r="I825" s="2835"/>
      <c r="J825" s="2835"/>
      <c r="K825" s="2835"/>
      <c r="L825" s="2835"/>
      <c r="M825" s="2835"/>
      <c r="N825" s="2835"/>
    </row>
    <row r="826" spans="1:14" x14ac:dyDescent="0.15">
      <c r="A826" s="2835"/>
      <c r="B826" s="2835"/>
      <c r="C826" s="2835"/>
      <c r="D826" s="2835"/>
      <c r="E826" s="2835"/>
      <c r="F826" s="2835"/>
      <c r="G826" s="2835"/>
      <c r="H826" s="2835"/>
      <c r="I826" s="2835"/>
      <c r="J826" s="2835"/>
      <c r="K826" s="2835"/>
      <c r="L826" s="2835"/>
      <c r="M826" s="2835"/>
      <c r="N826" s="2835"/>
    </row>
    <row r="827" spans="1:14" x14ac:dyDescent="0.15">
      <c r="A827" s="2835"/>
      <c r="B827" s="2835"/>
      <c r="C827" s="2835"/>
      <c r="D827" s="2835"/>
      <c r="E827" s="2835"/>
      <c r="F827" s="2835"/>
      <c r="G827" s="2835"/>
      <c r="H827" s="2835"/>
      <c r="I827" s="2835"/>
      <c r="J827" s="2835"/>
      <c r="K827" s="2835"/>
      <c r="L827" s="2835"/>
      <c r="M827" s="2835"/>
      <c r="N827" s="2835"/>
    </row>
    <row r="828" spans="1:14" x14ac:dyDescent="0.15">
      <c r="A828" s="2835"/>
      <c r="B828" s="2835"/>
      <c r="C828" s="2835"/>
      <c r="D828" s="2835"/>
      <c r="E828" s="2835"/>
      <c r="F828" s="2835"/>
      <c r="G828" s="2835"/>
      <c r="H828" s="2835"/>
      <c r="I828" s="2835"/>
      <c r="J828" s="2835"/>
      <c r="K828" s="2835"/>
      <c r="L828" s="2835"/>
      <c r="M828" s="2835"/>
      <c r="N828" s="2835"/>
    </row>
    <row r="829" spans="1:14" x14ac:dyDescent="0.15">
      <c r="A829" s="2835"/>
      <c r="B829" s="2835"/>
      <c r="C829" s="2835"/>
      <c r="D829" s="2835"/>
      <c r="E829" s="2835"/>
      <c r="F829" s="2835"/>
      <c r="G829" s="2835"/>
      <c r="H829" s="2835"/>
      <c r="I829" s="2835"/>
      <c r="J829" s="2835"/>
      <c r="K829" s="2835"/>
      <c r="L829" s="2835"/>
      <c r="M829" s="2835"/>
      <c r="N829" s="2835"/>
    </row>
    <row r="830" spans="1:14" x14ac:dyDescent="0.15">
      <c r="A830" s="2835"/>
      <c r="B830" s="2835"/>
      <c r="C830" s="2835"/>
      <c r="D830" s="2835"/>
      <c r="E830" s="2835"/>
      <c r="F830" s="2835"/>
      <c r="G830" s="2835"/>
      <c r="H830" s="2835"/>
      <c r="I830" s="2835"/>
      <c r="J830" s="2835"/>
      <c r="K830" s="2835"/>
      <c r="L830" s="2835"/>
      <c r="M830" s="2835"/>
      <c r="N830" s="2835"/>
    </row>
    <row r="831" spans="1:14" x14ac:dyDescent="0.15">
      <c r="A831" s="2835"/>
      <c r="B831" s="2835"/>
      <c r="C831" s="2835"/>
      <c r="D831" s="2835"/>
      <c r="E831" s="2835"/>
      <c r="F831" s="2835"/>
      <c r="G831" s="2835"/>
      <c r="H831" s="2835"/>
      <c r="I831" s="2835"/>
      <c r="J831" s="2835"/>
      <c r="K831" s="2835"/>
      <c r="L831" s="2835"/>
      <c r="M831" s="2835"/>
      <c r="N831" s="2835"/>
    </row>
    <row r="832" spans="1:14" x14ac:dyDescent="0.15">
      <c r="A832" s="2835"/>
      <c r="B832" s="2835"/>
      <c r="C832" s="2835"/>
      <c r="D832" s="2835"/>
      <c r="E832" s="2835"/>
      <c r="F832" s="2835"/>
      <c r="G832" s="2835"/>
      <c r="H832" s="2835"/>
      <c r="I832" s="2835"/>
      <c r="J832" s="2835"/>
      <c r="K832" s="2835"/>
      <c r="L832" s="2835"/>
      <c r="M832" s="2835"/>
      <c r="N832" s="2835"/>
    </row>
    <row r="833" spans="1:14" x14ac:dyDescent="0.15">
      <c r="A833" s="2835"/>
      <c r="B833" s="2835"/>
      <c r="C833" s="2835"/>
      <c r="D833" s="2835"/>
      <c r="E833" s="2835"/>
      <c r="F833" s="2835"/>
      <c r="G833" s="2835"/>
      <c r="H833" s="2835"/>
      <c r="I833" s="2835"/>
      <c r="J833" s="2835"/>
      <c r="K833" s="2835"/>
      <c r="L833" s="2835"/>
      <c r="M833" s="2835"/>
      <c r="N833" s="2835"/>
    </row>
    <row r="834" spans="1:14" x14ac:dyDescent="0.15">
      <c r="A834" s="2835"/>
      <c r="B834" s="2835"/>
      <c r="C834" s="2835"/>
      <c r="D834" s="2835"/>
      <c r="E834" s="2835"/>
      <c r="F834" s="2835"/>
      <c r="G834" s="2835"/>
      <c r="H834" s="2835"/>
      <c r="I834" s="2835"/>
      <c r="J834" s="2835"/>
      <c r="K834" s="2835"/>
      <c r="L834" s="2835"/>
      <c r="M834" s="2835"/>
      <c r="N834" s="2835"/>
    </row>
    <row r="835" spans="1:14" x14ac:dyDescent="0.15">
      <c r="A835" s="2835"/>
      <c r="B835" s="2835"/>
      <c r="C835" s="2835"/>
      <c r="D835" s="2835"/>
      <c r="E835" s="2835"/>
      <c r="F835" s="2835"/>
      <c r="G835" s="2835"/>
      <c r="H835" s="2835"/>
      <c r="I835" s="2835"/>
      <c r="J835" s="2835"/>
      <c r="K835" s="2835"/>
      <c r="L835" s="2835"/>
      <c r="M835" s="2835"/>
      <c r="N835" s="2835"/>
    </row>
    <row r="836" spans="1:14" x14ac:dyDescent="0.15">
      <c r="A836" s="2835"/>
      <c r="B836" s="2835"/>
      <c r="C836" s="2835"/>
      <c r="D836" s="2835"/>
      <c r="E836" s="2835"/>
      <c r="F836" s="2835"/>
      <c r="G836" s="2835"/>
      <c r="H836" s="2835"/>
      <c r="I836" s="2835"/>
      <c r="J836" s="2835"/>
      <c r="K836" s="2835"/>
      <c r="L836" s="2835"/>
      <c r="M836" s="2835"/>
      <c r="N836" s="2835"/>
    </row>
    <row r="837" spans="1:14" x14ac:dyDescent="0.15">
      <c r="A837" s="2835"/>
      <c r="B837" s="2835"/>
      <c r="C837" s="2835"/>
      <c r="D837" s="2835"/>
      <c r="E837" s="2835"/>
      <c r="F837" s="2835"/>
      <c r="G837" s="2835"/>
      <c r="H837" s="2835"/>
      <c r="I837" s="2835"/>
      <c r="J837" s="2835"/>
      <c r="K837" s="2835"/>
      <c r="L837" s="2835"/>
      <c r="M837" s="2835"/>
      <c r="N837" s="2835"/>
    </row>
    <row r="838" spans="1:14" x14ac:dyDescent="0.15">
      <c r="A838" s="2835"/>
      <c r="B838" s="2835"/>
      <c r="C838" s="2835"/>
      <c r="D838" s="2835"/>
      <c r="E838" s="2835"/>
      <c r="F838" s="2835"/>
      <c r="G838" s="2835"/>
      <c r="H838" s="2835"/>
      <c r="I838" s="2835"/>
      <c r="J838" s="2835"/>
      <c r="K838" s="2835"/>
      <c r="L838" s="2835"/>
      <c r="M838" s="2835"/>
      <c r="N838" s="2835"/>
    </row>
    <row r="839" spans="1:14" x14ac:dyDescent="0.15">
      <c r="A839" s="2835"/>
      <c r="B839" s="2835"/>
      <c r="C839" s="2835"/>
      <c r="D839" s="2835"/>
      <c r="E839" s="2835"/>
      <c r="F839" s="2835"/>
      <c r="G839" s="2835"/>
      <c r="H839" s="2835"/>
      <c r="I839" s="2835"/>
      <c r="J839" s="2835"/>
      <c r="K839" s="2835"/>
      <c r="L839" s="2835"/>
      <c r="M839" s="2835"/>
      <c r="N839" s="2835"/>
    </row>
    <row r="840" spans="1:14" x14ac:dyDescent="0.15">
      <c r="A840" s="2835"/>
      <c r="B840" s="2835"/>
      <c r="C840" s="2835"/>
      <c r="D840" s="2835"/>
      <c r="E840" s="2835"/>
      <c r="F840" s="2835"/>
      <c r="G840" s="2835"/>
      <c r="H840" s="2835"/>
      <c r="I840" s="2835"/>
      <c r="J840" s="2835"/>
      <c r="K840" s="2835"/>
      <c r="L840" s="2835"/>
      <c r="M840" s="2835"/>
      <c r="N840" s="2835"/>
    </row>
    <row r="841" spans="1:14" x14ac:dyDescent="0.15">
      <c r="A841" s="2835"/>
      <c r="B841" s="2835"/>
      <c r="C841" s="2835"/>
      <c r="D841" s="2835"/>
      <c r="E841" s="2835"/>
      <c r="F841" s="2835"/>
      <c r="G841" s="2835"/>
      <c r="H841" s="2835"/>
      <c r="I841" s="2835"/>
      <c r="J841" s="2835"/>
      <c r="K841" s="2835"/>
      <c r="L841" s="2835"/>
      <c r="M841" s="2835"/>
      <c r="N841" s="2835"/>
    </row>
    <row r="842" spans="1:14" x14ac:dyDescent="0.15">
      <c r="A842" s="2835"/>
      <c r="B842" s="2835"/>
      <c r="C842" s="2835"/>
      <c r="D842" s="2835"/>
      <c r="E842" s="2835"/>
      <c r="F842" s="2835"/>
      <c r="G842" s="2835"/>
      <c r="H842" s="2835"/>
      <c r="I842" s="2835"/>
      <c r="J842" s="2835"/>
      <c r="K842" s="2835"/>
      <c r="L842" s="2835"/>
      <c r="M842" s="2835"/>
      <c r="N842" s="2835"/>
    </row>
    <row r="843" spans="1:14" x14ac:dyDescent="0.15">
      <c r="A843" s="2835"/>
      <c r="B843" s="2835"/>
      <c r="C843" s="2835"/>
      <c r="D843" s="2835"/>
      <c r="E843" s="2835"/>
      <c r="F843" s="2835"/>
      <c r="G843" s="2835"/>
      <c r="H843" s="2835"/>
      <c r="I843" s="2835"/>
      <c r="J843" s="2835"/>
      <c r="K843" s="2835"/>
      <c r="L843" s="2835"/>
      <c r="M843" s="2835"/>
    </row>
    <row r="844" spans="1:14" x14ac:dyDescent="0.15">
      <c r="A844" s="2835"/>
      <c r="B844" s="2835"/>
      <c r="C844" s="2835"/>
      <c r="D844" s="2835"/>
      <c r="E844" s="2835"/>
      <c r="F844" s="2835"/>
      <c r="G844" s="2835"/>
      <c r="H844" s="2835"/>
      <c r="I844" s="2835"/>
      <c r="J844" s="2835"/>
      <c r="K844" s="2835"/>
      <c r="L844" s="2835"/>
      <c r="M844" s="2835"/>
    </row>
    <row r="845" spans="1:14" x14ac:dyDescent="0.15">
      <c r="A845" s="2835"/>
      <c r="B845" s="2835"/>
      <c r="C845" s="2835"/>
      <c r="D845" s="2835"/>
      <c r="E845" s="2835"/>
      <c r="F845" s="2835"/>
      <c r="G845" s="2835"/>
      <c r="H845" s="2835"/>
      <c r="I845" s="2835"/>
      <c r="J845" s="2835"/>
      <c r="K845" s="2835"/>
      <c r="L845" s="2835"/>
      <c r="M845" s="2835"/>
    </row>
    <row r="846" spans="1:14" x14ac:dyDescent="0.15">
      <c r="A846" s="2835"/>
      <c r="B846" s="2835"/>
      <c r="C846" s="2835"/>
      <c r="D846" s="2835"/>
      <c r="E846" s="2835"/>
      <c r="F846" s="2835"/>
      <c r="G846" s="2835"/>
      <c r="H846" s="2835"/>
      <c r="I846" s="2835"/>
      <c r="J846" s="2835"/>
      <c r="K846" s="2835"/>
      <c r="L846" s="2835"/>
      <c r="M846" s="2835"/>
    </row>
    <row r="847" spans="1:14" x14ac:dyDescent="0.15">
      <c r="A847" s="2835"/>
      <c r="B847" s="2835"/>
      <c r="C847" s="2835"/>
      <c r="D847" s="2835"/>
      <c r="E847" s="2835"/>
      <c r="F847" s="2835"/>
      <c r="G847" s="2835"/>
      <c r="H847" s="2835"/>
      <c r="I847" s="2835"/>
      <c r="J847" s="2835"/>
      <c r="K847" s="2835"/>
      <c r="L847" s="2835"/>
      <c r="M847" s="2835"/>
    </row>
    <row r="848" spans="1:14" x14ac:dyDescent="0.15">
      <c r="A848" s="2835"/>
      <c r="B848" s="2835"/>
      <c r="C848" s="2835"/>
      <c r="D848" s="2835"/>
      <c r="E848" s="2835"/>
      <c r="F848" s="2835"/>
      <c r="G848" s="2835"/>
      <c r="H848" s="2835"/>
      <c r="I848" s="2835"/>
      <c r="J848" s="2835"/>
      <c r="K848" s="2835"/>
      <c r="L848" s="2835"/>
      <c r="M848" s="2835"/>
    </row>
    <row r="849" spans="1:13" x14ac:dyDescent="0.15">
      <c r="A849" s="2835"/>
      <c r="B849" s="2835"/>
      <c r="C849" s="2835"/>
      <c r="D849" s="2835"/>
      <c r="E849" s="2835"/>
      <c r="F849" s="2835"/>
      <c r="G849" s="2835"/>
      <c r="H849" s="2835"/>
      <c r="I849" s="2835"/>
      <c r="J849" s="2835"/>
      <c r="K849" s="2835"/>
      <c r="L849" s="2835"/>
      <c r="M849" s="2835"/>
    </row>
    <row r="850" spans="1:13" x14ac:dyDescent="0.15">
      <c r="A850" s="2835"/>
      <c r="B850" s="2835"/>
      <c r="C850" s="2835"/>
      <c r="D850" s="2835"/>
      <c r="E850" s="2835"/>
      <c r="F850" s="2835"/>
      <c r="G850" s="2835"/>
      <c r="H850" s="2835"/>
      <c r="I850" s="2835"/>
      <c r="J850" s="2835"/>
      <c r="K850" s="2835"/>
      <c r="L850" s="2835"/>
      <c r="M850" s="2835"/>
    </row>
    <row r="851" spans="1:13" x14ac:dyDescent="0.15">
      <c r="A851" s="2835"/>
      <c r="B851" s="2835"/>
      <c r="C851" s="2835"/>
      <c r="D851" s="2835"/>
      <c r="E851" s="2835"/>
      <c r="F851" s="2835"/>
      <c r="G851" s="2835"/>
      <c r="H851" s="2835"/>
      <c r="I851" s="2835"/>
      <c r="J851" s="2835"/>
      <c r="K851" s="2835"/>
      <c r="L851" s="2835"/>
      <c r="M851" s="2835"/>
    </row>
    <row r="852" spans="1:13" x14ac:dyDescent="0.15">
      <c r="A852" s="2835"/>
      <c r="B852" s="2835"/>
      <c r="C852" s="2835"/>
      <c r="D852" s="2835"/>
      <c r="E852" s="2835"/>
      <c r="F852" s="2835"/>
      <c r="G852" s="2835"/>
      <c r="H852" s="2835"/>
      <c r="I852" s="2835"/>
      <c r="J852" s="2835"/>
      <c r="K852" s="2835"/>
      <c r="L852" s="2835"/>
      <c r="M852" s="2835"/>
    </row>
    <row r="853" spans="1:13" x14ac:dyDescent="0.15">
      <c r="A853" s="2835"/>
      <c r="B853" s="2835"/>
      <c r="C853" s="2835"/>
      <c r="D853" s="2835"/>
      <c r="E853" s="2835"/>
      <c r="F853" s="2835"/>
      <c r="G853" s="2835"/>
      <c r="H853" s="2835"/>
      <c r="I853" s="2835"/>
      <c r="J853" s="2835"/>
      <c r="K853" s="2835"/>
      <c r="L853" s="2835"/>
      <c r="M853" s="2835"/>
    </row>
    <row r="854" spans="1:13" x14ac:dyDescent="0.15">
      <c r="A854" s="2835"/>
      <c r="B854" s="2835"/>
      <c r="C854" s="2835"/>
      <c r="D854" s="2835"/>
      <c r="E854" s="2835"/>
      <c r="F854" s="2835"/>
      <c r="G854" s="2835"/>
      <c r="H854" s="2835"/>
      <c r="I854" s="2835"/>
      <c r="J854" s="2835"/>
      <c r="K854" s="2835"/>
      <c r="L854" s="2835"/>
      <c r="M854" s="2835"/>
    </row>
    <row r="855" spans="1:13" x14ac:dyDescent="0.15">
      <c r="A855" s="2835"/>
      <c r="B855" s="2835"/>
      <c r="C855" s="2835"/>
      <c r="D855" s="2835"/>
      <c r="E855" s="2835"/>
      <c r="F855" s="2835"/>
      <c r="G855" s="2835"/>
      <c r="H855" s="2835"/>
      <c r="I855" s="2835"/>
      <c r="J855" s="2835"/>
      <c r="K855" s="2835"/>
      <c r="L855" s="2835"/>
      <c r="M855" s="2835"/>
    </row>
    <row r="856" spans="1:13" x14ac:dyDescent="0.15">
      <c r="A856" s="2835"/>
      <c r="B856" s="2835"/>
      <c r="C856" s="2835"/>
      <c r="D856" s="2835"/>
      <c r="E856" s="2835"/>
      <c r="F856" s="2835"/>
      <c r="G856" s="2835"/>
      <c r="H856" s="2835"/>
      <c r="I856" s="2835"/>
      <c r="J856" s="2835"/>
      <c r="K856" s="2835"/>
      <c r="L856" s="2835"/>
      <c r="M856" s="2835"/>
    </row>
    <row r="857" spans="1:13" x14ac:dyDescent="0.15">
      <c r="A857" s="2835"/>
      <c r="B857" s="2835"/>
      <c r="C857" s="2835"/>
      <c r="D857" s="2835"/>
      <c r="E857" s="2835"/>
      <c r="F857" s="2835"/>
      <c r="G857" s="2835"/>
      <c r="H857" s="2835"/>
      <c r="I857" s="2835"/>
      <c r="J857" s="2835"/>
      <c r="K857" s="2835"/>
      <c r="L857" s="2835"/>
      <c r="M857" s="2835"/>
    </row>
    <row r="858" spans="1:13" x14ac:dyDescent="0.15">
      <c r="A858" s="2835"/>
      <c r="B858" s="2835"/>
      <c r="C858" s="2835"/>
      <c r="D858" s="2835"/>
      <c r="E858" s="2835"/>
      <c r="F858" s="2835"/>
      <c r="G858" s="2835"/>
      <c r="H858" s="2835"/>
      <c r="I858" s="2835"/>
      <c r="J858" s="2835"/>
      <c r="K858" s="2835"/>
      <c r="L858" s="2835"/>
      <c r="M858" s="2835"/>
    </row>
    <row r="859" spans="1:13" x14ac:dyDescent="0.15">
      <c r="A859" s="2835"/>
      <c r="B859" s="2835"/>
      <c r="C859" s="2835"/>
      <c r="D859" s="2835"/>
      <c r="E859" s="2835"/>
      <c r="F859" s="2835"/>
      <c r="G859" s="2835"/>
      <c r="H859" s="2835"/>
      <c r="I859" s="2835"/>
      <c r="J859" s="2835"/>
      <c r="K859" s="2835"/>
      <c r="L859" s="2835"/>
      <c r="M859" s="2835"/>
    </row>
    <row r="860" spans="1:13" x14ac:dyDescent="0.15">
      <c r="A860" s="2835"/>
      <c r="B860" s="2835"/>
      <c r="C860" s="2835"/>
      <c r="D860" s="2835"/>
      <c r="E860" s="2835"/>
      <c r="F860" s="2835"/>
      <c r="G860" s="2835"/>
      <c r="H860" s="2835"/>
      <c r="I860" s="2835"/>
      <c r="J860" s="2835"/>
      <c r="K860" s="2835"/>
      <c r="L860" s="2835"/>
      <c r="M860" s="2835"/>
    </row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3.5" x14ac:dyDescent="0.15"/>
  <cols>
    <col min="1" max="1" customWidth="true" width="18.0" collapsed="false"/>
    <col min="8" max="8" customWidth="true" width="9.44140625" collapsed="false"/>
    <col min="11" max="11" customWidth="true" width="9.44140625" collapsed="false"/>
    <col min="18" max="18" customWidth="true" width="18.0" collapsed="false"/>
  </cols>
  <sheetData>
    <row r="1" spans="1:18" x14ac:dyDescent="0.15">
      <c r="A1" s="1" t="s">
        <v>4559</v>
      </c>
    </row>
    <row r="3" spans="1:18" x14ac:dyDescent="0.15">
      <c r="I3" s="3658" t="s">
        <v>4560</v>
      </c>
      <c r="J3" s="3659"/>
    </row>
    <row r="4" spans="1:18" x14ac:dyDescent="0.15">
      <c r="A4" s="53" t="s">
        <v>4561</v>
      </c>
    </row>
    <row r="6" spans="1:18" x14ac:dyDescent="0.15">
      <c r="K6" s="1371" t="s">
        <v>4562</v>
      </c>
      <c r="L6" s="1368">
        <v>3.1</v>
      </c>
      <c r="M6" s="1369">
        <v>2.7</v>
      </c>
      <c r="N6" s="1370">
        <v>7.7</v>
      </c>
      <c r="O6" s="508" t="s">
        <v>4563</v>
      </c>
    </row>
    <row r="7" spans="1:18" x14ac:dyDescent="0.15">
      <c r="A7" s="134" t="s">
        <v>4564</v>
      </c>
      <c r="B7" s="135" t="s">
        <v>4565</v>
      </c>
      <c r="C7" s="136" t="s">
        <v>4566</v>
      </c>
      <c r="D7" s="135" t="s">
        <v>4567</v>
      </c>
      <c r="E7" s="135" t="s">
        <v>4568</v>
      </c>
      <c r="F7" s="135" t="s">
        <v>4569</v>
      </c>
      <c r="G7" s="135" t="s">
        <v>4570</v>
      </c>
      <c r="H7" s="135" t="s">
        <v>4571</v>
      </c>
      <c r="I7" s="138" t="s">
        <v>4572</v>
      </c>
      <c r="J7" s="139" t="s">
        <v>4572</v>
      </c>
      <c r="K7" s="135" t="s">
        <v>4571</v>
      </c>
      <c r="L7" s="135" t="s">
        <v>4567</v>
      </c>
      <c r="M7" s="135" t="s">
        <v>4568</v>
      </c>
      <c r="N7" s="135" t="s">
        <v>4569</v>
      </c>
      <c r="O7" s="135" t="s">
        <v>4570</v>
      </c>
      <c r="P7" s="135" t="s">
        <v>4565</v>
      </c>
      <c r="Q7" s="136" t="s">
        <v>4566</v>
      </c>
      <c r="R7" s="140" t="s">
        <v>4564</v>
      </c>
    </row>
    <row r="8" spans="1:18" ht="16.5" x14ac:dyDescent="0.15">
      <c r="A8" s="265" t="s">
        <v>4573</v>
      </c>
      <c r="B8" s="142" t="s">
        <v>4574</v>
      </c>
      <c r="C8" s="283" t="s">
        <v>4575</v>
      </c>
      <c r="D8" s="2414">
        <v>1.5</v>
      </c>
      <c r="E8" s="144"/>
      <c r="F8" s="144"/>
      <c r="G8" s="144"/>
      <c r="H8" s="142" t="s">
        <v>4576</v>
      </c>
      <c r="I8" s="2409" t="s">
        <v>4577</v>
      </c>
      <c r="J8" s="2410" t="s">
        <v>4578</v>
      </c>
      <c r="K8" s="142" t="s">
        <v>4576</v>
      </c>
      <c r="L8" s="2414">
        <v>1.6</v>
      </c>
      <c r="M8" s="144"/>
      <c r="N8" s="144"/>
      <c r="O8" s="144"/>
      <c r="P8" s="142" t="s">
        <v>4579</v>
      </c>
      <c r="Q8" s="283" t="s">
        <v>4575</v>
      </c>
      <c r="R8" s="2422" t="s">
        <v>4580</v>
      </c>
    </row>
    <row r="9" spans="1:18" ht="16.5" x14ac:dyDescent="0.15">
      <c r="A9" s="265" t="s">
        <v>4581</v>
      </c>
      <c r="B9" s="143" t="s">
        <v>4574</v>
      </c>
      <c r="C9" s="283" t="s">
        <v>4575</v>
      </c>
      <c r="D9" s="149"/>
      <c r="E9" s="2415">
        <v>1.2</v>
      </c>
      <c r="F9" s="149"/>
      <c r="G9" s="149"/>
      <c r="H9" s="143" t="s">
        <v>4576</v>
      </c>
      <c r="I9" s="2411" t="s">
        <v>4582</v>
      </c>
      <c r="J9" s="2412" t="s">
        <v>4583</v>
      </c>
      <c r="K9" s="143" t="s">
        <v>4576</v>
      </c>
      <c r="L9" s="149"/>
      <c r="M9" s="149"/>
      <c r="N9" s="149"/>
      <c r="O9" s="149"/>
      <c r="P9" s="143" t="s">
        <v>4579</v>
      </c>
      <c r="Q9" s="143" t="s">
        <v>4584</v>
      </c>
      <c r="R9" s="2423" t="s">
        <v>4585</v>
      </c>
    </row>
    <row r="10" spans="1:18" ht="16.5" x14ac:dyDescent="0.15">
      <c r="A10" s="265" t="s">
        <v>4586</v>
      </c>
      <c r="B10" s="143" t="s">
        <v>4574</v>
      </c>
      <c r="C10" s="283" t="s">
        <v>4575</v>
      </c>
      <c r="D10" s="157"/>
      <c r="E10" s="157"/>
      <c r="F10" s="2416">
        <v>2.2000000000000002</v>
      </c>
      <c r="G10" s="157"/>
      <c r="H10" s="143" t="s">
        <v>4576</v>
      </c>
      <c r="I10" s="2411" t="s">
        <v>4587</v>
      </c>
      <c r="J10" s="2412" t="s">
        <v>4588</v>
      </c>
      <c r="K10" s="143" t="s">
        <v>4576</v>
      </c>
      <c r="L10" s="157"/>
      <c r="M10" s="157"/>
      <c r="N10" s="2416">
        <v>3</v>
      </c>
      <c r="O10" s="157"/>
      <c r="P10" s="143" t="s">
        <v>4579</v>
      </c>
      <c r="Q10" s="283" t="s">
        <v>4575</v>
      </c>
      <c r="R10" s="2423" t="s">
        <v>4589</v>
      </c>
    </row>
    <row r="11" spans="1:18" ht="16.5" x14ac:dyDescent="0.15">
      <c r="A11" s="260"/>
      <c r="B11" s="143" t="s">
        <v>4590</v>
      </c>
      <c r="C11" s="143" t="s">
        <v>4591</v>
      </c>
      <c r="D11" s="157"/>
      <c r="E11" s="157"/>
      <c r="F11" s="157"/>
      <c r="G11" s="157"/>
      <c r="H11" s="143" t="s">
        <v>4576</v>
      </c>
      <c r="I11" s="2411" t="s">
        <v>4592</v>
      </c>
      <c r="J11" s="2412" t="s">
        <v>4593</v>
      </c>
      <c r="K11" s="143" t="s">
        <v>4576</v>
      </c>
      <c r="L11" s="2416">
        <v>0</v>
      </c>
      <c r="M11" s="157"/>
      <c r="N11" s="157"/>
      <c r="O11" s="157"/>
      <c r="P11" s="143" t="s">
        <v>4574</v>
      </c>
      <c r="Q11" s="283" t="s">
        <v>4575</v>
      </c>
      <c r="R11" s="2423" t="s">
        <v>4594</v>
      </c>
    </row>
    <row r="12" spans="1:18" x14ac:dyDescent="0.15">
      <c r="A12" s="258"/>
      <c r="B12" s="143" t="s">
        <v>4590</v>
      </c>
      <c r="C12" s="143" t="s">
        <v>4591</v>
      </c>
      <c r="D12" s="157"/>
      <c r="E12" s="157"/>
      <c r="F12" s="157"/>
      <c r="G12" s="157"/>
      <c r="H12" s="143" t="s">
        <v>4576</v>
      </c>
      <c r="I12" s="2411" t="s">
        <v>4595</v>
      </c>
      <c r="J12" s="2412" t="s">
        <v>4596</v>
      </c>
      <c r="K12" s="143" t="s">
        <v>4597</v>
      </c>
      <c r="L12" s="157"/>
      <c r="M12" s="157"/>
      <c r="N12" s="157"/>
      <c r="O12" s="157"/>
      <c r="P12" s="143" t="s">
        <v>565</v>
      </c>
      <c r="Q12" s="143" t="s">
        <v>4584</v>
      </c>
      <c r="R12" s="2423"/>
    </row>
    <row r="13" spans="1:18" x14ac:dyDescent="0.15">
      <c r="A13" s="258"/>
      <c r="B13" s="143" t="s">
        <v>4590</v>
      </c>
      <c r="C13" s="143" t="s">
        <v>4591</v>
      </c>
      <c r="D13" s="157"/>
      <c r="E13" s="157"/>
      <c r="F13" s="157"/>
      <c r="G13" s="157"/>
      <c r="H13" s="143" t="s">
        <v>4576</v>
      </c>
      <c r="I13" s="2411" t="s">
        <v>4598</v>
      </c>
      <c r="J13" s="2412" t="s">
        <v>4599</v>
      </c>
      <c r="K13" s="143" t="s">
        <v>4597</v>
      </c>
      <c r="L13" s="157"/>
      <c r="M13" s="157"/>
      <c r="N13" s="157"/>
      <c r="O13" s="157"/>
      <c r="P13" s="143" t="s">
        <v>565</v>
      </c>
      <c r="Q13" s="143" t="s">
        <v>4584</v>
      </c>
      <c r="R13" s="2423"/>
    </row>
    <row r="14" spans="1:18" x14ac:dyDescent="0.15">
      <c r="A14" s="258"/>
      <c r="B14" s="143" t="s">
        <v>4590</v>
      </c>
      <c r="C14" s="143" t="s">
        <v>4591</v>
      </c>
      <c r="D14" s="149"/>
      <c r="E14" s="149"/>
      <c r="F14" s="149"/>
      <c r="G14" s="157"/>
      <c r="H14" s="143" t="s">
        <v>4597</v>
      </c>
      <c r="I14" s="2411" t="s">
        <v>4600</v>
      </c>
      <c r="J14" s="2412" t="s">
        <v>4601</v>
      </c>
      <c r="K14" s="143" t="s">
        <v>4597</v>
      </c>
      <c r="L14" s="149"/>
      <c r="M14" s="149"/>
      <c r="N14" s="149"/>
      <c r="O14" s="157"/>
      <c r="P14" s="143" t="s">
        <v>565</v>
      </c>
      <c r="Q14" s="143" t="s">
        <v>4584</v>
      </c>
      <c r="R14" s="2423"/>
    </row>
    <row r="15" spans="1:18" x14ac:dyDescent="0.15">
      <c r="A15" s="258"/>
      <c r="B15" s="143" t="s">
        <v>4590</v>
      </c>
      <c r="C15" s="143" t="s">
        <v>4591</v>
      </c>
      <c r="D15" s="157"/>
      <c r="E15" s="157"/>
      <c r="F15" s="157"/>
      <c r="G15" s="157"/>
      <c r="H15" s="143" t="s">
        <v>4597</v>
      </c>
      <c r="I15" s="2411" t="s">
        <v>4602</v>
      </c>
      <c r="J15" s="2412" t="s">
        <v>4603</v>
      </c>
      <c r="K15" s="143" t="s">
        <v>4597</v>
      </c>
      <c r="L15" s="157"/>
      <c r="M15" s="157"/>
      <c r="N15" s="157"/>
      <c r="O15" s="157"/>
      <c r="P15" s="143" t="s">
        <v>565</v>
      </c>
      <c r="Q15" s="143" t="s">
        <v>4584</v>
      </c>
      <c r="R15" s="2423"/>
    </row>
    <row r="16" spans="1:18" x14ac:dyDescent="0.15">
      <c r="A16" s="258"/>
      <c r="B16" s="143" t="s">
        <v>4590</v>
      </c>
      <c r="C16" s="143" t="s">
        <v>4591</v>
      </c>
      <c r="D16" s="157"/>
      <c r="E16" s="157"/>
      <c r="F16" s="157"/>
      <c r="G16" s="157"/>
      <c r="H16" s="143" t="s">
        <v>4597</v>
      </c>
      <c r="I16" s="2411" t="s">
        <v>4604</v>
      </c>
      <c r="J16" s="2412" t="s">
        <v>4605</v>
      </c>
      <c r="K16" s="143" t="s">
        <v>4597</v>
      </c>
      <c r="L16" s="157"/>
      <c r="M16" s="157"/>
      <c r="N16" s="157"/>
      <c r="O16" s="157"/>
      <c r="P16" s="143" t="s">
        <v>565</v>
      </c>
      <c r="Q16" s="143" t="s">
        <v>4584</v>
      </c>
      <c r="R16" s="2423" t="s">
        <v>4606</v>
      </c>
    </row>
    <row r="17" spans="1:18" ht="16.5" x14ac:dyDescent="0.15">
      <c r="A17" s="258" t="s">
        <v>4607</v>
      </c>
      <c r="B17" s="143" t="s">
        <v>4574</v>
      </c>
      <c r="C17" s="283" t="s">
        <v>4575</v>
      </c>
      <c r="D17" s="2415">
        <v>0</v>
      </c>
      <c r="E17" s="149"/>
      <c r="F17" s="149"/>
      <c r="G17" s="157"/>
      <c r="H17" s="143" t="s">
        <v>4597</v>
      </c>
      <c r="I17" s="2411" t="s">
        <v>4608</v>
      </c>
      <c r="J17" s="2413" t="s">
        <v>4609</v>
      </c>
      <c r="K17" s="143" t="s">
        <v>4597</v>
      </c>
      <c r="L17" s="149"/>
      <c r="M17" s="149"/>
      <c r="N17" s="149"/>
      <c r="O17" s="157"/>
      <c r="P17" s="143" t="s">
        <v>565</v>
      </c>
      <c r="Q17" s="143" t="s">
        <v>4584</v>
      </c>
      <c r="R17" s="2423" t="s">
        <v>4610</v>
      </c>
    </row>
    <row r="18" spans="1:18" ht="16.5" x14ac:dyDescent="0.15">
      <c r="A18" s="258" t="s">
        <v>4611</v>
      </c>
      <c r="B18" s="143" t="s">
        <v>4574</v>
      </c>
      <c r="C18" s="283" t="s">
        <v>4575</v>
      </c>
      <c r="D18" s="157"/>
      <c r="E18" s="2416">
        <v>1.7</v>
      </c>
      <c r="F18" s="157"/>
      <c r="G18" s="157"/>
      <c r="H18" s="143" t="s">
        <v>4597</v>
      </c>
      <c r="I18" s="2411" t="s">
        <v>4612</v>
      </c>
      <c r="J18" s="2413" t="s">
        <v>4613</v>
      </c>
      <c r="K18" s="143" t="s">
        <v>4597</v>
      </c>
      <c r="L18" s="157"/>
      <c r="M18" s="157"/>
      <c r="N18" s="157"/>
      <c r="O18" s="157"/>
      <c r="P18" s="143" t="s">
        <v>565</v>
      </c>
      <c r="Q18" s="143" t="s">
        <v>4584</v>
      </c>
      <c r="R18" s="2423" t="s">
        <v>4614</v>
      </c>
    </row>
    <row r="19" spans="1:18" ht="16.5" x14ac:dyDescent="0.15">
      <c r="A19" s="258" t="s">
        <v>4615</v>
      </c>
      <c r="B19" s="143" t="s">
        <v>4574</v>
      </c>
      <c r="C19" s="283" t="s">
        <v>4575</v>
      </c>
      <c r="D19" s="157"/>
      <c r="E19" s="157"/>
      <c r="F19" s="2416">
        <v>2.6</v>
      </c>
      <c r="G19" s="157"/>
      <c r="H19" s="143" t="s">
        <v>4597</v>
      </c>
      <c r="I19" s="2411" t="s">
        <v>4612</v>
      </c>
      <c r="J19" s="2413" t="s">
        <v>4613</v>
      </c>
      <c r="K19" s="143" t="s">
        <v>4597</v>
      </c>
      <c r="L19" s="157"/>
      <c r="M19" s="157"/>
      <c r="N19" s="157"/>
      <c r="O19" s="157"/>
      <c r="P19" s="143" t="s">
        <v>565</v>
      </c>
      <c r="Q19" s="143" t="s">
        <v>4584</v>
      </c>
      <c r="R19" s="2423" t="s">
        <v>4616</v>
      </c>
    </row>
    <row r="20" spans="1:18" x14ac:dyDescent="0.15">
      <c r="K20" s="504" t="s">
        <v>4617</v>
      </c>
      <c r="L20" s="131">
        <f>SUM(D8:D19,L8:L19)</f>
        <v>3.1</v>
      </c>
      <c r="M20" s="131">
        <f>SUM(E8:E19,M8:M19)</f>
        <v>2.9</v>
      </c>
      <c r="N20" s="131">
        <f>SUM(F8:F19,N8:N19)</f>
        <v>7.8000000000000007</v>
      </c>
    </row>
    <row r="25" spans="1:18" x14ac:dyDescent="0.15">
      <c r="I25" s="3658" t="s">
        <v>4560</v>
      </c>
      <c r="J25" s="3659"/>
    </row>
    <row r="26" spans="1:18" x14ac:dyDescent="0.15">
      <c r="A26" s="53" t="s">
        <v>4618</v>
      </c>
    </row>
    <row r="28" spans="1:18" x14ac:dyDescent="0.15">
      <c r="K28" s="1371" t="s">
        <v>4562</v>
      </c>
      <c r="L28" s="1368">
        <v>2.2999999999999998</v>
      </c>
      <c r="M28" s="1369">
        <v>2.2000000000000002</v>
      </c>
      <c r="N28" s="1370">
        <v>7.3</v>
      </c>
      <c r="O28" s="508" t="s">
        <v>4563</v>
      </c>
    </row>
    <row r="29" spans="1:18" x14ac:dyDescent="0.15">
      <c r="A29" s="134" t="s">
        <v>4564</v>
      </c>
      <c r="B29" s="135" t="s">
        <v>4565</v>
      </c>
      <c r="C29" s="136" t="s">
        <v>4566</v>
      </c>
      <c r="D29" s="135" t="s">
        <v>4567</v>
      </c>
      <c r="E29" s="135" t="s">
        <v>4568</v>
      </c>
      <c r="F29" s="135" t="s">
        <v>4569</v>
      </c>
      <c r="G29" s="135" t="s">
        <v>4570</v>
      </c>
      <c r="H29" s="135" t="s">
        <v>4571</v>
      </c>
      <c r="I29" s="138" t="s">
        <v>4572</v>
      </c>
      <c r="J29" s="139" t="s">
        <v>4572</v>
      </c>
      <c r="K29" s="135" t="s">
        <v>4571</v>
      </c>
      <c r="L29" s="135" t="s">
        <v>4567</v>
      </c>
      <c r="M29" s="135" t="s">
        <v>4568</v>
      </c>
      <c r="N29" s="135" t="s">
        <v>4569</v>
      </c>
      <c r="O29" s="135" t="s">
        <v>4570</v>
      </c>
      <c r="P29" s="135" t="s">
        <v>4565</v>
      </c>
      <c r="Q29" s="136" t="s">
        <v>4566</v>
      </c>
      <c r="R29" s="140" t="s">
        <v>4564</v>
      </c>
    </row>
    <row r="30" spans="1:18" ht="16.5" x14ac:dyDescent="0.15">
      <c r="A30" s="2417" t="s">
        <v>4619</v>
      </c>
      <c r="B30" s="142" t="s">
        <v>4574</v>
      </c>
      <c r="C30" s="283" t="s">
        <v>4575</v>
      </c>
      <c r="D30" s="2414">
        <v>0.3</v>
      </c>
      <c r="E30" s="2414">
        <v>0.3</v>
      </c>
      <c r="F30" s="2414">
        <v>0.3</v>
      </c>
      <c r="G30" s="2414">
        <v>0.1</v>
      </c>
      <c r="H30" s="142" t="s">
        <v>4620</v>
      </c>
      <c r="I30" s="2409" t="s">
        <v>4577</v>
      </c>
      <c r="J30" s="2410" t="s">
        <v>4578</v>
      </c>
      <c r="K30" s="142" t="s">
        <v>4620</v>
      </c>
      <c r="L30" s="2414">
        <v>2.6</v>
      </c>
      <c r="M30" s="2414">
        <v>2.6</v>
      </c>
      <c r="N30" s="2414">
        <v>2.7</v>
      </c>
      <c r="O30" s="2414">
        <v>0.1</v>
      </c>
      <c r="P30" s="142" t="s">
        <v>4579</v>
      </c>
      <c r="Q30" s="283" t="s">
        <v>4575</v>
      </c>
      <c r="R30" s="2420" t="s">
        <v>4621</v>
      </c>
    </row>
    <row r="31" spans="1:18" ht="16.5" x14ac:dyDescent="0.15">
      <c r="A31" s="2418" t="s">
        <v>4622</v>
      </c>
      <c r="B31" s="143" t="s">
        <v>4574</v>
      </c>
      <c r="C31" s="283" t="s">
        <v>4575</v>
      </c>
      <c r="D31" s="2415">
        <v>0.2</v>
      </c>
      <c r="E31" s="149"/>
      <c r="F31" s="149"/>
      <c r="G31" s="149"/>
      <c r="H31" s="143" t="s">
        <v>4576</v>
      </c>
      <c r="I31" s="2411" t="s">
        <v>4582</v>
      </c>
      <c r="J31" s="2412" t="s">
        <v>4583</v>
      </c>
      <c r="K31" s="143" t="s">
        <v>4576</v>
      </c>
      <c r="L31" s="149"/>
      <c r="M31" s="149"/>
      <c r="N31" s="149"/>
      <c r="O31" s="149"/>
      <c r="P31" s="143" t="s">
        <v>4590</v>
      </c>
      <c r="Q31" s="143" t="s">
        <v>4591</v>
      </c>
      <c r="R31" s="2421"/>
    </row>
    <row r="32" spans="1:18" ht="16.5" x14ac:dyDescent="0.15">
      <c r="A32" s="2418" t="s">
        <v>4623</v>
      </c>
      <c r="B32" s="143" t="s">
        <v>4574</v>
      </c>
      <c r="C32" s="283" t="s">
        <v>4575</v>
      </c>
      <c r="D32" s="157"/>
      <c r="E32" s="2416">
        <v>0</v>
      </c>
      <c r="F32" s="157"/>
      <c r="G32" s="157"/>
      <c r="H32" s="143" t="s">
        <v>4576</v>
      </c>
      <c r="I32" s="2411" t="s">
        <v>4587</v>
      </c>
      <c r="J32" s="2412" t="s">
        <v>4588</v>
      </c>
      <c r="K32" s="143" t="s">
        <v>4576</v>
      </c>
      <c r="L32" s="157"/>
      <c r="M32" s="2416">
        <v>0.3</v>
      </c>
      <c r="N32" s="157"/>
      <c r="O32" s="157"/>
      <c r="P32" s="143" t="s">
        <v>4579</v>
      </c>
      <c r="Q32" s="283" t="s">
        <v>4575</v>
      </c>
      <c r="R32" s="2421" t="s">
        <v>4624</v>
      </c>
    </row>
    <row r="33" spans="1:18" ht="16.5" x14ac:dyDescent="0.15">
      <c r="A33" s="2419"/>
      <c r="B33" s="143" t="s">
        <v>4590</v>
      </c>
      <c r="C33" s="143" t="s">
        <v>4591</v>
      </c>
      <c r="D33" s="157"/>
      <c r="E33" s="157"/>
      <c r="F33" s="157"/>
      <c r="G33" s="157"/>
      <c r="H33" s="143" t="s">
        <v>4576</v>
      </c>
      <c r="I33" s="2411" t="s">
        <v>4592</v>
      </c>
      <c r="J33" s="2412" t="s">
        <v>4593</v>
      </c>
      <c r="K33" s="143" t="s">
        <v>4576</v>
      </c>
      <c r="L33" s="157"/>
      <c r="M33" s="157"/>
      <c r="N33" s="2416">
        <v>5.4</v>
      </c>
      <c r="O33" s="157"/>
      <c r="P33" s="143" t="s">
        <v>4574</v>
      </c>
      <c r="Q33" s="283" t="s">
        <v>4575</v>
      </c>
      <c r="R33" s="2421" t="s">
        <v>4625</v>
      </c>
    </row>
    <row r="34" spans="1:18" x14ac:dyDescent="0.15">
      <c r="K34" s="504" t="s">
        <v>4617</v>
      </c>
      <c r="L34" s="131">
        <f>SUM(D30:D33,L30:L33)</f>
        <v>3.1</v>
      </c>
      <c r="M34" s="131">
        <f>SUM(E30:E33,M30:M33)</f>
        <v>3.1999999999999997</v>
      </c>
      <c r="N34" s="131">
        <f>SUM(F30:F33,N30:N33)</f>
        <v>8.4</v>
      </c>
    </row>
  </sheetData>
  <mergeCells count="2">
    <mergeCell ref="I3:J3"/>
    <mergeCell ref="I25:J25"/>
  </mergeCells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3.5" x14ac:dyDescent="0.15"/>
  <cols>
    <col min="1" max="1" customWidth="true" style="511" width="18.33203125" collapsed="false"/>
    <col min="2" max="3" customWidth="true" width="6.77734375" collapsed="false"/>
    <col min="4" max="7" customWidth="true" width="7.6640625" collapsed="false"/>
    <col min="8" max="8" customWidth="true" style="511" width="9.33203125" collapsed="false"/>
    <col min="9" max="9" bestFit="true" customWidth="true" width="4.44140625" collapsed="false"/>
    <col min="10" max="10" bestFit="true" customWidth="true" width="17.5546875" collapsed="false"/>
    <col min="11" max="11" bestFit="true" customWidth="true" style="511" width="17.5546875" collapsed="false"/>
    <col min="12" max="12" bestFit="true" customWidth="true" width="4.44140625" collapsed="false"/>
    <col min="13" max="13" customWidth="true" style="511" width="9.33203125" collapsed="false"/>
    <col min="14" max="17" customWidth="true" width="7.6640625" collapsed="false"/>
    <col min="18" max="19" customWidth="true" width="6.77734375" collapsed="false"/>
    <col min="20" max="20" customWidth="true" style="511" width="18.33203125" collapsed="false"/>
  </cols>
  <sheetData>
    <row r="1" spans="1:21" x14ac:dyDescent="0.15">
      <c r="A1" s="2694" t="s">
        <v>9602</v>
      </c>
    </row>
    <row r="2" spans="1:21" ht="14.25" thickBot="1" x14ac:dyDescent="0.2">
      <c r="A2" s="495"/>
      <c r="D2" s="125"/>
      <c r="E2" s="125"/>
      <c r="F2" s="125"/>
      <c r="G2" s="125"/>
      <c r="H2" s="495"/>
      <c r="I2" s="124"/>
      <c r="J2" s="124"/>
      <c r="K2" s="495"/>
      <c r="L2" s="124"/>
      <c r="M2" s="495"/>
      <c r="N2" s="125"/>
      <c r="O2" s="125"/>
      <c r="P2" s="125"/>
      <c r="Q2" s="125"/>
      <c r="R2" s="125"/>
      <c r="S2" s="125"/>
      <c r="U2" s="2147"/>
    </row>
    <row r="3" spans="1:21" ht="15" thickTop="1" thickBot="1" x14ac:dyDescent="0.2">
      <c r="A3" s="53" t="s">
        <v>7018</v>
      </c>
      <c r="D3" s="3660" t="s">
        <v>8979</v>
      </c>
      <c r="E3" s="3660"/>
      <c r="F3" s="3660"/>
      <c r="G3" s="3660"/>
      <c r="H3" s="495"/>
      <c r="I3" s="124"/>
      <c r="J3" s="3661" t="s">
        <v>4628</v>
      </c>
      <c r="K3" s="3662"/>
      <c r="L3" s="486"/>
      <c r="M3" s="495"/>
      <c r="N3" s="126"/>
      <c r="O3" s="126"/>
      <c r="P3" s="126"/>
      <c r="Q3" s="126"/>
      <c r="R3" s="126"/>
      <c r="S3" s="126"/>
    </row>
    <row r="4" spans="1:21" ht="30" customHeight="1" thickTop="1" thickBot="1" x14ac:dyDescent="0.2">
      <c r="A4" s="496"/>
      <c r="B4" s="128"/>
      <c r="C4" s="128"/>
      <c r="D4" s="129"/>
      <c r="E4" s="130"/>
      <c r="F4" s="130"/>
      <c r="G4" s="130"/>
      <c r="H4" s="515"/>
      <c r="I4" s="131"/>
      <c r="J4" s="128"/>
      <c r="K4" s="516"/>
      <c r="L4" s="132"/>
      <c r="M4" s="1371" t="s">
        <v>4562</v>
      </c>
      <c r="N4" s="1368">
        <v>26</v>
      </c>
      <c r="O4" s="1369">
        <v>14</v>
      </c>
      <c r="P4" s="1370">
        <v>21.8</v>
      </c>
      <c r="Q4" s="508" t="s">
        <v>4563</v>
      </c>
      <c r="R4" s="133"/>
      <c r="S4" s="128"/>
      <c r="T4" s="528"/>
    </row>
    <row r="5" spans="1:21" ht="20.100000000000001" customHeight="1" thickTop="1" thickBot="1" x14ac:dyDescent="0.2">
      <c r="A5" s="497" t="s">
        <v>4629</v>
      </c>
      <c r="B5" s="135" t="s">
        <v>4565</v>
      </c>
      <c r="C5" s="136" t="s">
        <v>4566</v>
      </c>
      <c r="D5" s="135" t="s">
        <v>4567</v>
      </c>
      <c r="E5" s="135" t="s">
        <v>4568</v>
      </c>
      <c r="F5" s="135" t="s">
        <v>4569</v>
      </c>
      <c r="G5" s="135" t="s">
        <v>4570</v>
      </c>
      <c r="H5" s="539" t="s">
        <v>4571</v>
      </c>
      <c r="I5" s="479"/>
      <c r="J5" s="138" t="s">
        <v>4572</v>
      </c>
      <c r="K5" s="517" t="s">
        <v>4572</v>
      </c>
      <c r="L5" s="479"/>
      <c r="M5" s="539" t="s">
        <v>4571</v>
      </c>
      <c r="N5" s="135" t="s">
        <v>4567</v>
      </c>
      <c r="O5" s="135" t="s">
        <v>4568</v>
      </c>
      <c r="P5" s="135" t="s">
        <v>4569</v>
      </c>
      <c r="Q5" s="135" t="s">
        <v>4570</v>
      </c>
      <c r="R5" s="135" t="s">
        <v>4565</v>
      </c>
      <c r="S5" s="136" t="s">
        <v>4566</v>
      </c>
      <c r="T5" s="529" t="s">
        <v>4629</v>
      </c>
    </row>
    <row r="6" spans="1:21" ht="24.75" thickTop="1" x14ac:dyDescent="0.15">
      <c r="A6" s="498" t="s">
        <v>4630</v>
      </c>
      <c r="B6" s="142" t="s">
        <v>4631</v>
      </c>
      <c r="C6" s="152" t="s">
        <v>4575</v>
      </c>
      <c r="D6" s="2654" cm="1" t="n">
        <f t="array" ref="D6">INDEX('7층_부하량'!C3:C3000,MATCH(1,("7-DaHall 1-RPP-01"='7층_부하량'!A3:A3000)*(1='7층_부하량'!B3:B3000),0))</f>
        <v>0.0</v>
      </c>
      <c r="E6" s="144"/>
      <c r="F6" s="144"/>
      <c r="G6" s="144"/>
      <c r="H6" s="540" t="s">
        <v>4632</v>
      </c>
      <c r="I6" s="480" t="s">
        <v>4633</v>
      </c>
      <c r="J6" s="145" t="s">
        <v>4634</v>
      </c>
      <c r="K6" s="518"/>
      <c r="L6" s="480" t="s">
        <v>4578</v>
      </c>
      <c r="M6" s="540" t="s">
        <v>4576</v>
      </c>
      <c r="N6" s="2654" cm="1" t="n">
        <f t="array" ref="N6">INDEX('7층_부하량'!C3:C3000,MATCH(1,("7-DaHall 1-RPP-01"='7층_부하량'!A3:A3000)*(2='7층_부하량'!B3:B3000),0))</f>
        <v>0.0</v>
      </c>
      <c r="O6" s="144"/>
      <c r="P6" s="144"/>
      <c r="Q6" s="144"/>
      <c r="R6" s="144" t="s">
        <v>4635</v>
      </c>
      <c r="S6" s="164" t="s">
        <v>4575</v>
      </c>
      <c r="T6" s="530" t="s">
        <v>4636</v>
      </c>
    </row>
    <row r="7" spans="1:21" ht="20.100000000000001" customHeight="1" x14ac:dyDescent="0.15">
      <c r="A7" s="499" t="s">
        <v>4637</v>
      </c>
      <c r="B7" s="143" t="s">
        <v>4631</v>
      </c>
      <c r="C7" s="164" t="s">
        <v>4575</v>
      </c>
      <c r="D7" s="149"/>
      <c r="E7" s="2655" cm="1" t="n">
        <f t="array" ref="E7">INDEX('7층_부하량'!D3:D3000,MATCH(1,("7-DaHall 1-RPP-01"='7층_부하량'!A3:A3000)*(3='7층_부하량'!B3:B3000),0))</f>
        <v>0.0</v>
      </c>
      <c r="F7" s="149"/>
      <c r="G7" s="149"/>
      <c r="H7" s="541" t="s">
        <v>4632</v>
      </c>
      <c r="I7" s="481" t="s">
        <v>4638</v>
      </c>
      <c r="J7" s="150" t="s">
        <v>4634</v>
      </c>
      <c r="K7" s="652" t="s">
        <v>4639</v>
      </c>
      <c r="L7" s="481" t="s">
        <v>4583</v>
      </c>
      <c r="M7" s="541" t="s">
        <v>4576</v>
      </c>
      <c r="N7" s="149"/>
      <c r="O7" s="2655" cm="1" t="n">
        <f t="array" ref="O7">INDEX('7층_부하량'!D3:D3000,MATCH(1,("7-DaHall 1-RPP-01"='7층_부하량'!A3:A3000)*(4='7층_부하량'!B3:B3000),0))</f>
        <v>0.0</v>
      </c>
      <c r="P7" s="149"/>
      <c r="Q7" s="149"/>
      <c r="R7" s="149" t="s">
        <v>4635</v>
      </c>
      <c r="S7" s="164" t="s">
        <v>4575</v>
      </c>
      <c r="T7" s="531" t="s">
        <v>4640</v>
      </c>
    </row>
    <row r="8" spans="1:21" ht="20.100000000000001" customHeight="1" x14ac:dyDescent="0.15">
      <c r="A8" s="500" t="s">
        <v>4637</v>
      </c>
      <c r="B8" s="143" t="s">
        <v>4631</v>
      </c>
      <c r="C8" s="164" t="s">
        <v>4575</v>
      </c>
      <c r="D8" s="157"/>
      <c r="E8" s="157"/>
      <c r="F8" s="2656" cm="1" t="n">
        <f t="array" ref="F8">INDEX('7층_부하량'!E3:E3000,MATCH(1,("7-DaHall 1-RPP-01"='7층_부하량'!A3:A3000)*(5='7층_부하량'!B3:B3000),0))</f>
        <v>0.0</v>
      </c>
      <c r="G8" s="157"/>
      <c r="H8" s="541" t="s">
        <v>4632</v>
      </c>
      <c r="I8" s="481" t="s">
        <v>4641</v>
      </c>
      <c r="J8" s="150" t="s">
        <v>4634</v>
      </c>
      <c r="K8" s="652" t="s">
        <v>4639</v>
      </c>
      <c r="L8" s="481" t="s">
        <v>4588</v>
      </c>
      <c r="M8" s="541" t="s">
        <v>4576</v>
      </c>
      <c r="N8" s="157"/>
      <c r="O8" s="157"/>
      <c r="P8" s="2656" cm="1" t="n">
        <f t="array" ref="P8">INDEX('7층_부하량'!E3:E3000,MATCH(1,("7-DaHall 1-RPP-01"='7층_부하량'!A3:A3000)*(6='7층_부하량'!B3:B3000),0))</f>
        <v>0.0</v>
      </c>
      <c r="Q8" s="157"/>
      <c r="R8" s="157" t="s">
        <v>4635</v>
      </c>
      <c r="S8" s="143" t="s">
        <v>4642</v>
      </c>
      <c r="T8" s="531" t="s">
        <v>4643</v>
      </c>
    </row>
    <row r="9" spans="1:21" ht="20.100000000000001" customHeight="1" x14ac:dyDescent="0.15">
      <c r="A9" s="501" t="s">
        <v>4644</v>
      </c>
      <c r="B9" s="143" t="s">
        <v>4631</v>
      </c>
      <c r="C9" s="164" t="s">
        <v>4575</v>
      </c>
      <c r="D9" s="2656" cm="1" t="n">
        <f t="array" ref="D9">INDEX('7층_부하량'!C3:C3000,MATCH(1,("7-DaHall 1-RPP-01"='7층_부하량'!A3:A3000)*(7='7층_부하량'!B3:B3000),0))</f>
        <v>0.0</v>
      </c>
      <c r="E9" s="157"/>
      <c r="F9" s="157"/>
      <c r="G9" s="157"/>
      <c r="H9" s="541" t="s">
        <v>4632</v>
      </c>
      <c r="I9" s="481" t="s">
        <v>4645</v>
      </c>
      <c r="J9" s="150" t="s">
        <v>4634</v>
      </c>
      <c r="K9" s="519" t="s">
        <v>4634</v>
      </c>
      <c r="L9" s="481" t="s">
        <v>4593</v>
      </c>
      <c r="M9" s="541" t="s">
        <v>4576</v>
      </c>
      <c r="N9" s="2656" cm="1" t="n">
        <f t="array" ref="N9">INDEX('7층_부하량'!C3:C3000,MATCH(1,("7-DaHall 1-RPP-01"='7층_부하량'!A3:A3000)*(8='7층_부하량'!B3:B3000),0))</f>
        <v>0.0</v>
      </c>
      <c r="O9" s="157"/>
      <c r="P9" s="157"/>
      <c r="Q9" s="157"/>
      <c r="R9" s="157" t="s">
        <v>4635</v>
      </c>
      <c r="S9" s="164" t="s">
        <v>4575</v>
      </c>
      <c r="T9" s="531" t="s">
        <v>4646</v>
      </c>
    </row>
    <row r="10" spans="1:21" ht="20.100000000000001" customHeight="1" x14ac:dyDescent="0.15">
      <c r="A10" s="500" t="s">
        <v>4647</v>
      </c>
      <c r="B10" s="143" t="s">
        <v>4590</v>
      </c>
      <c r="C10" s="143" t="s">
        <v>4642</v>
      </c>
      <c r="D10" s="157"/>
      <c r="E10" s="2656" cm="1" t="n">
        <f t="array" ref="E10">INDEX('7층_부하량'!D3:D3000,MATCH(1,("7-DaHall 1-RPP-01"='7층_부하량'!A3:A3000)*(9='7층_부하량'!B3:B3000),0))</f>
        <v>0.0</v>
      </c>
      <c r="F10" s="157"/>
      <c r="G10" s="157"/>
      <c r="H10" s="541" t="s">
        <v>4632</v>
      </c>
      <c r="I10" s="481" t="s">
        <v>4648</v>
      </c>
      <c r="J10" s="150" t="s">
        <v>4649</v>
      </c>
      <c r="K10" s="519" t="s">
        <v>4634</v>
      </c>
      <c r="L10" s="481" t="s">
        <v>4596</v>
      </c>
      <c r="M10" s="541" t="s">
        <v>4597</v>
      </c>
      <c r="N10" s="157"/>
      <c r="O10" s="2656" cm="1" t="n">
        <f t="array" ref="O10">INDEX('7층_부하량'!D3:D3000,MATCH(1,("7-DaHall 1-RPP-01"='7층_부하량'!A3:A3000)*(10='7층_부하량'!B3:B3000),0))</f>
        <v>0.99</v>
      </c>
      <c r="P10" s="157"/>
      <c r="Q10" s="157"/>
      <c r="R10" s="157" t="s">
        <v>4635</v>
      </c>
      <c r="S10" s="164" t="s">
        <v>4575</v>
      </c>
      <c r="T10" s="531" t="s">
        <v>4650</v>
      </c>
    </row>
    <row r="11" spans="1:21" ht="20.100000000000001" customHeight="1" x14ac:dyDescent="0.15">
      <c r="A11" s="500" t="s">
        <v>4651</v>
      </c>
      <c r="B11" s="143" t="s">
        <v>4631</v>
      </c>
      <c r="C11" s="164" t="s">
        <v>4652</v>
      </c>
      <c r="D11" s="157"/>
      <c r="E11" s="157"/>
      <c r="F11" s="2656" cm="1" t="n">
        <f t="array" ref="F11">INDEX('7층_부하량'!E3:E3000,MATCH(1,("7-DaHall 1-RPP-01"='7층_부하량'!A3:A3000)*(11='7층_부하량'!B3:B3000),0))</f>
        <v>0.0</v>
      </c>
      <c r="G11" s="157"/>
      <c r="H11" s="541" t="s">
        <v>4632</v>
      </c>
      <c r="I11" s="481" t="s">
        <v>4653</v>
      </c>
      <c r="J11" s="150" t="s">
        <v>4654</v>
      </c>
      <c r="K11" s="519" t="s">
        <v>4634</v>
      </c>
      <c r="L11" s="481" t="s">
        <v>4599</v>
      </c>
      <c r="M11" s="541" t="s">
        <v>4597</v>
      </c>
      <c r="N11" s="157"/>
      <c r="O11" s="157"/>
      <c r="P11" s="2656" cm="1" t="n">
        <f t="array" ref="P11">INDEX('7층_부하량'!E3:E3000,MATCH(1,("7-DaHall 1-RPP-01"='7층_부하량'!A3:A3000)*(12='7층_부하량'!B3:B3000),0))</f>
        <v>1.45</v>
      </c>
      <c r="Q11" s="157"/>
      <c r="R11" s="157" t="s">
        <v>4635</v>
      </c>
      <c r="S11" s="164" t="s">
        <v>4575</v>
      </c>
      <c r="T11" s="531" t="s">
        <v>4655</v>
      </c>
    </row>
    <row r="12" spans="1:21" ht="20.100000000000001" customHeight="1" x14ac:dyDescent="0.15">
      <c r="A12" s="500" t="s">
        <v>4656</v>
      </c>
      <c r="B12" s="143" t="s">
        <v>4631</v>
      </c>
      <c r="C12" s="164" t="s">
        <v>4652</v>
      </c>
      <c r="D12" s="2656" cm="1" t="n">
        <f t="array" ref="D12">INDEX('7층_부하량'!C3:C3000,MATCH(1,("7-DaHall 1-RPP-01"='7층_부하량'!A3:A3000)*(13='7층_부하량'!B3:B3000),0))</f>
        <v>0.0</v>
      </c>
      <c r="E12" s="157"/>
      <c r="F12" s="157"/>
      <c r="G12" s="157"/>
      <c r="H12" s="541" t="s">
        <v>4632</v>
      </c>
      <c r="I12" s="481" t="s">
        <v>4657</v>
      </c>
      <c r="J12" s="150" t="s">
        <v>4634</v>
      </c>
      <c r="K12" s="652" t="s">
        <v>4658</v>
      </c>
      <c r="L12" s="481" t="s">
        <v>4601</v>
      </c>
      <c r="M12" s="541" t="s">
        <v>4597</v>
      </c>
      <c r="N12" s="2656" cm="1" t="n">
        <f t="array" ref="N12">INDEX('7층_부하량'!C3:C3000,MATCH(1,("7-DaHall 1-RPP-01"='7층_부하량'!A3:A3000)*(14='7층_부하량'!B3:B3000),0))</f>
        <v>3.11</v>
      </c>
      <c r="O12" s="157"/>
      <c r="P12" s="157"/>
      <c r="Q12" s="157"/>
      <c r="R12" s="157" t="s">
        <v>4635</v>
      </c>
      <c r="S12" s="164" t="s">
        <v>4575</v>
      </c>
      <c r="T12" s="531" t="s">
        <v>4659</v>
      </c>
    </row>
    <row r="13" spans="1:21" ht="16.5" x14ac:dyDescent="0.15">
      <c r="A13" s="500" t="s">
        <v>4660</v>
      </c>
      <c r="B13" s="143" t="s">
        <v>4590</v>
      </c>
      <c r="C13" s="164" t="s">
        <v>4575</v>
      </c>
      <c r="D13" s="157"/>
      <c r="E13" s="2656" cm="1" t="n">
        <f t="array" ref="E13">INDEX('7층_부하량'!D3:D3000,MATCH(1,("7-DaHall 1-RPP-01"='7층_부하량'!A3:A3000)*(15='7층_부하량'!B3:B3000),0))</f>
        <v>0.0</v>
      </c>
      <c r="F13" s="157"/>
      <c r="G13" s="157"/>
      <c r="H13" s="541" t="s">
        <v>4632</v>
      </c>
      <c r="I13" s="481" t="s">
        <v>4661</v>
      </c>
      <c r="J13" s="150" t="s">
        <v>4649</v>
      </c>
      <c r="K13" s="652" t="s">
        <v>4662</v>
      </c>
      <c r="L13" s="481" t="s">
        <v>4603</v>
      </c>
      <c r="M13" s="541" t="s">
        <v>4597</v>
      </c>
      <c r="N13" s="157"/>
      <c r="O13" s="2656" cm="1" t="n">
        <f t="array" ref="O13">INDEX('7층_부하량'!D3:D3000,MATCH(1,("7-DaHall 1-RPP-01"='7층_부하량'!A3:A3000)*(16='7층_부하량'!B3:B3000),0))</f>
        <v>2.5</v>
      </c>
      <c r="P13" s="157"/>
      <c r="Q13" s="157"/>
      <c r="R13" s="157" t="s">
        <v>4635</v>
      </c>
      <c r="S13" s="164" t="s">
        <v>4575</v>
      </c>
      <c r="T13" s="531" t="s">
        <v>4663</v>
      </c>
    </row>
    <row r="14" spans="1:21" ht="16.5" x14ac:dyDescent="0.15">
      <c r="A14" s="500" t="s">
        <v>4664</v>
      </c>
      <c r="B14" s="143" t="s">
        <v>4631</v>
      </c>
      <c r="C14" s="164" t="s">
        <v>4575</v>
      </c>
      <c r="D14" s="157"/>
      <c r="E14" s="157"/>
      <c r="F14" s="2657" cm="1" t="n">
        <f t="array" ref="F14">INDEX('7층_부하량'!E3:E3000,MATCH(1,("7-DaHall 1-RPP-01"='7층_부하량'!A3:A3000)*(17='7층_부하량'!B3:B3000),0))</f>
        <v>0.0</v>
      </c>
      <c r="G14" s="157"/>
      <c r="H14" s="541" t="s">
        <v>4632</v>
      </c>
      <c r="I14" s="481" t="s">
        <v>4665</v>
      </c>
      <c r="J14" s="150" t="s">
        <v>4666</v>
      </c>
      <c r="K14" s="2441" t="s">
        <v>4667</v>
      </c>
      <c r="L14" s="481" t="s">
        <v>4605</v>
      </c>
      <c r="M14" s="541" t="s">
        <v>4597</v>
      </c>
      <c r="N14" s="157"/>
      <c r="O14" s="157"/>
      <c r="P14" s="2656" cm="1" t="n">
        <f t="array" ref="P14">INDEX('7층_부하량'!E3:E3000,MATCH(1,("7-DaHall 1-RPP-01"='7층_부하량'!A3:A3000)*(18='7층_부하량'!B3:B3000),0))</f>
        <v>0.0</v>
      </c>
      <c r="Q14" s="157"/>
      <c r="R14" s="157" t="s">
        <v>4635</v>
      </c>
      <c r="S14" s="164" t="s">
        <v>4575</v>
      </c>
      <c r="T14" s="531" t="s">
        <v>4668</v>
      </c>
    </row>
    <row r="15" spans="1:21" ht="24" x14ac:dyDescent="0.15">
      <c r="A15" s="500" t="s">
        <v>4669</v>
      </c>
      <c r="B15" s="143" t="s">
        <v>4631</v>
      </c>
      <c r="C15" s="164" t="s">
        <v>4575</v>
      </c>
      <c r="D15" s="2656" cm="1" t="n">
        <f t="array" ref="D15">INDEX('7층_부하량'!C3:C3000,MATCH(1,("7-DaHall 1-RPP-01"='7층_부하량'!A3:A3000)*(19='7층_부하량'!B3:B3000),0))</f>
        <v>0.99</v>
      </c>
      <c r="E15" s="157"/>
      <c r="F15" s="157"/>
      <c r="G15" s="157"/>
      <c r="H15" s="541" t="s">
        <v>4632</v>
      </c>
      <c r="I15" s="481" t="s">
        <v>4670</v>
      </c>
      <c r="J15" s="653" t="s">
        <v>4671</v>
      </c>
      <c r="K15" s="519" t="s">
        <v>4649</v>
      </c>
      <c r="L15" s="481" t="s">
        <v>4609</v>
      </c>
      <c r="M15" s="541" t="s">
        <v>4597</v>
      </c>
      <c r="N15" s="2656" cm="1" t="n">
        <f t="array" ref="N15">INDEX('7층_부하량'!C3:C3000,MATCH(1,("7-DaHall 1-RPP-01"='7층_부하량'!A3:A3000)*(20='7층_부하량'!B3:B3000),0))</f>
        <v>0.0</v>
      </c>
      <c r="O15" s="157"/>
      <c r="P15" s="157"/>
      <c r="Q15" s="157"/>
      <c r="R15" s="157" t="s">
        <v>4635</v>
      </c>
      <c r="S15" s="164" t="s">
        <v>4575</v>
      </c>
      <c r="T15" s="531" t="s">
        <v>4672</v>
      </c>
    </row>
    <row r="16" spans="1:21" ht="20.100000000000001" customHeight="1" x14ac:dyDescent="0.15">
      <c r="A16" s="500" t="s">
        <v>4673</v>
      </c>
      <c r="B16" s="143" t="s">
        <v>4590</v>
      </c>
      <c r="C16" s="143" t="s">
        <v>4642</v>
      </c>
      <c r="D16" s="157"/>
      <c r="E16" s="2656" cm="1" t="n">
        <f t="array" ref="E16">INDEX('7층_부하량'!D3:D3000,MATCH(1,("7-DaHall 1-RPP-01"='7층_부하량'!A3:A3000)*(21='7층_부하량'!B3:B3000),0))</f>
        <v>0.0</v>
      </c>
      <c r="F16" s="157"/>
      <c r="G16" s="157"/>
      <c r="H16" s="541" t="s">
        <v>4632</v>
      </c>
      <c r="I16" s="481" t="s">
        <v>4674</v>
      </c>
      <c r="J16" s="150"/>
      <c r="K16" s="519" t="s">
        <v>4675</v>
      </c>
      <c r="L16" s="481" t="s">
        <v>4613</v>
      </c>
      <c r="M16" s="541" t="s">
        <v>4597</v>
      </c>
      <c r="N16" s="157"/>
      <c r="O16" s="2656" cm="1" t="n">
        <f t="array" ref="O16">INDEX('7층_부하량'!D3:D3000,MATCH(1,("7-DaHall 1-RPP-01"='7층_부하량'!A3:A3000)*(22='7층_부하량'!B3:B3000),0))</f>
        <v>0.0</v>
      </c>
      <c r="P16" s="157"/>
      <c r="Q16" s="157"/>
      <c r="R16" s="157" t="s">
        <v>4635</v>
      </c>
      <c r="S16" s="164" t="s">
        <v>4575</v>
      </c>
      <c r="T16" s="531" t="s">
        <v>4676</v>
      </c>
    </row>
    <row r="17" spans="1:21" ht="20.100000000000001" customHeight="1" x14ac:dyDescent="0.15">
      <c r="A17" s="500" t="s">
        <v>4677</v>
      </c>
      <c r="B17" s="143" t="s">
        <v>4631</v>
      </c>
      <c r="C17" s="164" t="s">
        <v>4575</v>
      </c>
      <c r="D17" s="157"/>
      <c r="E17" s="157"/>
      <c r="F17" s="2656" cm="1" t="n">
        <f t="array" ref="F17">INDEX('7층_부하량'!E3:E3000,MATCH(1,("7-DaHall 1-RPP-01"='7층_부하량'!A3:A3000)*(23='7층_부하량'!B3:B3000),0))</f>
        <v>0.0</v>
      </c>
      <c r="G17" s="157"/>
      <c r="H17" s="541" t="s">
        <v>4632</v>
      </c>
      <c r="I17" s="481" t="s">
        <v>4678</v>
      </c>
      <c r="J17" s="654" t="s">
        <v>4679</v>
      </c>
      <c r="K17" s="519" t="s">
        <v>4675</v>
      </c>
      <c r="L17" s="481" t="s">
        <v>4680</v>
      </c>
      <c r="M17" s="541" t="s">
        <v>4597</v>
      </c>
      <c r="N17" s="157"/>
      <c r="O17" s="157"/>
      <c r="P17" s="2656" cm="1" t="n">
        <f t="array" ref="P17">INDEX('7층_부하량'!E3:E3000,MATCH(1,("7-DaHall 1-RPP-01"='7층_부하량'!A3:A3000)*(24='7층_부하량'!B3:B3000),0))</f>
        <v>0.0</v>
      </c>
      <c r="Q17" s="157"/>
      <c r="R17" s="157" t="s">
        <v>4635</v>
      </c>
      <c r="S17" s="164" t="s">
        <v>4575</v>
      </c>
      <c r="T17" s="531" t="s">
        <v>4681</v>
      </c>
    </row>
    <row r="18" spans="1:21" ht="24" x14ac:dyDescent="0.15">
      <c r="A18" s="502" t="s">
        <v>4682</v>
      </c>
      <c r="B18" s="143" t="s">
        <v>4631</v>
      </c>
      <c r="C18" s="164" t="s">
        <v>4575</v>
      </c>
      <c r="D18" s="2656" cm="1" t="n">
        <f t="array" ref="D18">INDEX('7층_부하량'!C3:C3000,MATCH(1,("7-DaHall 1-RPP-01"='7층_부하량'!A3:A3000)*(25='7층_부하량'!B3:B3000),0))</f>
        <v>1.5</v>
      </c>
      <c r="E18" s="157"/>
      <c r="F18" s="157"/>
      <c r="G18" s="157"/>
      <c r="H18" s="541" t="s">
        <v>4632</v>
      </c>
      <c r="I18" s="481" t="s">
        <v>4683</v>
      </c>
      <c r="J18" s="150" t="s">
        <v>4649</v>
      </c>
      <c r="K18" s="655" t="s">
        <v>4684</v>
      </c>
      <c r="L18" s="481" t="s">
        <v>4685</v>
      </c>
      <c r="M18" s="541" t="s">
        <v>4597</v>
      </c>
      <c r="N18" s="2656" cm="1" t="n">
        <f t="array" ref="N18">INDEX('7층_부하량'!C3:C3000,MATCH(1,("7-DaHall 1-RPP-01"='7층_부하량'!A3:A3000)*(26='7층_부하량'!B3:B3000),0))</f>
        <v>0.0</v>
      </c>
      <c r="O18" s="157"/>
      <c r="P18" s="157"/>
      <c r="Q18" s="157"/>
      <c r="R18" s="157" t="s">
        <v>4635</v>
      </c>
      <c r="S18" s="164" t="s">
        <v>4575</v>
      </c>
      <c r="T18" s="531" t="s">
        <v>4686</v>
      </c>
    </row>
    <row r="19" spans="1:21" ht="20.100000000000001" customHeight="1" x14ac:dyDescent="0.15">
      <c r="A19" s="500" t="s">
        <v>4687</v>
      </c>
      <c r="B19" s="143" t="s">
        <v>4631</v>
      </c>
      <c r="C19" s="164" t="s">
        <v>4575</v>
      </c>
      <c r="D19" s="157"/>
      <c r="E19" s="2656" cm="1" t="n">
        <f t="array" ref="E19">INDEX('7층_부하량'!D3:D3000,MATCH(1,("7-DaHall 1-RPP-01"='7층_부하량'!A3:A3000)*(27='7층_부하량'!B3:B3000),0))</f>
        <v>2.96</v>
      </c>
      <c r="F19" s="157"/>
      <c r="G19" s="157"/>
      <c r="H19" s="541" t="s">
        <v>4632</v>
      </c>
      <c r="I19" s="481" t="s">
        <v>4688</v>
      </c>
      <c r="J19" s="150" t="s">
        <v>4634</v>
      </c>
      <c r="K19" s="519" t="s">
        <v>4666</v>
      </c>
      <c r="L19" s="481" t="s">
        <v>4689</v>
      </c>
      <c r="M19" s="541" t="s">
        <v>4597</v>
      </c>
      <c r="N19" s="157"/>
      <c r="O19" s="2656" cm="1" t="n">
        <f t="array" ref="O19">INDEX('7층_부하량'!D3:D3000,MATCH(1,("7-DaHall 1-RPP-01"='7층_부하량'!A3:A3000)*(28='7층_부하량'!B3:B3000),0))</f>
        <v>0.87</v>
      </c>
      <c r="P19" s="157"/>
      <c r="Q19" s="157"/>
      <c r="R19" s="157" t="s">
        <v>4635</v>
      </c>
      <c r="S19" s="164" t="s">
        <v>4575</v>
      </c>
      <c r="T19" s="531" t="s">
        <v>1229</v>
      </c>
    </row>
    <row r="20" spans="1:21" ht="20.100000000000001" customHeight="1" x14ac:dyDescent="0.15">
      <c r="A20" s="501" t="s">
        <v>4690</v>
      </c>
      <c r="B20" s="156" t="s">
        <v>4631</v>
      </c>
      <c r="C20" s="189" t="s">
        <v>4575</v>
      </c>
      <c r="D20" s="179"/>
      <c r="E20" s="179"/>
      <c r="F20" s="2658" cm="1" t="n">
        <f t="array" ref="F20">INDEX('7층_부하량'!E3:E3000,MATCH(1,("7-DaHall 1-RPP-01"='7층_부하량'!A3:A3000)*(29='7층_부하량'!B3:B3000),0))</f>
        <v>1.29</v>
      </c>
      <c r="G20" s="179"/>
      <c r="H20" s="542" t="s">
        <v>4632</v>
      </c>
      <c r="I20" s="482" t="s">
        <v>4691</v>
      </c>
      <c r="J20" s="193" t="s">
        <v>4634</v>
      </c>
      <c r="K20" s="520" t="s">
        <v>4666</v>
      </c>
      <c r="L20" s="482" t="s">
        <v>4692</v>
      </c>
      <c r="M20" s="542" t="s">
        <v>4597</v>
      </c>
      <c r="N20" s="179"/>
      <c r="O20" s="179"/>
      <c r="P20" s="2658" cm="1" t="n">
        <f t="array" ref="P20">INDEX('7층_부하량'!E3:E3000,MATCH(1,("7-DaHall 1-RPP-01"='7층_부하량'!A3:A3000)*(30='7층_부하량'!B3:B3000),0))</f>
        <v>1.5</v>
      </c>
      <c r="Q20" s="179"/>
      <c r="R20" s="179" t="s">
        <v>4635</v>
      </c>
      <c r="S20" s="189" t="s">
        <v>4575</v>
      </c>
      <c r="T20" s="532" t="s">
        <v>1235</v>
      </c>
    </row>
    <row r="21" spans="1:21" ht="20.100000000000001" customHeight="1" x14ac:dyDescent="0.15">
      <c r="A21" s="107" t="s">
        <v>4637</v>
      </c>
      <c r="B21" s="143" t="s">
        <v>4631</v>
      </c>
      <c r="C21" s="164" t="s">
        <v>4575</v>
      </c>
      <c r="D21" s="2656" cm="1" t="n">
        <f t="array" ref="D21">INDEX('7층_부하량'!C3:C3000,MATCH(1,("7-DaHall 1-RPP-01"='7층_부하량'!A3:A3000)*(31='7층_부하량'!B3:B3000),0))</f>
        <v>0.0</v>
      </c>
      <c r="E21" s="157"/>
      <c r="F21" s="157"/>
      <c r="G21" s="157"/>
      <c r="H21" s="541" t="s">
        <v>4632</v>
      </c>
      <c r="I21" s="481" t="s">
        <v>4693</v>
      </c>
      <c r="J21" s="150" t="s">
        <v>4634</v>
      </c>
      <c r="K21" s="519" t="s">
        <v>4634</v>
      </c>
      <c r="L21" s="481" t="s">
        <v>4694</v>
      </c>
      <c r="M21" s="541" t="s">
        <v>4597</v>
      </c>
      <c r="N21" s="2656" cm="1" t="n">
        <f t="array" ref="N21">INDEX('7층_부하량'!C3:C3000,MATCH(1,("7-DaHall 1-RPP-01"='7층_부하량'!A3:A3000)*(32='7층_부하량'!B3:B3000),0))</f>
        <v>0.0</v>
      </c>
      <c r="O21" s="157"/>
      <c r="P21" s="157"/>
      <c r="Q21" s="157"/>
      <c r="R21" s="157" t="s">
        <v>4635</v>
      </c>
      <c r="S21" s="164" t="s">
        <v>4575</v>
      </c>
      <c r="T21" s="712" t="s">
        <v>4695</v>
      </c>
    </row>
    <row r="22" spans="1:21" ht="16.5" x14ac:dyDescent="0.15">
      <c r="A22" s="500" t="s">
        <v>4696</v>
      </c>
      <c r="B22" s="143" t="s">
        <v>4631</v>
      </c>
      <c r="C22" s="164" t="s">
        <v>4575</v>
      </c>
      <c r="D22" s="157"/>
      <c r="E22" s="2656" cm="1" t="n">
        <f t="array" ref="E22">INDEX('7층_부하량'!D3:D3000,MATCH(1,("7-DaHall 1-RPP-01"='7층_부하량'!A3:A3000)*(33='7층_부하량'!B3:B3000),0))</f>
        <v>0.0</v>
      </c>
      <c r="F22" s="157"/>
      <c r="G22" s="157"/>
      <c r="H22" s="541" t="s">
        <v>4632</v>
      </c>
      <c r="I22" s="481" t="s">
        <v>4697</v>
      </c>
      <c r="J22" s="150" t="s">
        <v>4675</v>
      </c>
      <c r="K22" s="519" t="s">
        <v>4654</v>
      </c>
      <c r="L22" s="481" t="s">
        <v>4698</v>
      </c>
      <c r="M22" s="541" t="s">
        <v>4597</v>
      </c>
      <c r="N22" s="157"/>
      <c r="O22" s="2656" cm="1" t="n">
        <f t="array" ref="O22">INDEX('7층_부하량'!D3:D3000,MATCH(1,("7-DaHall 1-RPP-01"='7층_부하량'!A3:A3000)*(34='7층_부하량'!B3:B3000),0))</f>
        <v>0.0</v>
      </c>
      <c r="P22" s="157"/>
      <c r="Q22" s="157"/>
      <c r="R22" s="157" t="s">
        <v>4635</v>
      </c>
      <c r="S22" s="143" t="s">
        <v>4584</v>
      </c>
      <c r="T22" s="531" t="s">
        <v>4699</v>
      </c>
    </row>
    <row r="23" spans="1:21" ht="16.5" x14ac:dyDescent="0.15">
      <c r="A23" s="500" t="s">
        <v>4700</v>
      </c>
      <c r="B23" s="143" t="s">
        <v>4631</v>
      </c>
      <c r="C23" s="164" t="s">
        <v>4575</v>
      </c>
      <c r="D23" s="157"/>
      <c r="E23" s="157"/>
      <c r="F23" s="2656" cm="1" t="n">
        <f t="array" ref="F23">INDEX('7층_부하량'!E3:E3000,MATCH(1,("7-DaHall 1-RPP-01"='7층_부하량'!A3:A3000)*(35='7층_부하량'!B3:B3000),0))</f>
        <v>0.0</v>
      </c>
      <c r="G23" s="157"/>
      <c r="H23" s="541" t="s">
        <v>4632</v>
      </c>
      <c r="I23" s="481" t="s">
        <v>4701</v>
      </c>
      <c r="J23" s="150"/>
      <c r="K23" s="652" t="s">
        <v>4702</v>
      </c>
      <c r="L23" s="481" t="s">
        <v>4703</v>
      </c>
      <c r="M23" s="541" t="s">
        <v>4597</v>
      </c>
      <c r="N23" s="157"/>
      <c r="O23" s="157"/>
      <c r="P23" s="2656" cm="1" t="n">
        <f t="array" ref="P23">INDEX('7층_부하량'!E3:E3000,MATCH(1,("7-DaHall 1-RPP-01"='7층_부하량'!A3:A3000)*(36='7층_부하량'!B3:B3000),0))</f>
        <v>0.0</v>
      </c>
      <c r="Q23" s="157"/>
      <c r="R23" s="157" t="s">
        <v>4635</v>
      </c>
      <c r="S23" s="164" t="s">
        <v>4575</v>
      </c>
      <c r="T23" s="531" t="s">
        <v>4704</v>
      </c>
    </row>
    <row r="24" spans="1:21" ht="16.5" x14ac:dyDescent="0.15">
      <c r="A24" s="500" t="s">
        <v>4705</v>
      </c>
      <c r="B24" s="143" t="s">
        <v>4631</v>
      </c>
      <c r="C24" s="164" t="s">
        <v>4575</v>
      </c>
      <c r="D24" s="2656" cm="1" t="n">
        <f t="array" ref="D24">INDEX('7층_부하량'!C3:C3000,MATCH(1,("7-DaHall 1-RPP-01"='7층_부하량'!A3:A3000)*(37='7층_부하량'!B3:B3000),0))</f>
        <v>0.0</v>
      </c>
      <c r="E24" s="157"/>
      <c r="F24" s="157"/>
      <c r="G24" s="157"/>
      <c r="H24" s="541" t="s">
        <v>4632</v>
      </c>
      <c r="I24" s="481" t="s">
        <v>4706</v>
      </c>
      <c r="J24" s="653" t="s">
        <v>4679</v>
      </c>
      <c r="K24" s="519" t="s">
        <v>4654</v>
      </c>
      <c r="L24" s="481" t="s">
        <v>4707</v>
      </c>
      <c r="M24" s="541" t="s">
        <v>4597</v>
      </c>
      <c r="N24" s="2656" cm="1" t="n">
        <f t="array" ref="N24">INDEX('7층_부하량'!C3:C3000,MATCH(1,("7-DaHall 1-RPP-01"='7층_부하량'!A3:A3000)*(38='7층_부하량'!B3:B3000),0))</f>
        <v>0.0</v>
      </c>
      <c r="O24" s="157"/>
      <c r="P24" s="157"/>
      <c r="Q24" s="157"/>
      <c r="R24" s="157" t="s">
        <v>4635</v>
      </c>
      <c r="S24" s="164" t="s">
        <v>4575</v>
      </c>
      <c r="T24" s="531" t="s">
        <v>4708</v>
      </c>
    </row>
    <row r="25" spans="1:21" ht="24.75" thickBot="1" x14ac:dyDescent="0.2">
      <c r="A25" s="503" t="s">
        <v>4709</v>
      </c>
      <c r="B25" s="166" t="s">
        <v>4631</v>
      </c>
      <c r="C25" s="184" t="s">
        <v>4575</v>
      </c>
      <c r="D25" s="167"/>
      <c r="E25" s="2659" cm="1" t="n">
        <f t="array" ref="E25">INDEX('7층_부하량'!D3:D3000,MATCH(1,("7-DaHall 1-RPP-01"='7층_부하량'!A3:A3000)*(39='7층_부하량'!B3:B3000),0))</f>
        <v>0.0</v>
      </c>
      <c r="F25" s="167"/>
      <c r="G25" s="167"/>
      <c r="H25" s="543" t="s">
        <v>4632</v>
      </c>
      <c r="I25" s="483" t="s">
        <v>4710</v>
      </c>
      <c r="J25" s="194"/>
      <c r="K25" s="521" t="s">
        <v>4649</v>
      </c>
      <c r="L25" s="483" t="s">
        <v>4711</v>
      </c>
      <c r="M25" s="543" t="s">
        <v>4597</v>
      </c>
      <c r="N25" s="167"/>
      <c r="O25" s="2659" cm="1" t="n">
        <f t="array" ref="O25">INDEX('7층_부하량'!D3:D3000,MATCH(1,("7-DaHall 1-RPP-01"='7층_부하량'!A3:A3000)*(40='7층_부하량'!B3:B3000),0))</f>
        <v>0.0</v>
      </c>
      <c r="P25" s="167"/>
      <c r="Q25" s="167"/>
      <c r="R25" s="167" t="s">
        <v>4635</v>
      </c>
      <c r="S25" s="184" t="s">
        <v>4575</v>
      </c>
      <c r="T25" s="533" t="s">
        <v>4712</v>
      </c>
    </row>
    <row r="26" spans="1:21" ht="17.25" thickTop="1" x14ac:dyDescent="0.15">
      <c r="A26" s="504"/>
      <c r="B26" s="133"/>
      <c r="C26" s="133"/>
      <c r="D26" s="131"/>
      <c r="E26" s="131"/>
      <c r="F26" s="131"/>
      <c r="G26" s="131"/>
      <c r="H26" s="504"/>
      <c r="I26" s="133"/>
      <c r="J26" s="172"/>
      <c r="K26" s="522"/>
      <c r="L26" s="172"/>
      <c r="M26" s="504" t="s">
        <v>4713</v>
      </c>
      <c r="N26" s="131" t="n">
        <f>SUM(D6:D25,N6:N25)</f>
        <v>5.6</v>
      </c>
      <c r="O26" s="131" t="n">
        <f>SUM(E6:E25,O6:O25)</f>
        <v>7.32</v>
      </c>
      <c r="P26" s="131" t="n">
        <f>SUM(F6:F25,P6:P25)</f>
        <v>4.24</v>
      </c>
      <c r="Q26" s="131"/>
      <c r="R26" s="131"/>
      <c r="S26" s="196"/>
      <c r="T26" s="515"/>
    </row>
    <row r="27" spans="1:21" ht="16.5" x14ac:dyDescent="0.15">
      <c r="A27" s="504"/>
      <c r="B27" s="133"/>
      <c r="C27" s="133"/>
      <c r="D27" s="131"/>
      <c r="E27" s="131"/>
      <c r="F27" s="131"/>
      <c r="G27" s="131"/>
      <c r="H27" s="504"/>
      <c r="I27" s="133"/>
      <c r="J27" s="172"/>
      <c r="K27" s="522"/>
      <c r="L27" s="172"/>
      <c r="M27" s="504"/>
      <c r="N27" s="131"/>
      <c r="O27" s="131"/>
      <c r="P27" s="131"/>
      <c r="Q27" s="131"/>
      <c r="R27" s="131"/>
      <c r="S27" s="196"/>
      <c r="T27" s="515"/>
    </row>
    <row r="28" spans="1:21" ht="20.100000000000001" customHeight="1" thickBot="1" x14ac:dyDescent="0.2">
      <c r="A28" s="505" t="s">
        <v>7019</v>
      </c>
      <c r="B28" s="128"/>
      <c r="C28" s="128"/>
      <c r="D28" s="3660" t="s">
        <v>8980</v>
      </c>
      <c r="E28" s="3660"/>
      <c r="F28" s="3660"/>
      <c r="G28" s="3660"/>
      <c r="H28" s="504"/>
      <c r="I28" s="133"/>
      <c r="J28" s="3663" t="s">
        <v>4715</v>
      </c>
      <c r="K28" s="3664"/>
      <c r="L28" s="487"/>
      <c r="M28" s="504"/>
      <c r="N28" s="173"/>
      <c r="O28" s="173"/>
      <c r="P28" s="173"/>
      <c r="Q28" s="173"/>
      <c r="R28" s="173"/>
      <c r="S28" s="173"/>
      <c r="T28" s="508"/>
    </row>
    <row r="29" spans="1:21" ht="20.100000000000001" customHeight="1" thickTop="1" thickBot="1" x14ac:dyDescent="0.2">
      <c r="A29" s="496"/>
      <c r="B29" s="128"/>
      <c r="C29" s="128"/>
      <c r="D29" s="129"/>
      <c r="E29" s="130"/>
      <c r="F29" s="130"/>
      <c r="G29" s="130"/>
      <c r="H29" s="515"/>
      <c r="I29" s="131"/>
      <c r="J29" s="128"/>
      <c r="K29" s="516"/>
      <c r="L29" s="132"/>
      <c r="M29" s="1371" t="s">
        <v>4562</v>
      </c>
      <c r="N29" s="1368">
        <v>30.2</v>
      </c>
      <c r="O29" s="1369">
        <v>45.2</v>
      </c>
      <c r="P29" s="1370">
        <v>46.3</v>
      </c>
      <c r="Q29" s="508" t="s">
        <v>4563</v>
      </c>
      <c r="R29" s="133"/>
      <c r="S29" s="128"/>
      <c r="T29" s="528"/>
    </row>
    <row r="30" spans="1:21" ht="20.100000000000001" customHeight="1" thickTop="1" thickBot="1" x14ac:dyDescent="0.2">
      <c r="A30" s="497" t="s">
        <v>4629</v>
      </c>
      <c r="B30" s="135" t="s">
        <v>4565</v>
      </c>
      <c r="C30" s="136" t="s">
        <v>4566</v>
      </c>
      <c r="D30" s="135" t="s">
        <v>4567</v>
      </c>
      <c r="E30" s="135" t="s">
        <v>4568</v>
      </c>
      <c r="F30" s="135" t="s">
        <v>4569</v>
      </c>
      <c r="G30" s="135" t="s">
        <v>4570</v>
      </c>
      <c r="H30" s="539" t="s">
        <v>4571</v>
      </c>
      <c r="I30" s="479"/>
      <c r="J30" s="138" t="s">
        <v>4572</v>
      </c>
      <c r="K30" s="517" t="s">
        <v>4572</v>
      </c>
      <c r="L30" s="479"/>
      <c r="M30" s="539" t="s">
        <v>4571</v>
      </c>
      <c r="N30" s="135" t="s">
        <v>4567</v>
      </c>
      <c r="O30" s="135" t="s">
        <v>4568</v>
      </c>
      <c r="P30" s="135" t="s">
        <v>4569</v>
      </c>
      <c r="Q30" s="135" t="s">
        <v>4570</v>
      </c>
      <c r="R30" s="135" t="s">
        <v>4565</v>
      </c>
      <c r="S30" s="136" t="s">
        <v>4566</v>
      </c>
      <c r="T30" s="529" t="s">
        <v>4629</v>
      </c>
    </row>
    <row r="31" spans="1:21" ht="20.100000000000001" customHeight="1" thickTop="1" x14ac:dyDescent="0.15">
      <c r="A31" s="498" t="s">
        <v>4716</v>
      </c>
      <c r="B31" s="142" t="s">
        <v>4631</v>
      </c>
      <c r="C31" s="152" t="s">
        <v>4575</v>
      </c>
      <c r="D31" s="144"/>
      <c r="E31" s="2654" cm="1" t="n">
        <f t="array" ref="E31">INDEX('7층_부하량'!D3:D3000,MATCH(1,("7-DaHall 1-PDU-02"='7층_부하량'!A3:A3000)*(1='7층_부하량'!B3:B3000),0))</f>
        <v>0.0</v>
      </c>
      <c r="F31" s="144"/>
      <c r="G31" s="144"/>
      <c r="H31" s="540" t="s">
        <v>4576</v>
      </c>
      <c r="I31" s="480" t="s">
        <v>4633</v>
      </c>
      <c r="J31" s="145" t="s">
        <v>4675</v>
      </c>
      <c r="K31" s="518" t="s">
        <v>4717</v>
      </c>
      <c r="L31" s="480" t="s">
        <v>4578</v>
      </c>
      <c r="M31" s="540" t="s">
        <v>4576</v>
      </c>
      <c r="N31" s="144"/>
      <c r="O31" s="2654" cm="1" t="n">
        <f t="array" ref="O31">INDEX('7층_부하량'!D3:D3000,MATCH(1,("7-DaHall 1-PDU-02"='7층_부하량'!A3:A3000)*(2='7층_부하량'!B3:B3000),0))</f>
        <v>0.0</v>
      </c>
      <c r="P31" s="144"/>
      <c r="Q31" s="144"/>
      <c r="R31" s="144" t="s">
        <v>4631</v>
      </c>
      <c r="S31" s="152" t="s">
        <v>4575</v>
      </c>
      <c r="T31" s="534" t="s">
        <v>4718</v>
      </c>
      <c r="U31" t="s">
        <v>4719</v>
      </c>
    </row>
    <row r="32" spans="1:21" ht="20.100000000000001" customHeight="1" x14ac:dyDescent="0.15">
      <c r="A32" s="499" t="s">
        <v>4720</v>
      </c>
      <c r="B32" s="156" t="s">
        <v>4631</v>
      </c>
      <c r="C32" s="189" t="s">
        <v>4575</v>
      </c>
      <c r="D32" s="346"/>
      <c r="E32" s="346"/>
      <c r="F32" s="2660" cm="1" t="n">
        <f t="array" ref="F32">INDEX('7층_부하량'!E3:E3000,MATCH(1,("7-DaHall 1-PDU-02"='7층_부하량'!A3:A3000)*(3='7층_부하량'!B3:B3000),0))</f>
        <v>0.0</v>
      </c>
      <c r="G32" s="346"/>
      <c r="H32" s="542" t="s">
        <v>4576</v>
      </c>
      <c r="I32" s="482" t="s">
        <v>4638</v>
      </c>
      <c r="J32" s="653" t="s">
        <v>4721</v>
      </c>
      <c r="K32" s="519"/>
      <c r="L32" s="481" t="s">
        <v>4583</v>
      </c>
      <c r="M32" s="541" t="s">
        <v>4576</v>
      </c>
      <c r="N32" s="149"/>
      <c r="O32" s="149"/>
      <c r="P32" s="2655" cm="1" t="n">
        <f t="array" ref="P32">INDEX('7층_부하량'!E3:E3000,MATCH(1,("7-DaHall 1-PDU-02"='7층_부하량'!A3:A3000)*(4='7층_부하량'!B3:B3000),0))</f>
        <v>0.0</v>
      </c>
      <c r="Q32" s="149"/>
      <c r="R32" s="149" t="s">
        <v>4631</v>
      </c>
      <c r="S32" s="164" t="s">
        <v>4575</v>
      </c>
      <c r="T32" s="531" t="s">
        <v>4722</v>
      </c>
    </row>
    <row r="33" spans="1:20" ht="20.100000000000001" customHeight="1" x14ac:dyDescent="0.15">
      <c r="A33" s="500"/>
      <c r="B33" s="143" t="s">
        <v>4590</v>
      </c>
      <c r="C33" s="143" t="s">
        <v>4723</v>
      </c>
      <c r="D33" s="2656" cm="1" t="n">
        <f t="array" ref="D33">INDEX('7층_부하량'!C3:C3000,MATCH(1,("7-DaHall 1-PDU-02"='7층_부하량'!A3:A3000)*(5='7층_부하량'!B3:B3000),0))</f>
        <v>0.0</v>
      </c>
      <c r="E33" s="157"/>
      <c r="F33" s="157"/>
      <c r="G33" s="157"/>
      <c r="H33" s="541" t="s">
        <v>4576</v>
      </c>
      <c r="I33" s="481" t="s">
        <v>4641</v>
      </c>
      <c r="J33" s="154"/>
      <c r="K33" s="519" t="s">
        <v>4724</v>
      </c>
      <c r="L33" s="481" t="s">
        <v>4588</v>
      </c>
      <c r="M33" s="541" t="s">
        <v>4576</v>
      </c>
      <c r="N33" s="2656" cm="1" t="n">
        <f t="array" ref="N33">INDEX('7층_부하량'!C3:C3000,MATCH(1,("7-DaHall 1-PDU-02"='7층_부하량'!A3:A3000)*(6='7층_부하량'!B3:B3000),0))</f>
        <v>0.0</v>
      </c>
      <c r="O33" s="157"/>
      <c r="P33" s="157"/>
      <c r="Q33" s="157"/>
      <c r="R33" s="157" t="s">
        <v>4631</v>
      </c>
      <c r="S33" s="164" t="s">
        <v>4575</v>
      </c>
      <c r="T33" s="531" t="s">
        <v>4725</v>
      </c>
    </row>
    <row r="34" spans="1:20" ht="20.100000000000001" customHeight="1" x14ac:dyDescent="0.15">
      <c r="A34" s="501" t="s">
        <v>4726</v>
      </c>
      <c r="B34" s="157" t="s">
        <v>4631</v>
      </c>
      <c r="C34" s="164" t="s">
        <v>4575</v>
      </c>
      <c r="D34" s="157"/>
      <c r="E34" s="2656" cm="1" t="n">
        <f t="array" ref="E34">INDEX('7층_부하량'!D3:D3000,MATCH(1,("7-DaHall 1-PDU-02"='7층_부하량'!A3:A3000)*(7='7층_부하량'!B3:B3000),0))</f>
        <v>5.24</v>
      </c>
      <c r="F34" s="157"/>
      <c r="G34" s="157"/>
      <c r="H34" s="541" t="s">
        <v>4576</v>
      </c>
      <c r="I34" s="481" t="s">
        <v>4645</v>
      </c>
      <c r="J34" s="154"/>
      <c r="K34" s="523" t="s">
        <v>4727</v>
      </c>
      <c r="L34" s="488" t="s">
        <v>4593</v>
      </c>
      <c r="M34" s="541" t="s">
        <v>4576</v>
      </c>
      <c r="N34" s="157"/>
      <c r="O34" s="2656" cm="1" t="n">
        <f t="array" ref="O34">INDEX('7층_부하량'!D3:D3000,MATCH(1,("7-DaHall 1-PDU-02"='7층_부하량'!A3:A3000)*(8='7층_부하량'!B3:B3000),0))</f>
        <v>0.0</v>
      </c>
      <c r="P34" s="157"/>
      <c r="Q34" s="157"/>
      <c r="R34" s="157" t="s">
        <v>4631</v>
      </c>
      <c r="S34" s="283" t="s">
        <v>4575</v>
      </c>
      <c r="T34" s="531" t="s">
        <v>4728</v>
      </c>
    </row>
    <row r="35" spans="1:20" ht="20.100000000000001" customHeight="1" x14ac:dyDescent="0.15">
      <c r="A35" s="500" t="s">
        <v>4729</v>
      </c>
      <c r="B35" s="157" t="s">
        <v>4631</v>
      </c>
      <c r="C35" s="283" t="s">
        <v>4575</v>
      </c>
      <c r="D35" s="157"/>
      <c r="E35" s="157"/>
      <c r="F35" s="2656" cm="1" t="n">
        <f t="array" ref="F35">INDEX('7층_부하량'!E3:E3000,MATCH(1,("7-DaHall 1-PDU-02"='7층_부하량'!A3:A3000)*(9='7층_부하량'!B3:B3000),0))</f>
        <v>3.26</v>
      </c>
      <c r="G35" s="157"/>
      <c r="H35" s="541" t="s">
        <v>4576</v>
      </c>
      <c r="I35" s="481" t="s">
        <v>4648</v>
      </c>
      <c r="J35" s="154"/>
      <c r="K35" s="523"/>
      <c r="L35" s="488" t="s">
        <v>4596</v>
      </c>
      <c r="M35" s="541" t="s">
        <v>4597</v>
      </c>
      <c r="N35" s="157"/>
      <c r="O35" s="157"/>
      <c r="P35" s="2656" cm="1" t="n">
        <f t="array" ref="P35">INDEX('7층_부하량'!E3:E3000,MATCH(1,("7-DaHall 1-PDU-02"='7층_부하량'!A3:A3000)*(10='7층_부하량'!B3:B3000),0))</f>
        <v>2.82</v>
      </c>
      <c r="Q35" s="157"/>
      <c r="R35" s="157" t="s">
        <v>4631</v>
      </c>
      <c r="S35" s="283" t="s">
        <v>4575</v>
      </c>
      <c r="T35" s="531" t="s">
        <v>4730</v>
      </c>
    </row>
    <row r="36" spans="1:20" ht="20.100000000000001" customHeight="1" x14ac:dyDescent="0.15">
      <c r="A36" s="713" t="s">
        <v>4731</v>
      </c>
      <c r="B36" s="157" t="s">
        <v>4631</v>
      </c>
      <c r="C36" s="164" t="s">
        <v>4575</v>
      </c>
      <c r="D36" s="2656" cm="1" t="n">
        <f t="array" ref="D36">INDEX('7층_부하량'!C3:C3000,MATCH(1,("7-DaHall 1-PDU-02"='7층_부하량'!A3:A3000)*(11='7층_부하량'!B3:B3000),0))</f>
        <v>4.0</v>
      </c>
      <c r="E36" s="157"/>
      <c r="F36" s="157"/>
      <c r="G36" s="157"/>
      <c r="H36" s="541" t="s">
        <v>4576</v>
      </c>
      <c r="I36" s="481" t="s">
        <v>4653</v>
      </c>
      <c r="J36" s="154"/>
      <c r="K36" s="656" t="s">
        <v>4679</v>
      </c>
      <c r="L36" s="488" t="s">
        <v>4599</v>
      </c>
      <c r="M36" s="541" t="s">
        <v>4597</v>
      </c>
      <c r="N36" s="2656" cm="1" t="n">
        <f t="array" ref="N36">INDEX('7층_부하량'!C3:C3000,MATCH(1,("7-DaHall 1-PDU-02"='7층_부하량'!A3:A3000)*(12='7층_부하량'!B3:B3000),0))</f>
        <v>0.0</v>
      </c>
      <c r="O36" s="157"/>
      <c r="P36" s="157"/>
      <c r="Q36" s="157"/>
      <c r="R36" s="157" t="s">
        <v>4631</v>
      </c>
      <c r="S36" s="283" t="s">
        <v>4575</v>
      </c>
      <c r="T36" s="531" t="s">
        <v>4732</v>
      </c>
    </row>
    <row r="37" spans="1:20" ht="24" x14ac:dyDescent="0.15">
      <c r="A37" s="714" t="s">
        <v>4733</v>
      </c>
      <c r="B37" s="157" t="s">
        <v>4631</v>
      </c>
      <c r="C37" s="283" t="s">
        <v>4575</v>
      </c>
      <c r="D37" s="157"/>
      <c r="E37" s="2656" cm="1" t="n">
        <f t="array" ref="E37">INDEX('7층_부하량'!D3:D3000,MATCH(1,("7-DaHall 1-PDU-02"='7층_부하량'!A3:A3000)*(13='7층_부하량'!B3:B3000),0))</f>
        <v>2.33</v>
      </c>
      <c r="F37" s="157"/>
      <c r="G37" s="157"/>
      <c r="H37" s="541" t="s">
        <v>4597</v>
      </c>
      <c r="I37" s="481" t="s">
        <v>4657</v>
      </c>
      <c r="J37" s="154"/>
      <c r="K37" s="523" t="s">
        <v>4734</v>
      </c>
      <c r="L37" s="488" t="s">
        <v>4601</v>
      </c>
      <c r="M37" s="541" t="s">
        <v>4597</v>
      </c>
      <c r="N37" s="157"/>
      <c r="O37" s="2656" cm="1" t="n">
        <f t="array" ref="O37">INDEX('7층_부하량'!D3:D3000,MATCH(1,("7-DaHall 1-PDU-02"='7층_부하량'!A3:A3000)*(14='7층_부하량'!B3:B3000),0))</f>
        <v>2.9699999999999998</v>
      </c>
      <c r="P37" s="157"/>
      <c r="Q37" s="157"/>
      <c r="R37" s="157" t="s">
        <v>4631</v>
      </c>
      <c r="S37" s="283" t="s">
        <v>4575</v>
      </c>
      <c r="T37" s="531" t="s">
        <v>4735</v>
      </c>
    </row>
    <row r="38" spans="1:20" ht="24" x14ac:dyDescent="0.15">
      <c r="A38" s="500" t="s">
        <v>4736</v>
      </c>
      <c r="B38" s="157" t="s">
        <v>4631</v>
      </c>
      <c r="C38" s="283" t="s">
        <v>4575</v>
      </c>
      <c r="D38" s="157"/>
      <c r="E38" s="157"/>
      <c r="F38" s="2656" cm="1" t="n">
        <f t="array" ref="F38">INDEX('7층_부하량'!E3:E3000,MATCH(1,("7-DaHall 1-PDU-02"='7층_부하량'!A3:A3000)*(15='7층_부하량'!B3:B3000),0))</f>
        <v>1.08</v>
      </c>
      <c r="G38" s="157"/>
      <c r="H38" s="541" t="s">
        <v>4597</v>
      </c>
      <c r="I38" s="481" t="s">
        <v>4661</v>
      </c>
      <c r="J38" s="154" t="s">
        <v>4737</v>
      </c>
      <c r="K38" s="523" t="s">
        <v>4734</v>
      </c>
      <c r="L38" s="488" t="s">
        <v>4603</v>
      </c>
      <c r="M38" s="541" t="s">
        <v>4597</v>
      </c>
      <c r="N38" s="157"/>
      <c r="O38" s="157"/>
      <c r="P38" s="2656" cm="1" t="n">
        <f t="array" ref="P38">INDEX('7층_부하량'!E3:E3000,MATCH(1,("7-DaHall 1-PDU-02"='7층_부하량'!A3:A3000)*(16='7층_부하량'!B3:B3000),0))</f>
        <v>2.38</v>
      </c>
      <c r="Q38" s="157"/>
      <c r="R38" s="157" t="s">
        <v>4631</v>
      </c>
      <c r="S38" s="283" t="s">
        <v>4575</v>
      </c>
      <c r="T38" s="531" t="s">
        <v>4738</v>
      </c>
    </row>
    <row r="39" spans="1:20" ht="20.100000000000001" customHeight="1" x14ac:dyDescent="0.15">
      <c r="A39" s="500" t="s">
        <v>4739</v>
      </c>
      <c r="B39" s="157" t="s">
        <v>4631</v>
      </c>
      <c r="C39" s="164" t="s">
        <v>4575</v>
      </c>
      <c r="D39" s="2656" cm="1" t="n">
        <f t="array" ref="D39">INDEX('7층_부하량'!C3:C3000,MATCH(1,("7-DaHall 1-PDU-02"='7층_부하량'!A3:A3000)*(17='7층_부하량'!B3:B3000),0))</f>
        <v>3.26</v>
      </c>
      <c r="E39" s="157"/>
      <c r="F39" s="157"/>
      <c r="G39" s="157"/>
      <c r="H39" s="541" t="s">
        <v>4597</v>
      </c>
      <c r="I39" s="481" t="s">
        <v>4665</v>
      </c>
      <c r="J39" s="154"/>
      <c r="K39" s="1225" t="s">
        <v>4740</v>
      </c>
      <c r="L39" s="488" t="s">
        <v>4605</v>
      </c>
      <c r="M39" s="541" t="s">
        <v>4597</v>
      </c>
      <c r="N39" s="2656" cm="1" t="n">
        <f t="array" ref="N39">INDEX('7층_부하량'!C3:C3000,MATCH(1,("7-DaHall 1-PDU-02"='7층_부하량'!A3:A3000)*(18='7층_부하량'!B3:B3000),0))</f>
        <v>1.74</v>
      </c>
      <c r="O39" s="157"/>
      <c r="P39" s="157"/>
      <c r="Q39" s="157"/>
      <c r="R39" s="157" t="s">
        <v>4631</v>
      </c>
      <c r="S39" s="164" t="s">
        <v>4575</v>
      </c>
      <c r="T39" s="1227" t="s">
        <v>4741</v>
      </c>
    </row>
    <row r="40" spans="1:20" ht="20.100000000000001" customHeight="1" x14ac:dyDescent="0.15">
      <c r="A40" s="500" t="s">
        <v>4742</v>
      </c>
      <c r="B40" s="157" t="s">
        <v>4631</v>
      </c>
      <c r="C40" s="283" t="s">
        <v>4575</v>
      </c>
      <c r="D40" s="157"/>
      <c r="E40" s="2656" cm="1" t="n">
        <f t="array" ref="E40">INDEX('7층_부하량'!D3:D3000,MATCH(1,("7-DaHall 1-PDU-02"='7층_부하량'!A3:A3000)*(19='7층_부하량'!B3:B3000),0))</f>
        <v>0.0</v>
      </c>
      <c r="F40" s="157"/>
      <c r="G40" s="157"/>
      <c r="H40" s="541" t="s">
        <v>4597</v>
      </c>
      <c r="I40" s="481" t="s">
        <v>4670</v>
      </c>
      <c r="J40" s="154"/>
      <c r="K40" s="1225" t="s">
        <v>4743</v>
      </c>
      <c r="L40" s="488" t="s">
        <v>4609</v>
      </c>
      <c r="M40" s="541" t="s">
        <v>4597</v>
      </c>
      <c r="N40" s="157"/>
      <c r="O40" s="2656" cm="1" t="n">
        <f t="array" ref="O40">INDEX('7층_부하량'!D3:D3000,MATCH(1,("7-DaHall 1-PDU-02"='7층_부하량'!A3:A3000)*(20='7층_부하량'!B3:B3000),0))</f>
        <v>1.8399999999999999</v>
      </c>
      <c r="P40" s="157"/>
      <c r="Q40" s="157"/>
      <c r="R40" s="157" t="s">
        <v>4631</v>
      </c>
      <c r="S40" s="283" t="s">
        <v>4575</v>
      </c>
      <c r="T40" s="1227" t="s">
        <v>4744</v>
      </c>
    </row>
    <row r="41" spans="1:20" ht="20.100000000000001" customHeight="1" x14ac:dyDescent="0.15">
      <c r="A41" s="500" t="s">
        <v>4745</v>
      </c>
      <c r="B41" s="157" t="s">
        <v>4631</v>
      </c>
      <c r="C41" s="283" t="s">
        <v>4575</v>
      </c>
      <c r="D41" s="157"/>
      <c r="E41" s="157"/>
      <c r="F41" s="2656" cm="1" t="n">
        <f t="array" ref="F41">INDEX('7층_부하량'!E3:E3000,MATCH(1,("7-DaHall 1-PDU-02"='7층_부하량'!A3:A3000)*(21='7층_부하량'!B3:B3000),0))</f>
        <v>0.0</v>
      </c>
      <c r="G41" s="157"/>
      <c r="H41" s="541" t="s">
        <v>4597</v>
      </c>
      <c r="I41" s="481" t="s">
        <v>4674</v>
      </c>
      <c r="J41" s="154"/>
      <c r="K41" s="1225" t="s">
        <v>4746</v>
      </c>
      <c r="L41" s="488" t="s">
        <v>4613</v>
      </c>
      <c r="M41" s="541" t="s">
        <v>4597</v>
      </c>
      <c r="N41" s="157"/>
      <c r="O41" s="157"/>
      <c r="P41" s="2656" cm="1" t="n">
        <f t="array" ref="P41">INDEX('7층_부하량'!E3:E3000,MATCH(1,("7-DaHall 1-PDU-02"='7층_부하량'!A3:A3000)*(22='7층_부하량'!B3:B3000),0))</f>
        <v>0.0</v>
      </c>
      <c r="Q41" s="157"/>
      <c r="R41" s="157" t="s">
        <v>4631</v>
      </c>
      <c r="S41" s="283" t="s">
        <v>4575</v>
      </c>
      <c r="T41" s="1227" t="s">
        <v>4747</v>
      </c>
    </row>
    <row r="42" spans="1:20" ht="20.100000000000001" customHeight="1" x14ac:dyDescent="0.15">
      <c r="A42" s="500" t="s">
        <v>4748</v>
      </c>
      <c r="B42" s="157" t="s">
        <v>4631</v>
      </c>
      <c r="C42" s="283" t="s">
        <v>4575</v>
      </c>
      <c r="D42" s="2656" cm="1" t="n">
        <f t="array" ref="D42">INDEX('7층_부하량'!C3:C3000,MATCH(1,("7-DaHall 1-PDU-02"='7층_부하량'!A3:A3000)*(23='7층_부하량'!B3:B3000),0))</f>
        <v>0.0</v>
      </c>
      <c r="E42" s="157"/>
      <c r="F42" s="157"/>
      <c r="G42" s="157"/>
      <c r="H42" s="541" t="s">
        <v>4597</v>
      </c>
      <c r="I42" s="481" t="s">
        <v>4678</v>
      </c>
      <c r="J42" s="154"/>
      <c r="K42" s="1225" t="s">
        <v>4749</v>
      </c>
      <c r="L42" s="488" t="s">
        <v>4680</v>
      </c>
      <c r="M42" s="541" t="s">
        <v>4597</v>
      </c>
      <c r="N42" s="2656" cm="1" t="n">
        <f t="array" ref="N42">INDEX('7층_부하량'!C3:C3000,MATCH(1,("7-DaHall 1-PDU-02"='7층_부하량'!A3:A3000)*(24='7층_부하량'!B3:B3000),0))</f>
        <v>0.0</v>
      </c>
      <c r="O42" s="157"/>
      <c r="P42" s="157"/>
      <c r="Q42" s="157"/>
      <c r="R42" s="157" t="s">
        <v>4631</v>
      </c>
      <c r="S42" s="283" t="s">
        <v>4575</v>
      </c>
      <c r="T42" s="1227" t="s">
        <v>4750</v>
      </c>
    </row>
    <row r="43" spans="1:20" ht="20.100000000000001" customHeight="1" x14ac:dyDescent="0.15">
      <c r="A43" s="500" t="s">
        <v>4751</v>
      </c>
      <c r="B43" s="157" t="s">
        <v>4631</v>
      </c>
      <c r="C43" s="283" t="s">
        <v>4575</v>
      </c>
      <c r="D43" s="157"/>
      <c r="E43" s="2656" cm="1" t="n">
        <f t="array" ref="E43">INDEX('7층_부하량'!D3:D3000,MATCH(1,("7-DaHall 1-PDU-02"='7층_부하량'!A3:A3000)*(25='7층_부하량'!B3:B3000),0))</f>
        <v>0.89</v>
      </c>
      <c r="F43" s="157"/>
      <c r="G43" s="157"/>
      <c r="H43" s="541" t="s">
        <v>4597</v>
      </c>
      <c r="I43" s="481" t="s">
        <v>4683</v>
      </c>
      <c r="J43" s="154"/>
      <c r="K43" s="1225" t="s">
        <v>4752</v>
      </c>
      <c r="L43" s="488" t="s">
        <v>4685</v>
      </c>
      <c r="M43" s="541" t="s">
        <v>4597</v>
      </c>
      <c r="N43" s="157"/>
      <c r="O43" s="2656" cm="1" t="n">
        <f t="array" ref="O43">INDEX('7층_부하량'!D3:D3000,MATCH(1,("7-DaHall 1-PDU-02"='7층_부하량'!A3:A3000)*(26='7층_부하량'!B3:B3000),0))</f>
        <v>0.56</v>
      </c>
      <c r="P43" s="157"/>
      <c r="Q43" s="157"/>
      <c r="R43" s="157" t="s">
        <v>4631</v>
      </c>
      <c r="S43" s="283" t="s">
        <v>4575</v>
      </c>
      <c r="T43" s="1227" t="s">
        <v>4753</v>
      </c>
    </row>
    <row r="44" spans="1:20" ht="20.100000000000001" customHeight="1" thickBot="1" x14ac:dyDescent="0.2">
      <c r="A44" s="506" t="s">
        <v>4754</v>
      </c>
      <c r="B44" s="177" t="s">
        <v>4631</v>
      </c>
      <c r="C44" s="476" t="s">
        <v>4575</v>
      </c>
      <c r="D44" s="177"/>
      <c r="E44" s="177"/>
      <c r="F44" s="2661" cm="1" t="n">
        <f t="array" ref="F44">INDEX('7층_부하량'!E3:E3000,MATCH(1,("7-DaHall 1-PDU-02"='7층_부하량'!A3:A3000)*(27='7층_부하량'!B3:B3000),0))</f>
        <v>0.23</v>
      </c>
      <c r="G44" s="177"/>
      <c r="H44" s="544" t="s">
        <v>4597</v>
      </c>
      <c r="I44" s="484" t="s">
        <v>4688</v>
      </c>
      <c r="J44" s="178"/>
      <c r="K44" s="1226" t="s">
        <v>4755</v>
      </c>
      <c r="L44" s="489" t="s">
        <v>4689</v>
      </c>
      <c r="M44" s="544" t="s">
        <v>4597</v>
      </c>
      <c r="N44" s="177"/>
      <c r="O44" s="177"/>
      <c r="P44" s="2661" cm="1" t="n">
        <f t="array" ref="P44">INDEX('7층_부하량'!E3:E3000,MATCH(1,("7-DaHall 1-PDU-02"='7층_부하량'!A3:A3000)*(28='7층_부하량'!B3:B3000),0))</f>
        <v>0.0</v>
      </c>
      <c r="Q44" s="177"/>
      <c r="R44" s="177" t="s">
        <v>4631</v>
      </c>
      <c r="S44" s="476" t="s">
        <v>4575</v>
      </c>
      <c r="T44" s="1228" t="s">
        <v>4756</v>
      </c>
    </row>
    <row r="45" spans="1:20" ht="20.100000000000001" customHeight="1" thickTop="1" x14ac:dyDescent="0.15">
      <c r="A45" s="501" t="s">
        <v>4757</v>
      </c>
      <c r="B45" s="157" t="s">
        <v>4631</v>
      </c>
      <c r="C45" s="2439" t="s">
        <v>4575</v>
      </c>
      <c r="D45" s="2656" cm="1" t="n">
        <f t="array" ref="D45">INDEX('7층_부하량'!C3:C3000,MATCH(1,("7-DaHall 1-PDU-02"='7층_부하량'!A3:A3000)*(29='7층_부하량'!B3:B3000),0))</f>
        <v>0.0</v>
      </c>
      <c r="E45" s="179"/>
      <c r="F45" s="179"/>
      <c r="G45" s="179"/>
      <c r="H45" s="542" t="s">
        <v>4597</v>
      </c>
      <c r="I45" s="482" t="s">
        <v>4691</v>
      </c>
      <c r="J45" s="2440" t="s">
        <v>4667</v>
      </c>
      <c r="K45" s="524" t="s">
        <v>4758</v>
      </c>
      <c r="L45" s="490" t="s">
        <v>4692</v>
      </c>
      <c r="M45" s="542" t="s">
        <v>4597</v>
      </c>
      <c r="N45" s="2656" cm="1" t="n">
        <f t="array" ref="N45">INDEX('7층_부하량'!C3:C3000,MATCH(1,("7-DaHall 1-PDU-02"='7층_부하량'!A3:A3000)*(30='7층_부하량'!B3:B3000),0))</f>
        <v>0.0</v>
      </c>
      <c r="O45" s="179"/>
      <c r="P45" s="179"/>
      <c r="Q45" s="179"/>
      <c r="R45" s="157" t="s">
        <v>4631</v>
      </c>
      <c r="S45" s="283" t="s">
        <v>4575</v>
      </c>
      <c r="T45" s="1378" t="s">
        <v>4759</v>
      </c>
    </row>
    <row r="46" spans="1:20" ht="20.100000000000001" customHeight="1" x14ac:dyDescent="0.15">
      <c r="A46" s="502" t="s">
        <v>4760</v>
      </c>
      <c r="B46" s="157" t="s">
        <v>4631</v>
      </c>
      <c r="C46" s="283" t="s">
        <v>4575</v>
      </c>
      <c r="D46" s="157"/>
      <c r="E46" s="2656" cm="1" t="n">
        <f t="array" ref="E46">INDEX('7층_부하량'!D3:D3000,MATCH(1,("7-DaHall 1-PDU-02"='7층_부하량'!A3:A3000)*(31='7층_부하량'!B3:B3000),0))</f>
        <v>0.0</v>
      </c>
      <c r="F46" s="157"/>
      <c r="G46" s="157"/>
      <c r="H46" s="541" t="s">
        <v>4597</v>
      </c>
      <c r="I46" s="481" t="s">
        <v>4693</v>
      </c>
      <c r="J46" s="657" t="s">
        <v>4761</v>
      </c>
      <c r="K46" s="523" t="s">
        <v>4762</v>
      </c>
      <c r="L46" s="488" t="s">
        <v>4694</v>
      </c>
      <c r="M46" s="541" t="s">
        <v>4597</v>
      </c>
      <c r="N46" s="157"/>
      <c r="O46" s="2656" cm="1" t="n">
        <f t="array" ref="O46">INDEX('7층_부하량'!D3:D3000,MATCH(1,("7-DaHall 1-PDU-02"='7층_부하량'!A3:A3000)*(32='7층_부하량'!B3:B3000),0))</f>
        <v>1.8900000000000001</v>
      </c>
      <c r="P46" s="157"/>
      <c r="Q46" s="157"/>
      <c r="R46" s="157" t="s">
        <v>4631</v>
      </c>
      <c r="S46" s="283" t="s">
        <v>4575</v>
      </c>
      <c r="T46" s="531" t="s">
        <v>4763</v>
      </c>
    </row>
    <row r="47" spans="1:20" ht="20.100000000000001" customHeight="1" x14ac:dyDescent="0.15">
      <c r="A47" s="500" t="s">
        <v>4764</v>
      </c>
      <c r="B47" s="157" t="s">
        <v>4765</v>
      </c>
      <c r="C47" s="283" t="s">
        <v>4575</v>
      </c>
      <c r="D47" s="157"/>
      <c r="E47" s="157"/>
      <c r="F47" s="2656" cm="1" t="n">
        <f t="array" ref="F47">INDEX('7층_부하량'!E3:E3000,MATCH(1,("7-DaHall 1-PDU-02"='7층_부하량'!A3:A3000)*(33='7층_부하량'!B3:B3000),0))</f>
        <v>0.0</v>
      </c>
      <c r="G47" s="157"/>
      <c r="H47" s="541" t="s">
        <v>4597</v>
      </c>
      <c r="I47" s="481" t="s">
        <v>4697</v>
      </c>
      <c r="J47" s="657" t="s">
        <v>4761</v>
      </c>
      <c r="K47" s="1399" t="s">
        <v>4766</v>
      </c>
      <c r="L47" s="488" t="s">
        <v>4698</v>
      </c>
      <c r="M47" s="541" t="s">
        <v>4597</v>
      </c>
      <c r="N47" s="157"/>
      <c r="O47" s="157"/>
      <c r="P47" s="2656" cm="1" t="n">
        <f t="array" ref="P47">INDEX('7층_부하량'!E3:E3000,MATCH(1,("7-DaHall 1-PDU-02"='7층_부하량'!A3:A3000)*(34='7층_부하량'!B3:B3000),0))</f>
        <v>0.0</v>
      </c>
      <c r="Q47" s="157"/>
      <c r="R47" s="157" t="s">
        <v>4631</v>
      </c>
      <c r="S47" s="283" t="s">
        <v>4575</v>
      </c>
      <c r="T47" s="531" t="s">
        <v>4767</v>
      </c>
    </row>
    <row r="48" spans="1:20" ht="20.100000000000001" customHeight="1" x14ac:dyDescent="0.15">
      <c r="A48" s="500" t="s">
        <v>4768</v>
      </c>
      <c r="B48" s="157" t="s">
        <v>4765</v>
      </c>
      <c r="C48" s="283" t="s">
        <v>4575</v>
      </c>
      <c r="D48" s="2656" cm="1" t="n">
        <f t="array" ref="D48">INDEX('7층_부하량'!C3:C3000,MATCH(1,("7-DaHall 1-PDU-02"='7층_부하량'!A3:A3000)*(35='7층_부하량'!B3:B3000),0))</f>
        <v>2.92</v>
      </c>
      <c r="E48" s="157"/>
      <c r="F48" s="157"/>
      <c r="G48" s="157"/>
      <c r="H48" s="541" t="s">
        <v>4597</v>
      </c>
      <c r="I48" s="481" t="s">
        <v>4701</v>
      </c>
      <c r="J48" s="657" t="s">
        <v>4761</v>
      </c>
      <c r="K48" s="523"/>
      <c r="L48" s="488" t="s">
        <v>4703</v>
      </c>
      <c r="M48" s="541" t="s">
        <v>4597</v>
      </c>
      <c r="N48" s="2656" cm="1" t="n">
        <f t="array" ref="N48">INDEX('7층_부하량'!C3:C3000,MATCH(1,("7-DaHall 1-PDU-02"='7층_부하량'!A3:A3000)*(36='7층_부하량'!B3:B3000),0))</f>
        <v>0.0</v>
      </c>
      <c r="O48" s="157"/>
      <c r="P48" s="157"/>
      <c r="Q48" s="157"/>
      <c r="R48" s="157" t="s">
        <v>4631</v>
      </c>
      <c r="S48" s="283" t="s">
        <v>4575</v>
      </c>
      <c r="T48" s="531" t="s">
        <v>4769</v>
      </c>
    </row>
    <row r="49" spans="1:21" ht="20.100000000000001" customHeight="1" x14ac:dyDescent="0.15">
      <c r="A49" s="502" t="s">
        <v>4770</v>
      </c>
      <c r="B49" s="157" t="s">
        <v>4765</v>
      </c>
      <c r="C49" s="283" t="s">
        <v>4575</v>
      </c>
      <c r="D49" s="157"/>
      <c r="E49" s="2656" cm="1" t="n">
        <f t="array" ref="E49">INDEX('7층_부하량'!D3:D3000,MATCH(1,("7-DaHall 1-PDU-02"='7층_부하량'!A3:A3000)*(37='7층_부하량'!B3:B3000),0))</f>
        <v>0.0</v>
      </c>
      <c r="F49" s="157"/>
      <c r="G49" s="157"/>
      <c r="H49" s="541" t="s">
        <v>4597</v>
      </c>
      <c r="I49" s="481" t="s">
        <v>4706</v>
      </c>
      <c r="J49" s="154"/>
      <c r="K49" s="523"/>
      <c r="L49" s="488" t="s">
        <v>4707</v>
      </c>
      <c r="M49" s="541" t="s">
        <v>4597</v>
      </c>
      <c r="N49" s="157"/>
      <c r="O49" s="2656" cm="1" t="n">
        <f t="array" ref="O49">INDEX('7층_부하량'!D3:D3000,MATCH(1,("7-DaHall 1-PDU-02"='7층_부하량'!A3:A3000)*(38='7층_부하량'!B3:B3000),0))</f>
        <v>1.9100000000000001</v>
      </c>
      <c r="P49" s="157"/>
      <c r="Q49" s="157"/>
      <c r="R49" s="157" t="s">
        <v>4631</v>
      </c>
      <c r="S49" s="283" t="s">
        <v>4575</v>
      </c>
      <c r="T49" s="531" t="s">
        <v>4771</v>
      </c>
    </row>
    <row r="50" spans="1:21" ht="20.100000000000001" customHeight="1" x14ac:dyDescent="0.15">
      <c r="A50" s="500" t="s">
        <v>4772</v>
      </c>
      <c r="B50" s="157" t="s">
        <v>4765</v>
      </c>
      <c r="C50" s="283" t="s">
        <v>4575</v>
      </c>
      <c r="D50" s="157"/>
      <c r="E50" s="157"/>
      <c r="F50" s="2656" cm="1" t="n">
        <f t="array" ref="F50">INDEX('7층_부하량'!E3:E3000,MATCH(1,("7-DaHall 1-PDU-02"='7층_부하량'!A3:A3000)*(39='7층_부하량'!B3:B3000),0))</f>
        <v>1.83</v>
      </c>
      <c r="G50" s="157"/>
      <c r="H50" s="541" t="s">
        <v>4597</v>
      </c>
      <c r="I50" s="481" t="s">
        <v>4710</v>
      </c>
      <c r="J50" s="154"/>
      <c r="K50" s="523"/>
      <c r="L50" s="488" t="s">
        <v>4711</v>
      </c>
      <c r="M50" s="541" t="s">
        <v>4597</v>
      </c>
      <c r="N50" s="157"/>
      <c r="O50" s="157"/>
      <c r="P50" s="2656" cm="1" t="n">
        <f t="array" ref="P50">INDEX('7층_부하량'!E3:E3000,MATCH(1,("7-DaHall 1-PDU-02"='7층_부하량'!A3:A3000)*(40='7층_부하량'!B3:B3000),0))</f>
        <v>2.82</v>
      </c>
      <c r="Q50" s="157"/>
      <c r="R50" s="157" t="s">
        <v>4631</v>
      </c>
      <c r="S50" s="283" t="s">
        <v>4575</v>
      </c>
      <c r="T50" s="531" t="s">
        <v>4773</v>
      </c>
    </row>
    <row r="51" spans="1:21" ht="20.100000000000001" customHeight="1" x14ac:dyDescent="0.15">
      <c r="A51" s="500" t="s">
        <v>4774</v>
      </c>
      <c r="B51" s="157" t="s">
        <v>4765</v>
      </c>
      <c r="C51" s="283" t="s">
        <v>4575</v>
      </c>
      <c r="D51" s="2656" cm="1" t="n">
        <f t="array" ref="D51">INDEX('7층_부하량'!C3:C3000,MATCH(1,("7-DaHall 1-PDU-02"='7층_부하량'!A3:A3000)*(41='7층_부하량'!B3:B3000),0))</f>
        <v>0.0</v>
      </c>
      <c r="E51" s="157"/>
      <c r="F51" s="157"/>
      <c r="G51" s="157"/>
      <c r="H51" s="541" t="s">
        <v>4597</v>
      </c>
      <c r="I51" s="481" t="s">
        <v>4775</v>
      </c>
      <c r="J51" s="154" t="s">
        <v>1684</v>
      </c>
      <c r="K51" s="523"/>
      <c r="L51" s="488" t="s">
        <v>4776</v>
      </c>
      <c r="M51" s="541" t="s">
        <v>4597</v>
      </c>
      <c r="N51" s="2656" cm="1" t="n">
        <f t="array" ref="N51">INDEX('7층_부하량'!C3:C3000,MATCH(1,("7-DaHall 1-PDU-02"='7층_부하량'!A3:A3000)*(42='7층_부하량'!B3:B3000),0))</f>
        <v>0.52</v>
      </c>
      <c r="O51" s="157"/>
      <c r="P51" s="157"/>
      <c r="Q51" s="157"/>
      <c r="R51" s="157" t="s">
        <v>4765</v>
      </c>
      <c r="S51" s="283" t="s">
        <v>4575</v>
      </c>
      <c r="T51" s="531" t="s">
        <v>4777</v>
      </c>
    </row>
    <row r="52" spans="1:21" ht="20.100000000000001" customHeight="1" x14ac:dyDescent="0.15">
      <c r="A52" s="500"/>
      <c r="B52" s="143" t="s">
        <v>4590</v>
      </c>
      <c r="C52" s="143" t="s">
        <v>4723</v>
      </c>
      <c r="D52" s="157"/>
      <c r="E52" s="2656" cm="1" t="n">
        <f t="array" ref="E52">INDEX('7층_부하량'!D3:D3000,MATCH(1,("7-DaHall 1-PDU-02"='7층_부하량'!A3:A3000)*(43='7층_부하량'!B3:B3000),0))</f>
        <v>0.0</v>
      </c>
      <c r="F52" s="157"/>
      <c r="G52" s="157"/>
      <c r="H52" s="541" t="s">
        <v>4597</v>
      </c>
      <c r="I52" s="481" t="s">
        <v>4778</v>
      </c>
      <c r="J52" s="154"/>
      <c r="K52" s="523" t="s">
        <v>4779</v>
      </c>
      <c r="L52" s="488" t="s">
        <v>4780</v>
      </c>
      <c r="M52" s="541" t="s">
        <v>4597</v>
      </c>
      <c r="N52" s="157"/>
      <c r="O52" s="2656" cm="1" t="n">
        <f t="array" ref="O52">INDEX('7층_부하량'!D3:D3000,MATCH(1,("7-DaHall 1-PDU-02"='7층_부하량'!A3:A3000)*(44='7층_부하량'!B3:B3000),0))</f>
        <v>0.0</v>
      </c>
      <c r="P52" s="157"/>
      <c r="Q52" s="157"/>
      <c r="R52" s="157" t="s">
        <v>4765</v>
      </c>
      <c r="S52" s="283" t="s">
        <v>4575</v>
      </c>
      <c r="T52" s="531" t="s">
        <v>813</v>
      </c>
      <c r="U52" s="2320" t="s">
        <v>4781</v>
      </c>
    </row>
    <row r="53" spans="1:21" ht="20.100000000000001" customHeight="1" x14ac:dyDescent="0.15">
      <c r="A53" s="500"/>
      <c r="B53" s="143" t="s">
        <v>4590</v>
      </c>
      <c r="C53" s="143" t="s">
        <v>4723</v>
      </c>
      <c r="D53" s="157"/>
      <c r="E53" s="157"/>
      <c r="F53" s="2656" cm="1" t="n">
        <f t="array" ref="F53">INDEX('7층_부하량'!E3:E3000,MATCH(1,("7-DaHall 1-PDU-02"='7층_부하량'!A3:A3000)*(45='7층_부하량'!B3:B3000),0))</f>
        <v>0.0</v>
      </c>
      <c r="G53" s="157"/>
      <c r="H53" s="541" t="s">
        <v>4597</v>
      </c>
      <c r="I53" s="481" t="s">
        <v>4782</v>
      </c>
      <c r="J53" s="154"/>
      <c r="K53" s="523" t="s">
        <v>4717</v>
      </c>
      <c r="L53" s="488" t="s">
        <v>4783</v>
      </c>
      <c r="M53" s="541" t="s">
        <v>4597</v>
      </c>
      <c r="N53" s="157"/>
      <c r="O53" s="157"/>
      <c r="P53" s="2656" cm="1" t="n">
        <f t="array" ref="P53">INDEX('7층_부하량'!E3:E3000,MATCH(1,("7-DaHall 1-PDU-02"='7층_부하량'!A3:A3000)*(46='7층_부하량'!B3:B3000),0))</f>
        <v>0.0</v>
      </c>
      <c r="Q53" s="157"/>
      <c r="R53" s="157" t="s">
        <v>4765</v>
      </c>
      <c r="S53" s="283" t="s">
        <v>4575</v>
      </c>
      <c r="T53" s="531" t="s">
        <v>826</v>
      </c>
      <c r="U53" t="s">
        <v>4784</v>
      </c>
    </row>
    <row r="54" spans="1:21" ht="20.100000000000001" customHeight="1" x14ac:dyDescent="0.15">
      <c r="A54" s="500"/>
      <c r="B54" s="143" t="s">
        <v>4590</v>
      </c>
      <c r="C54" s="143" t="s">
        <v>4723</v>
      </c>
      <c r="D54" s="2656" cm="1" t="n">
        <f t="array" ref="D54">INDEX('7층_부하량'!C3:C3000,MATCH(1,("7-DaHall 1-PDU-02"='7층_부하량'!A3:A3000)*(47='7층_부하량'!B3:B3000),0))</f>
        <v>0.0</v>
      </c>
      <c r="E54" s="157"/>
      <c r="F54" s="157"/>
      <c r="G54" s="157"/>
      <c r="H54" s="541" t="s">
        <v>4597</v>
      </c>
      <c r="I54" s="481" t="s">
        <v>4785</v>
      </c>
      <c r="J54" s="154"/>
      <c r="K54" s="523"/>
      <c r="L54" s="488" t="s">
        <v>4786</v>
      </c>
      <c r="M54" s="541" t="s">
        <v>4597</v>
      </c>
      <c r="N54" s="2656" cm="1" t="n">
        <f t="array" ref="N54">INDEX('7층_부하량'!C3:C3000,MATCH(1,("7-DaHall 1-PDU-02"='7층_부하량'!A3:A3000)*(48='7층_부하량'!B3:B3000),0))</f>
        <v>1.9</v>
      </c>
      <c r="O54" s="157"/>
      <c r="P54" s="157"/>
      <c r="Q54" s="157"/>
      <c r="R54" s="157" t="s">
        <v>4590</v>
      </c>
      <c r="S54" s="143" t="s">
        <v>4642</v>
      </c>
      <c r="T54" s="531"/>
    </row>
    <row r="55" spans="1:21" ht="27.75" customHeight="1" x14ac:dyDescent="0.15">
      <c r="A55" s="2336" t="s">
        <v>1195</v>
      </c>
      <c r="B55" s="157" t="s">
        <v>4579</v>
      </c>
      <c r="C55" s="283" t="s">
        <v>4575</v>
      </c>
      <c r="D55" s="157"/>
      <c r="E55" s="2656" cm="1" t="n">
        <f t="array" ref="E55">INDEX('7층_부하량'!D3:D3000,MATCH(1,("7-DaHall 1-PDU-02"='7층_부하량'!A3:A3000)*(49='7층_부하량'!B3:B3000),0))</f>
        <v>0.88</v>
      </c>
      <c r="F55" s="157"/>
      <c r="G55" s="157"/>
      <c r="H55" s="541" t="s">
        <v>4597</v>
      </c>
      <c r="I55" s="481" t="s">
        <v>4787</v>
      </c>
      <c r="J55" s="2337" t="s">
        <v>4788</v>
      </c>
      <c r="K55" s="523"/>
      <c r="L55" s="488" t="s">
        <v>4789</v>
      </c>
      <c r="M55" s="541" t="s">
        <v>4597</v>
      </c>
      <c r="N55" s="157"/>
      <c r="O55" s="2655" cm="1" t="n">
        <f t="array" ref="O55">INDEX('7층_부하량'!D3:D3000,MATCH(1,("7-DaHall 1-PDU-02"='7층_부하량'!A3:A3000)*(50='7층_부하량'!B3:B3000),0))</f>
        <v>0.0</v>
      </c>
      <c r="P55" s="157"/>
      <c r="Q55" s="157"/>
      <c r="R55" s="157" t="s">
        <v>4631</v>
      </c>
      <c r="S55" s="283" t="s">
        <v>4575</v>
      </c>
      <c r="T55" s="531" t="s">
        <v>4790</v>
      </c>
    </row>
    <row r="56" spans="1:21" ht="28.5" customHeight="1" x14ac:dyDescent="0.15">
      <c r="A56" s="2336" t="s">
        <v>1197</v>
      </c>
      <c r="B56" s="157" t="s">
        <v>4579</v>
      </c>
      <c r="C56" s="283" t="s">
        <v>4575</v>
      </c>
      <c r="D56" s="157"/>
      <c r="E56" s="157"/>
      <c r="F56" s="2656" cm="1" t="n">
        <f t="array" ref="F56">INDEX('7층_부하량'!E3:E3000,MATCH(1,("7-DaHall 1-PDU-02"='7층_부하량'!A3:A3000)*(51='7층_부하량'!B3:B3000),0))</f>
        <v>0.55</v>
      </c>
      <c r="G56" s="157"/>
      <c r="H56" s="541" t="s">
        <v>4597</v>
      </c>
      <c r="I56" s="481" t="s">
        <v>4791</v>
      </c>
      <c r="J56" s="2337" t="s">
        <v>4792</v>
      </c>
      <c r="K56" s="523"/>
      <c r="L56" s="488" t="s">
        <v>4793</v>
      </c>
      <c r="M56" s="541" t="s">
        <v>4597</v>
      </c>
      <c r="N56" s="157"/>
      <c r="O56" s="157"/>
      <c r="P56" s="2655" cm="1" t="n">
        <f t="array" ref="P56">INDEX('7층_부하량'!E3:E3000,MATCH(1,("7-DaHall 1-PDU-02"='7층_부하량'!A3:A3000)*(52='7층_부하량'!B3:B3000),0))</f>
        <v>0.0</v>
      </c>
      <c r="Q56" s="157"/>
      <c r="R56" s="157" t="s">
        <v>4631</v>
      </c>
      <c r="S56" s="283" t="s">
        <v>4575</v>
      </c>
      <c r="T56" s="531" t="s">
        <v>4794</v>
      </c>
    </row>
    <row r="57" spans="1:21" ht="20.100000000000001" customHeight="1" thickBot="1" x14ac:dyDescent="0.2">
      <c r="A57" s="507" t="s">
        <v>4795</v>
      </c>
      <c r="B57" s="166" t="s">
        <v>4631</v>
      </c>
      <c r="C57" s="184" t="s">
        <v>4575</v>
      </c>
      <c r="D57" s="2659" cm="1" t="n">
        <f t="array" ref="D57">INDEX('7층_부하량'!C3:C3000,MATCH(1,("7-DaHall 1-PDU-02"='7층_부하량'!A3:A3000)*(53='7층_부하량'!B3:B3000),0))</f>
        <v>0.0</v>
      </c>
      <c r="E57" s="167"/>
      <c r="F57" s="167"/>
      <c r="G57" s="167"/>
      <c r="H57" s="543" t="s">
        <v>4597</v>
      </c>
      <c r="I57" s="483" t="s">
        <v>4796</v>
      </c>
      <c r="J57" s="168" t="s">
        <v>4679</v>
      </c>
      <c r="K57" s="525"/>
      <c r="L57" s="491" t="s">
        <v>4797</v>
      </c>
      <c r="M57" s="543" t="s">
        <v>4597</v>
      </c>
      <c r="N57" s="2659" cm="1" t="n">
        <f t="array" ref="N57">INDEX('7층_부하량'!C3:C3000,MATCH(1,("7-DaHall 1-PDU-02"='7층_부하량'!A3:A3000)*(54='7층_부하량'!B3:B3000),0))</f>
        <v>0.0</v>
      </c>
      <c r="O57" s="167"/>
      <c r="P57" s="167"/>
      <c r="Q57" s="167"/>
      <c r="R57" s="166" t="s">
        <v>4631</v>
      </c>
      <c r="S57" s="184" t="s">
        <v>4575</v>
      </c>
      <c r="T57" s="533" t="s">
        <v>4798</v>
      </c>
    </row>
    <row r="58" spans="1:21" ht="20.100000000000001" customHeight="1" thickTop="1" x14ac:dyDescent="0.15">
      <c r="A58" s="504"/>
      <c r="B58" s="133"/>
      <c r="C58" s="133"/>
      <c r="D58" s="131"/>
      <c r="E58" s="131"/>
      <c r="F58" s="131"/>
      <c r="G58" s="131"/>
      <c r="H58" s="504"/>
      <c r="I58" s="133"/>
      <c r="J58" s="172"/>
      <c r="K58" s="522"/>
      <c r="L58" s="172"/>
      <c r="M58" s="504" t="s">
        <v>4713</v>
      </c>
      <c r="N58" s="131" t="n">
        <f>SUM(D31:D57,N31:N57)</f>
        <v>14.34</v>
      </c>
      <c r="O58" s="131" t="n">
        <f>SUM(E31:E57,O31:O57)</f>
        <v>18.51</v>
      </c>
      <c r="P58" s="131" t="n">
        <f>SUM(P31:P57,F31:F57)</f>
        <v>14.97</v>
      </c>
      <c r="Q58" s="131" t="n">
        <f>SUM(Q31:Q57,Y31:Y57)</f>
        <v>0.0</v>
      </c>
      <c r="R58" s="128"/>
      <c r="S58" s="128"/>
      <c r="T58" s="515"/>
    </row>
    <row r="59" spans="1:21" ht="20.100000000000001" customHeight="1" x14ac:dyDescent="0.15">
      <c r="A59" s="508"/>
      <c r="B59" s="128"/>
      <c r="C59" s="128"/>
      <c r="D59" s="128"/>
      <c r="E59" s="128"/>
      <c r="F59" s="128"/>
      <c r="G59" s="128"/>
      <c r="H59" s="508"/>
      <c r="I59" s="128"/>
      <c r="J59" s="128"/>
      <c r="K59" s="508"/>
      <c r="L59" s="128"/>
      <c r="M59" s="508"/>
      <c r="N59" s="128"/>
      <c r="O59" s="128"/>
      <c r="P59" s="128"/>
      <c r="Q59" s="128"/>
      <c r="R59" s="128"/>
      <c r="S59" s="128"/>
      <c r="T59" s="508"/>
    </row>
    <row r="60" spans="1:21" ht="20.100000000000001" customHeight="1" thickBot="1" x14ac:dyDescent="0.2">
      <c r="A60" s="505" t="s">
        <v>7020</v>
      </c>
      <c r="B60" s="128"/>
      <c r="C60" s="128"/>
      <c r="D60" s="3660" t="s">
        <v>8981</v>
      </c>
      <c r="E60" s="3660"/>
      <c r="F60" s="3660"/>
      <c r="G60" s="3660"/>
      <c r="H60" s="504"/>
      <c r="I60" s="133"/>
      <c r="J60" s="3663" t="s">
        <v>4715</v>
      </c>
      <c r="K60" s="3664"/>
      <c r="L60" s="487"/>
      <c r="M60" s="504"/>
      <c r="N60" s="173"/>
      <c r="O60" s="173"/>
      <c r="P60" s="173"/>
      <c r="Q60" s="173"/>
      <c r="R60" s="173"/>
      <c r="S60" s="173"/>
      <c r="T60" s="508"/>
    </row>
    <row r="61" spans="1:21" ht="20.100000000000001" customHeight="1" thickTop="1" thickBot="1" x14ac:dyDescent="0.2">
      <c r="A61" s="496"/>
      <c r="B61" s="128"/>
      <c r="C61" s="128"/>
      <c r="D61" s="129"/>
      <c r="E61" s="130"/>
      <c r="F61" s="130"/>
      <c r="G61" s="130"/>
      <c r="H61" s="515"/>
      <c r="I61" s="131"/>
      <c r="J61" s="128"/>
      <c r="K61" s="516"/>
      <c r="L61" s="132"/>
      <c r="M61" s="1371" t="s">
        <v>4562</v>
      </c>
      <c r="N61" s="1368">
        <v>33.4</v>
      </c>
      <c r="O61" s="1369">
        <v>43.4</v>
      </c>
      <c r="P61" s="1370">
        <v>40.1</v>
      </c>
      <c r="Q61" s="508" t="s">
        <v>4563</v>
      </c>
      <c r="R61" s="133"/>
      <c r="S61" s="128"/>
      <c r="T61" s="528"/>
    </row>
    <row r="62" spans="1:21" ht="20.100000000000001" customHeight="1" thickTop="1" thickBot="1" x14ac:dyDescent="0.2">
      <c r="A62" s="497" t="s">
        <v>4629</v>
      </c>
      <c r="B62" s="135" t="s">
        <v>4565</v>
      </c>
      <c r="C62" s="136" t="s">
        <v>4566</v>
      </c>
      <c r="D62" s="135" t="s">
        <v>4567</v>
      </c>
      <c r="E62" s="135" t="s">
        <v>4568</v>
      </c>
      <c r="F62" s="135" t="s">
        <v>4569</v>
      </c>
      <c r="G62" s="135" t="s">
        <v>4570</v>
      </c>
      <c r="H62" s="539" t="s">
        <v>4571</v>
      </c>
      <c r="I62" s="479"/>
      <c r="J62" s="138" t="s">
        <v>4572</v>
      </c>
      <c r="K62" s="517" t="s">
        <v>4572</v>
      </c>
      <c r="L62" s="479"/>
      <c r="M62" s="539" t="s">
        <v>4571</v>
      </c>
      <c r="N62" s="135" t="s">
        <v>4567</v>
      </c>
      <c r="O62" s="135" t="s">
        <v>4568</v>
      </c>
      <c r="P62" s="135" t="s">
        <v>4569</v>
      </c>
      <c r="Q62" s="135" t="s">
        <v>4570</v>
      </c>
      <c r="R62" s="135" t="s">
        <v>4565</v>
      </c>
      <c r="S62" s="136" t="s">
        <v>4566</v>
      </c>
      <c r="T62" s="529" t="s">
        <v>4629</v>
      </c>
    </row>
    <row r="63" spans="1:21" ht="17.25" thickTop="1" x14ac:dyDescent="0.15">
      <c r="A63" s="498" t="s">
        <v>4800</v>
      </c>
      <c r="B63" s="142" t="s">
        <v>4631</v>
      </c>
      <c r="C63" s="152" t="s">
        <v>4575</v>
      </c>
      <c r="D63" s="144"/>
      <c r="E63" s="2654" cm="1" t="n">
        <f t="array" ref="E63">INDEX('7층_부하량'!D3:D3000,MATCH(1,("7-DaHall 1-PDU-01"='7층_부하량'!A3:A3000)*(1='7층_부하량'!B3:B3000),0))</f>
        <v>0.0</v>
      </c>
      <c r="F63" s="144"/>
      <c r="G63" s="144"/>
      <c r="H63" s="540" t="s">
        <v>4576</v>
      </c>
      <c r="I63" s="480" t="s">
        <v>4633</v>
      </c>
      <c r="J63" s="145" t="s">
        <v>4675</v>
      </c>
      <c r="K63" s="523" t="s">
        <v>4779</v>
      </c>
      <c r="L63" s="480" t="s">
        <v>4578</v>
      </c>
      <c r="M63" s="540" t="s">
        <v>4576</v>
      </c>
      <c r="N63" s="144"/>
      <c r="O63" s="2654" cm="1" t="n">
        <f t="array" ref="O63">INDEX('7층_부하량'!D3:D3000,MATCH(1,("7-DaHall 1-PDU-01"='7층_부하량'!A3:A3000)*(2='7층_부하량'!B3:B3000),0))</f>
        <v>0.0</v>
      </c>
      <c r="P63" s="144"/>
      <c r="Q63" s="144"/>
      <c r="R63" s="144" t="s">
        <v>4631</v>
      </c>
      <c r="S63" s="152" t="s">
        <v>4575</v>
      </c>
      <c r="T63" s="534" t="s">
        <v>4801</v>
      </c>
      <c r="U63" t="s">
        <v>4784</v>
      </c>
    </row>
    <row r="64" spans="1:21" ht="16.5" x14ac:dyDescent="0.15">
      <c r="A64" s="499" t="s">
        <v>4802</v>
      </c>
      <c r="B64" s="143" t="s">
        <v>4631</v>
      </c>
      <c r="C64" s="164" t="s">
        <v>4575</v>
      </c>
      <c r="D64" s="346"/>
      <c r="E64" s="346"/>
      <c r="F64" s="2660" cm="1" t="n">
        <f t="array" ref="F64">INDEX('7층_부하량'!E3:E3000,MATCH(1,("7-DaHall 1-PDU-01"='7층_부하량'!A3:A3000)*(3='7층_부하량'!B3:B3000),0))</f>
        <v>2.07</v>
      </c>
      <c r="G64" s="149"/>
      <c r="H64" s="541" t="s">
        <v>4576</v>
      </c>
      <c r="I64" s="481" t="s">
        <v>4638</v>
      </c>
      <c r="J64" s="653" t="s">
        <v>4803</v>
      </c>
      <c r="K64" s="519"/>
      <c r="L64" s="481" t="s">
        <v>4583</v>
      </c>
      <c r="M64" s="541" t="s">
        <v>4576</v>
      </c>
      <c r="N64" s="149"/>
      <c r="O64" s="149"/>
      <c r="P64" s="2655" cm="1" t="n">
        <f t="array" ref="P64">INDEX('7층_부하량'!E3:E3000,MATCH(1,("7-DaHall 1-PDU-01"='7층_부하량'!A3:A3000)*(4='7층_부하량'!B3:B3000),0))</f>
        <v>0.0</v>
      </c>
      <c r="Q64" s="149"/>
      <c r="R64" s="149" t="s">
        <v>4631</v>
      </c>
      <c r="S64" s="164" t="s">
        <v>4575</v>
      </c>
      <c r="T64" s="531" t="s">
        <v>4804</v>
      </c>
    </row>
    <row r="65" spans="1:20" ht="16.5" x14ac:dyDescent="0.15">
      <c r="A65" s="500" t="s">
        <v>4805</v>
      </c>
      <c r="B65" s="143" t="s">
        <v>4631</v>
      </c>
      <c r="C65" s="164" t="s">
        <v>4575</v>
      </c>
      <c r="D65" s="2656" cm="1" t="n">
        <f t="array" ref="D65">INDEX('7층_부하량'!C3:C3000,MATCH(1,("7-DaHall 1-PDU-01"='7층_부하량'!A3:A3000)*(5='7층_부하량'!B3:B3000),0))</f>
        <v>4.88</v>
      </c>
      <c r="E65" s="157"/>
      <c r="F65" s="157"/>
      <c r="G65" s="157"/>
      <c r="H65" s="541" t="s">
        <v>4576</v>
      </c>
      <c r="I65" s="481" t="s">
        <v>4641</v>
      </c>
      <c r="J65" s="654" t="s">
        <v>4806</v>
      </c>
      <c r="K65" s="519" t="s">
        <v>4724</v>
      </c>
      <c r="L65" s="481" t="s">
        <v>4588</v>
      </c>
      <c r="M65" s="541" t="s">
        <v>4576</v>
      </c>
      <c r="N65" s="2656" cm="1" t="n">
        <f t="array" ref="N65">INDEX('7층_부하량'!C3:C3000,MATCH(1,("7-DaHall 1-PDU-01"='7층_부하량'!A3:A3000)*(6='7층_부하량'!B3:B3000),0))</f>
        <v>0.0</v>
      </c>
      <c r="O65" s="157"/>
      <c r="P65" s="157"/>
      <c r="Q65" s="157"/>
      <c r="R65" s="157" t="s">
        <v>4631</v>
      </c>
      <c r="S65" s="164" t="s">
        <v>4575</v>
      </c>
      <c r="T65" s="531" t="s">
        <v>4807</v>
      </c>
    </row>
    <row r="66" spans="1:20" ht="16.5" x14ac:dyDescent="0.15">
      <c r="A66" s="501" t="s">
        <v>4808</v>
      </c>
      <c r="B66" s="143" t="s">
        <v>4631</v>
      </c>
      <c r="C66" s="164" t="s">
        <v>4575</v>
      </c>
      <c r="D66" s="157"/>
      <c r="E66" s="2656" cm="1" t="n">
        <f t="array" ref="E66">INDEX('7층_부하량'!D3:D3000,MATCH(1,("7-DaHall 1-PDU-01"='7층_부하량'!A3:A3000)*(7='7층_부하량'!B3:B3000),0))</f>
        <v>5.95</v>
      </c>
      <c r="F66" s="157"/>
      <c r="G66" s="157"/>
      <c r="H66" s="541" t="s">
        <v>4576</v>
      </c>
      <c r="I66" s="481" t="s">
        <v>4645</v>
      </c>
      <c r="J66" s="154"/>
      <c r="K66" s="523"/>
      <c r="L66" s="488" t="s">
        <v>4593</v>
      </c>
      <c r="M66" s="541" t="s">
        <v>4576</v>
      </c>
      <c r="N66" s="157"/>
      <c r="O66" s="2656" cm="1" t="n">
        <f t="array" ref="O66">INDEX('7층_부하량'!D3:D3000,MATCH(1,("7-DaHall 1-PDU-01"='7층_부하량'!A3:A3000)*(8='7층_부하량'!B3:B3000),0))</f>
        <v>0.79</v>
      </c>
      <c r="P66" s="157"/>
      <c r="Q66" s="157"/>
      <c r="R66" s="157" t="s">
        <v>4631</v>
      </c>
      <c r="S66" s="283" t="s">
        <v>4575</v>
      </c>
      <c r="T66" s="531" t="s">
        <v>4809</v>
      </c>
    </row>
    <row r="67" spans="1:20" ht="16.5" x14ac:dyDescent="0.15">
      <c r="A67" s="501" t="s">
        <v>4810</v>
      </c>
      <c r="B67" s="143" t="s">
        <v>4631</v>
      </c>
      <c r="C67" s="164" t="s">
        <v>4575</v>
      </c>
      <c r="D67" s="157"/>
      <c r="E67" s="157"/>
      <c r="F67" s="2656" cm="1" t="n">
        <f t="array" ref="F67">INDEX('7층_부하량'!E3:E3000,MATCH(1,("7-DaHall 1-PDU-01"='7층_부하량'!A3:A3000)*(9='7층_부하량'!B3:B3000),0))</f>
        <v>2.7800000000000002</v>
      </c>
      <c r="G67" s="157"/>
      <c r="H67" s="541" t="s">
        <v>4576</v>
      </c>
      <c r="I67" s="481" t="s">
        <v>4648</v>
      </c>
      <c r="J67" s="154"/>
      <c r="K67" s="523"/>
      <c r="L67" s="488" t="s">
        <v>4596</v>
      </c>
      <c r="M67" s="541" t="s">
        <v>4597</v>
      </c>
      <c r="N67" s="157"/>
      <c r="O67" s="157"/>
      <c r="P67" s="2656" cm="1" t="n">
        <f t="array" ref="P67">INDEX('7층_부하량'!E3:E3000,MATCH(1,("7-DaHall 1-PDU-01"='7층_부하량'!A3:A3000)*(10='7층_부하량'!B3:B3000),0))</f>
        <v>2.08</v>
      </c>
      <c r="Q67" s="157"/>
      <c r="R67" s="157" t="s">
        <v>4631</v>
      </c>
      <c r="S67" s="283" t="s">
        <v>4575</v>
      </c>
      <c r="T67" s="531" t="s">
        <v>4811</v>
      </c>
    </row>
    <row r="68" spans="1:20" ht="16.5" x14ac:dyDescent="0.15">
      <c r="A68" s="713" t="s">
        <v>4812</v>
      </c>
      <c r="B68" s="157" t="s">
        <v>4631</v>
      </c>
      <c r="C68" s="164" t="s">
        <v>4575</v>
      </c>
      <c r="D68" s="2656" cm="1" t="n">
        <f t="array" ref="D68">INDEX('7층_부하량'!C3:C3000,MATCH(1,("7-DaHall 1-PDU-01"='7층_부하량'!A3:A3000)*(11='7층_부하량'!B3:B3000),0))</f>
        <v>4.15</v>
      </c>
      <c r="E68" s="157"/>
      <c r="F68" s="157"/>
      <c r="G68" s="157"/>
      <c r="H68" s="541" t="s">
        <v>4576</v>
      </c>
      <c r="I68" s="481" t="s">
        <v>4653</v>
      </c>
      <c r="J68" s="654" t="s">
        <v>4806</v>
      </c>
      <c r="K68" s="656" t="s">
        <v>4679</v>
      </c>
      <c r="L68" s="488" t="s">
        <v>4599</v>
      </c>
      <c r="M68" s="541" t="s">
        <v>4597</v>
      </c>
      <c r="N68" s="2656" cm="1" t="n">
        <f t="array" ref="N68">INDEX('7층_부하량'!C3:C3000,MATCH(1,("7-DaHall 1-PDU-01"='7층_부하량'!A3:A3000)*(12='7층_부하량'!B3:B3000),0))</f>
        <v>0.0</v>
      </c>
      <c r="O68" s="157"/>
      <c r="P68" s="157"/>
      <c r="Q68" s="157"/>
      <c r="R68" s="157" t="s">
        <v>4631</v>
      </c>
      <c r="S68" s="283" t="s">
        <v>4575</v>
      </c>
      <c r="T68" s="531" t="s">
        <v>4813</v>
      </c>
    </row>
    <row r="69" spans="1:20" ht="24" x14ac:dyDescent="0.15">
      <c r="A69" s="714" t="s">
        <v>4814</v>
      </c>
      <c r="B69" s="157" t="s">
        <v>4631</v>
      </c>
      <c r="C69" s="283" t="s">
        <v>4575</v>
      </c>
      <c r="D69" s="157"/>
      <c r="E69" s="2656" cm="1" t="n">
        <f t="array" ref="E69">INDEX('7층_부하량'!D3:D3000,MATCH(1,("7-DaHall 1-PDU-01"='7층_부하량'!A3:A3000)*(13='7층_부하량'!B3:B3000),0))</f>
        <v>2.02</v>
      </c>
      <c r="F69" s="157"/>
      <c r="G69" s="157"/>
      <c r="H69" s="541" t="s">
        <v>4597</v>
      </c>
      <c r="I69" s="481" t="s">
        <v>4657</v>
      </c>
      <c r="J69" s="654" t="s">
        <v>4806</v>
      </c>
      <c r="K69" s="523" t="s">
        <v>4734</v>
      </c>
      <c r="L69" s="488" t="s">
        <v>4601</v>
      </c>
      <c r="M69" s="541" t="s">
        <v>4597</v>
      </c>
      <c r="N69" s="157"/>
      <c r="O69" s="2656" cm="1" t="n">
        <f t="array" ref="O69">INDEX('7층_부하량'!D3:D3000,MATCH(1,("7-DaHall 1-PDU-01"='7층_부하량'!A3:A3000)*(14='7층_부하량'!B3:B3000),0))</f>
        <v>3.2</v>
      </c>
      <c r="P69" s="157"/>
      <c r="Q69" s="157"/>
      <c r="R69" s="157" t="s">
        <v>4631</v>
      </c>
      <c r="S69" s="283" t="s">
        <v>4575</v>
      </c>
      <c r="T69" s="531" t="s">
        <v>4735</v>
      </c>
    </row>
    <row r="70" spans="1:20" ht="24" x14ac:dyDescent="0.15">
      <c r="A70" s="500" t="s">
        <v>4815</v>
      </c>
      <c r="B70" s="157" t="s">
        <v>4631</v>
      </c>
      <c r="C70" s="283" t="s">
        <v>4575</v>
      </c>
      <c r="D70" s="157"/>
      <c r="E70" s="157"/>
      <c r="F70" s="2656" cm="1" t="n">
        <f t="array" ref="F70">INDEX('7층_부하량'!E3:E3000,MATCH(1,("7-DaHall 1-PDU-01"='7층_부하량'!A3:A3000)*(15='7층_부하량'!B3:B3000),0))</f>
        <v>0.0</v>
      </c>
      <c r="G70" s="157"/>
      <c r="H70" s="541" t="s">
        <v>4597</v>
      </c>
      <c r="I70" s="481" t="s">
        <v>4661</v>
      </c>
      <c r="J70" s="154" t="s">
        <v>4737</v>
      </c>
      <c r="K70" s="523" t="s">
        <v>4734</v>
      </c>
      <c r="L70" s="488" t="s">
        <v>4603</v>
      </c>
      <c r="M70" s="541" t="s">
        <v>4597</v>
      </c>
      <c r="N70" s="157"/>
      <c r="O70" s="157"/>
      <c r="P70" s="2656" cm="1" t="n">
        <f t="array" ref="P70">INDEX('7층_부하량'!E3:E3000,MATCH(1,("7-DaHall 1-PDU-01"='7층_부하량'!A3:A3000)*(16='7층_부하량'!B3:B3000),0))</f>
        <v>1.65</v>
      </c>
      <c r="Q70" s="157"/>
      <c r="R70" s="157" t="s">
        <v>4631</v>
      </c>
      <c r="S70" s="283" t="s">
        <v>4575</v>
      </c>
      <c r="T70" s="531" t="s">
        <v>4738</v>
      </c>
    </row>
    <row r="71" spans="1:20" ht="24" x14ac:dyDescent="0.15">
      <c r="A71" s="500" t="s">
        <v>4816</v>
      </c>
      <c r="B71" s="157" t="s">
        <v>4631</v>
      </c>
      <c r="C71" s="283" t="s">
        <v>4575</v>
      </c>
      <c r="D71" s="2656" cm="1" t="n">
        <f t="array" ref="D71">INDEX('7층_부하량'!C3:C3000,MATCH(1,("7-DaHall 1-PDU-01"='7층_부하량'!A3:A3000)*(17='7층_부하량'!B3:B3000),0))</f>
        <v>2.76</v>
      </c>
      <c r="E71" s="157"/>
      <c r="F71" s="157"/>
      <c r="G71" s="157"/>
      <c r="H71" s="541" t="s">
        <v>4597</v>
      </c>
      <c r="I71" s="481" t="s">
        <v>4665</v>
      </c>
      <c r="J71" s="154" t="s">
        <v>4721</v>
      </c>
      <c r="K71" s="1225" t="s">
        <v>4740</v>
      </c>
      <c r="L71" s="488" t="s">
        <v>4605</v>
      </c>
      <c r="M71" s="541" t="s">
        <v>4597</v>
      </c>
      <c r="N71" s="2656" cm="1" t="n">
        <f t="array" ref="N71">INDEX('7층_부하량'!C3:C3000,MATCH(1,("7-DaHall 1-PDU-01"='7층_부하량'!A3:A3000)*(18='7층_부하량'!B3:B3000),0))</f>
        <v>1.75</v>
      </c>
      <c r="O71" s="157"/>
      <c r="P71" s="157"/>
      <c r="Q71" s="157"/>
      <c r="R71" s="157" t="s">
        <v>4631</v>
      </c>
      <c r="S71" s="164" t="s">
        <v>4575</v>
      </c>
      <c r="T71" s="1227" t="s">
        <v>4817</v>
      </c>
    </row>
    <row r="72" spans="1:20" ht="24" x14ac:dyDescent="0.15">
      <c r="A72" s="500" t="s">
        <v>4818</v>
      </c>
      <c r="B72" s="157" t="s">
        <v>4631</v>
      </c>
      <c r="C72" s="283" t="s">
        <v>4575</v>
      </c>
      <c r="D72" s="157"/>
      <c r="E72" s="2656" cm="1" t="n">
        <f t="array" ref="E72">INDEX('7층_부하량'!D3:D3000,MATCH(1,("7-DaHall 1-PDU-01"='7층_부하량'!A3:A3000)*(19='7층_부하량'!B3:B3000),0))</f>
        <v>0.0</v>
      </c>
      <c r="F72" s="157"/>
      <c r="G72" s="157"/>
      <c r="H72" s="541" t="s">
        <v>4597</v>
      </c>
      <c r="I72" s="481" t="s">
        <v>4670</v>
      </c>
      <c r="J72" s="154" t="s">
        <v>4721</v>
      </c>
      <c r="K72" s="1225" t="s">
        <v>4743</v>
      </c>
      <c r="L72" s="488" t="s">
        <v>4609</v>
      </c>
      <c r="M72" s="541" t="s">
        <v>4597</v>
      </c>
      <c r="N72" s="157"/>
      <c r="O72" s="2656" cm="1" t="n">
        <f t="array" ref="O72">INDEX('7층_부하량'!D3:D3000,MATCH(1,("7-DaHall 1-PDU-01"='7층_부하량'!A3:A3000)*(20='7층_부하량'!B3:B3000),0))</f>
        <v>0.9</v>
      </c>
      <c r="P72" s="157"/>
      <c r="Q72" s="157"/>
      <c r="R72" s="157" t="s">
        <v>4631</v>
      </c>
      <c r="S72" s="283" t="s">
        <v>4575</v>
      </c>
      <c r="T72" s="1227" t="s">
        <v>4819</v>
      </c>
    </row>
    <row r="73" spans="1:20" ht="24" x14ac:dyDescent="0.15">
      <c r="A73" s="500" t="s">
        <v>4820</v>
      </c>
      <c r="B73" s="157" t="s">
        <v>4631</v>
      </c>
      <c r="C73" s="283" t="s">
        <v>4575</v>
      </c>
      <c r="D73" s="157"/>
      <c r="E73" s="157"/>
      <c r="F73" s="2656" cm="1" t="n">
        <f t="array" ref="F73">INDEX('7층_부하량'!E3:E3000,MATCH(1,("7-DaHall 1-PDU-01"='7층_부하량'!A3:A3000)*(21='7층_부하량'!B3:B3000),0))</f>
        <v>1.06</v>
      </c>
      <c r="G73" s="157"/>
      <c r="H73" s="541" t="s">
        <v>4597</v>
      </c>
      <c r="I73" s="481" t="s">
        <v>4674</v>
      </c>
      <c r="J73" s="154" t="s">
        <v>4721</v>
      </c>
      <c r="K73" s="1225" t="s">
        <v>4746</v>
      </c>
      <c r="L73" s="488" t="s">
        <v>4613</v>
      </c>
      <c r="M73" s="541" t="s">
        <v>4597</v>
      </c>
      <c r="N73" s="157"/>
      <c r="O73" s="157"/>
      <c r="P73" s="2656" cm="1" t="n">
        <f t="array" ref="P73">INDEX('7층_부하량'!E3:E3000,MATCH(1,("7-DaHall 1-PDU-01"='7층_부하량'!A3:A3000)*(22='7층_부하량'!B3:B3000),0))</f>
        <v>0.0</v>
      </c>
      <c r="Q73" s="157"/>
      <c r="R73" s="157" t="s">
        <v>4631</v>
      </c>
      <c r="S73" s="283" t="s">
        <v>4575</v>
      </c>
      <c r="T73" s="1227" t="s">
        <v>4821</v>
      </c>
    </row>
    <row r="74" spans="1:20" ht="24" x14ac:dyDescent="0.15">
      <c r="A74" s="500" t="s">
        <v>4822</v>
      </c>
      <c r="B74" s="157" t="s">
        <v>4631</v>
      </c>
      <c r="C74" s="283" t="s">
        <v>4575</v>
      </c>
      <c r="D74" s="2656" cm="1" t="n">
        <f t="array" ref="D74">INDEX('7층_부하량'!C3:C3000,MATCH(1,("7-DaHall 1-PDU-01"='7층_부하량'!A3:A3000)*(23='7층_부하량'!B3:B3000),0))</f>
        <v>0.0</v>
      </c>
      <c r="E74" s="157"/>
      <c r="F74" s="157"/>
      <c r="G74" s="157"/>
      <c r="H74" s="541" t="s">
        <v>4597</v>
      </c>
      <c r="I74" s="481" t="s">
        <v>4678</v>
      </c>
      <c r="J74" s="154" t="s">
        <v>4721</v>
      </c>
      <c r="K74" s="1225" t="s">
        <v>4749</v>
      </c>
      <c r="L74" s="488" t="s">
        <v>4680</v>
      </c>
      <c r="M74" s="541" t="s">
        <v>4597</v>
      </c>
      <c r="N74" s="2656" cm="1" t="n">
        <f t="array" ref="N74">INDEX('7층_부하량'!C3:C3000,MATCH(1,("7-DaHall 1-PDU-01"='7층_부하량'!A3:A3000)*(24='7층_부하량'!B3:B3000),0))</f>
        <v>0.0</v>
      </c>
      <c r="O74" s="157"/>
      <c r="P74" s="157"/>
      <c r="Q74" s="157"/>
      <c r="R74" s="157" t="s">
        <v>4631</v>
      </c>
      <c r="S74" s="283" t="s">
        <v>4575</v>
      </c>
      <c r="T74" s="1227" t="s">
        <v>4823</v>
      </c>
    </row>
    <row r="75" spans="1:20" ht="24" x14ac:dyDescent="0.15">
      <c r="A75" s="500" t="s">
        <v>4824</v>
      </c>
      <c r="B75" s="157" t="s">
        <v>4631</v>
      </c>
      <c r="C75" s="283" t="s">
        <v>4575</v>
      </c>
      <c r="D75" s="157"/>
      <c r="E75" s="2656" cm="1" t="n">
        <f t="array" ref="E75">INDEX('7층_부하량'!D3:D3000,MATCH(1,("7-DaHall 1-PDU-01"='7층_부하량'!A3:A3000)*(25='7층_부하량'!B3:B3000),0))</f>
        <v>0.0</v>
      </c>
      <c r="F75" s="157"/>
      <c r="G75" s="157"/>
      <c r="H75" s="541" t="s">
        <v>4597</v>
      </c>
      <c r="I75" s="481" t="s">
        <v>4683</v>
      </c>
      <c r="J75" s="654" t="s">
        <v>4806</v>
      </c>
      <c r="K75" s="1225" t="s">
        <v>4752</v>
      </c>
      <c r="L75" s="488" t="s">
        <v>4685</v>
      </c>
      <c r="M75" s="541" t="s">
        <v>4597</v>
      </c>
      <c r="N75" s="157"/>
      <c r="O75" s="2656" cm="1" t="n">
        <f t="array" ref="O75">INDEX('7층_부하량'!D3:D3000,MATCH(1,("7-DaHall 1-PDU-01"='7층_부하량'!A3:A3000)*(26='7층_부하량'!B3:B3000),0))</f>
        <v>0.0</v>
      </c>
      <c r="P75" s="157"/>
      <c r="Q75" s="157"/>
      <c r="R75" s="157" t="s">
        <v>4631</v>
      </c>
      <c r="S75" s="283" t="s">
        <v>4575</v>
      </c>
      <c r="T75" s="1227" t="s">
        <v>4825</v>
      </c>
    </row>
    <row r="76" spans="1:20" ht="24.75" thickBot="1" x14ac:dyDescent="0.2">
      <c r="A76" s="506" t="s">
        <v>4826</v>
      </c>
      <c r="B76" s="177" t="s">
        <v>4631</v>
      </c>
      <c r="C76" s="476" t="s">
        <v>4575</v>
      </c>
      <c r="D76" s="177"/>
      <c r="E76" s="177"/>
      <c r="F76" s="2661" cm="1" t="n">
        <f t="array" ref="F76">INDEX('7층_부하량'!E3:E3000,MATCH(1,("7-DaHall 1-PDU-01"='7층_부하량'!A3:A3000)*(27='7층_부하량'!B3:B3000),0))</f>
        <v>0.0</v>
      </c>
      <c r="G76" s="177"/>
      <c r="H76" s="544" t="s">
        <v>4597</v>
      </c>
      <c r="I76" s="484" t="s">
        <v>4688</v>
      </c>
      <c r="J76" s="178" t="s">
        <v>4721</v>
      </c>
      <c r="K76" s="1226" t="s">
        <v>4755</v>
      </c>
      <c r="L76" s="489" t="s">
        <v>4689</v>
      </c>
      <c r="M76" s="544" t="s">
        <v>4597</v>
      </c>
      <c r="N76" s="177"/>
      <c r="O76" s="177"/>
      <c r="P76" s="2661" cm="1" t="n">
        <f t="array" ref="P76">INDEX('7층_부하량'!E3:E3000,MATCH(1,("7-DaHall 1-PDU-01"='7층_부하량'!A3:A3000)*(28='7층_부하량'!B3:B3000),0))</f>
        <v>0.0</v>
      </c>
      <c r="Q76" s="177"/>
      <c r="R76" s="177" t="s">
        <v>4631</v>
      </c>
      <c r="S76" s="476" t="s">
        <v>4575</v>
      </c>
      <c r="T76" s="1228" t="s">
        <v>4827</v>
      </c>
    </row>
    <row r="77" spans="1:20" ht="21.75" thickTop="1" x14ac:dyDescent="0.15">
      <c r="A77" s="501" t="s">
        <v>4828</v>
      </c>
      <c r="B77" s="142" t="s">
        <v>4631</v>
      </c>
      <c r="C77" s="152" t="s">
        <v>4575</v>
      </c>
      <c r="D77" s="2656" cm="1" t="n">
        <f t="array" ref="D77">INDEX('7층_부하량'!C3:C3000,MATCH(1,("7-DaHall 1-PDU-01"='7층_부하량'!A3:A3000)*(29='7층_부하량'!B3:B3000),0))</f>
        <v>0.0</v>
      </c>
      <c r="E77" s="179"/>
      <c r="F77" s="179"/>
      <c r="G77" s="179"/>
      <c r="H77" s="542" t="s">
        <v>4597</v>
      </c>
      <c r="I77" s="482" t="s">
        <v>4691</v>
      </c>
      <c r="J77" s="180" t="s">
        <v>4829</v>
      </c>
      <c r="K77" s="524" t="s">
        <v>4758</v>
      </c>
      <c r="L77" s="490" t="s">
        <v>4692</v>
      </c>
      <c r="M77" s="542" t="s">
        <v>4597</v>
      </c>
      <c r="N77" s="2656" cm="1" t="n">
        <f t="array" ref="N77">INDEX('7층_부하량'!C3:C3000,MATCH(1,("7-DaHall 1-PDU-01"='7층_부하량'!A3:A3000)*(30='7층_부하량'!B3:B3000),0))</f>
        <v>0.0</v>
      </c>
      <c r="O77" s="179"/>
      <c r="P77" s="179"/>
      <c r="Q77" s="179"/>
      <c r="R77" s="157" t="s">
        <v>4631</v>
      </c>
      <c r="S77" s="283" t="s">
        <v>4575</v>
      </c>
      <c r="T77" s="1378" t="s">
        <v>4830</v>
      </c>
    </row>
    <row r="78" spans="1:20" ht="24" x14ac:dyDescent="0.15">
      <c r="A78" s="502" t="s">
        <v>4831</v>
      </c>
      <c r="B78" s="157" t="s">
        <v>4631</v>
      </c>
      <c r="C78" s="283" t="s">
        <v>4575</v>
      </c>
      <c r="D78" s="157"/>
      <c r="E78" s="2656" cm="1" t="n">
        <f t="array" ref="E78">INDEX('7층_부하량'!D3:D3000,MATCH(1,("7-DaHall 1-PDU-01"='7층_부하량'!A3:A3000)*(31='7층_부하량'!B3:B3000),0))</f>
        <v>1.54</v>
      </c>
      <c r="F78" s="157"/>
      <c r="G78" s="157"/>
      <c r="H78" s="541" t="s">
        <v>4597</v>
      </c>
      <c r="I78" s="481" t="s">
        <v>4693</v>
      </c>
      <c r="J78" s="657" t="s">
        <v>4761</v>
      </c>
      <c r="K78" s="523" t="s">
        <v>4762</v>
      </c>
      <c r="L78" s="488" t="s">
        <v>4694</v>
      </c>
      <c r="M78" s="541" t="s">
        <v>4597</v>
      </c>
      <c r="N78" s="157"/>
      <c r="O78" s="2656" cm="1" t="n">
        <f t="array" ref="O78">INDEX('7층_부하량'!D3:D3000,MATCH(1,("7-DaHall 1-PDU-01"='7층_부하량'!A3:A3000)*(32='7층_부하량'!B3:B3000),0))</f>
        <v>2.1</v>
      </c>
      <c r="P78" s="157"/>
      <c r="Q78" s="157"/>
      <c r="R78" s="157" t="s">
        <v>4631</v>
      </c>
      <c r="S78" s="283" t="s">
        <v>4575</v>
      </c>
      <c r="T78" s="531" t="s">
        <v>4832</v>
      </c>
    </row>
    <row r="79" spans="1:20" ht="24" x14ac:dyDescent="0.15">
      <c r="A79" s="500" t="s">
        <v>4833</v>
      </c>
      <c r="B79" s="157" t="s">
        <v>4631</v>
      </c>
      <c r="C79" s="283" t="s">
        <v>4575</v>
      </c>
      <c r="D79" s="157"/>
      <c r="E79" s="157"/>
      <c r="F79" s="2656" cm="1" t="n">
        <f t="array" ref="F79">INDEX('7층_부하량'!E3:E3000,MATCH(1,("7-DaHall 1-PDU-01"='7층_부하량'!A3:A3000)*(33='7층_부하량'!B3:B3000),0))</f>
        <v>0.0</v>
      </c>
      <c r="G79" s="157"/>
      <c r="H79" s="541" t="s">
        <v>4597</v>
      </c>
      <c r="I79" s="481" t="s">
        <v>4697</v>
      </c>
      <c r="J79" s="657" t="s">
        <v>4761</v>
      </c>
      <c r="K79" s="1399" t="s">
        <v>4766</v>
      </c>
      <c r="L79" s="488" t="s">
        <v>4698</v>
      </c>
      <c r="M79" s="541" t="s">
        <v>4597</v>
      </c>
      <c r="N79" s="157"/>
      <c r="O79" s="157"/>
      <c r="P79" s="2656" cm="1" t="n">
        <f t="array" ref="P79">INDEX('7층_부하량'!E3:E3000,MATCH(1,("7-DaHall 1-PDU-01"='7층_부하량'!A3:A3000)*(34='7층_부하량'!B3:B3000),0))</f>
        <v>0.0</v>
      </c>
      <c r="Q79" s="157"/>
      <c r="R79" s="157" t="s">
        <v>4631</v>
      </c>
      <c r="S79" s="283" t="s">
        <v>4575</v>
      </c>
      <c r="T79" s="531" t="s">
        <v>4834</v>
      </c>
    </row>
    <row r="80" spans="1:20" ht="16.5" x14ac:dyDescent="0.15">
      <c r="A80" s="500" t="s">
        <v>4835</v>
      </c>
      <c r="B80" s="157" t="s">
        <v>4631</v>
      </c>
      <c r="C80" s="283" t="s">
        <v>4575</v>
      </c>
      <c r="D80" s="2656" cm="1" t="n">
        <f t="array" ref="D80">INDEX('7층_부하량'!C3:C3000,MATCH(1,("7-DaHall 1-PDU-01"='7층_부하량'!A3:A3000)*(35='7층_부하량'!B3:B3000),0))</f>
        <v>2.27</v>
      </c>
      <c r="E80" s="157"/>
      <c r="F80" s="157"/>
      <c r="G80" s="157"/>
      <c r="H80" s="541" t="s">
        <v>4597</v>
      </c>
      <c r="I80" s="481" t="s">
        <v>4701</v>
      </c>
      <c r="J80" s="657" t="s">
        <v>4761</v>
      </c>
      <c r="K80" s="523"/>
      <c r="L80" s="488" t="s">
        <v>4703</v>
      </c>
      <c r="M80" s="541" t="s">
        <v>4597</v>
      </c>
      <c r="N80" s="2656" cm="1" t="n">
        <f t="array" ref="N80">INDEX('7층_부하량'!C3:C3000,MATCH(1,("7-DaHall 1-PDU-01"='7층_부하량'!A3:A3000)*(36='7층_부하량'!B3:B3000),0))</f>
        <v>0.0</v>
      </c>
      <c r="O80" s="157"/>
      <c r="P80" s="157"/>
      <c r="Q80" s="157"/>
      <c r="R80" s="157" t="s">
        <v>4631</v>
      </c>
      <c r="S80" s="283" t="s">
        <v>4575</v>
      </c>
      <c r="T80" s="531" t="s">
        <v>4836</v>
      </c>
    </row>
    <row r="81" spans="1:21" ht="24" x14ac:dyDescent="0.15">
      <c r="A81" s="502" t="s">
        <v>4837</v>
      </c>
      <c r="B81" s="157" t="s">
        <v>4631</v>
      </c>
      <c r="C81" s="283" t="s">
        <v>4575</v>
      </c>
      <c r="D81" s="157"/>
      <c r="E81" s="2656" cm="1" t="n">
        <f t="array" ref="E81">INDEX('7층_부하량'!D3:D3000,MATCH(1,("7-DaHall 1-PDU-01"='7층_부하량'!A3:A3000)*(37='7층_부하량'!B3:B3000),0))</f>
        <v>0.0</v>
      </c>
      <c r="F81" s="157"/>
      <c r="G81" s="157"/>
      <c r="H81" s="541" t="s">
        <v>4597</v>
      </c>
      <c r="I81" s="481" t="s">
        <v>4706</v>
      </c>
      <c r="J81" s="658"/>
      <c r="K81" s="523"/>
      <c r="L81" s="488" t="s">
        <v>4707</v>
      </c>
      <c r="M81" s="541" t="s">
        <v>4597</v>
      </c>
      <c r="N81" s="157"/>
      <c r="O81" s="2656" cm="1" t="n">
        <f t="array" ref="O81">INDEX('7층_부하량'!D3:D3000,MATCH(1,("7-DaHall 1-PDU-01"='7층_부하량'!A3:A3000)*(38='7층_부하량'!B3:B3000),0))</f>
        <v>1.71</v>
      </c>
      <c r="P81" s="157"/>
      <c r="Q81" s="157"/>
      <c r="R81" s="157" t="s">
        <v>4631</v>
      </c>
      <c r="S81" s="283" t="s">
        <v>4575</v>
      </c>
      <c r="T81" s="531" t="s">
        <v>4838</v>
      </c>
    </row>
    <row r="82" spans="1:21" ht="16.5" x14ac:dyDescent="0.15">
      <c r="A82" s="500" t="s">
        <v>4839</v>
      </c>
      <c r="B82" s="157" t="s">
        <v>4765</v>
      </c>
      <c r="C82" s="283" t="s">
        <v>4575</v>
      </c>
      <c r="D82" s="157"/>
      <c r="E82" s="157"/>
      <c r="F82" s="2656" cm="1" t="n">
        <f t="array" ref="F82">INDEX('7층_부하량'!E3:E3000,MATCH(1,("7-DaHall 1-PDU-01"='7층_부하량'!A3:A3000)*(39='7층_부하량'!B3:B3000),0))</f>
        <v>1.03</v>
      </c>
      <c r="G82" s="157"/>
      <c r="H82" s="541" t="s">
        <v>4597</v>
      </c>
      <c r="I82" s="481" t="s">
        <v>4710</v>
      </c>
      <c r="J82" s="154"/>
      <c r="K82" s="523"/>
      <c r="L82" s="488" t="s">
        <v>4711</v>
      </c>
      <c r="M82" s="541" t="s">
        <v>4597</v>
      </c>
      <c r="N82" s="157"/>
      <c r="O82" s="157"/>
      <c r="P82" s="2656" cm="1" t="n">
        <f t="array" ref="P82">INDEX('7층_부하량'!E3:E3000,MATCH(1,("7-DaHall 1-PDU-01"='7층_부하량'!A3:A3000)*(40='7층_부하량'!B3:B3000),0))</f>
        <v>3.16</v>
      </c>
      <c r="Q82" s="157"/>
      <c r="R82" s="157" t="s">
        <v>4631</v>
      </c>
      <c r="S82" s="283" t="s">
        <v>4575</v>
      </c>
      <c r="T82" s="531" t="s">
        <v>4840</v>
      </c>
    </row>
    <row r="83" spans="1:21" ht="16.5" x14ac:dyDescent="0.15">
      <c r="A83" s="500" t="s">
        <v>4841</v>
      </c>
      <c r="B83" s="157" t="s">
        <v>4579</v>
      </c>
      <c r="C83" s="283" t="s">
        <v>4575</v>
      </c>
      <c r="D83" s="2656" cm="1" t="n">
        <f t="array" ref="D83">INDEX('7층_부하량'!C3:C3000,MATCH(1,("7-DaHall 1-PDU-01"='7층_부하량'!A3:A3000)*(41='7층_부하량'!B3:B3000),0))</f>
        <v>1.05</v>
      </c>
      <c r="E83" s="157"/>
      <c r="F83" s="157"/>
      <c r="G83" s="157"/>
      <c r="H83" s="541" t="s">
        <v>4597</v>
      </c>
      <c r="I83" s="481" t="s">
        <v>4842</v>
      </c>
      <c r="J83" s="154" t="s">
        <v>1684</v>
      </c>
      <c r="K83" s="523"/>
      <c r="L83" s="488" t="s">
        <v>4843</v>
      </c>
      <c r="M83" s="541" t="s">
        <v>4597</v>
      </c>
      <c r="N83" s="2656" cm="1" t="n">
        <f t="array" ref="N83">INDEX('7층_부하량'!C3:C3000,MATCH(1,("7-DaHall 1-PDU-01"='7층_부하량'!A3:A3000)*(42='7층_부하량'!B3:B3000),0))</f>
        <v>0.35</v>
      </c>
      <c r="O83" s="157"/>
      <c r="P83" s="157"/>
      <c r="Q83" s="157"/>
      <c r="R83" s="157" t="s">
        <v>4765</v>
      </c>
      <c r="S83" s="283" t="s">
        <v>4575</v>
      </c>
      <c r="T83" s="531" t="s">
        <v>4844</v>
      </c>
    </row>
    <row r="84" spans="1:21" ht="16.5" x14ac:dyDescent="0.15">
      <c r="A84" s="500"/>
      <c r="B84" s="143" t="s">
        <v>4590</v>
      </c>
      <c r="C84" s="143" t="s">
        <v>4723</v>
      </c>
      <c r="D84" s="157"/>
      <c r="E84" s="2656" cm="1" t="n">
        <f t="array" ref="E84">INDEX('7층_부하량'!D3:D3000,MATCH(1,("7-DaHall 1-PDU-01"='7층_부하량'!A3:A3000)*(43='7층_부하량'!B3:B3000),0))</f>
        <v>0.0</v>
      </c>
      <c r="F84" s="157"/>
      <c r="G84" s="157"/>
      <c r="H84" s="541" t="s">
        <v>4597</v>
      </c>
      <c r="I84" s="481" t="s">
        <v>4845</v>
      </c>
      <c r="J84" s="154"/>
      <c r="K84" s="523" t="s">
        <v>4779</v>
      </c>
      <c r="L84" s="488" t="s">
        <v>4846</v>
      </c>
      <c r="M84" s="541" t="s">
        <v>4597</v>
      </c>
      <c r="N84" s="157"/>
      <c r="O84" s="2656" cm="1" t="n">
        <f t="array" ref="O84">INDEX('7층_부하량'!D3:D3000,MATCH(1,("7-DaHall 1-PDU-01"='7층_부하량'!A3:A3000)*(44='7층_부하량'!B3:B3000),0))</f>
        <v>0.0</v>
      </c>
      <c r="P84" s="157"/>
      <c r="Q84" s="157"/>
      <c r="R84" s="157" t="s">
        <v>4765</v>
      </c>
      <c r="S84" s="283" t="s">
        <v>4575</v>
      </c>
      <c r="T84" s="531" t="s">
        <v>813</v>
      </c>
      <c r="U84" s="2320" t="s">
        <v>4781</v>
      </c>
    </row>
    <row r="85" spans="1:21" ht="16.5" x14ac:dyDescent="0.15">
      <c r="A85" s="500"/>
      <c r="B85" s="143" t="s">
        <v>4590</v>
      </c>
      <c r="C85" s="143" t="s">
        <v>4723</v>
      </c>
      <c r="D85" s="157"/>
      <c r="E85" s="157"/>
      <c r="F85" s="2656" cm="1" t="n">
        <f t="array" ref="F85">INDEX('7층_부하량'!E3:E3000,MATCH(1,("7-DaHall 1-PDU-01"='7층_부하량'!A3:A3000)*(45='7층_부하량'!B3:B3000),0))</f>
        <v>0.0</v>
      </c>
      <c r="G85" s="157"/>
      <c r="H85" s="541" t="s">
        <v>4597</v>
      </c>
      <c r="I85" s="481" t="s">
        <v>4847</v>
      </c>
      <c r="J85" s="154"/>
      <c r="K85" s="523" t="s">
        <v>4779</v>
      </c>
      <c r="L85" s="488" t="s">
        <v>4848</v>
      </c>
      <c r="M85" s="541" t="s">
        <v>4597</v>
      </c>
      <c r="N85" s="157"/>
      <c r="O85" s="157"/>
      <c r="P85" s="2656" cm="1" t="n">
        <f t="array" ref="P85">INDEX('7층_부하량'!E3:E3000,MATCH(1,("7-DaHall 1-PDU-01"='7층_부하량'!A3:A3000)*(46='7층_부하량'!B3:B3000),0))</f>
        <v>0.0</v>
      </c>
      <c r="Q85" s="157"/>
      <c r="R85" s="157" t="s">
        <v>4765</v>
      </c>
      <c r="S85" s="283" t="s">
        <v>4575</v>
      </c>
      <c r="T85" s="531" t="s">
        <v>826</v>
      </c>
      <c r="U85" t="s">
        <v>4784</v>
      </c>
    </row>
    <row r="86" spans="1:21" x14ac:dyDescent="0.15">
      <c r="A86" s="500"/>
      <c r="B86" s="143" t="s">
        <v>4590</v>
      </c>
      <c r="C86" s="143" t="s">
        <v>4723</v>
      </c>
      <c r="D86" s="2656" cm="1" t="n">
        <f t="array" ref="D86">INDEX('7층_부하량'!C3:C3000,MATCH(1,("7-DaHall 1-PDU-01"='7층_부하량'!A3:A3000)*(47='7층_부하량'!B3:B3000),0))</f>
        <v>0.0</v>
      </c>
      <c r="E86" s="157"/>
      <c r="F86" s="157"/>
      <c r="G86" s="157"/>
      <c r="H86" s="541" t="s">
        <v>4597</v>
      </c>
      <c r="I86" s="481" t="s">
        <v>4849</v>
      </c>
      <c r="J86" s="154"/>
      <c r="K86" s="523"/>
      <c r="L86" s="488" t="s">
        <v>4850</v>
      </c>
      <c r="M86" s="541" t="s">
        <v>4597</v>
      </c>
      <c r="N86" s="2656" cm="1" t="n">
        <f t="array" ref="N86">INDEX('7층_부하량'!C3:C3000,MATCH(1,("7-DaHall 1-PDU-01"='7층_부하량'!A3:A3000)*(48='7층_부하량'!B3:B3000),0))</f>
        <v>1.71</v>
      </c>
      <c r="O86" s="157"/>
      <c r="P86" s="157"/>
      <c r="Q86" s="157"/>
      <c r="R86" s="157" t="s">
        <v>4590</v>
      </c>
      <c r="S86" s="143" t="s">
        <v>4642</v>
      </c>
      <c r="T86" s="531"/>
    </row>
    <row r="87" spans="1:21" x14ac:dyDescent="0.15">
      <c r="A87" s="500"/>
      <c r="B87" s="143" t="s">
        <v>4590</v>
      </c>
      <c r="C87" s="143" t="s">
        <v>4723</v>
      </c>
      <c r="D87" s="157"/>
      <c r="E87" s="2656" cm="1" t="n">
        <f t="array" ref="E87">INDEX('7층_부하량'!D3:D3000,MATCH(1,("7-DaHall 1-PDU-01"='7층_부하량'!A3:A3000)*(49='7층_부하량'!B3:B3000),0))</f>
        <v>0.0</v>
      </c>
      <c r="F87" s="157"/>
      <c r="G87" s="157"/>
      <c r="H87" s="541" t="s">
        <v>4597</v>
      </c>
      <c r="I87" s="481" t="s">
        <v>4851</v>
      </c>
      <c r="J87" s="154"/>
      <c r="K87" s="523"/>
      <c r="L87" s="488" t="s">
        <v>4852</v>
      </c>
      <c r="M87" s="541" t="s">
        <v>4597</v>
      </c>
      <c r="N87" s="157"/>
      <c r="O87" s="2655" cm="1" t="n">
        <f t="array" ref="O87">INDEX('7층_부하량'!D3:D3000,MATCH(1,("7-DaHall 1-PDU-01"='7층_부하량'!A3:A3000)*(50='7층_부하량'!B3:B3000),0))</f>
        <v>0.0</v>
      </c>
      <c r="P87" s="157"/>
      <c r="Q87" s="157"/>
      <c r="R87" s="157" t="s">
        <v>4590</v>
      </c>
      <c r="S87" s="143" t="s">
        <v>4642</v>
      </c>
      <c r="T87" s="531"/>
    </row>
    <row r="88" spans="1:21" ht="16.5" x14ac:dyDescent="0.15">
      <c r="A88" s="500"/>
      <c r="B88" s="143" t="s">
        <v>4590</v>
      </c>
      <c r="C88" s="143" t="s">
        <v>4723</v>
      </c>
      <c r="D88" s="157"/>
      <c r="E88" s="157"/>
      <c r="F88" s="2656" cm="1" t="n">
        <f t="array" ref="F88">INDEX('7층_부하량'!E3:E3000,MATCH(1,("7-DaHall 1-PDU-01"='7층_부하량'!A3:A3000)*(51='7층_부하량'!B3:B3000),0))</f>
        <v>0.0</v>
      </c>
      <c r="G88" s="157"/>
      <c r="H88" s="541" t="s">
        <v>4597</v>
      </c>
      <c r="I88" s="481" t="s">
        <v>4853</v>
      </c>
      <c r="J88" s="154"/>
      <c r="K88" s="523"/>
      <c r="L88" s="488" t="s">
        <v>4854</v>
      </c>
      <c r="M88" s="541" t="s">
        <v>4597</v>
      </c>
      <c r="N88" s="157"/>
      <c r="O88" s="157"/>
      <c r="P88" s="2655" cm="1" t="n">
        <f t="array" ref="P88">INDEX('7층_부하량'!E3:E3000,MATCH(1,("7-DaHall 1-PDU-01"='7층_부하량'!A3:A3000)*(52='7층_부하량'!B3:B3000),0))</f>
        <v>0.0</v>
      </c>
      <c r="Q88" s="157"/>
      <c r="R88" s="157" t="s">
        <v>4631</v>
      </c>
      <c r="S88" s="164" t="s">
        <v>4575</v>
      </c>
      <c r="T88" s="531" t="s">
        <v>4855</v>
      </c>
    </row>
    <row r="89" spans="1:21" ht="17.25" thickBot="1" x14ac:dyDescent="0.2">
      <c r="A89" s="507"/>
      <c r="B89" s="166" t="s">
        <v>4590</v>
      </c>
      <c r="C89" s="166" t="s">
        <v>4642</v>
      </c>
      <c r="D89" s="2659" cm="1" t="n">
        <f t="array" ref="D89">INDEX('7층_부하량'!C3:C3000,MATCH(1,("7-DaHall 1-PDU-01"='7층_부하량'!A3:A3000)*(53='7층_부하량'!B3:B3000),0))</f>
        <v>0.0</v>
      </c>
      <c r="E89" s="167"/>
      <c r="F89" s="167"/>
      <c r="G89" s="167"/>
      <c r="H89" s="543" t="s">
        <v>4597</v>
      </c>
      <c r="I89" s="483" t="s">
        <v>4856</v>
      </c>
      <c r="J89" s="168"/>
      <c r="K89" s="526" t="s">
        <v>4724</v>
      </c>
      <c r="L89" s="492" t="s">
        <v>4857</v>
      </c>
      <c r="M89" s="543" t="s">
        <v>4597</v>
      </c>
      <c r="N89" s="2659" cm="1" t="n">
        <f t="array" ref="N89">INDEX('7층_부하량'!C3:C3000,MATCH(1,("7-DaHall 1-PDU-01"='7층_부하량'!A3:A3000)*(54='7층_부하량'!B3:B3000),0))</f>
        <v>0.34</v>
      </c>
      <c r="O89" s="167"/>
      <c r="P89" s="167"/>
      <c r="Q89" s="167"/>
      <c r="R89" s="166" t="s">
        <v>4631</v>
      </c>
      <c r="S89" s="184" t="s">
        <v>4575</v>
      </c>
      <c r="T89" s="533" t="s">
        <v>4858</v>
      </c>
    </row>
    <row r="90" spans="1:21" ht="14.25" thickTop="1" x14ac:dyDescent="0.15">
      <c r="A90" s="504"/>
      <c r="B90" s="133"/>
      <c r="C90" s="133"/>
      <c r="D90" s="131"/>
      <c r="E90" s="131"/>
      <c r="F90" s="131"/>
      <c r="G90" s="131"/>
      <c r="H90" s="508"/>
      <c r="I90" s="128"/>
      <c r="J90" s="128"/>
      <c r="K90" s="508"/>
      <c r="L90" s="128"/>
      <c r="M90" s="504" t="s">
        <v>4713</v>
      </c>
      <c r="N90" s="131" t="n">
        <f>SUM(D63:D89,N63:N89)</f>
        <v>19.26</v>
      </c>
      <c r="O90" s="131" t="n">
        <f>SUM(E63:E89,O63:O89)</f>
        <v>18.21</v>
      </c>
      <c r="P90" s="131" t="n">
        <f>SUM(F63:F89,P63:P89)</f>
        <v>13.83</v>
      </c>
      <c r="Q90" s="131" t="n">
        <f>SUM(Q63:Q89,Y63:Y89)</f>
        <v>0.0</v>
      </c>
      <c r="R90" s="128"/>
      <c r="S90" s="128"/>
      <c r="T90" s="508"/>
    </row>
    <row r="91" spans="1:21" ht="14.25" thickBot="1" x14ac:dyDescent="0.2">
      <c r="A91" s="508"/>
      <c r="B91" s="128"/>
      <c r="C91" s="128"/>
      <c r="D91" s="128"/>
      <c r="E91" s="128"/>
      <c r="F91" s="128"/>
      <c r="G91" s="128"/>
      <c r="H91" s="508"/>
      <c r="I91" s="128"/>
      <c r="J91" s="128"/>
      <c r="K91" s="508"/>
      <c r="L91" s="128"/>
      <c r="M91" s="508"/>
      <c r="N91" s="128"/>
      <c r="O91" s="128"/>
      <c r="P91" s="128"/>
      <c r="Q91" s="128"/>
      <c r="R91" s="128"/>
      <c r="S91" s="128"/>
      <c r="T91" s="508"/>
    </row>
    <row r="92" spans="1:21" ht="15" thickTop="1" thickBot="1" x14ac:dyDescent="0.2">
      <c r="A92" s="53" t="s">
        <v>7014</v>
      </c>
      <c r="D92" s="3660" t="s">
        <v>8982</v>
      </c>
      <c r="E92" s="3660"/>
      <c r="F92" s="3660"/>
      <c r="G92" s="3660"/>
      <c r="H92" s="495"/>
      <c r="I92" s="124"/>
      <c r="J92" s="3661" t="s">
        <v>4628</v>
      </c>
      <c r="K92" s="3662"/>
      <c r="L92" s="486"/>
      <c r="M92" s="495"/>
      <c r="N92" s="126"/>
      <c r="O92" s="126"/>
      <c r="P92" s="126"/>
      <c r="Q92" s="126"/>
      <c r="R92" s="126"/>
      <c r="S92" s="126"/>
    </row>
    <row r="93" spans="1:21" ht="15" thickTop="1" thickBot="1" x14ac:dyDescent="0.2">
      <c r="A93" s="496"/>
      <c r="B93" s="128"/>
      <c r="C93" s="128"/>
      <c r="D93" s="129"/>
      <c r="E93" s="130"/>
      <c r="F93" s="130"/>
      <c r="G93" s="130"/>
      <c r="H93" s="515"/>
      <c r="I93" s="131"/>
      <c r="J93" s="128"/>
      <c r="K93" s="516"/>
      <c r="L93" s="132"/>
      <c r="M93" s="1371" t="s">
        <v>4562</v>
      </c>
      <c r="N93" s="1368">
        <v>39</v>
      </c>
      <c r="O93" s="1369">
        <v>12.5</v>
      </c>
      <c r="P93" s="1370">
        <v>20.5</v>
      </c>
      <c r="Q93" s="508" t="s">
        <v>4563</v>
      </c>
      <c r="R93" s="133"/>
      <c r="S93" s="128"/>
      <c r="T93" s="528"/>
    </row>
    <row r="94" spans="1:21" ht="15" thickTop="1" thickBot="1" x14ac:dyDescent="0.2">
      <c r="A94" s="497" t="s">
        <v>4629</v>
      </c>
      <c r="B94" s="135" t="s">
        <v>4565</v>
      </c>
      <c r="C94" s="136" t="s">
        <v>4566</v>
      </c>
      <c r="D94" s="135" t="s">
        <v>4567</v>
      </c>
      <c r="E94" s="135" t="s">
        <v>4568</v>
      </c>
      <c r="F94" s="135" t="s">
        <v>4569</v>
      </c>
      <c r="G94" s="135" t="s">
        <v>4570</v>
      </c>
      <c r="H94" s="539" t="s">
        <v>4571</v>
      </c>
      <c r="I94" s="479" t="s">
        <v>4860</v>
      </c>
      <c r="J94" s="138" t="s">
        <v>4572</v>
      </c>
      <c r="K94" s="517" t="s">
        <v>4572</v>
      </c>
      <c r="L94" s="479" t="s">
        <v>4861</v>
      </c>
      <c r="M94" s="539" t="s">
        <v>4571</v>
      </c>
      <c r="N94" s="135" t="s">
        <v>4567</v>
      </c>
      <c r="O94" s="135" t="s">
        <v>4568</v>
      </c>
      <c r="P94" s="135" t="s">
        <v>4569</v>
      </c>
      <c r="Q94" s="135" t="s">
        <v>4570</v>
      </c>
      <c r="R94" s="135" t="s">
        <v>4565</v>
      </c>
      <c r="S94" s="136" t="s">
        <v>4566</v>
      </c>
      <c r="T94" s="529" t="s">
        <v>4629</v>
      </c>
    </row>
    <row r="95" spans="1:21" ht="17.25" thickTop="1" x14ac:dyDescent="0.15">
      <c r="A95" s="498" t="s">
        <v>4862</v>
      </c>
      <c r="B95" s="142" t="s">
        <v>4631</v>
      </c>
      <c r="C95" s="152" t="s">
        <v>4575</v>
      </c>
      <c r="D95" s="2654" cm="1" t="n">
        <f t="array" ref="D95">INDEX('7층_부하량'!C3:C3000,MATCH(1,("7-DaHall 1-RPP-02"='7층_부하량'!A3:A3000)*(1='7층_부하량'!B3:B3000),0))</f>
        <v>0.0</v>
      </c>
      <c r="E95" s="144"/>
      <c r="F95" s="144"/>
      <c r="G95" s="144"/>
      <c r="H95" s="540" t="s">
        <v>4632</v>
      </c>
      <c r="I95" s="480" t="s">
        <v>4577</v>
      </c>
      <c r="J95" s="145" t="s">
        <v>4666</v>
      </c>
      <c r="K95" s="518" t="s">
        <v>4666</v>
      </c>
      <c r="L95" s="480" t="s">
        <v>4863</v>
      </c>
      <c r="M95" s="540" t="s">
        <v>4576</v>
      </c>
      <c r="N95" s="2654" cm="1" t="n">
        <f t="array" ref="N95">INDEX('7층_부하량'!C3:C3000,MATCH(1,("7-DaHall 1-RPP-02"='7층_부하량'!A3:A3000)*(2='7층_부하량'!B3:B3000),0))</f>
        <v>0.54</v>
      </c>
      <c r="O95" s="144"/>
      <c r="P95" s="144"/>
      <c r="Q95" s="144"/>
      <c r="R95" s="144" t="s">
        <v>4631</v>
      </c>
      <c r="S95" s="152" t="s">
        <v>4575</v>
      </c>
      <c r="T95" s="530" t="s">
        <v>4864</v>
      </c>
    </row>
    <row r="96" spans="1:21" ht="16.5" x14ac:dyDescent="0.15">
      <c r="A96" s="499" t="s">
        <v>4637</v>
      </c>
      <c r="B96" s="143" t="s">
        <v>4631</v>
      </c>
      <c r="C96" s="164" t="s">
        <v>4575</v>
      </c>
      <c r="D96" s="149"/>
      <c r="E96" s="2655" cm="1" t="n">
        <f t="array" ref="E96">INDEX('7층_부하량'!D3:D3000,MATCH(1,("7-DaHall 1-RPP-02"='7층_부하량'!A3:A3000)*(3='7층_부하량'!B3:B3000),0))</f>
        <v>0.0</v>
      </c>
      <c r="F96" s="149"/>
      <c r="G96" s="149"/>
      <c r="H96" s="541" t="s">
        <v>4632</v>
      </c>
      <c r="I96" s="481" t="s">
        <v>4582</v>
      </c>
      <c r="J96" s="150" t="s">
        <v>4666</v>
      </c>
      <c r="K96" s="519"/>
      <c r="L96" s="481" t="s">
        <v>4865</v>
      </c>
      <c r="M96" s="541" t="s">
        <v>4576</v>
      </c>
      <c r="N96" s="149"/>
      <c r="O96" s="2655" cm="1" t="n">
        <f t="array" ref="O96">INDEX('7층_부하량'!D3:D3000,MATCH(1,("7-DaHall 1-RPP-02"='7층_부하량'!A3:A3000)*(4='7층_부하량'!B3:B3000),0))</f>
        <v>0.0</v>
      </c>
      <c r="P96" s="149"/>
      <c r="Q96" s="149"/>
      <c r="R96" s="149" t="s">
        <v>4590</v>
      </c>
      <c r="S96" s="143" t="s">
        <v>4642</v>
      </c>
      <c r="T96" s="531" t="s">
        <v>4866</v>
      </c>
    </row>
    <row r="97" spans="1:20" ht="16.5" x14ac:dyDescent="0.15">
      <c r="A97" s="500" t="s">
        <v>4867</v>
      </c>
      <c r="B97" s="143" t="s">
        <v>4631</v>
      </c>
      <c r="C97" s="143" t="s">
        <v>4723</v>
      </c>
      <c r="D97" s="157"/>
      <c r="E97" s="157"/>
      <c r="F97" s="2656" cm="1" t="n">
        <f t="array" ref="F97">INDEX('7층_부하량'!E3:E3000,MATCH(1,("7-DaHall 1-RPP-02"='7층_부하량'!A3:A3000)*(5='7층_부하량'!B3:B3000),0))</f>
        <v>0.0</v>
      </c>
      <c r="G97" s="157"/>
      <c r="H97" s="541" t="s">
        <v>4632</v>
      </c>
      <c r="I97" s="481" t="s">
        <v>4587</v>
      </c>
      <c r="J97" s="150" t="s">
        <v>4634</v>
      </c>
      <c r="K97" s="519" t="s">
        <v>4634</v>
      </c>
      <c r="L97" s="481" t="s">
        <v>4868</v>
      </c>
      <c r="M97" s="541" t="s">
        <v>4576</v>
      </c>
      <c r="N97" s="157"/>
      <c r="O97" s="157"/>
      <c r="P97" s="2656" cm="1" t="n">
        <f t="array" ref="P97">INDEX('7층_부하량'!E3:E3000,MATCH(1,("7-DaHall 1-RPP-02"='7층_부하량'!A3:A3000)*(6='7층_부하량'!B3:B3000),0))</f>
        <v>0.0</v>
      </c>
      <c r="Q97" s="157"/>
      <c r="R97" s="157" t="s">
        <v>4631</v>
      </c>
      <c r="S97" s="164" t="s">
        <v>4575</v>
      </c>
      <c r="T97" s="531" t="s">
        <v>4869</v>
      </c>
    </row>
    <row r="98" spans="1:20" ht="24" x14ac:dyDescent="0.15">
      <c r="A98" s="509" t="s">
        <v>4870</v>
      </c>
      <c r="B98" s="143" t="s">
        <v>4631</v>
      </c>
      <c r="C98" s="164" t="s">
        <v>4575</v>
      </c>
      <c r="D98" s="2656" cm="1" t="n">
        <f t="array" ref="D98">INDEX('7층_부하량'!C3:C3000,MATCH(1,("7-DaHall 1-RPP-02"='7층_부하량'!A3:A3000)*(7='7층_부하량'!B3:B3000),0))</f>
        <v>1.11</v>
      </c>
      <c r="E98" s="157"/>
      <c r="F98" s="157"/>
      <c r="G98" s="157"/>
      <c r="H98" s="541" t="s">
        <v>4632</v>
      </c>
      <c r="I98" s="481" t="s">
        <v>4592</v>
      </c>
      <c r="J98" s="150" t="s">
        <v>4634</v>
      </c>
      <c r="K98" s="652" t="s">
        <v>4675</v>
      </c>
      <c r="L98" s="481" t="s">
        <v>4871</v>
      </c>
      <c r="M98" s="541" t="s">
        <v>4576</v>
      </c>
      <c r="N98" s="2656" cm="1" t="n">
        <f t="array" ref="N98">INDEX('7층_부하량'!C3:C3000,MATCH(1,("7-DaHall 1-RPP-02"='7층_부하량'!A3:A3000)*(8='7층_부하량'!B3:B3000),0))</f>
        <v>1.76</v>
      </c>
      <c r="O98" s="157"/>
      <c r="P98" s="157"/>
      <c r="Q98" s="157"/>
      <c r="R98" s="157" t="s">
        <v>4631</v>
      </c>
      <c r="S98" s="164" t="s">
        <v>4575</v>
      </c>
      <c r="T98" s="531" t="s">
        <v>4872</v>
      </c>
    </row>
    <row r="99" spans="1:20" ht="16.5" x14ac:dyDescent="0.15">
      <c r="A99" s="502" t="s">
        <v>4809</v>
      </c>
      <c r="B99" s="143" t="s">
        <v>4631</v>
      </c>
      <c r="C99" s="164" t="s">
        <v>4575</v>
      </c>
      <c r="D99" s="157"/>
      <c r="E99" s="2656" cm="1" t="n">
        <f t="array" ref="E99">INDEX('7층_부하량'!D3:D3000,MATCH(1,("7-DaHall 1-RPP-02"='7층_부하량'!A3:A3000)*(9='7층_부하량'!B3:B3000),0))</f>
        <v>0.84</v>
      </c>
      <c r="F99" s="157"/>
      <c r="G99" s="157"/>
      <c r="H99" s="541" t="s">
        <v>4632</v>
      </c>
      <c r="I99" s="481" t="s">
        <v>4595</v>
      </c>
      <c r="J99" s="150" t="s">
        <v>4634</v>
      </c>
      <c r="K99" s="652" t="s">
        <v>4873</v>
      </c>
      <c r="L99" s="481" t="s">
        <v>4874</v>
      </c>
      <c r="M99" s="541" t="s">
        <v>4597</v>
      </c>
      <c r="N99" s="157"/>
      <c r="O99" s="2656" cm="1" t="n">
        <f t="array" ref="O99">INDEX('7층_부하량'!D3:D3000,MATCH(1,("7-DaHall 1-RPP-02"='7층_부하량'!A3:A3000)*(10='7층_부하량'!B3:B3000),0))</f>
        <v>0.0</v>
      </c>
      <c r="P99" s="157"/>
      <c r="Q99" s="157"/>
      <c r="R99" s="157" t="s">
        <v>4631</v>
      </c>
      <c r="S99" s="164" t="s">
        <v>4575</v>
      </c>
      <c r="T99" s="535" t="s">
        <v>4875</v>
      </c>
    </row>
    <row r="100" spans="1:20" ht="16.5" x14ac:dyDescent="0.15">
      <c r="A100" s="500" t="s">
        <v>1217</v>
      </c>
      <c r="B100" s="143" t="s">
        <v>4631</v>
      </c>
      <c r="C100" s="164" t="s">
        <v>4575</v>
      </c>
      <c r="D100" s="157"/>
      <c r="E100" s="157"/>
      <c r="F100" s="2656" cm="1" t="n">
        <f t="array" ref="F100">INDEX('7층_부하량'!E3:E3000,MATCH(1,("7-DaHall 1-RPP-02"='7층_부하량'!A3:A3000)*(11='7층_부하량'!B3:B3000),0))</f>
        <v>0.0</v>
      </c>
      <c r="G100" s="157"/>
      <c r="H100" s="541" t="s">
        <v>4632</v>
      </c>
      <c r="I100" s="481" t="s">
        <v>4598</v>
      </c>
      <c r="J100" s="150" t="s">
        <v>4634</v>
      </c>
      <c r="K100" s="652" t="s">
        <v>4675</v>
      </c>
      <c r="L100" s="481" t="s">
        <v>4876</v>
      </c>
      <c r="M100" s="541" t="s">
        <v>4597</v>
      </c>
      <c r="N100" s="157"/>
      <c r="O100" s="157"/>
      <c r="P100" s="2656" cm="1" t="n">
        <f t="array" ref="P100">INDEX('7층_부하량'!E3:E3000,MATCH(1,("7-DaHall 1-RPP-02"='7층_부하량'!A3:A3000)*(12='7층_부하량'!B3:B3000),0))</f>
        <v>0.0</v>
      </c>
      <c r="Q100" s="157"/>
      <c r="R100" s="157" t="s">
        <v>4631</v>
      </c>
      <c r="S100" s="164" t="s">
        <v>4575</v>
      </c>
      <c r="T100" s="536" t="s">
        <v>4877</v>
      </c>
    </row>
    <row r="101" spans="1:20" ht="16.5" x14ac:dyDescent="0.15">
      <c r="A101" s="500" t="s">
        <v>4878</v>
      </c>
      <c r="B101" s="143" t="s">
        <v>4631</v>
      </c>
      <c r="C101" s="164" t="s">
        <v>4575</v>
      </c>
      <c r="D101" s="2656" cm="1" t="n">
        <f t="array" ref="D101">INDEX('7층_부하량'!C3:C3000,MATCH(1,("7-DaHall 1-RPP-02"='7층_부하량'!A3:A3000)*(13='7층_부하량'!B3:B3000),0))</f>
        <v>0.0</v>
      </c>
      <c r="E101" s="157"/>
      <c r="F101" s="157"/>
      <c r="G101" s="157"/>
      <c r="H101" s="541" t="s">
        <v>4632</v>
      </c>
      <c r="I101" s="481" t="s">
        <v>4600</v>
      </c>
      <c r="J101" s="150" t="s">
        <v>4634</v>
      </c>
      <c r="K101" s="519" t="s">
        <v>4879</v>
      </c>
      <c r="L101" s="481" t="s">
        <v>4880</v>
      </c>
      <c r="M101" s="541" t="s">
        <v>4597</v>
      </c>
      <c r="N101" s="2656" cm="1" t="n">
        <f t="array" ref="N101">INDEX('7층_부하량'!C3:C3000,MATCH(1,("7-DaHall 1-RPP-02"='7층_부하량'!A3:A3000)*(14='7층_부하량'!B3:B3000),0))</f>
        <v>5.68</v>
      </c>
      <c r="O101" s="157"/>
      <c r="P101" s="157"/>
      <c r="Q101" s="157"/>
      <c r="R101" s="157" t="s">
        <v>4631</v>
      </c>
      <c r="S101" s="164" t="s">
        <v>4575</v>
      </c>
      <c r="T101" s="535" t="s">
        <v>4881</v>
      </c>
    </row>
    <row r="102" spans="1:20" ht="16.5" x14ac:dyDescent="0.15">
      <c r="A102" s="500" t="s">
        <v>4882</v>
      </c>
      <c r="B102" s="143" t="s">
        <v>4631</v>
      </c>
      <c r="C102" s="164" t="s">
        <v>4575</v>
      </c>
      <c r="D102" s="157"/>
      <c r="E102" s="2656" cm="1" t="n">
        <f t="array" ref="E102">INDEX('7층_부하량'!D3:D3000,MATCH(1,("7-DaHall 1-RPP-02"='7층_부하량'!A3:A3000)*(15='7층_부하량'!B3:B3000),0))</f>
        <v>0.0</v>
      </c>
      <c r="F102" s="157"/>
      <c r="G102" s="157"/>
      <c r="H102" s="541" t="s">
        <v>4632</v>
      </c>
      <c r="I102" s="481" t="s">
        <v>4602</v>
      </c>
      <c r="J102" s="150" t="s">
        <v>4634</v>
      </c>
      <c r="K102" s="519" t="s">
        <v>4724</v>
      </c>
      <c r="L102" s="481" t="s">
        <v>4883</v>
      </c>
      <c r="M102" s="541" t="s">
        <v>4597</v>
      </c>
      <c r="N102" s="157"/>
      <c r="O102" s="2656" cm="1" t="n">
        <f t="array" ref="O102">INDEX('7층_부하량'!D3:D3000,MATCH(1,("7-DaHall 1-RPP-02"='7층_부하량'!A3:A3000)*(16='7층_부하량'!B3:B3000),0))</f>
        <v>0.0</v>
      </c>
      <c r="P102" s="157"/>
      <c r="Q102" s="157"/>
      <c r="R102" s="157" t="s">
        <v>4631</v>
      </c>
      <c r="S102" s="164" t="s">
        <v>4575</v>
      </c>
      <c r="T102" s="535" t="s">
        <v>4884</v>
      </c>
    </row>
    <row r="103" spans="1:20" ht="16.5" x14ac:dyDescent="0.15">
      <c r="A103" s="500" t="s">
        <v>4885</v>
      </c>
      <c r="B103" s="143" t="s">
        <v>4631</v>
      </c>
      <c r="C103" s="164" t="s">
        <v>4575</v>
      </c>
      <c r="D103" s="157"/>
      <c r="E103" s="157"/>
      <c r="F103" s="2656" cm="1" t="n">
        <f t="array" ref="F103">INDEX('7층_부하량'!E3:E3000,MATCH(1,("7-DaHall 1-RPP-02"='7층_부하량'!A3:A3000)*(17='7층_부하량'!B3:B3000),0))</f>
        <v>0.0</v>
      </c>
      <c r="G103" s="157"/>
      <c r="H103" s="541" t="s">
        <v>4632</v>
      </c>
      <c r="I103" s="481" t="s">
        <v>4604</v>
      </c>
      <c r="J103" s="150" t="s">
        <v>4634</v>
      </c>
      <c r="K103" s="652" t="s">
        <v>4679</v>
      </c>
      <c r="L103" s="481" t="s">
        <v>4886</v>
      </c>
      <c r="M103" s="541" t="s">
        <v>4597</v>
      </c>
      <c r="N103" s="157"/>
      <c r="O103" s="157"/>
      <c r="P103" s="2656" cm="1" t="n">
        <f t="array" ref="P103">INDEX('7층_부하량'!E3:E3000,MATCH(1,("7-DaHall 1-RPP-02"='7층_부하량'!A3:A3000)*(18='7층_부하량'!B3:B3000),0))</f>
        <v>0.0</v>
      </c>
      <c r="Q103" s="157"/>
      <c r="R103" s="157" t="s">
        <v>4631</v>
      </c>
      <c r="S103" s="164" t="s">
        <v>4575</v>
      </c>
      <c r="T103" s="535" t="s">
        <v>4887</v>
      </c>
    </row>
    <row r="104" spans="1:20" ht="16.5" x14ac:dyDescent="0.15">
      <c r="A104" s="502" t="s">
        <v>4888</v>
      </c>
      <c r="B104" s="143" t="s">
        <v>4631</v>
      </c>
      <c r="C104" s="164" t="s">
        <v>4575</v>
      </c>
      <c r="D104" s="2656" cm="1" t="n">
        <f t="array" ref="D104">INDEX('7층_부하량'!C3:C3000,MATCH(1,("7-DaHall 1-RPP-02"='7층_부하량'!A3:A3000)*(19='7층_부하량'!B3:B3000),0))</f>
        <v>0.0</v>
      </c>
      <c r="E104" s="157"/>
      <c r="F104" s="157"/>
      <c r="G104" s="157"/>
      <c r="H104" s="541" t="s">
        <v>4632</v>
      </c>
      <c r="I104" s="481" t="s">
        <v>4608</v>
      </c>
      <c r="J104" s="150"/>
      <c r="K104" s="655" t="s">
        <v>4684</v>
      </c>
      <c r="L104" s="481" t="s">
        <v>4889</v>
      </c>
      <c r="M104" s="541" t="s">
        <v>4597</v>
      </c>
      <c r="N104" s="2656" cm="1" t="n">
        <f t="array" ref="N104">INDEX('7층_부하량'!C3:C3000,MATCH(1,("7-DaHall 1-RPP-02"='7층_부하량'!A3:A3000)*(20='7층_부하량'!B3:B3000),0))</f>
        <v>0.0</v>
      </c>
      <c r="O104" s="157"/>
      <c r="P104" s="157"/>
      <c r="Q104" s="157"/>
      <c r="R104" s="157" t="s">
        <v>4631</v>
      </c>
      <c r="S104" s="164" t="s">
        <v>4575</v>
      </c>
      <c r="T104" s="535" t="s">
        <v>4890</v>
      </c>
    </row>
    <row r="105" spans="1:20" ht="16.5" x14ac:dyDescent="0.15">
      <c r="A105" s="502" t="s">
        <v>4891</v>
      </c>
      <c r="B105" s="143" t="s">
        <v>4590</v>
      </c>
      <c r="C105" s="143" t="s">
        <v>4723</v>
      </c>
      <c r="D105" s="157"/>
      <c r="E105" s="2656" cm="1" t="n">
        <f t="array" ref="E105">INDEX('7층_부하량'!D3:D3000,MATCH(1,("7-DaHall 1-RPP-02"='7층_부하량'!A3:A3000)*(21='7층_부하량'!B3:B3000),0))</f>
        <v>0.0</v>
      </c>
      <c r="F105" s="157"/>
      <c r="G105" s="157"/>
      <c r="H105" s="541" t="s">
        <v>4632</v>
      </c>
      <c r="I105" s="481" t="s">
        <v>4612</v>
      </c>
      <c r="J105" s="150" t="s">
        <v>4892</v>
      </c>
      <c r="K105" s="519" t="s">
        <v>4666</v>
      </c>
      <c r="L105" s="481" t="s">
        <v>4893</v>
      </c>
      <c r="M105" s="541" t="s">
        <v>4597</v>
      </c>
      <c r="N105" s="157"/>
      <c r="O105" s="2656" cm="1" t="n">
        <f t="array" ref="O105">INDEX('7층_부하량'!D3:D3000,MATCH(1,("7-DaHall 1-RPP-02"='7층_부하량'!A3:A3000)*(22='7층_부하량'!B3:B3000),0))</f>
        <v>0.0</v>
      </c>
      <c r="P105" s="157"/>
      <c r="Q105" s="157"/>
      <c r="R105" s="157" t="s">
        <v>4631</v>
      </c>
      <c r="S105" s="164" t="s">
        <v>4575</v>
      </c>
      <c r="T105" s="536" t="s">
        <v>4894</v>
      </c>
    </row>
    <row r="106" spans="1:20" ht="16.5" x14ac:dyDescent="0.15">
      <c r="A106" s="502" t="s">
        <v>4895</v>
      </c>
      <c r="B106" s="143" t="s">
        <v>4631</v>
      </c>
      <c r="C106" s="164" t="s">
        <v>4575</v>
      </c>
      <c r="D106" s="157"/>
      <c r="E106" s="157"/>
      <c r="F106" s="2656" cm="1" t="n">
        <f t="array" ref="F106">INDEX('7층_부하량'!E3:E3000,MATCH(1,("7-DaHall 1-RPP-02"='7층_부하량'!A3:A3000)*(23='7층_부하량'!B3:B3000),0))</f>
        <v>0.0</v>
      </c>
      <c r="G106" s="157"/>
      <c r="H106" s="541" t="s">
        <v>4632</v>
      </c>
      <c r="I106" s="481" t="s">
        <v>4896</v>
      </c>
      <c r="J106" s="150"/>
      <c r="K106" s="519" t="s">
        <v>4666</v>
      </c>
      <c r="L106" s="481" t="s">
        <v>4897</v>
      </c>
      <c r="M106" s="541" t="s">
        <v>4597</v>
      </c>
      <c r="N106" s="157"/>
      <c r="O106" s="157"/>
      <c r="P106" s="2656" cm="1" t="n">
        <f t="array" ref="P106">INDEX('7층_부하량'!E3:E3000,MATCH(1,("7-DaHall 1-RPP-02"='7층_부하량'!A3:A3000)*(24='7층_부하량'!B3:B3000),0))</f>
        <v>1.44</v>
      </c>
      <c r="Q106" s="157"/>
      <c r="R106" s="157" t="s">
        <v>4631</v>
      </c>
      <c r="S106" s="164" t="s">
        <v>4575</v>
      </c>
      <c r="T106" s="535" t="s">
        <v>4898</v>
      </c>
    </row>
    <row r="107" spans="1:20" ht="16.5" x14ac:dyDescent="0.15">
      <c r="A107" s="502" t="s">
        <v>4899</v>
      </c>
      <c r="B107" s="143" t="s">
        <v>4631</v>
      </c>
      <c r="C107" s="164" t="s">
        <v>4575</v>
      </c>
      <c r="D107" s="2656" cm="1" t="n">
        <f t="array" ref="D107">INDEX('7층_부하량'!C3:C3000,MATCH(1,("7-DaHall 1-RPP-02"='7층_부하량'!A3:A3000)*(25='7층_부하량'!B3:B3000),0))</f>
        <v>0.0</v>
      </c>
      <c r="E107" s="157"/>
      <c r="F107" s="157"/>
      <c r="G107" s="157"/>
      <c r="H107" s="541" t="s">
        <v>4632</v>
      </c>
      <c r="I107" s="481" t="s">
        <v>4900</v>
      </c>
      <c r="J107" s="150"/>
      <c r="K107" s="519" t="s">
        <v>4634</v>
      </c>
      <c r="L107" s="481" t="s">
        <v>4901</v>
      </c>
      <c r="M107" s="541" t="s">
        <v>4597</v>
      </c>
      <c r="N107" s="2656" cm="1" t="n">
        <f t="array" ref="N107">INDEX('7층_부하량'!C3:C3000,MATCH(1,("7-DaHall 1-RPP-02"='7층_부하량'!A3:A3000)*(26='7층_부하량'!B3:B3000),0))</f>
        <v>0.3</v>
      </c>
      <c r="O107" s="157"/>
      <c r="P107" s="157"/>
      <c r="Q107" s="157"/>
      <c r="R107" s="157" t="s">
        <v>4631</v>
      </c>
      <c r="S107" s="164" t="s">
        <v>4575</v>
      </c>
      <c r="T107" s="531" t="s">
        <v>4902</v>
      </c>
    </row>
    <row r="108" spans="1:20" ht="16.5" x14ac:dyDescent="0.15">
      <c r="A108" s="500" t="s">
        <v>4903</v>
      </c>
      <c r="B108" s="143" t="s">
        <v>4631</v>
      </c>
      <c r="C108" s="164" t="s">
        <v>4575</v>
      </c>
      <c r="D108" s="157"/>
      <c r="E108" s="2656" cm="1" t="n">
        <f t="array" ref="E108">INDEX('7층_부하량'!D3:D3000,MATCH(1,("7-DaHall 1-RPP-02"='7층_부하량'!A3:A3000)*(27='7층_부하량'!B3:B3000),0))</f>
        <v>5.63</v>
      </c>
      <c r="F108" s="157"/>
      <c r="G108" s="157"/>
      <c r="H108" s="541" t="s">
        <v>4632</v>
      </c>
      <c r="I108" s="481" t="s">
        <v>4904</v>
      </c>
      <c r="J108" s="653" t="s">
        <v>4905</v>
      </c>
      <c r="K108" s="519" t="s">
        <v>4654</v>
      </c>
      <c r="L108" s="481" t="s">
        <v>4906</v>
      </c>
      <c r="M108" s="541" t="s">
        <v>4597</v>
      </c>
      <c r="N108" s="157"/>
      <c r="O108" s="2656" cm="1" t="n">
        <f t="array" ref="O108">INDEX('7층_부하량'!D3:D3000,MATCH(1,("7-DaHall 1-RPP-02"='7층_부하량'!A3:A3000)*(28='7층_부하량'!B3:B3000),0))</f>
        <v>0.0</v>
      </c>
      <c r="P108" s="157"/>
      <c r="Q108" s="157"/>
      <c r="R108" s="157" t="s">
        <v>4631</v>
      </c>
      <c r="S108" s="143" t="s">
        <v>4723</v>
      </c>
      <c r="T108" s="531" t="s">
        <v>4907</v>
      </c>
    </row>
    <row r="109" spans="1:20" ht="16.5" x14ac:dyDescent="0.15">
      <c r="A109" s="501" t="s">
        <v>4908</v>
      </c>
      <c r="B109" s="156" t="s">
        <v>4631</v>
      </c>
      <c r="C109" s="189" t="s">
        <v>4575</v>
      </c>
      <c r="D109" s="179"/>
      <c r="E109" s="179"/>
      <c r="F109" s="2658" cm="1" t="n">
        <f t="array" ref="F109">INDEX('7층_부하량'!E3:E3000,MATCH(1,("7-DaHall 1-RPP-02"='7층_부하량'!A3:A3000)*(29='7층_부하량'!B3:B3000),0))</f>
        <v>0.0</v>
      </c>
      <c r="G109" s="179"/>
      <c r="H109" s="542" t="s">
        <v>4632</v>
      </c>
      <c r="I109" s="482" t="s">
        <v>4909</v>
      </c>
      <c r="J109" s="193" t="s">
        <v>4724</v>
      </c>
      <c r="K109" s="659" t="s">
        <v>4910</v>
      </c>
      <c r="L109" s="482" t="s">
        <v>4911</v>
      </c>
      <c r="M109" s="542" t="s">
        <v>4597</v>
      </c>
      <c r="N109" s="179"/>
      <c r="O109" s="179"/>
      <c r="P109" s="2658" cm="1" t="n">
        <f t="array" ref="P109">INDEX('7층_부하량'!E3:E3000,MATCH(1,("7-DaHall 1-RPP-02"='7층_부하량'!A3:A3000)*(30='7층_부하량'!B3:B3000),0))</f>
        <v>0.0</v>
      </c>
      <c r="Q109" s="179"/>
      <c r="R109" s="179" t="s">
        <v>4631</v>
      </c>
      <c r="S109" s="189" t="s">
        <v>4575</v>
      </c>
      <c r="T109" s="531" t="s">
        <v>4912</v>
      </c>
    </row>
    <row r="110" spans="1:20" ht="24" x14ac:dyDescent="0.15">
      <c r="A110" s="510" t="s">
        <v>4913</v>
      </c>
      <c r="B110" s="143" t="s">
        <v>4590</v>
      </c>
      <c r="C110" s="143" t="s">
        <v>4723</v>
      </c>
      <c r="D110" s="2656" cm="1" t="n">
        <f t="array" ref="D110">INDEX('7층_부하량'!C3:C3000,MATCH(1,("7-DaHall 1-RPP-02"='7층_부하량'!A3:A3000)*(31='7층_부하량'!B3:B3000),0))</f>
        <v>0.0</v>
      </c>
      <c r="E110" s="157"/>
      <c r="F110" s="157"/>
      <c r="G110" s="157"/>
      <c r="H110" s="541" t="s">
        <v>4632</v>
      </c>
      <c r="I110" s="481" t="s">
        <v>4914</v>
      </c>
      <c r="J110" s="150" t="s">
        <v>4649</v>
      </c>
      <c r="K110" s="519" t="s">
        <v>4654</v>
      </c>
      <c r="L110" s="481" t="s">
        <v>4915</v>
      </c>
      <c r="M110" s="541" t="s">
        <v>4597</v>
      </c>
      <c r="N110" s="2656" cm="1" t="n">
        <f t="array" ref="N110">INDEX('7층_부하량'!C3:C3000,MATCH(1,("7-DaHall 1-RPP-02"='7층_부하량'!A3:A3000)*(32='7층_부하량'!B3:B3000),0))</f>
        <v>1.48</v>
      </c>
      <c r="O110" s="157"/>
      <c r="P110" s="157"/>
      <c r="Q110" s="157"/>
      <c r="R110" s="157" t="s">
        <v>4631</v>
      </c>
      <c r="S110" s="164" t="s">
        <v>4575</v>
      </c>
      <c r="T110" s="531" t="s">
        <v>4916</v>
      </c>
    </row>
    <row r="111" spans="1:20" ht="16.5" x14ac:dyDescent="0.15">
      <c r="A111" s="500" t="s">
        <v>4917</v>
      </c>
      <c r="B111" s="143" t="s">
        <v>4590</v>
      </c>
      <c r="C111" s="143" t="s">
        <v>4723</v>
      </c>
      <c r="D111" s="157"/>
      <c r="E111" s="2656" cm="1" t="n">
        <f t="array" ref="E111">INDEX('7층_부하량'!D3:D3000,MATCH(1,("7-DaHall 1-RPP-02"='7층_부하량'!A3:A3000)*(33='7층_부하량'!B3:B3000),0))</f>
        <v>0.0</v>
      </c>
      <c r="F111" s="157"/>
      <c r="G111" s="157"/>
      <c r="H111" s="541" t="s">
        <v>4632</v>
      </c>
      <c r="I111" s="481" t="s">
        <v>4918</v>
      </c>
      <c r="J111" s="150" t="s">
        <v>4649</v>
      </c>
      <c r="K111" s="519"/>
      <c r="L111" s="481" t="s">
        <v>4919</v>
      </c>
      <c r="M111" s="541" t="s">
        <v>4597</v>
      </c>
      <c r="N111" s="157"/>
      <c r="O111" s="2656" cm="1" t="n">
        <f t="array" ref="O111">INDEX('7층_부하량'!D3:D3000,MATCH(1,("7-DaHall 1-RPP-02"='7층_부하량'!A3:A3000)*(34='7층_부하량'!B3:B3000),0))</f>
        <v>0.0</v>
      </c>
      <c r="P111" s="157"/>
      <c r="Q111" s="157"/>
      <c r="R111" s="157" t="s">
        <v>4631</v>
      </c>
      <c r="S111" s="164" t="s">
        <v>4575</v>
      </c>
      <c r="T111" s="532" t="s">
        <v>4920</v>
      </c>
    </row>
    <row r="112" spans="1:20" ht="16.5" x14ac:dyDescent="0.15">
      <c r="A112" s="500" t="s">
        <v>4921</v>
      </c>
      <c r="B112" s="143" t="s">
        <v>4631</v>
      </c>
      <c r="C112" s="164" t="s">
        <v>4575</v>
      </c>
      <c r="D112" s="157"/>
      <c r="E112" s="157"/>
      <c r="F112" s="2656" cm="1" t="n">
        <f t="array" ref="F112">INDEX('7층_부하량'!E3:E3000,MATCH(1,("7-DaHall 1-RPP-02"='7층_부하량'!A3:A3000)*(35='7층_부하량'!B3:B3000),0))</f>
        <v>1.72</v>
      </c>
      <c r="G112" s="157"/>
      <c r="H112" s="541" t="s">
        <v>4632</v>
      </c>
      <c r="I112" s="481" t="s">
        <v>4922</v>
      </c>
      <c r="J112" s="150" t="s">
        <v>4634</v>
      </c>
      <c r="K112" s="519" t="s">
        <v>4923</v>
      </c>
      <c r="L112" s="481" t="s">
        <v>4924</v>
      </c>
      <c r="M112" s="541" t="s">
        <v>4597</v>
      </c>
      <c r="N112" s="157"/>
      <c r="O112" s="157"/>
      <c r="P112" s="2656" cm="1" t="n">
        <f t="array" ref="P112">INDEX('7층_부하량'!E3:E3000,MATCH(1,("7-DaHall 1-RPP-02"='7층_부하량'!A3:A3000)*(36='7층_부하량'!B3:B3000),0))</f>
        <v>3.37</v>
      </c>
      <c r="Q112" s="157"/>
      <c r="R112" s="157" t="s">
        <v>4631</v>
      </c>
      <c r="S112" s="164" t="s">
        <v>4575</v>
      </c>
      <c r="T112" s="531" t="s">
        <v>4925</v>
      </c>
    </row>
    <row r="113" spans="1:20" ht="16.5" x14ac:dyDescent="0.15">
      <c r="A113" s="500" t="s">
        <v>4926</v>
      </c>
      <c r="B113" s="143" t="s">
        <v>4631</v>
      </c>
      <c r="C113" s="164" t="s">
        <v>4575</v>
      </c>
      <c r="D113" s="2656" cm="1" t="n">
        <f t="array" ref="D113">INDEX('7층_부하량'!C3:C3000,MATCH(1,("7-DaHall 1-RPP-02"='7층_부하량'!A3:A3000)*(37='7층_부하량'!B3:B3000),0))</f>
        <v>0.0</v>
      </c>
      <c r="E113" s="157"/>
      <c r="F113" s="157"/>
      <c r="G113" s="157"/>
      <c r="H113" s="541" t="s">
        <v>4632</v>
      </c>
      <c r="I113" s="481" t="s">
        <v>4927</v>
      </c>
      <c r="J113" s="150" t="s">
        <v>4634</v>
      </c>
      <c r="K113" s="519" t="s">
        <v>4649</v>
      </c>
      <c r="L113" s="481" t="s">
        <v>4928</v>
      </c>
      <c r="M113" s="541" t="s">
        <v>4597</v>
      </c>
      <c r="N113" s="2656" cm="1" t="n">
        <f t="array" ref="N113">INDEX('7층_부하량'!C3:C3000,MATCH(1,("7-DaHall 1-RPP-02"='7층_부하량'!A3:A3000)*(38='7층_부하량'!B3:B3000),0))</f>
        <v>4.88</v>
      </c>
      <c r="O113" s="157"/>
      <c r="P113" s="157"/>
      <c r="Q113" s="157"/>
      <c r="R113" s="157" t="s">
        <v>4631</v>
      </c>
      <c r="S113" s="164" t="s">
        <v>4575</v>
      </c>
      <c r="T113" s="531" t="s">
        <v>4929</v>
      </c>
    </row>
    <row r="114" spans="1:20" ht="17.25" thickBot="1" x14ac:dyDescent="0.2">
      <c r="A114" s="503" t="s">
        <v>4930</v>
      </c>
      <c r="B114" s="166" t="s">
        <v>4631</v>
      </c>
      <c r="C114" s="184" t="s">
        <v>4575</v>
      </c>
      <c r="D114" s="167"/>
      <c r="E114" s="2659" cm="1" t="n">
        <f t="array" ref="E114">INDEX('7층_부하량'!D3:D3000,MATCH(1,("7-DaHall 1-RPP-02"='7층_부하량'!A3:A3000)*(39='7층_부하량'!B3:B3000),0))</f>
        <v>2.43</v>
      </c>
      <c r="F114" s="167"/>
      <c r="G114" s="167"/>
      <c r="H114" s="543" t="s">
        <v>4632</v>
      </c>
      <c r="I114" s="483" t="s">
        <v>4931</v>
      </c>
      <c r="J114" s="194" t="s">
        <v>4634</v>
      </c>
      <c r="K114" s="521"/>
      <c r="L114" s="483" t="s">
        <v>4932</v>
      </c>
      <c r="M114" s="543" t="s">
        <v>4597</v>
      </c>
      <c r="N114" s="167"/>
      <c r="O114" s="2659" cm="1" t="n">
        <f t="array" ref="O114">INDEX('7층_부하량'!D3:D3000,MATCH(1,("7-DaHall 1-RPP-02"='7층_부하량'!A3:A3000)*(40='7층_부하량'!B3:B3000),0))</f>
        <v>0.0</v>
      </c>
      <c r="P114" s="167"/>
      <c r="Q114" s="167"/>
      <c r="R114" s="167" t="s">
        <v>4631</v>
      </c>
      <c r="S114" s="184" t="s">
        <v>4575</v>
      </c>
      <c r="T114" s="533" t="s">
        <v>4933</v>
      </c>
    </row>
    <row r="115" spans="1:20" ht="14.25" thickTop="1" x14ac:dyDescent="0.15">
      <c r="A115" s="504"/>
      <c r="B115" s="133"/>
      <c r="C115" s="133"/>
      <c r="D115" s="131"/>
      <c r="E115" s="131"/>
      <c r="F115" s="131"/>
      <c r="G115" s="131"/>
      <c r="M115" s="504" t="s">
        <v>4713</v>
      </c>
      <c r="N115" s="128" t="n">
        <f>SUM(D95:D114,N95:N114)</f>
        <v>15.75</v>
      </c>
      <c r="O115" s="128" t="n">
        <f>SUM(E95:E114,O95:O114)</f>
        <v>8.9</v>
      </c>
      <c r="P115" s="128" t="n">
        <f>SUM(F95:F114,P95:P114)</f>
        <v>6.53</v>
      </c>
    </row>
    <row r="116" spans="1:20" ht="14.25" thickBot="1" x14ac:dyDescent="0.2"/>
    <row r="117" spans="1:20" ht="15" thickTop="1" thickBot="1" x14ac:dyDescent="0.2">
      <c r="A117" s="53" t="s">
        <v>7017</v>
      </c>
      <c r="D117" s="3660" t="s">
        <v>8983</v>
      </c>
      <c r="E117" s="3660"/>
      <c r="F117" s="3660"/>
      <c r="G117" s="3660"/>
      <c r="H117" s="495"/>
      <c r="I117" s="124"/>
      <c r="J117" s="3661" t="s">
        <v>4934</v>
      </c>
      <c r="K117" s="3662"/>
      <c r="L117" s="486"/>
      <c r="M117" s="495"/>
      <c r="N117" s="126"/>
      <c r="O117" s="126"/>
      <c r="P117" s="126"/>
      <c r="Q117" s="126"/>
      <c r="R117" s="126"/>
      <c r="S117" s="126"/>
    </row>
    <row r="118" spans="1:20" ht="15" thickTop="1" thickBot="1" x14ac:dyDescent="0.2">
      <c r="A118" s="496"/>
      <c r="B118" s="128"/>
      <c r="C118" s="128"/>
      <c r="D118" s="129"/>
      <c r="E118" s="130"/>
      <c r="F118" s="130"/>
      <c r="G118" s="130"/>
      <c r="H118" s="515"/>
      <c r="I118" s="131"/>
      <c r="J118" s="128"/>
      <c r="K118" s="516"/>
      <c r="L118" s="132"/>
      <c r="M118" s="1371" t="s">
        <v>4562</v>
      </c>
      <c r="N118" s="1368">
        <v>6.8</v>
      </c>
      <c r="O118" s="1369">
        <v>8</v>
      </c>
      <c r="P118" s="1370">
        <v>5</v>
      </c>
      <c r="Q118" s="508" t="s">
        <v>4563</v>
      </c>
      <c r="R118" s="133"/>
      <c r="S118" s="128"/>
      <c r="T118" s="528"/>
    </row>
    <row r="119" spans="1:20" ht="15" thickTop="1" thickBot="1" x14ac:dyDescent="0.2">
      <c r="A119" s="497" t="s">
        <v>4629</v>
      </c>
      <c r="B119" s="135" t="s">
        <v>4565</v>
      </c>
      <c r="C119" s="136" t="s">
        <v>4566</v>
      </c>
      <c r="D119" s="135" t="s">
        <v>4567</v>
      </c>
      <c r="E119" s="135" t="s">
        <v>4568</v>
      </c>
      <c r="F119" s="135" t="s">
        <v>4569</v>
      </c>
      <c r="G119" s="135" t="s">
        <v>4570</v>
      </c>
      <c r="H119" s="539" t="s">
        <v>4571</v>
      </c>
      <c r="I119" s="479"/>
      <c r="J119" s="138" t="s">
        <v>4572</v>
      </c>
      <c r="K119" s="517" t="s">
        <v>4572</v>
      </c>
      <c r="L119" s="479"/>
      <c r="M119" s="539" t="s">
        <v>4571</v>
      </c>
      <c r="N119" s="135" t="s">
        <v>4567</v>
      </c>
      <c r="O119" s="135" t="s">
        <v>4568</v>
      </c>
      <c r="P119" s="135" t="s">
        <v>4569</v>
      </c>
      <c r="Q119" s="135" t="s">
        <v>4570</v>
      </c>
      <c r="R119" s="135" t="s">
        <v>4565</v>
      </c>
      <c r="S119" s="136" t="s">
        <v>4566</v>
      </c>
      <c r="T119" s="529" t="s">
        <v>4629</v>
      </c>
    </row>
    <row r="120" spans="1:20" ht="17.25" thickTop="1" x14ac:dyDescent="0.15">
      <c r="A120" s="498" t="s">
        <v>4935</v>
      </c>
      <c r="B120" s="142" t="s">
        <v>4631</v>
      </c>
      <c r="C120" s="152" t="s">
        <v>4575</v>
      </c>
      <c r="D120" s="2654" cm="1" t="n">
        <f t="array" ref="D120">INDEX('7층_부하량'!C3:C3000,MATCH(1,("7-DaHall 1-RPP-03"='7층_부하량'!A3:A3000)*(1='7층_부하량'!B3:B3000),0))</f>
        <v>1.17</v>
      </c>
      <c r="E120" s="144"/>
      <c r="F120" s="144"/>
      <c r="G120" s="144"/>
      <c r="H120" s="540" t="s">
        <v>4936</v>
      </c>
      <c r="I120" s="482" t="s">
        <v>4633</v>
      </c>
      <c r="J120" s="150" t="s">
        <v>4937</v>
      </c>
      <c r="K120" s="518" t="s">
        <v>4724</v>
      </c>
      <c r="L120" s="480" t="s">
        <v>4578</v>
      </c>
      <c r="M120" s="540" t="s">
        <v>4936</v>
      </c>
      <c r="N120" s="2654" cm="1" t="n">
        <f t="array" ref="N120">INDEX('7층_부하량'!C3:C3000,MATCH(1,("7-DaHall 1-RPP-03"='7층_부하량'!A3:A3000)*(2='7층_부하량'!B3:B3000),0))</f>
        <v>0.94</v>
      </c>
      <c r="O120" s="144"/>
      <c r="P120" s="144"/>
      <c r="Q120" s="144"/>
      <c r="R120" s="144" t="s">
        <v>4631</v>
      </c>
      <c r="S120" s="152" t="s">
        <v>4575</v>
      </c>
      <c r="T120" s="530" t="s">
        <v>4938</v>
      </c>
    </row>
    <row r="121" spans="1:20" ht="16.5" x14ac:dyDescent="0.15">
      <c r="A121" s="499" t="s">
        <v>4939</v>
      </c>
      <c r="B121" s="143" t="s">
        <v>4631</v>
      </c>
      <c r="C121" s="164" t="s">
        <v>4575</v>
      </c>
      <c r="D121" s="149"/>
      <c r="E121" s="2655" cm="1" t="n">
        <f t="array" ref="E121">INDEX('7층_부하량'!D3:D3000,MATCH(1,("7-DaHall 1-RPP-03"='7층_부하량'!A3:A3000)*(3='7층_부하량'!B3:B3000),0))</f>
        <v>2.75</v>
      </c>
      <c r="F121" s="149"/>
      <c r="G121" s="149"/>
      <c r="H121" s="541" t="s">
        <v>4936</v>
      </c>
      <c r="I121" s="481" t="s">
        <v>4638</v>
      </c>
      <c r="J121" s="150" t="s">
        <v>4937</v>
      </c>
      <c r="K121" s="519" t="s">
        <v>4724</v>
      </c>
      <c r="L121" s="481" t="s">
        <v>4583</v>
      </c>
      <c r="M121" s="541" t="s">
        <v>4936</v>
      </c>
      <c r="N121" s="149"/>
      <c r="O121" s="2655" cm="1" t="n">
        <f t="array" ref="O121">INDEX('7층_부하량'!D3:D3000,MATCH(1,("7-DaHall 1-RPP-03"='7층_부하량'!A3:A3000)*(4='7층_부하량'!B3:B3000),0))</f>
        <v>0.0</v>
      </c>
      <c r="P121" s="149"/>
      <c r="Q121" s="149"/>
      <c r="R121" s="143" t="s">
        <v>4940</v>
      </c>
      <c r="S121" s="143" t="s">
        <v>4723</v>
      </c>
      <c r="T121" s="531" t="s">
        <v>4941</v>
      </c>
    </row>
    <row r="122" spans="1:20" ht="16.5" x14ac:dyDescent="0.15">
      <c r="A122" s="500" t="s">
        <v>4942</v>
      </c>
      <c r="B122" s="143" t="s">
        <v>4631</v>
      </c>
      <c r="C122" s="164" t="s">
        <v>4575</v>
      </c>
      <c r="D122" s="157"/>
      <c r="E122" s="157"/>
      <c r="F122" s="2656" cm="1" t="n">
        <f t="array" ref="F122">INDEX('7층_부하량'!E3:E3000,MATCH(1,("7-DaHall 1-RPP-03"='7층_부하량'!A3:A3000)*(5='7층_부하량'!B3:B3000),0))</f>
        <v>2.73</v>
      </c>
      <c r="G122" s="157"/>
      <c r="H122" s="541" t="s">
        <v>4936</v>
      </c>
      <c r="I122" s="481" t="s">
        <v>4641</v>
      </c>
      <c r="J122" s="150" t="s">
        <v>4937</v>
      </c>
      <c r="K122" s="527" t="s">
        <v>4937</v>
      </c>
      <c r="L122" s="493" t="s">
        <v>4588</v>
      </c>
      <c r="M122" s="545" t="s">
        <v>4936</v>
      </c>
      <c r="N122" s="157"/>
      <c r="O122" s="157"/>
      <c r="P122" s="2656" cm="1" t="n">
        <f t="array" ref="P122">INDEX('7층_부하량'!E3:E3000,MATCH(1,("7-DaHall 1-RPP-03"='7층_부하량'!A3:A3000)*(6='7층_부하량'!B3:B3000),0))</f>
        <v>0.94</v>
      </c>
      <c r="Q122" s="157"/>
      <c r="R122" s="157" t="s">
        <v>4631</v>
      </c>
      <c r="S122" s="164" t="s">
        <v>4575</v>
      </c>
      <c r="T122" s="531" t="s">
        <v>4943</v>
      </c>
    </row>
    <row r="123" spans="1:20" ht="16.5" x14ac:dyDescent="0.15">
      <c r="A123" s="509" t="s">
        <v>4944</v>
      </c>
      <c r="B123" s="143" t="s">
        <v>4631</v>
      </c>
      <c r="C123" s="164" t="s">
        <v>4575</v>
      </c>
      <c r="D123" s="2656" cm="1" t="n">
        <f t="array" ref="D123">INDEX('7층_부하량'!C3:C3000,MATCH(1,("7-DaHall 1-RPP-03"='7층_부하량'!A3:A3000)*(7='7층_부하량'!B3:B3000),0))</f>
        <v>0.0</v>
      </c>
      <c r="E123" s="157"/>
      <c r="F123" s="157"/>
      <c r="G123" s="157"/>
      <c r="H123" s="541" t="s">
        <v>4936</v>
      </c>
      <c r="I123" s="481" t="s">
        <v>4645</v>
      </c>
      <c r="J123" s="150" t="s">
        <v>4937</v>
      </c>
      <c r="K123" s="527" t="s">
        <v>4937</v>
      </c>
      <c r="L123" s="493" t="s">
        <v>4593</v>
      </c>
      <c r="M123" s="545" t="s">
        <v>4936</v>
      </c>
      <c r="N123" s="2656" cm="1" t="n">
        <f t="array" ref="N123">INDEX('7층_부하량'!C3:C3000,MATCH(1,("7-DaHall 1-RPP-03"='7층_부하량'!A3:A3000)*(8='7층_부하량'!B3:B3000),0))</f>
        <v>1.6600000000000001</v>
      </c>
      <c r="O123" s="157"/>
      <c r="P123" s="157"/>
      <c r="Q123" s="157"/>
      <c r="R123" s="157" t="s">
        <v>4631</v>
      </c>
      <c r="S123" s="164" t="s">
        <v>4575</v>
      </c>
      <c r="T123" s="531" t="s">
        <v>4945</v>
      </c>
    </row>
    <row r="124" spans="1:20" ht="16.5" x14ac:dyDescent="0.15">
      <c r="A124" s="502" t="s">
        <v>4946</v>
      </c>
      <c r="B124" s="143" t="s">
        <v>4631</v>
      </c>
      <c r="C124" s="164" t="s">
        <v>4575</v>
      </c>
      <c r="D124" s="157"/>
      <c r="E124" s="2656" cm="1" t="n">
        <f t="array" ref="E124">INDEX('7층_부하량'!D3:D3000,MATCH(1,("7-DaHall 1-RPP-03"='7층_부하량'!A3:A3000)*(9='7층_부하량'!B3:B3000),0))</f>
        <v>2.05</v>
      </c>
      <c r="F124" s="157"/>
      <c r="G124" s="157"/>
      <c r="H124" s="541" t="s">
        <v>4936</v>
      </c>
      <c r="I124" s="481" t="s">
        <v>4648</v>
      </c>
      <c r="J124" s="150" t="s">
        <v>4937</v>
      </c>
      <c r="K124" s="527" t="s">
        <v>4937</v>
      </c>
      <c r="L124" s="493" t="s">
        <v>4596</v>
      </c>
      <c r="M124" s="545" t="s">
        <v>4936</v>
      </c>
      <c r="N124" s="157"/>
      <c r="O124" s="2656" cm="1" t="n">
        <f t="array" ref="O124">INDEX('7층_부하량'!D3:D3000,MATCH(1,("7-DaHall 1-RPP-03"='7층_부하량'!A3:A3000)*(10='7층_부하량'!B3:B3000),0))</f>
        <v>2.57</v>
      </c>
      <c r="P124" s="157"/>
      <c r="Q124" s="157"/>
      <c r="R124" s="157" t="s">
        <v>4631</v>
      </c>
      <c r="S124" s="164" t="s">
        <v>4575</v>
      </c>
      <c r="T124" s="535" t="s">
        <v>4947</v>
      </c>
    </row>
    <row r="125" spans="1:20" ht="16.5" x14ac:dyDescent="0.15">
      <c r="A125" s="512"/>
      <c r="B125" s="133"/>
      <c r="C125" s="196"/>
      <c r="D125" s="131"/>
      <c r="E125" s="131"/>
      <c r="F125" s="131"/>
      <c r="G125" s="131"/>
      <c r="H125" s="504"/>
      <c r="I125" s="133"/>
      <c r="J125" s="172"/>
      <c r="K125" s="522"/>
      <c r="L125" s="172"/>
      <c r="M125" s="504" t="s">
        <v>4713</v>
      </c>
      <c r="N125" s="131" t="n">
        <f>SUM(D120:D124,N120:N124)</f>
        <v>3.77</v>
      </c>
      <c r="O125" s="131" t="n">
        <f>SUM(E120:E124,O120:O124)</f>
        <v>7.369999999999999</v>
      </c>
      <c r="P125" s="131" t="n">
        <f>SUM(F120:F124,P120:P124)</f>
        <v>3.67</v>
      </c>
      <c r="Q125" s="131"/>
      <c r="R125" s="131"/>
      <c r="S125" s="196"/>
      <c r="T125" s="537"/>
    </row>
    <row r="126" spans="1:20" ht="17.25" thickBot="1" x14ac:dyDescent="0.2">
      <c r="A126" s="2551" t="s">
        <v>7015</v>
      </c>
      <c r="B126" s="133"/>
      <c r="C126" s="196"/>
      <c r="D126" s="3660" t="s">
        <v>8986</v>
      </c>
      <c r="E126" s="3660"/>
      <c r="F126" s="3660"/>
      <c r="G126" s="3660"/>
      <c r="H126" s="504"/>
      <c r="I126" s="133"/>
      <c r="J126" s="172"/>
      <c r="K126" s="522"/>
      <c r="L126" s="172"/>
      <c r="M126" s="504"/>
      <c r="N126" s="131"/>
      <c r="O126" s="131"/>
      <c r="P126" s="131"/>
      <c r="Q126" s="131"/>
      <c r="R126" s="131"/>
      <c r="S126" s="196"/>
      <c r="T126" s="537"/>
    </row>
    <row r="127" spans="1:20" ht="15" thickTop="1" thickBot="1" x14ac:dyDescent="0.2">
      <c r="A127" s="513"/>
      <c r="F127" s="124"/>
      <c r="H127" s="495" t="s">
        <v>4948</v>
      </c>
      <c r="I127" s="124"/>
      <c r="J127" s="3661" t="s">
        <v>4934</v>
      </c>
      <c r="K127" s="3662"/>
      <c r="L127" s="486"/>
      <c r="M127" s="1371" t="s">
        <v>4562</v>
      </c>
      <c r="N127" s="1368">
        <v>8.6</v>
      </c>
      <c r="O127" s="1369">
        <v>7.6</v>
      </c>
      <c r="P127" s="1370">
        <v>5.7</v>
      </c>
      <c r="Q127" s="508" t="s">
        <v>4563</v>
      </c>
      <c r="R127" s="133"/>
      <c r="S127" s="128"/>
      <c r="T127" s="528"/>
    </row>
    <row r="128" spans="1:20" ht="17.25" thickTop="1" x14ac:dyDescent="0.15">
      <c r="A128" s="498" t="s">
        <v>4949</v>
      </c>
      <c r="B128" s="142" t="s">
        <v>4631</v>
      </c>
      <c r="C128" s="152" t="s">
        <v>4575</v>
      </c>
      <c r="D128" s="2654" cm="1" t="n">
        <f t="array" ref="D128">INDEX('7층_부하량'!C3:C3000,MATCH(1,("7-DaHall 1-RPP-04"='7층_부하량'!A3:A3000)*(1='7층_부하량'!B3:B3000),0))</f>
        <v>1.17</v>
      </c>
      <c r="E128" s="144"/>
      <c r="F128" s="144"/>
      <c r="G128" s="144"/>
      <c r="H128" s="540" t="s">
        <v>4936</v>
      </c>
      <c r="I128" s="482" t="s">
        <v>4633</v>
      </c>
      <c r="J128" s="150" t="s">
        <v>4937</v>
      </c>
      <c r="K128" s="518" t="s">
        <v>4724</v>
      </c>
      <c r="L128" s="480" t="s">
        <v>4578</v>
      </c>
      <c r="M128" s="540" t="s">
        <v>4936</v>
      </c>
      <c r="N128" s="2654" cm="1" t="n">
        <f t="array" ref="N128">INDEX('7층_부하량'!C3:C3000,MATCH(1,("7-DaHall 1-RPP-04"='7층_부하량'!A3:A3000)*(2='7층_부하량'!B3:B3000),0))</f>
        <v>1.47</v>
      </c>
      <c r="O128" s="144"/>
      <c r="P128" s="144"/>
      <c r="Q128" s="144"/>
      <c r="R128" s="144" t="s">
        <v>4631</v>
      </c>
      <c r="S128" s="152" t="s">
        <v>4575</v>
      </c>
      <c r="T128" s="530" t="s">
        <v>4950</v>
      </c>
    </row>
    <row r="129" spans="1:20" ht="16.5" x14ac:dyDescent="0.15">
      <c r="A129" s="499" t="s">
        <v>4951</v>
      </c>
      <c r="B129" s="143" t="s">
        <v>4631</v>
      </c>
      <c r="C129" s="164" t="s">
        <v>4575</v>
      </c>
      <c r="D129" s="149"/>
      <c r="E129" s="2655" cm="1" t="n">
        <f t="array" ref="E129">INDEX('7층_부하량'!D3:D3000,MATCH(1,("7-DaHall 1-RPP-04"='7층_부하량'!A3:A3000)*(3='7층_부하량'!B3:B3000),0))</f>
        <v>3.33</v>
      </c>
      <c r="F129" s="149"/>
      <c r="G129" s="149"/>
      <c r="H129" s="541" t="s">
        <v>4936</v>
      </c>
      <c r="I129" s="481" t="s">
        <v>4638</v>
      </c>
      <c r="J129" s="150" t="s">
        <v>4937</v>
      </c>
      <c r="K129" s="519" t="s">
        <v>4724</v>
      </c>
      <c r="L129" s="481" t="s">
        <v>4583</v>
      </c>
      <c r="M129" s="541" t="s">
        <v>4936</v>
      </c>
      <c r="N129" s="149"/>
      <c r="O129" s="2655" cm="1" t="n">
        <f t="array" ref="O129">INDEX('7층_부하량'!D3:D3000,MATCH(1,("7-DaHall 1-RPP-04"='7층_부하량'!A3:A3000)*(4='7층_부하량'!B3:B3000),0))</f>
        <v>0.0</v>
      </c>
      <c r="P129" s="149"/>
      <c r="Q129" s="149"/>
      <c r="R129" s="143" t="s">
        <v>4940</v>
      </c>
      <c r="S129" s="143" t="s">
        <v>4723</v>
      </c>
      <c r="T129" s="531" t="s">
        <v>4952</v>
      </c>
    </row>
    <row r="130" spans="1:20" ht="16.5" x14ac:dyDescent="0.15">
      <c r="A130" s="500" t="s">
        <v>4953</v>
      </c>
      <c r="B130" s="143" t="s">
        <v>4631</v>
      </c>
      <c r="C130" s="164" t="s">
        <v>4575</v>
      </c>
      <c r="D130" s="157"/>
      <c r="E130" s="157"/>
      <c r="F130" s="2656" cm="1" t="n">
        <f t="array" ref="F130">INDEX('7층_부하량'!E3:E3000,MATCH(1,("7-DaHall 1-RPP-04"='7층_부하량'!A3:A3000)*(5='7층_부하량'!B3:B3000),0))</f>
        <v>1.6099999999999999</v>
      </c>
      <c r="G130" s="157"/>
      <c r="H130" s="541" t="s">
        <v>4936</v>
      </c>
      <c r="I130" s="481" t="s">
        <v>4641</v>
      </c>
      <c r="J130" s="150" t="s">
        <v>4937</v>
      </c>
      <c r="K130" s="527" t="s">
        <v>4937</v>
      </c>
      <c r="L130" s="493" t="s">
        <v>4588</v>
      </c>
      <c r="M130" s="545" t="s">
        <v>4936</v>
      </c>
      <c r="N130" s="157"/>
      <c r="O130" s="157"/>
      <c r="P130" s="2656" cm="1" t="n">
        <f t="array" ref="P130">INDEX('7층_부하량'!E3:E3000,MATCH(1,("7-DaHall 1-RPP-04"='7층_부하량'!A3:A3000)*(6='7층_부하량'!B3:B3000),0))</f>
        <v>1.2</v>
      </c>
      <c r="Q130" s="157"/>
      <c r="R130" s="157" t="s">
        <v>4631</v>
      </c>
      <c r="S130" s="164" t="s">
        <v>4575</v>
      </c>
      <c r="T130" s="531" t="s">
        <v>4954</v>
      </c>
    </row>
    <row r="131" spans="1:20" ht="16.5" x14ac:dyDescent="0.15">
      <c r="A131" s="509" t="s">
        <v>4955</v>
      </c>
      <c r="B131" s="143" t="s">
        <v>4631</v>
      </c>
      <c r="C131" s="164" t="s">
        <v>4575</v>
      </c>
      <c r="D131" s="2656" cm="1" t="n">
        <f t="array" ref="D131">INDEX('7층_부하량'!C3:C3000,MATCH(1,("7-DaHall 1-RPP-04"='7층_부하량'!A3:A3000)*(7='7층_부하량'!B3:B3000),0))</f>
        <v>0.0</v>
      </c>
      <c r="E131" s="157"/>
      <c r="F131" s="157"/>
      <c r="G131" s="157"/>
      <c r="H131" s="541" t="s">
        <v>4936</v>
      </c>
      <c r="I131" s="481" t="s">
        <v>4645</v>
      </c>
      <c r="J131" s="150" t="s">
        <v>4937</v>
      </c>
      <c r="K131" s="527" t="s">
        <v>4937</v>
      </c>
      <c r="L131" s="493" t="s">
        <v>4593</v>
      </c>
      <c r="M131" s="545" t="s">
        <v>4936</v>
      </c>
      <c r="N131" s="2656" cm="1" t="n">
        <f t="array" ref="N131">INDEX('7층_부하량'!C3:C3000,MATCH(1,("7-DaHall 1-RPP-04"='7층_부하량'!A3:A3000)*(8='7층_부하량'!B3:B3000),0))</f>
        <v>1.29</v>
      </c>
      <c r="O131" s="157"/>
      <c r="P131" s="157"/>
      <c r="Q131" s="157"/>
      <c r="R131" s="157" t="s">
        <v>4631</v>
      </c>
      <c r="S131" s="164" t="s">
        <v>4575</v>
      </c>
      <c r="T131" s="531" t="s">
        <v>4956</v>
      </c>
    </row>
    <row r="132" spans="1:20" ht="17.25" thickBot="1" x14ac:dyDescent="0.2">
      <c r="A132" s="514" t="s">
        <v>4957</v>
      </c>
      <c r="B132" s="166" t="s">
        <v>4631</v>
      </c>
      <c r="C132" s="184" t="s">
        <v>4575</v>
      </c>
      <c r="D132" s="157"/>
      <c r="E132" s="2656" cm="1" t="n">
        <f t="array" ref="E132">INDEX('7층_부하량'!D3:D3000,MATCH(1,("7-DaHall 1-RPP-04"='7층_부하량'!A3:A3000)*(9='7층_부하량'!B3:B3000),0))</f>
        <v>1.6099999999999999</v>
      </c>
      <c r="F132" s="157"/>
      <c r="G132" s="167"/>
      <c r="H132" s="543" t="s">
        <v>4936</v>
      </c>
      <c r="I132" s="485" t="s">
        <v>4648</v>
      </c>
      <c r="J132" s="289" t="s">
        <v>4937</v>
      </c>
      <c r="K132" s="526" t="s">
        <v>4937</v>
      </c>
      <c r="L132" s="493" t="s">
        <v>4596</v>
      </c>
      <c r="M132" s="546" t="s">
        <v>4936</v>
      </c>
      <c r="N132" s="157"/>
      <c r="O132" s="2656" cm="1" t="n">
        <f t="array" ref="O132">INDEX('7층_부하량'!D3:D3000,MATCH(1,("7-DaHall 1-RPP-04"='7층_부하량'!A3:A3000)*(10='7층_부하량'!B3:B3000),0))</f>
        <v>2.79</v>
      </c>
      <c r="P132" s="157"/>
      <c r="Q132" s="167"/>
      <c r="R132" s="167" t="s">
        <v>4631</v>
      </c>
      <c r="S132" s="184" t="s">
        <v>4575</v>
      </c>
      <c r="T132" s="538" t="s">
        <v>4958</v>
      </c>
    </row>
    <row r="133" spans="1:20" ht="14.25" thickTop="1" x14ac:dyDescent="0.15">
      <c r="M133" s="504" t="s">
        <v>4713</v>
      </c>
      <c r="N133" s="128" t="n">
        <f>SUM(D128:D132,N128:N132)</f>
        <v>3.9299999999999997</v>
      </c>
      <c r="O133" s="128" t="n">
        <f>SUM(E128:E132,O128:O132)</f>
        <v>7.7299999999999995</v>
      </c>
      <c r="P133" s="128" t="n">
        <f>SUM(F128:F132,P128:P132)</f>
        <v>2.8099999999999996</v>
      </c>
    </row>
    <row r="134" spans="1:20" ht="14.25" thickBot="1" x14ac:dyDescent="0.2"/>
    <row r="135" spans="1:20" ht="15" thickTop="1" thickBot="1" x14ac:dyDescent="0.2">
      <c r="A135" s="53" t="s">
        <v>7016</v>
      </c>
      <c r="D135" s="3660" t="s">
        <v>8984</v>
      </c>
      <c r="E135" s="3660"/>
      <c r="F135" s="3660"/>
      <c r="G135" s="3660"/>
      <c r="H135" s="495"/>
      <c r="I135" s="124"/>
      <c r="J135" s="3661" t="s">
        <v>4628</v>
      </c>
      <c r="K135" s="3662"/>
      <c r="L135" s="486"/>
      <c r="M135" s="495"/>
      <c r="N135" s="126"/>
      <c r="O135" s="126"/>
      <c r="P135" s="126"/>
      <c r="Q135" s="126"/>
      <c r="R135" s="126"/>
      <c r="S135" s="126"/>
    </row>
    <row r="136" spans="1:20" ht="15" thickTop="1" thickBot="1" x14ac:dyDescent="0.2">
      <c r="A136" s="496"/>
      <c r="B136" s="128"/>
      <c r="C136" s="128"/>
      <c r="D136" s="129"/>
      <c r="E136" s="130"/>
      <c r="F136" s="130"/>
      <c r="G136" s="130"/>
      <c r="H136" s="515"/>
      <c r="I136" s="131"/>
      <c r="J136" s="128"/>
      <c r="K136" s="516"/>
      <c r="L136" s="132"/>
      <c r="M136" s="1371" t="s">
        <v>4562</v>
      </c>
      <c r="N136" s="1368">
        <v>82.2</v>
      </c>
      <c r="O136" s="1369">
        <v>71.2</v>
      </c>
      <c r="P136" s="1370">
        <v>81.599999999999994</v>
      </c>
      <c r="Q136" s="508" t="s">
        <v>4563</v>
      </c>
      <c r="R136" s="133"/>
      <c r="S136" s="128"/>
      <c r="T136" s="528"/>
    </row>
    <row r="137" spans="1:20" ht="15" thickTop="1" thickBot="1" x14ac:dyDescent="0.2">
      <c r="A137" s="497" t="s">
        <v>4629</v>
      </c>
      <c r="B137" s="135" t="s">
        <v>4565</v>
      </c>
      <c r="C137" s="136" t="s">
        <v>4566</v>
      </c>
      <c r="D137" s="135" t="s">
        <v>4567</v>
      </c>
      <c r="E137" s="135" t="s">
        <v>4568</v>
      </c>
      <c r="F137" s="135" t="s">
        <v>4569</v>
      </c>
      <c r="G137" s="135" t="s">
        <v>4570</v>
      </c>
      <c r="H137" s="539" t="s">
        <v>4571</v>
      </c>
      <c r="I137" s="479"/>
      <c r="J137" s="138" t="s">
        <v>4572</v>
      </c>
      <c r="K137" s="517" t="s">
        <v>4572</v>
      </c>
      <c r="L137" s="479"/>
      <c r="M137" s="539" t="s">
        <v>4571</v>
      </c>
      <c r="N137" s="135" t="s">
        <v>4567</v>
      </c>
      <c r="O137" s="135" t="s">
        <v>4568</v>
      </c>
      <c r="P137" s="135" t="s">
        <v>4569</v>
      </c>
      <c r="Q137" s="135" t="s">
        <v>4570</v>
      </c>
      <c r="R137" s="135" t="s">
        <v>4565</v>
      </c>
      <c r="S137" s="136" t="s">
        <v>4566</v>
      </c>
      <c r="T137" s="529" t="s">
        <v>4629</v>
      </c>
    </row>
    <row r="138" spans="1:20" ht="17.25" thickTop="1" x14ac:dyDescent="0.15">
      <c r="A138" s="498" t="s">
        <v>7021</v>
      </c>
      <c r="B138" s="142" t="s">
        <v>4631</v>
      </c>
      <c r="C138" s="152" t="s">
        <v>4575</v>
      </c>
      <c r="D138" s="2662" cm="1" t="n">
        <f t="array" ref="D138">INDEX('7층_부하량'!C3:C3000,MATCH(1,("7-DaHall 1-PDU-03"='7층_부하량'!A3:A3000)*(1='7층_부하량'!B3:B3000),0))</f>
        <v>23.68</v>
      </c>
      <c r="E138" s="2662" cm="1" t="n">
        <f t="array" ref="E138">INDEX('7층_부하량'!D3:D3000,MATCH(1,("7-DaHall 1-PDU-03"='7층_부하량'!A3:A3000)*(1='7층_부하량'!B3:B3000),0))</f>
        <v>12.05</v>
      </c>
      <c r="F138" s="2662" cm="1" t="n">
        <f t="array" ref="F138">INDEX('7층_부하량'!E3:E3000,MATCH(1,("7-DaHall 1-PDU-03"='7층_부하량'!A3:A3000)*(1='7층_부하량'!B3:B3000),0))</f>
        <v>17.05</v>
      </c>
      <c r="G138" s="353"/>
      <c r="H138" s="540" t="s">
        <v>4960</v>
      </c>
      <c r="I138" s="480" t="s">
        <v>4633</v>
      </c>
      <c r="J138" s="145" t="s">
        <v>4961</v>
      </c>
      <c r="K138" s="518"/>
      <c r="L138" s="480" t="s">
        <v>4578</v>
      </c>
      <c r="M138" s="540" t="s">
        <v>4960</v>
      </c>
      <c r="N138" s="2662" cm="1" t="n">
        <f t="array" ref="N138">INDEX('7층_부하량'!C3:C3000,MATCH(1,("7-DaHall 1-PDU-03"='7층_부하량'!A3:A3000)*(2='7층_부하량'!B3:B3000),0))</f>
        <v>2.37</v>
      </c>
      <c r="O138" s="2662" cm="1" t="n">
        <f t="array" ref="O138">INDEX('7층_부하량'!D3:D3000,MATCH(1,("7-DaHall 1-PDU-03"='7층_부하량'!A3:A3000)*(2='7층_부하량'!B3:B3000),0))</f>
        <v>1.8</v>
      </c>
      <c r="P138" s="2662" cm="1" t="n">
        <f t="array" ref="P138">INDEX('7층_부하량'!E3:E3000,MATCH(1,("7-DaHall 1-PDU-03"='7층_부하량'!A3:A3000)*(2='7층_부하량'!B3:B3000),0))</f>
        <v>5.06</v>
      </c>
      <c r="Q138" s="353"/>
      <c r="R138" s="142" t="s">
        <v>4579</v>
      </c>
      <c r="S138" s="152" t="s">
        <v>4575</v>
      </c>
      <c r="T138" s="530" t="s">
        <v>1199</v>
      </c>
    </row>
    <row r="139" spans="1:20" ht="16.5" x14ac:dyDescent="0.15">
      <c r="A139" s="499" t="s">
        <v>7017</v>
      </c>
      <c r="B139" s="143" t="s">
        <v>4631</v>
      </c>
      <c r="C139" s="164" t="s">
        <v>4575</v>
      </c>
      <c r="D139" s="2655" cm="1" t="n">
        <f t="array" ref="D139">INDEX('7층_부하량'!C3:C3000,MATCH(1,("7-DaHall 1-PDU-03"='7층_부하량'!A3:A3000)*(3='7층_부하량'!B3:B3000),0))</f>
        <v>0.0</v>
      </c>
      <c r="E139" s="2655" cm="1" t="n">
        <f t="array" ref="E139">INDEX('7층_부하량'!D3:D3000,MATCH(1,("7-DaHall 1-PDU-03"='7층_부하량'!A3:A3000)*(3='7층_부하량'!B3:B3000),0))</f>
        <v>0.0</v>
      </c>
      <c r="F139" s="2655" cm="1" t="n">
        <f t="array" ref="F139">INDEX('7층_부하량'!E3:E3000,MATCH(1,("7-DaHall 1-PDU-03"='7층_부하량'!A3:A3000)*(3='7층_부하량'!B3:B3000),0))</f>
        <v>0.0</v>
      </c>
      <c r="G139" s="344"/>
      <c r="H139" s="541" t="s">
        <v>4960</v>
      </c>
      <c r="I139" s="481" t="s">
        <v>4638</v>
      </c>
      <c r="J139" s="150" t="s">
        <v>4961</v>
      </c>
      <c r="K139" s="519"/>
      <c r="L139" s="481" t="s">
        <v>4583</v>
      </c>
      <c r="M139" s="541" t="s">
        <v>4960</v>
      </c>
      <c r="N139" s="2655" cm="1" t="n">
        <f t="array" ref="N139">INDEX('7층_부하량'!C3:C3000,MATCH(1,("7-DaHall 1-PDU-03"='7층_부하량'!A3:A3000)*(4='7층_부하량'!B3:B3000),0))</f>
        <v>0.0</v>
      </c>
      <c r="O139" s="2663" cm="1" t="n">
        <f t="array" ref="O139">INDEX('7층_부하량'!D3:D3000,MATCH(1,("7-DaHall 1-PDU-03"='7층_부하량'!A3:A3000)*(4='7층_부하량'!B3:B3000),0))</f>
        <v>0.0</v>
      </c>
      <c r="P139" s="2663" cm="1" t="n">
        <f t="array" ref="P139">INDEX('7층_부하량'!E3:E3000,MATCH(1,("7-DaHall 1-PDU-03"='7층_부하량'!A3:A3000)*(4='7층_부하량'!B3:B3000),0))</f>
        <v>0.0</v>
      </c>
      <c r="Q139" s="149"/>
      <c r="R139" s="143" t="s">
        <v>4590</v>
      </c>
      <c r="S139" s="143" t="s">
        <v>4723</v>
      </c>
      <c r="T139" s="531"/>
    </row>
    <row r="140" spans="1:20" ht="16.5" x14ac:dyDescent="0.15">
      <c r="A140" s="500"/>
      <c r="B140" s="143" t="s">
        <v>4590</v>
      </c>
      <c r="C140" s="143" t="s">
        <v>4723</v>
      </c>
      <c r="D140" s="2656" cm="1" t="n">
        <f t="array" ref="D140">INDEX('7층_부하량'!C3:C3000,MATCH(1,("7-DaHall 1-PDU-03"='7층_부하량'!A3:A3000)*(5='7층_부하량'!B3:B3000),0))</f>
        <v>0.0</v>
      </c>
      <c r="E140" s="2656" cm="1" t="n">
        <f t="array" ref="E140">INDEX('7층_부하량'!D3:D3000,MATCH(1,("7-DaHall 1-PDU-03"='7층_부하량'!A3:A3000)*(5='7층_부하량'!B3:B3000),0))</f>
        <v>0.0</v>
      </c>
      <c r="F140" s="2656" cm="1" t="n">
        <f t="array" ref="F140">INDEX('7층_부하량'!E3:E3000,MATCH(1,("7-DaHall 1-PDU-03"='7층_부하량'!A3:A3000)*(5='7층_부하량'!B3:B3000),0))</f>
        <v>0.0</v>
      </c>
      <c r="G140" s="157"/>
      <c r="H140" s="541" t="s">
        <v>4960</v>
      </c>
      <c r="I140" s="481" t="s">
        <v>4641</v>
      </c>
      <c r="J140" s="154"/>
      <c r="K140" s="523"/>
      <c r="L140" s="488" t="s">
        <v>4588</v>
      </c>
      <c r="M140" s="541" t="s">
        <v>4960</v>
      </c>
      <c r="N140" s="2664" cm="1" t="n">
        <f t="array" ref="N140">INDEX('7층_부하량'!C3:C3000,MATCH(1,("7-DaHall 1-PDU-03"='7층_부하량'!A3:A3000)*(6='7층_부하량'!B3:B3000),0))</f>
        <v>2.41</v>
      </c>
      <c r="O140" s="2664" cm="1" t="n">
        <f t="array" ref="O140">INDEX('7층_부하량'!D3:D3000,MATCH(1,("7-DaHall 1-PDU-03"='7층_부하량'!A3:A3000)*(6='7층_부하량'!B3:B3000),0))</f>
        <v>1.92</v>
      </c>
      <c r="P140" s="2664" cm="1" t="n">
        <f t="array" ref="P140">INDEX('7층_부하량'!E3:E3000,MATCH(1,("7-DaHall 1-PDU-03"='7층_부하량'!A3:A3000)*(6='7층_부하량'!B3:B3000),0))</f>
        <v>6.64</v>
      </c>
      <c r="Q140" s="1012"/>
      <c r="R140" s="143" t="s">
        <v>4631</v>
      </c>
      <c r="S140" s="164" t="s">
        <v>4575</v>
      </c>
      <c r="T140" s="531" t="s">
        <v>4962</v>
      </c>
    </row>
    <row r="141" spans="1:20" x14ac:dyDescent="0.15">
      <c r="A141" s="509"/>
      <c r="B141" s="143" t="s">
        <v>4590</v>
      </c>
      <c r="C141" s="143" t="s">
        <v>4723</v>
      </c>
      <c r="D141" s="2656" cm="1" t="n">
        <f t="array" ref="D141">INDEX('7층_부하량'!C3:C3000,MATCH(1,("7-DaHall 1-PDU-03"='7층_부하량'!A3:A3000)*(7='7층_부하량'!B3:B3000),0))</f>
        <v>0.0</v>
      </c>
      <c r="E141" s="2656" cm="1" t="n">
        <f t="array" ref="E141">INDEX('7층_부하량'!D3:D3000,MATCH(1,("7-DaHall 1-PDU-03"='7층_부하량'!A3:A3000)*(7='7층_부하량'!B3:B3000),0))</f>
        <v>0.0</v>
      </c>
      <c r="F141" s="2656" cm="1" t="n">
        <f t="array" ref="F141">INDEX('7층_부하량'!E3:E3000,MATCH(1,("7-DaHall 1-PDU-03"='7층_부하량'!A3:A3000)*(7='7층_부하량'!B3:B3000),0))</f>
        <v>0.0</v>
      </c>
      <c r="G141" s="157"/>
      <c r="H141" s="541" t="s">
        <v>4960</v>
      </c>
      <c r="I141" s="481" t="s">
        <v>4645</v>
      </c>
      <c r="J141" s="154"/>
      <c r="K141" s="523"/>
      <c r="L141" s="488" t="s">
        <v>4593</v>
      </c>
      <c r="M141" s="541" t="s">
        <v>4960</v>
      </c>
      <c r="N141" s="2656" cm="1" t="n">
        <f t="array" ref="N141">INDEX('7층_부하량'!C3:C3000,MATCH(1,("7-DaHall 1-PDU-03"='7층_부하량'!A3:A3000)*(8='7층_부하량'!B3:B3000),0))</f>
        <v>0.0</v>
      </c>
      <c r="O141" s="2656" cm="1" t="n">
        <f t="array" ref="O141">INDEX('7층_부하량'!D3:D3000,MATCH(1,("7-DaHall 1-PDU-03"='7층_부하량'!A3:A3000)*(8='7층_부하량'!B3:B3000),0))</f>
        <v>0.0</v>
      </c>
      <c r="P141" s="2656" cm="1" t="n">
        <f t="array" ref="P141">INDEX('7층_부하량'!E3:E3000,MATCH(1,("7-DaHall 1-PDU-03"='7층_부하량'!A3:A3000)*(8='7층_부하량'!B3:B3000),0))</f>
        <v>0.0</v>
      </c>
      <c r="Q141" s="157"/>
      <c r="R141" s="157" t="s">
        <v>4590</v>
      </c>
      <c r="S141" s="143" t="s">
        <v>4723</v>
      </c>
      <c r="T141" s="531"/>
    </row>
    <row r="142" spans="1:20" ht="14.25" thickBot="1" x14ac:dyDescent="0.2">
      <c r="A142" s="502"/>
      <c r="B142" s="143" t="s">
        <v>4590</v>
      </c>
      <c r="C142" s="143" t="s">
        <v>4723</v>
      </c>
      <c r="D142" s="2656" cm="1" t="n">
        <f t="array" ref="D142">INDEX('7층_부하량'!C3:C3000,MATCH(1,("7-DaHall 1-PDU-03"='7층_부하량'!A3:A3000)*(9='7층_부하량'!B3:B3000),0))</f>
        <v>0.0</v>
      </c>
      <c r="E142" s="2656" cm="1" t="n">
        <f t="array" ref="E142">INDEX('7층_부하량'!D3:D3000,MATCH(1,("7-DaHall 1-PDU-03"='7층_부하량'!A3:A3000)*(9='7층_부하량'!B3:B3000),0))</f>
        <v>0.0</v>
      </c>
      <c r="F142" s="2656" cm="1" t="n">
        <f t="array" ref="F142">INDEX('7층_부하량'!E3:E3000,MATCH(1,("7-DaHall 1-PDU-03"='7층_부하량'!A3:A3000)*(9='7층_부하량'!B3:B3000),0))</f>
        <v>0.0</v>
      </c>
      <c r="G142" s="157"/>
      <c r="H142" s="541" t="s">
        <v>4960</v>
      </c>
      <c r="I142" s="481" t="s">
        <v>4648</v>
      </c>
      <c r="J142" s="154"/>
      <c r="K142" s="523"/>
      <c r="L142" s="488" t="s">
        <v>4596</v>
      </c>
      <c r="M142" s="541" t="s">
        <v>4960</v>
      </c>
      <c r="N142" s="2656" cm="1" t="n">
        <f t="array" ref="N142">INDEX('7층_부하량'!C3:C3000,MATCH(1,("7-DaHall 1-PDU-03"='7층_부하량'!A3:A3000)*(10='7층_부하량'!B3:B3000),0))</f>
        <v>0.0</v>
      </c>
      <c r="O142" s="2656" cm="1" t="n">
        <f t="array" ref="O142">INDEX('7층_부하량'!D3:D3000,MATCH(1,("7-DaHall 1-PDU-03"='7층_부하량'!A3:A3000)*(10='7층_부하량'!B3:B3000),0))</f>
        <v>0.0</v>
      </c>
      <c r="P142" s="2656" cm="1" t="n">
        <f t="array" ref="P142">INDEX('7층_부하량'!E3:E3000,MATCH(1,("7-DaHall 1-PDU-03"='7층_부하량'!A3:A3000)*(10='7층_부하량'!B3:B3000),0))</f>
        <v>0.0</v>
      </c>
      <c r="Q142" s="157"/>
      <c r="R142" s="157" t="s">
        <v>4590</v>
      </c>
      <c r="S142" s="143" t="s">
        <v>4723</v>
      </c>
      <c r="T142" s="535"/>
    </row>
    <row r="143" spans="1:20" ht="14.25" thickTop="1" x14ac:dyDescent="0.15">
      <c r="A143" s="498"/>
      <c r="B143" s="142" t="s">
        <v>4590</v>
      </c>
      <c r="C143" s="142" t="s">
        <v>4723</v>
      </c>
      <c r="D143" s="144"/>
      <c r="E143" s="144"/>
      <c r="F143" s="144"/>
      <c r="G143" s="144"/>
      <c r="H143" s="540" t="s">
        <v>4963</v>
      </c>
      <c r="I143" s="480" t="s">
        <v>4653</v>
      </c>
      <c r="J143" s="145"/>
      <c r="K143" s="518"/>
      <c r="L143" s="480" t="s">
        <v>4599</v>
      </c>
      <c r="M143" s="540" t="s">
        <v>4963</v>
      </c>
      <c r="N143" s="144"/>
      <c r="O143" s="144"/>
      <c r="P143" s="144"/>
      <c r="Q143" s="144"/>
      <c r="R143" s="144" t="s">
        <v>4590</v>
      </c>
      <c r="S143" s="142" t="s">
        <v>4723</v>
      </c>
      <c r="T143" s="530"/>
    </row>
    <row r="144" spans="1:20" x14ac:dyDescent="0.15">
      <c r="A144" s="499"/>
      <c r="B144" s="143" t="s">
        <v>4590</v>
      </c>
      <c r="C144" s="143" t="s">
        <v>4723</v>
      </c>
      <c r="D144" s="149"/>
      <c r="E144" s="149"/>
      <c r="F144" s="149"/>
      <c r="G144" s="149"/>
      <c r="H144" s="541" t="s">
        <v>4963</v>
      </c>
      <c r="I144" s="481" t="s">
        <v>4657</v>
      </c>
      <c r="J144" s="150"/>
      <c r="K144" s="519"/>
      <c r="L144" s="481" t="s">
        <v>4601</v>
      </c>
      <c r="M144" s="541" t="s">
        <v>4963</v>
      </c>
      <c r="N144" s="149"/>
      <c r="O144" s="149"/>
      <c r="P144" s="149"/>
      <c r="Q144" s="149"/>
      <c r="R144" s="149" t="s">
        <v>4590</v>
      </c>
      <c r="S144" s="143" t="s">
        <v>4723</v>
      </c>
      <c r="T144" s="531"/>
    </row>
    <row r="145" spans="1:20" x14ac:dyDescent="0.15">
      <c r="A145" s="500"/>
      <c r="B145" s="143" t="s">
        <v>4590</v>
      </c>
      <c r="C145" s="143" t="s">
        <v>4723</v>
      </c>
      <c r="D145" s="157"/>
      <c r="E145" s="157"/>
      <c r="F145" s="157"/>
      <c r="G145" s="157"/>
      <c r="H145" s="541" t="s">
        <v>4963</v>
      </c>
      <c r="I145" s="481" t="s">
        <v>4661</v>
      </c>
      <c r="J145" s="154"/>
      <c r="K145" s="523"/>
      <c r="L145" s="488" t="s">
        <v>4603</v>
      </c>
      <c r="M145" s="541" t="s">
        <v>4963</v>
      </c>
      <c r="N145" s="157"/>
      <c r="O145" s="157"/>
      <c r="P145" s="157"/>
      <c r="Q145" s="157"/>
      <c r="R145" s="157" t="s">
        <v>4590</v>
      </c>
      <c r="S145" s="143" t="s">
        <v>4723</v>
      </c>
      <c r="T145" s="531"/>
    </row>
    <row r="146" spans="1:20" x14ac:dyDescent="0.15">
      <c r="A146" s="509"/>
      <c r="B146" s="143" t="s">
        <v>4590</v>
      </c>
      <c r="C146" s="143" t="s">
        <v>4723</v>
      </c>
      <c r="D146" s="157"/>
      <c r="E146" s="157"/>
      <c r="F146" s="157"/>
      <c r="G146" s="157"/>
      <c r="H146" s="541" t="s">
        <v>4963</v>
      </c>
      <c r="I146" s="481" t="s">
        <v>4665</v>
      </c>
      <c r="J146" s="154"/>
      <c r="K146" s="523"/>
      <c r="L146" s="488" t="s">
        <v>4605</v>
      </c>
      <c r="M146" s="541" t="s">
        <v>4963</v>
      </c>
      <c r="N146" s="157"/>
      <c r="O146" s="157"/>
      <c r="P146" s="157"/>
      <c r="Q146" s="157"/>
      <c r="R146" s="157" t="s">
        <v>4590</v>
      </c>
      <c r="S146" s="143" t="s">
        <v>4723</v>
      </c>
      <c r="T146" s="531"/>
    </row>
    <row r="147" spans="1:20" ht="14.25" thickBot="1" x14ac:dyDescent="0.2">
      <c r="A147" s="514"/>
      <c r="B147" s="166" t="s">
        <v>4590</v>
      </c>
      <c r="C147" s="166" t="s">
        <v>4723</v>
      </c>
      <c r="D147" s="167"/>
      <c r="E147" s="167"/>
      <c r="F147" s="167"/>
      <c r="G147" s="167"/>
      <c r="H147" s="1181" t="s">
        <v>4964</v>
      </c>
      <c r="I147" s="483" t="s">
        <v>4670</v>
      </c>
      <c r="J147" s="168"/>
      <c r="K147" s="525"/>
      <c r="L147" s="491" t="s">
        <v>4609</v>
      </c>
      <c r="M147" s="1181" t="s">
        <v>4964</v>
      </c>
      <c r="N147" s="167"/>
      <c r="O147" s="167"/>
      <c r="P147" s="167"/>
      <c r="Q147" s="167"/>
      <c r="R147" s="167" t="s">
        <v>4590</v>
      </c>
      <c r="S147" s="166" t="s">
        <v>4723</v>
      </c>
      <c r="T147" s="538"/>
    </row>
    <row r="148" spans="1:20" ht="14.25" thickTop="1" x14ac:dyDescent="0.15">
      <c r="M148" s="504" t="s">
        <v>4713</v>
      </c>
      <c r="N148" s="128" t="n">
        <f>SUM(D138:D147,N138:N147)</f>
        <v>28.46</v>
      </c>
      <c r="O148" s="128" t="n">
        <f>SUM(E138:E147,O138:O147)</f>
        <v>15.770000000000001</v>
      </c>
      <c r="P148" s="128" t="n">
        <f>SUM(F138:F147,P138:P147)</f>
        <v>28.75</v>
      </c>
    </row>
    <row r="149" spans="1:20" ht="14.25" thickBot="1" x14ac:dyDescent="0.2"/>
    <row r="150" spans="1:20" ht="15" thickTop="1" thickBot="1" x14ac:dyDescent="0.2">
      <c r="A150" s="53" t="s">
        <v>7013</v>
      </c>
      <c r="D150" s="3660" t="s">
        <v>8985</v>
      </c>
      <c r="E150" s="3660"/>
      <c r="F150" s="3660"/>
      <c r="G150" s="3660"/>
      <c r="H150" s="495"/>
      <c r="I150" s="124"/>
      <c r="J150" s="3661" t="s">
        <v>4628</v>
      </c>
      <c r="K150" s="3662"/>
      <c r="L150" s="486"/>
      <c r="M150" s="495"/>
      <c r="N150" s="126"/>
      <c r="O150" s="126"/>
      <c r="P150" s="126"/>
      <c r="Q150" s="126"/>
      <c r="R150" s="126"/>
      <c r="S150" s="126"/>
    </row>
    <row r="151" spans="1:20" ht="15" thickTop="1" thickBot="1" x14ac:dyDescent="0.2">
      <c r="A151" s="496"/>
      <c r="B151" s="128"/>
      <c r="C151" s="128"/>
      <c r="D151" s="129"/>
      <c r="E151" s="130"/>
      <c r="F151" s="130"/>
      <c r="G151" s="130"/>
      <c r="H151" s="515"/>
      <c r="I151" s="131"/>
      <c r="J151" s="128"/>
      <c r="K151" s="516"/>
      <c r="L151" s="132"/>
      <c r="M151" s="1371" t="s">
        <v>4562</v>
      </c>
      <c r="N151" s="1368">
        <v>88.3</v>
      </c>
      <c r="O151" s="1369">
        <v>66</v>
      </c>
      <c r="P151" s="1370">
        <v>69.5</v>
      </c>
      <c r="Q151" s="508" t="s">
        <v>4563</v>
      </c>
      <c r="R151" s="133"/>
      <c r="S151" s="128"/>
      <c r="T151" s="528"/>
    </row>
    <row r="152" spans="1:20" ht="15" thickTop="1" thickBot="1" x14ac:dyDescent="0.2">
      <c r="A152" s="497" t="s">
        <v>4629</v>
      </c>
      <c r="B152" s="135" t="s">
        <v>4565</v>
      </c>
      <c r="C152" s="136" t="s">
        <v>4566</v>
      </c>
      <c r="D152" s="135" t="s">
        <v>4567</v>
      </c>
      <c r="E152" s="135" t="s">
        <v>4568</v>
      </c>
      <c r="F152" s="135" t="s">
        <v>4569</v>
      </c>
      <c r="G152" s="135" t="s">
        <v>4570</v>
      </c>
      <c r="H152" s="539" t="s">
        <v>4571</v>
      </c>
      <c r="I152" s="479"/>
      <c r="J152" s="138" t="s">
        <v>4572</v>
      </c>
      <c r="K152" s="517" t="s">
        <v>4572</v>
      </c>
      <c r="L152" s="479"/>
      <c r="M152" s="539" t="s">
        <v>4571</v>
      </c>
      <c r="N152" s="135" t="s">
        <v>4567</v>
      </c>
      <c r="O152" s="135" t="s">
        <v>4568</v>
      </c>
      <c r="P152" s="135" t="s">
        <v>4569</v>
      </c>
      <c r="Q152" s="135" t="s">
        <v>4570</v>
      </c>
      <c r="R152" s="135" t="s">
        <v>4565</v>
      </c>
      <c r="S152" s="136" t="s">
        <v>4566</v>
      </c>
      <c r="T152" s="529" t="s">
        <v>4629</v>
      </c>
    </row>
    <row r="153" spans="1:20" ht="17.25" thickTop="1" x14ac:dyDescent="0.15">
      <c r="A153" s="498" t="s">
        <v>4966</v>
      </c>
      <c r="B153" s="142" t="s">
        <v>4631</v>
      </c>
      <c r="C153" s="152" t="s">
        <v>4575</v>
      </c>
      <c r="D153" s="2654" cm="1" t="n">
        <f t="array" ref="D153">INDEX('7층_부하량'!C3:C3000,MATCH(1,("7-DaHall 1-PDU-04"='7층_부하량'!A3:A3000)*(1='7층_부하량'!B3:B3000),0))</f>
        <v>39.61</v>
      </c>
      <c r="E153" s="2654" cm="1" t="n">
        <f t="array" ref="E153">INDEX('7층_부하량'!D3:D3000,MATCH(1,("7-DaHall 1-PDU-04"='7층_부하량'!A3:A3000)*(1='7층_부하량'!B3:B3000),0))</f>
        <v>40.33</v>
      </c>
      <c r="F153" s="2654" cm="1" t="n">
        <f t="array" ref="F153">INDEX('7층_부하량'!E3:E3000,MATCH(1,("7-DaHall 1-PDU-04"='7층_부하량'!A3:A3000)*(1='7층_부하량'!B3:B3000),0))</f>
        <v>42.89</v>
      </c>
      <c r="G153" s="144"/>
      <c r="H153" s="540" t="s">
        <v>4967</v>
      </c>
      <c r="I153" s="480" t="s">
        <v>4633</v>
      </c>
      <c r="J153" s="145"/>
      <c r="K153" s="518" t="s">
        <v>4961</v>
      </c>
      <c r="L153" s="480" t="s">
        <v>4578</v>
      </c>
      <c r="M153" s="540" t="s">
        <v>4967</v>
      </c>
      <c r="N153" s="2662" cm="1" t="n">
        <f t="array" ref="N153">INDEX('7층_부하량'!C3:C3000,MATCH(1,("7-DaHall 1-PDU-04"='7층_부하량'!A3:A3000)*(2='7층_부하량'!B3:B3000),0))</f>
        <v>0.0</v>
      </c>
      <c r="O153" s="2662" cm="1" t="n">
        <f t="array" ref="O153">INDEX('7층_부하량'!D3:D3000,MATCH(1,("7-DaHall 1-PDU-04"='7층_부하량'!A3:A3000)*(2='7층_부하량'!B3:B3000),0))</f>
        <v>0.0</v>
      </c>
      <c r="P153" s="2662" cm="1" t="n">
        <f t="array" ref="P153">INDEX('7층_부하량'!E3:E3000,MATCH(1,("7-DaHall 1-PDU-04"='7층_부하량'!A3:A3000)*(2='7층_부하량'!B3:B3000),0))</f>
        <v>0.0</v>
      </c>
      <c r="Q153" s="352"/>
      <c r="R153" s="144" t="s">
        <v>4631</v>
      </c>
      <c r="S153" s="152" t="s">
        <v>4575</v>
      </c>
      <c r="T153" s="530" t="s">
        <v>7014</v>
      </c>
    </row>
    <row r="154" spans="1:20" ht="16.5" x14ac:dyDescent="0.15">
      <c r="A154" s="499"/>
      <c r="B154" s="143" t="s">
        <v>4590</v>
      </c>
      <c r="C154" s="143" t="s">
        <v>4723</v>
      </c>
      <c r="D154" s="2663" cm="1" t="n">
        <f t="array" ref="D154">INDEX('7층_부하량'!C3:C3000,MATCH(1,("7-DaHall 1-PDU-04"='7층_부하량'!A3:A3000)*(3='7층_부하량'!B3:B3000),0))</f>
        <v>0.0</v>
      </c>
      <c r="E154" s="2663" cm="1" t="n">
        <f t="array" ref="E154">INDEX('7층_부하량'!D3:D3000,MATCH(1,("7-DaHall 1-PDU-04"='7층_부하량'!A3:A3000)*(3='7층_부하량'!B3:B3000),0))</f>
        <v>0.0</v>
      </c>
      <c r="F154" s="2663" cm="1" t="n">
        <f t="array" ref="F154">INDEX('7층_부하량'!E3:E3000,MATCH(1,("7-DaHall 1-PDU-04"='7층_부하량'!A3:A3000)*(3='7층_부하량'!B3:B3000),0))</f>
        <v>0.0</v>
      </c>
      <c r="G154" s="149"/>
      <c r="H154" s="541" t="s">
        <v>4967</v>
      </c>
      <c r="I154" s="481" t="s">
        <v>4638</v>
      </c>
      <c r="J154" s="150" t="s">
        <v>4961</v>
      </c>
      <c r="K154" s="519" t="s">
        <v>4961</v>
      </c>
      <c r="L154" s="481" t="s">
        <v>4583</v>
      </c>
      <c r="M154" s="541" t="s">
        <v>4967</v>
      </c>
      <c r="N154" s="2663" cm="1" t="n">
        <f t="array" ref="N154">INDEX('7층_부하량'!C3:C3000,MATCH(1,("7-DaHall 1-PDU-04"='7층_부하량'!A3:A3000)*(4='7층_부하량'!B3:B3000),0))</f>
        <v>0.0</v>
      </c>
      <c r="O154" s="2663" cm="1" t="n">
        <f t="array" ref="O154">INDEX('7층_부하량'!D3:D3000,MATCH(1,("7-DaHall 1-PDU-04"='7층_부하량'!A3:A3000)*(4='7층_부하량'!B3:B3000),0))</f>
        <v>0.0</v>
      </c>
      <c r="P154" s="2655" cm="1" t="n">
        <f t="array" ref="P154">INDEX('7층_부하량'!E3:E3000,MATCH(1,("7-DaHall 1-PDU-04"='7층_부하량'!A3:A3000)*(4='7층_부하량'!B3:B3000),0))</f>
        <v>0.0</v>
      </c>
      <c r="Q154" s="344"/>
      <c r="R154" s="149" t="s">
        <v>4631</v>
      </c>
      <c r="S154" s="164" t="s">
        <v>4575</v>
      </c>
      <c r="T154" s="531" t="s">
        <v>7015</v>
      </c>
    </row>
    <row r="155" spans="1:20" x14ac:dyDescent="0.15">
      <c r="A155" s="500"/>
      <c r="B155" s="143" t="s">
        <v>4590</v>
      </c>
      <c r="C155" s="143" t="s">
        <v>4723</v>
      </c>
      <c r="D155" s="2663" cm="1" t="n">
        <f t="array" ref="D155">INDEX('7층_부하량'!C3:C3000,MATCH(1,("7-DaHall 1-PDU-04"='7층_부하량'!A3:A3000)*(5='7층_부하량'!B3:B3000),0))</f>
        <v>0.0</v>
      </c>
      <c r="E155" s="2663" cm="1" t="n">
        <f t="array" ref="E155">INDEX('7층_부하량'!D3:D3000,MATCH(1,("7-DaHall 1-PDU-04"='7층_부하량'!A3:A3000)*(5='7층_부하량'!B3:B3000),0))</f>
        <v>0.0</v>
      </c>
      <c r="F155" s="2663" cm="1" t="n">
        <f t="array" ref="F155">INDEX('7층_부하량'!E3:E3000,MATCH(1,("7-DaHall 1-PDU-04"='7층_부하량'!A3:A3000)*(5='7층_부하량'!B3:B3000),0))</f>
        <v>0.0</v>
      </c>
      <c r="G155" s="157"/>
      <c r="H155" s="541" t="s">
        <v>4967</v>
      </c>
      <c r="I155" s="481" t="s">
        <v>4641</v>
      </c>
      <c r="J155" s="150" t="s">
        <v>4961</v>
      </c>
      <c r="K155" s="523"/>
      <c r="L155" s="488" t="s">
        <v>4588</v>
      </c>
      <c r="M155" s="541" t="s">
        <v>4967</v>
      </c>
      <c r="N155" s="2656" cm="1" t="n">
        <f t="array" ref="N155">INDEX('7층_부하량'!C3:C3000,MATCH(1,("7-DaHall 1-PDU-04"='7층_부하량'!A3:A3000)*(6='7층_부하량'!B3:B3000),0))</f>
        <v>0.0</v>
      </c>
      <c r="O155" s="2656" cm="1" t="n">
        <f t="array" ref="O155">INDEX('7층_부하량'!D3:D3000,MATCH(1,("7-DaHall 1-PDU-04"='7층_부하량'!A3:A3000)*(6='7층_부하량'!B3:B3000),0))</f>
        <v>0.0</v>
      </c>
      <c r="P155" s="2656" cm="1" t="n">
        <f t="array" ref="P155">INDEX('7층_부하량'!E3:E3000,MATCH(1,("7-DaHall 1-PDU-04"='7층_부하량'!A3:A3000)*(6='7층_부하량'!B3:B3000),0))</f>
        <v>0.0</v>
      </c>
      <c r="Q155" s="157"/>
      <c r="R155" s="157" t="s">
        <v>4590</v>
      </c>
      <c r="S155" s="143" t="s">
        <v>4723</v>
      </c>
      <c r="T155" s="531"/>
    </row>
    <row r="156" spans="1:20" x14ac:dyDescent="0.15">
      <c r="A156" s="509"/>
      <c r="B156" s="143" t="s">
        <v>4590</v>
      </c>
      <c r="C156" s="143" t="s">
        <v>4723</v>
      </c>
      <c r="D156" s="2656" cm="1" t="n">
        <f t="array" ref="D156">INDEX('7층_부하량'!C3:C3000,MATCH(1,("7-DaHall 1-PDU-04"='7층_부하량'!A3:A3000)*(7='7층_부하량'!B3:B3000),0))</f>
        <v>0.0</v>
      </c>
      <c r="E156" s="2656" cm="1" t="n">
        <f t="array" ref="E156">INDEX('7층_부하량'!D3:D3000,MATCH(1,("7-DaHall 1-PDU-04"='7층_부하량'!A3:A3000)*(7='7층_부하량'!B3:B3000),0))</f>
        <v>0.0</v>
      </c>
      <c r="F156" s="2656" cm="1" t="n">
        <f t="array" ref="F156">INDEX('7층_부하량'!E3:E3000,MATCH(1,("7-DaHall 1-PDU-04"='7층_부하량'!A3:A3000)*(7='7층_부하량'!B3:B3000),0))</f>
        <v>0.0</v>
      </c>
      <c r="G156" s="157"/>
      <c r="H156" s="541" t="s">
        <v>4967</v>
      </c>
      <c r="I156" s="481" t="s">
        <v>4645</v>
      </c>
      <c r="J156" s="154"/>
      <c r="K156" s="523"/>
      <c r="L156" s="488" t="s">
        <v>4593</v>
      </c>
      <c r="M156" s="541" t="s">
        <v>4967</v>
      </c>
      <c r="N156" s="2656" cm="1" t="n">
        <f t="array" ref="N156">INDEX('7층_부하량'!C3:C3000,MATCH(1,("7-DaHall 1-PDU-04"='7층_부하량'!A3:A3000)*(8='7층_부하량'!B3:B3000),0))</f>
        <v>0.0</v>
      </c>
      <c r="O156" s="2656" cm="1" t="n">
        <f t="array" ref="O156">INDEX('7층_부하량'!D3:D3000,MATCH(1,("7-DaHall 1-PDU-04"='7층_부하량'!A3:A3000)*(8='7층_부하량'!B3:B3000),0))</f>
        <v>0.0</v>
      </c>
      <c r="P156" s="2656" cm="1" t="n">
        <f t="array" ref="P156">INDEX('7층_부하량'!E3:E3000,MATCH(1,("7-DaHall 1-PDU-04"='7층_부하량'!A3:A3000)*(8='7층_부하량'!B3:B3000),0))</f>
        <v>0.0</v>
      </c>
      <c r="Q156" s="157"/>
      <c r="R156" s="157" t="s">
        <v>4590</v>
      </c>
      <c r="S156" s="143" t="s">
        <v>4723</v>
      </c>
      <c r="T156" s="531"/>
    </row>
    <row r="157" spans="1:20" ht="14.25" thickBot="1" x14ac:dyDescent="0.2">
      <c r="A157" s="502"/>
      <c r="B157" s="143" t="s">
        <v>4590</v>
      </c>
      <c r="C157" s="143" t="s">
        <v>4723</v>
      </c>
      <c r="D157" s="2656" cm="1" t="n">
        <f t="array" ref="D157">INDEX('7층_부하량'!C3:C3000,MATCH(1,("7-DaHall 1-PDU-04"='7층_부하량'!A3:A3000)*(9='7층_부하량'!B3:B3000),0))</f>
        <v>0.0</v>
      </c>
      <c r="E157" s="2656" cm="1" t="n">
        <f t="array" ref="E157">INDEX('7층_부하량'!D3:D3000,MATCH(1,("7-DaHall 1-PDU-04"='7층_부하량'!A3:A3000)*(9='7층_부하량'!B3:B3000),0))</f>
        <v>0.0</v>
      </c>
      <c r="F157" s="2656" cm="1" t="n">
        <f t="array" ref="F157">INDEX('7층_부하량'!E3:E3000,MATCH(1,("7-DaHall 1-PDU-04"='7층_부하량'!A3:A3000)*(9='7층_부하량'!B3:B3000),0))</f>
        <v>0.0</v>
      </c>
      <c r="G157" s="157"/>
      <c r="H157" s="541" t="s">
        <v>4967</v>
      </c>
      <c r="I157" s="481" t="s">
        <v>4648</v>
      </c>
      <c r="J157" s="154"/>
      <c r="K157" s="523"/>
      <c r="L157" s="488" t="s">
        <v>4596</v>
      </c>
      <c r="M157" s="541" t="s">
        <v>4967</v>
      </c>
      <c r="N157" s="2656" cm="1" t="n">
        <f t="array" ref="N157">INDEX('7층_부하량'!C3:C3000,MATCH(1,("7-DaHall 1-PDU-04"='7층_부하량'!A3:A3000)*(10='7층_부하량'!B3:B3000),0))</f>
        <v>0.0</v>
      </c>
      <c r="O157" s="2656" cm="1" t="n">
        <f t="array" ref="O157">INDEX('7층_부하량'!D3:D3000,MATCH(1,("7-DaHall 1-PDU-04"='7층_부하량'!A3:A3000)*(10='7층_부하량'!B3:B3000),0))</f>
        <v>0.0</v>
      </c>
      <c r="P157" s="2656" cm="1" t="n">
        <f t="array" ref="P157">INDEX('7층_부하량'!E3:E3000,MATCH(1,("7-DaHall 1-PDU-04"='7층_부하량'!A3:A3000)*(10='7층_부하량'!B3:B3000),0))</f>
        <v>0.0</v>
      </c>
      <c r="Q157" s="157"/>
      <c r="R157" s="157" t="s">
        <v>4590</v>
      </c>
      <c r="S157" s="143" t="s">
        <v>4723</v>
      </c>
      <c r="T157" s="535"/>
    </row>
    <row r="158" spans="1:20" ht="14.25" thickTop="1" x14ac:dyDescent="0.15">
      <c r="A158" s="498"/>
      <c r="B158" s="142" t="s">
        <v>4590</v>
      </c>
      <c r="C158" s="142" t="s">
        <v>4723</v>
      </c>
      <c r="D158" s="144"/>
      <c r="E158" s="144"/>
      <c r="F158" s="144"/>
      <c r="G158" s="144"/>
      <c r="H158" s="540" t="s">
        <v>4963</v>
      </c>
      <c r="I158" s="480" t="s">
        <v>4653</v>
      </c>
      <c r="J158" s="145"/>
      <c r="K158" s="518"/>
      <c r="L158" s="480" t="s">
        <v>4599</v>
      </c>
      <c r="M158" s="540" t="s">
        <v>4963</v>
      </c>
      <c r="N158" s="144"/>
      <c r="O158" s="144"/>
      <c r="P158" s="144"/>
      <c r="Q158" s="144"/>
      <c r="R158" s="144" t="s">
        <v>4590</v>
      </c>
      <c r="S158" s="142" t="s">
        <v>4723</v>
      </c>
      <c r="T158" s="530"/>
    </row>
    <row r="159" spans="1:20" x14ac:dyDescent="0.15">
      <c r="A159" s="499"/>
      <c r="B159" s="143" t="s">
        <v>4590</v>
      </c>
      <c r="C159" s="143" t="s">
        <v>4723</v>
      </c>
      <c r="D159" s="149"/>
      <c r="E159" s="149"/>
      <c r="F159" s="149"/>
      <c r="G159" s="149"/>
      <c r="H159" s="541" t="s">
        <v>4963</v>
      </c>
      <c r="I159" s="481" t="s">
        <v>4657</v>
      </c>
      <c r="J159" s="150"/>
      <c r="K159" s="519"/>
      <c r="L159" s="481" t="s">
        <v>4601</v>
      </c>
      <c r="M159" s="541" t="s">
        <v>4963</v>
      </c>
      <c r="N159" s="149"/>
      <c r="O159" s="149"/>
      <c r="P159" s="149"/>
      <c r="Q159" s="149"/>
      <c r="R159" s="149" t="s">
        <v>4590</v>
      </c>
      <c r="S159" s="143" t="s">
        <v>4723</v>
      </c>
      <c r="T159" s="531"/>
    </row>
    <row r="160" spans="1:20" x14ac:dyDescent="0.15">
      <c r="A160" s="500"/>
      <c r="B160" s="143" t="s">
        <v>4590</v>
      </c>
      <c r="C160" s="143" t="s">
        <v>4723</v>
      </c>
      <c r="D160" s="157"/>
      <c r="E160" s="157"/>
      <c r="F160" s="157"/>
      <c r="G160" s="157"/>
      <c r="H160" s="541" t="s">
        <v>4963</v>
      </c>
      <c r="I160" s="481" t="s">
        <v>4661</v>
      </c>
      <c r="J160" s="154"/>
      <c r="K160" s="523"/>
      <c r="L160" s="488" t="s">
        <v>4603</v>
      </c>
      <c r="M160" s="541" t="s">
        <v>4963</v>
      </c>
      <c r="N160" s="157"/>
      <c r="O160" s="157"/>
      <c r="P160" s="157"/>
      <c r="Q160" s="157"/>
      <c r="R160" s="157" t="s">
        <v>4590</v>
      </c>
      <c r="S160" s="143" t="s">
        <v>4723</v>
      </c>
      <c r="T160" s="531"/>
    </row>
    <row r="161" spans="1:20" x14ac:dyDescent="0.15">
      <c r="A161" s="509"/>
      <c r="B161" s="143" t="s">
        <v>4590</v>
      </c>
      <c r="C161" s="143" t="s">
        <v>4723</v>
      </c>
      <c r="D161" s="157"/>
      <c r="E161" s="157"/>
      <c r="F161" s="157"/>
      <c r="G161" s="157"/>
      <c r="H161" s="541" t="s">
        <v>4963</v>
      </c>
      <c r="I161" s="481" t="s">
        <v>4665</v>
      </c>
      <c r="J161" s="154"/>
      <c r="K161" s="523"/>
      <c r="L161" s="488" t="s">
        <v>4605</v>
      </c>
      <c r="M161" s="541" t="s">
        <v>4963</v>
      </c>
      <c r="N161" s="157"/>
      <c r="O161" s="157"/>
      <c r="P161" s="157"/>
      <c r="Q161" s="157"/>
      <c r="R161" s="157" t="s">
        <v>4590</v>
      </c>
      <c r="S161" s="143" t="s">
        <v>4723</v>
      </c>
      <c r="T161" s="531"/>
    </row>
    <row r="162" spans="1:20" ht="14.25" thickBot="1" x14ac:dyDescent="0.2">
      <c r="A162" s="514"/>
      <c r="B162" s="166" t="s">
        <v>4631</v>
      </c>
      <c r="C162" s="166" t="s">
        <v>4723</v>
      </c>
      <c r="D162" s="167"/>
      <c r="E162" s="167"/>
      <c r="F162" s="167"/>
      <c r="G162" s="167"/>
      <c r="H162" s="543" t="s">
        <v>4968</v>
      </c>
      <c r="I162" s="483" t="s">
        <v>4670</v>
      </c>
      <c r="J162" s="168"/>
      <c r="K162" s="525"/>
      <c r="L162" s="491" t="s">
        <v>4609</v>
      </c>
      <c r="M162" s="543" t="s">
        <v>4968</v>
      </c>
      <c r="N162" s="167"/>
      <c r="O162" s="167"/>
      <c r="P162" s="167"/>
      <c r="Q162" s="167"/>
      <c r="R162" s="330" t="s">
        <v>4631</v>
      </c>
      <c r="S162" s="166" t="s">
        <v>4723</v>
      </c>
      <c r="T162" s="538"/>
    </row>
    <row r="163" spans="1:20" ht="17.25" thickTop="1" x14ac:dyDescent="0.15">
      <c r="A163" s="515"/>
      <c r="B163" s="133"/>
      <c r="C163" s="133"/>
      <c r="D163" s="131"/>
      <c r="E163" s="131"/>
      <c r="F163" s="131"/>
      <c r="G163" s="131"/>
      <c r="H163" s="504"/>
      <c r="I163" s="133"/>
      <c r="J163" s="172"/>
      <c r="K163" s="522"/>
      <c r="L163" s="172"/>
      <c r="M163" s="504" t="s">
        <v>4713</v>
      </c>
      <c r="N163" s="128" t="n">
        <f>SUM(D153:D162,N153:N162)</f>
        <v>39.61</v>
      </c>
      <c r="O163" s="128" t="n">
        <f>SUM(E153:E162,O153:O162)</f>
        <v>40.33</v>
      </c>
      <c r="P163" s="128" t="n">
        <f>SUM(F153:F162,P153:P162)</f>
        <v>42.89</v>
      </c>
      <c r="Q163" s="131"/>
      <c r="R163" s="131"/>
      <c r="S163" s="196"/>
      <c r="T163" s="515"/>
    </row>
    <row r="164" spans="1:20" x14ac:dyDescent="0.15">
      <c r="D164" s="128" t="s">
        <v>4969</v>
      </c>
      <c r="E164" s="128" t="s">
        <v>4970</v>
      </c>
    </row>
    <row r="165" spans="1:20" x14ac:dyDescent="0.15">
      <c r="A165" s="252" t="s">
        <v>4971</v>
      </c>
      <c r="B165" s="50" t="s">
        <v>4649</v>
      </c>
      <c r="C165" s="50" t="s">
        <v>4972</v>
      </c>
      <c r="D165" s="2306" t="n">
        <f>N173-SUM(D166:D170)</f>
        <v>95.19999999999999</v>
      </c>
      <c r="E165" s="51" t="n">
        <f t="shared" ref="E165:E171" si="0">D165/$D$171</f>
        <v>0.29771398192450815</v>
      </c>
      <c r="M165" s="511" t="s">
        <v>4973</v>
      </c>
      <c r="N165" s="128" t="n">
        <f>N26</f>
        <v>5.6</v>
      </c>
      <c r="O165" s="128" t="n">
        <f>O26</f>
        <v>7.32</v>
      </c>
      <c r="P165" s="128" t="n">
        <f>P26</f>
        <v>4.24</v>
      </c>
    </row>
    <row r="166" spans="1:20" x14ac:dyDescent="0.15">
      <c r="B166" s="50" t="s">
        <v>4974</v>
      </c>
      <c r="C166" s="50" t="s">
        <v>4975</v>
      </c>
      <c r="D166" s="2307" t="n">
        <f>SUM(D18:F18,N15:P15,N25:P25,D32:F32,D34:F37,D39:F44,D46:F48,D50:F50,N46:P46,D65:F69,D71:F76,D78:F80,D82:F82,N78:P78,N113:P113)</f>
        <v>62.77000000000001</v>
      </c>
      <c r="E166" s="51" t="n">
        <f t="shared" si="0"/>
        <v>0.1962973387121994</v>
      </c>
      <c r="M166" s="511" t="s">
        <v>4976</v>
      </c>
      <c r="N166" s="128" t="n">
        <f>N115</f>
        <v>15.75</v>
      </c>
      <c r="O166" s="128" t="n">
        <f>O115</f>
        <v>8.9</v>
      </c>
      <c r="P166" s="128" t="n">
        <f>P115</f>
        <v>6.53</v>
      </c>
    </row>
    <row r="167" spans="1:20" x14ac:dyDescent="0.15">
      <c r="B167" s="50" t="s">
        <v>4634</v>
      </c>
      <c r="C167" s="50" t="s">
        <v>4634</v>
      </c>
      <c r="D167" s="2308" t="n">
        <f>SUM(D6:F9,D12:F12,D19:F21,N9:P11,N21:P21,N34:P34,D49:F49,N45:P45,N66:P66,N77:P77,D77:F77,D81:F81,D98:F103,D112:F114,N95:P95,N97:P97,N107:P107)</f>
        <v>14.420000000000002</v>
      </c>
      <c r="E167" s="51" t="n">
        <f t="shared" si="0"/>
        <v>0.045094911967976985</v>
      </c>
      <c r="M167" s="511" t="s">
        <v>4977</v>
      </c>
      <c r="N167" s="128" t="n">
        <f>N125</f>
        <v>3.77</v>
      </c>
      <c r="O167" s="128" t="n">
        <f>O125</f>
        <v>7.369999999999999</v>
      </c>
      <c r="P167" s="128" t="n">
        <f>P125</f>
        <v>3.67</v>
      </c>
    </row>
    <row r="168" spans="1:20" x14ac:dyDescent="0.15">
      <c r="B168" s="50" t="s">
        <v>4634</v>
      </c>
      <c r="C168" s="50" t="s">
        <v>4978</v>
      </c>
      <c r="D168" s="2309" t="n">
        <f>SUM(,N140:P140,D153:F153)</f>
        <v>133.8</v>
      </c>
      <c r="E168" s="51" t="n">
        <f t="shared" si="0"/>
        <v>0.4184257435031429</v>
      </c>
      <c r="G168" s="128"/>
      <c r="M168" s="511" t="s">
        <v>4979</v>
      </c>
      <c r="N168" s="128" t="n">
        <f>N133</f>
        <v>3.9299999999999997</v>
      </c>
      <c r="O168" s="128" t="n">
        <f>O133</f>
        <v>7.7299999999999995</v>
      </c>
      <c r="P168" s="128" t="n">
        <f>P133</f>
        <v>2.8099999999999996</v>
      </c>
    </row>
    <row r="169" spans="1:20" x14ac:dyDescent="0.15">
      <c r="B169" s="1004" t="s">
        <v>4980</v>
      </c>
      <c r="C169" s="50" t="s">
        <v>4981</v>
      </c>
      <c r="D169" s="2310" t="n">
        <f>SUM(D14:F14,N19:P20,D95:F96,N95:P95,N97:P97,N105:P106)</f>
        <v>4.35</v>
      </c>
      <c r="E169" s="51" t="n">
        <f t="shared" si="0"/>
        <v>0.013603527535416077</v>
      </c>
      <c r="M169" s="511" t="s">
        <v>4982</v>
      </c>
      <c r="N169" s="128" t="n">
        <f>N90</f>
        <v>19.26</v>
      </c>
      <c r="O169" s="128" t="n">
        <f>O90</f>
        <v>18.21</v>
      </c>
      <c r="P169" s="128" t="n">
        <f>P90</f>
        <v>13.83</v>
      </c>
    </row>
    <row r="170" spans="1:20" x14ac:dyDescent="0.15">
      <c r="B170" s="1004" t="s">
        <v>4983</v>
      </c>
      <c r="C170" s="50"/>
      <c r="D170" s="2310" t="n">
        <f>SUM(N138:P138)</f>
        <v>9.23</v>
      </c>
      <c r="E170" s="51" t="n">
        <f t="shared" si="0"/>
        <v>0.028864496356756416</v>
      </c>
      <c r="M170" s="511" t="s">
        <v>4984</v>
      </c>
      <c r="N170" s="128" t="n">
        <f>N58</f>
        <v>14.34</v>
      </c>
      <c r="O170" s="128" t="n">
        <f>O58</f>
        <v>18.51</v>
      </c>
      <c r="P170" s="128" t="n">
        <f>P58</f>
        <v>14.97</v>
      </c>
    </row>
    <row r="171" spans="1:20" x14ac:dyDescent="0.15">
      <c r="B171" s="50"/>
      <c r="C171" s="50" t="s">
        <v>4985</v>
      </c>
      <c r="D171" s="2463" t="n">
        <f>SUM(D165:D170)</f>
        <v>319.77000000000004</v>
      </c>
      <c r="E171" s="2462" t="n">
        <f t="shared" si="0"/>
        <v>1.0</v>
      </c>
      <c r="M171" s="511" t="s">
        <v>4986</v>
      </c>
      <c r="N171" s="128" t="n">
        <f>D153+N140</f>
        <v>42.019999999999996</v>
      </c>
      <c r="O171" s="128" t="n">
        <f t="shared" ref="O171:P171" si="1">E153+O140</f>
        <v>42.25</v>
      </c>
      <c r="P171" s="128" t="n">
        <f t="shared" si="1"/>
        <v>49.53</v>
      </c>
    </row>
    <row r="172" spans="1:20" x14ac:dyDescent="0.15">
      <c r="D172" s="128"/>
      <c r="M172" s="511" t="s">
        <v>4987</v>
      </c>
      <c r="N172" s="128" t="n">
        <f>N138</f>
        <v>2.37</v>
      </c>
      <c r="O172" s="128" t="n">
        <f t="shared" ref="O172:P172" si="2">O138</f>
        <v>1.8</v>
      </c>
      <c r="P172" s="128" t="n">
        <f t="shared" si="2"/>
        <v>5.06</v>
      </c>
    </row>
    <row r="173" spans="1:20" x14ac:dyDescent="0.15">
      <c r="M173" s="511" t="s">
        <v>4988</v>
      </c>
      <c r="N173" s="2463" t="n">
        <f>SUM(N165:P172)</f>
        <v>319.77</v>
      </c>
    </row>
    <row r="175" spans="1:20" x14ac:dyDescent="0.15">
      <c r="N175" t="n">
        <f>N173*220/1000</f>
        <v>70.34939999999999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1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3.5" x14ac:dyDescent="0.15"/>
  <cols>
    <col min="1" max="1" customWidth="true" style="511" width="18.33203125" collapsed="false"/>
    <col min="2" max="3" customWidth="true" width="6.77734375" collapsed="false"/>
    <col min="4" max="7" customWidth="true" width="7.6640625" collapsed="false"/>
    <col min="8" max="8" customWidth="true" style="511" width="9.33203125" collapsed="false"/>
    <col min="9" max="9" bestFit="true" customWidth="true" width="4.44140625" collapsed="false"/>
    <col min="10" max="10" bestFit="true" customWidth="true" width="17.5546875" collapsed="false"/>
    <col min="11" max="11" bestFit="true" customWidth="true" style="511" width="17.5546875" collapsed="false"/>
    <col min="12" max="12" bestFit="true" customWidth="true" width="4.44140625" collapsed="false"/>
    <col min="13" max="13" customWidth="true" style="511" width="9.33203125" collapsed="false"/>
    <col min="14" max="17" customWidth="true" width="7.6640625" collapsed="false"/>
    <col min="18" max="19" customWidth="true" width="6.77734375" collapsed="false"/>
    <col min="20" max="20" customWidth="true" style="511" width="18.33203125" collapsed="false"/>
  </cols>
  <sheetData>
    <row r="1" spans="1:21" x14ac:dyDescent="0.15">
      <c r="A1" s="2694" t="s">
        <v>9602</v>
      </c>
    </row>
    <row r="2" spans="1:21" ht="14.25" thickBot="1" x14ac:dyDescent="0.2">
      <c r="A2" s="495"/>
      <c r="D2" s="125"/>
      <c r="E2" s="125"/>
      <c r="F2" s="125"/>
      <c r="G2" s="125"/>
      <c r="H2" s="495"/>
      <c r="I2" s="124"/>
      <c r="J2" s="124"/>
      <c r="K2" s="495"/>
      <c r="L2" s="124"/>
      <c r="M2" s="495"/>
      <c r="N2" s="125"/>
      <c r="O2" s="125"/>
      <c r="P2" s="125"/>
      <c r="Q2" s="125"/>
      <c r="R2" s="125"/>
      <c r="S2" s="125"/>
      <c r="U2" s="2147"/>
    </row>
    <row r="3" spans="1:21" ht="15" thickTop="1" thickBot="1" x14ac:dyDescent="0.2">
      <c r="A3" s="53" t="s">
        <v>7018</v>
      </c>
      <c r="D3" s="3660" t="s">
        <v>8979</v>
      </c>
      <c r="E3" s="3660"/>
      <c r="F3" s="3660"/>
      <c r="G3" s="3660"/>
      <c r="H3" s="495"/>
      <c r="I3" s="124"/>
      <c r="J3" s="3661" t="s">
        <v>4628</v>
      </c>
      <c r="K3" s="3662"/>
      <c r="L3" s="486"/>
      <c r="M3" s="495"/>
      <c r="N3" s="126"/>
      <c r="O3" s="126"/>
      <c r="P3" s="126"/>
      <c r="Q3" s="126"/>
      <c r="R3" s="126"/>
      <c r="S3" s="126"/>
    </row>
    <row r="4" spans="1:21" ht="30" customHeight="1" thickTop="1" thickBot="1" x14ac:dyDescent="0.2">
      <c r="A4" s="496"/>
      <c r="B4" s="128"/>
      <c r="C4" s="128"/>
      <c r="D4" s="129"/>
      <c r="E4" s="130"/>
      <c r="F4" s="130"/>
      <c r="G4" s="130"/>
      <c r="H4" s="515"/>
      <c r="I4" s="131"/>
      <c r="J4" s="128"/>
      <c r="K4" s="516"/>
      <c r="L4" s="132"/>
      <c r="M4" s="1371" t="s">
        <v>4562</v>
      </c>
      <c r="N4" s="1368">
        <v>26</v>
      </c>
      <c r="O4" s="1369">
        <v>14</v>
      </c>
      <c r="P4" s="1370">
        <v>21.8</v>
      </c>
      <c r="Q4" s="508" t="s">
        <v>4563</v>
      </c>
      <c r="R4" s="133"/>
      <c r="S4" s="128"/>
      <c r="T4" s="528"/>
    </row>
    <row r="5" spans="1:21" ht="20.100000000000001" customHeight="1" thickTop="1" thickBot="1" x14ac:dyDescent="0.2">
      <c r="A5" s="497" t="s">
        <v>4629</v>
      </c>
      <c r="B5" s="135" t="s">
        <v>4565</v>
      </c>
      <c r="C5" s="136" t="s">
        <v>4566</v>
      </c>
      <c r="D5" s="135" t="s">
        <v>4567</v>
      </c>
      <c r="E5" s="135" t="s">
        <v>4568</v>
      </c>
      <c r="F5" s="135" t="s">
        <v>4569</v>
      </c>
      <c r="G5" s="135" t="s">
        <v>4570</v>
      </c>
      <c r="H5" s="539" t="s">
        <v>4571</v>
      </c>
      <c r="I5" s="479"/>
      <c r="J5" s="138" t="s">
        <v>4572</v>
      </c>
      <c r="K5" s="517" t="s">
        <v>4572</v>
      </c>
      <c r="L5" s="479"/>
      <c r="M5" s="539" t="s">
        <v>4571</v>
      </c>
      <c r="N5" s="135" t="s">
        <v>4567</v>
      </c>
      <c r="O5" s="135" t="s">
        <v>4568</v>
      </c>
      <c r="P5" s="135" t="s">
        <v>4569</v>
      </c>
      <c r="Q5" s="135" t="s">
        <v>4570</v>
      </c>
      <c r="R5" s="135" t="s">
        <v>4565</v>
      </c>
      <c r="S5" s="136" t="s">
        <v>4566</v>
      </c>
      <c r="T5" s="529" t="s">
        <v>4629</v>
      </c>
    </row>
    <row r="6" spans="1:21" ht="24.75" thickTop="1" x14ac:dyDescent="0.15">
      <c r="A6" s="498" t="s">
        <v>4630</v>
      </c>
      <c r="B6" s="142" t="s">
        <v>4631</v>
      </c>
      <c r="C6" s="152" t="s">
        <v>4575</v>
      </c>
      <c r="D6" s="2654" cm="1" t="n">
        <f t="array" ref="D6">INDEX('7층_부하량'!F3:F3000,MATCH(1,("7-DaHall 1-RPP-01"='7층_부하량'!A3:A3000)*(1='7층_부하량'!B3:B3000),0))</f>
        <v>0.0</v>
      </c>
      <c r="E6" s="144"/>
      <c r="F6" s="144"/>
      <c r="G6" s="144"/>
      <c r="H6" s="540" t="s">
        <v>4632</v>
      </c>
      <c r="I6" s="480" t="s">
        <v>4633</v>
      </c>
      <c r="J6" s="145" t="s">
        <v>4634</v>
      </c>
      <c r="K6" s="518"/>
      <c r="L6" s="480" t="s">
        <v>4578</v>
      </c>
      <c r="M6" s="540" t="s">
        <v>4576</v>
      </c>
      <c r="N6" s="2654" cm="1" t="n">
        <f t="array" ref="N6">INDEX('7층_부하량'!F3:F3000,MATCH(1,("7-DaHall 1-RPP-01"='7층_부하량'!A3:A3000)*(2='7층_부하량'!B3:B3000),0))</f>
        <v>0.0</v>
      </c>
      <c r="O6" s="144"/>
      <c r="P6" s="144"/>
      <c r="Q6" s="144"/>
      <c r="R6" s="144" t="s">
        <v>4635</v>
      </c>
      <c r="S6" s="164" t="s">
        <v>4575</v>
      </c>
      <c r="T6" s="530" t="s">
        <v>4636</v>
      </c>
    </row>
    <row r="7" spans="1:21" ht="20.100000000000001" customHeight="1" x14ac:dyDescent="0.15">
      <c r="A7" s="499" t="s">
        <v>4637</v>
      </c>
      <c r="B7" s="143" t="s">
        <v>4631</v>
      </c>
      <c r="C7" s="164" t="s">
        <v>4575</v>
      </c>
      <c r="D7" s="149"/>
      <c r="E7" s="2655" cm="1" t="n">
        <f t="array" ref="E7">INDEX('7층_부하량'!G3:G3000,MATCH(1,("7-DaHall 1-RPP-01"='7층_부하량'!A3:A3000)*(3='7층_부하량'!B3:B3000),0))</f>
        <v>0.0</v>
      </c>
      <c r="F7" s="149"/>
      <c r="G7" s="149"/>
      <c r="H7" s="541" t="s">
        <v>4632</v>
      </c>
      <c r="I7" s="481" t="s">
        <v>4638</v>
      </c>
      <c r="J7" s="150" t="s">
        <v>4634</v>
      </c>
      <c r="K7" s="652" t="s">
        <v>4639</v>
      </c>
      <c r="L7" s="481" t="s">
        <v>4583</v>
      </c>
      <c r="M7" s="541" t="s">
        <v>4576</v>
      </c>
      <c r="N7" s="149"/>
      <c r="O7" s="2655" cm="1" t="n">
        <f t="array" ref="O7">INDEX('7층_부하량'!G3:G3000,MATCH(1,("7-DaHall 1-RPP-01"='7층_부하량'!A3:A3000)*(4='7층_부하량'!B3:B3000),0))</f>
        <v>0.0</v>
      </c>
      <c r="P7" s="149"/>
      <c r="Q7" s="149"/>
      <c r="R7" s="149" t="s">
        <v>4635</v>
      </c>
      <c r="S7" s="164" t="s">
        <v>4575</v>
      </c>
      <c r="T7" s="531" t="s">
        <v>4640</v>
      </c>
    </row>
    <row r="8" spans="1:21" ht="20.100000000000001" customHeight="1" x14ac:dyDescent="0.15">
      <c r="A8" s="500" t="s">
        <v>4637</v>
      </c>
      <c r="B8" s="143" t="s">
        <v>4631</v>
      </c>
      <c r="C8" s="164" t="s">
        <v>4575</v>
      </c>
      <c r="D8" s="157"/>
      <c r="E8" s="157"/>
      <c r="F8" s="2656" cm="1" t="n">
        <f t="array" ref="F8">INDEX('7층_부하량'!H3:H3000,MATCH(1,("7-DaHall 1-RPP-01"='7층_부하량'!A3:A3000)*(5='7층_부하량'!B3:B3000),0))</f>
        <v>0.0</v>
      </c>
      <c r="G8" s="157"/>
      <c r="H8" s="541" t="s">
        <v>4632</v>
      </c>
      <c r="I8" s="481" t="s">
        <v>4641</v>
      </c>
      <c r="J8" s="150" t="s">
        <v>4634</v>
      </c>
      <c r="K8" s="652" t="s">
        <v>4639</v>
      </c>
      <c r="L8" s="481" t="s">
        <v>4588</v>
      </c>
      <c r="M8" s="541" t="s">
        <v>4576</v>
      </c>
      <c r="N8" s="157"/>
      <c r="O8" s="157"/>
      <c r="P8" s="2656" cm="1" t="n">
        <f t="array" ref="P8">INDEX('7층_부하량'!H3:H3000,MATCH(1,("7-DaHall 1-RPP-01"='7층_부하량'!A3:A3000)*(6='7층_부하량'!B3:B3000),0))</f>
        <v>0.0</v>
      </c>
      <c r="Q8" s="157"/>
      <c r="R8" s="157" t="s">
        <v>4635</v>
      </c>
      <c r="S8" s="143" t="s">
        <v>4642</v>
      </c>
      <c r="T8" s="531" t="s">
        <v>4643</v>
      </c>
    </row>
    <row r="9" spans="1:21" ht="20.100000000000001" customHeight="1" x14ac:dyDescent="0.15">
      <c r="A9" s="501" t="s">
        <v>4644</v>
      </c>
      <c r="B9" s="143" t="s">
        <v>4631</v>
      </c>
      <c r="C9" s="164" t="s">
        <v>4575</v>
      </c>
      <c r="D9" s="2656" cm="1" t="n">
        <f t="array" ref="D9">INDEX('7층_부하량'!F3:F3000,MATCH(1,("7-DaHall 1-RPP-01"='7층_부하량'!A3:A3000)*(7='7층_부하량'!B3:B3000),0))</f>
        <v>0.0</v>
      </c>
      <c r="E9" s="157"/>
      <c r="F9" s="157"/>
      <c r="G9" s="157"/>
      <c r="H9" s="541" t="s">
        <v>4632</v>
      </c>
      <c r="I9" s="481" t="s">
        <v>4645</v>
      </c>
      <c r="J9" s="150" t="s">
        <v>4634</v>
      </c>
      <c r="K9" s="519" t="s">
        <v>4634</v>
      </c>
      <c r="L9" s="481" t="s">
        <v>4593</v>
      </c>
      <c r="M9" s="541" t="s">
        <v>4576</v>
      </c>
      <c r="N9" s="2656" cm="1" t="n">
        <f t="array" ref="N9">INDEX('7층_부하량'!F3:F3000,MATCH(1,("7-DaHall 1-RPP-01"='7층_부하량'!A3:A3000)*(8='7층_부하량'!B3:B3000),0))</f>
        <v>2.51</v>
      </c>
      <c r="O9" s="157"/>
      <c r="P9" s="157"/>
      <c r="Q9" s="157"/>
      <c r="R9" s="157" t="s">
        <v>4635</v>
      </c>
      <c r="S9" s="164" t="s">
        <v>4575</v>
      </c>
      <c r="T9" s="531" t="s">
        <v>4646</v>
      </c>
    </row>
    <row r="10" spans="1:21" ht="20.100000000000001" customHeight="1" x14ac:dyDescent="0.15">
      <c r="A10" s="500" t="s">
        <v>4647</v>
      </c>
      <c r="B10" s="143" t="s">
        <v>4590</v>
      </c>
      <c r="C10" s="143" t="s">
        <v>4642</v>
      </c>
      <c r="D10" s="157"/>
      <c r="E10" s="2656" cm="1" t="n">
        <f t="array" ref="E10">INDEX('7층_부하량'!G3:G3000,MATCH(1,("7-DaHall 1-RPP-01"='7층_부하량'!A3:A3000)*(9='7층_부하량'!B3:B3000),0))</f>
        <v>2.68</v>
      </c>
      <c r="F10" s="157"/>
      <c r="G10" s="157"/>
      <c r="H10" s="541" t="s">
        <v>4632</v>
      </c>
      <c r="I10" s="481" t="s">
        <v>4648</v>
      </c>
      <c r="J10" s="150" t="s">
        <v>4649</v>
      </c>
      <c r="K10" s="519" t="s">
        <v>4634</v>
      </c>
      <c r="L10" s="481" t="s">
        <v>4596</v>
      </c>
      <c r="M10" s="541" t="s">
        <v>4597</v>
      </c>
      <c r="N10" s="157"/>
      <c r="O10" s="2656" cm="1" t="n">
        <f t="array" ref="O10">INDEX('7층_부하량'!G3:G3000,MATCH(1,("7-DaHall 1-RPP-01"='7층_부하량'!A3:A3000)*(10='7층_부하량'!B3:B3000),0))</f>
        <v>1.69</v>
      </c>
      <c r="P10" s="157"/>
      <c r="Q10" s="157"/>
      <c r="R10" s="157" t="s">
        <v>4635</v>
      </c>
      <c r="S10" s="164" t="s">
        <v>4575</v>
      </c>
      <c r="T10" s="531" t="s">
        <v>4650</v>
      </c>
    </row>
    <row r="11" spans="1:21" ht="20.100000000000001" customHeight="1" x14ac:dyDescent="0.15">
      <c r="A11" s="500" t="s">
        <v>4651</v>
      </c>
      <c r="B11" s="143" t="s">
        <v>4631</v>
      </c>
      <c r="C11" s="164" t="s">
        <v>4652</v>
      </c>
      <c r="D11" s="157"/>
      <c r="E11" s="157"/>
      <c r="F11" s="2656" cm="1" t="n">
        <f t="array" ref="F11">INDEX('7층_부하량'!H3:H3000,MATCH(1,("7-DaHall 1-RPP-01"='7층_부하량'!A3:A3000)*(11='7층_부하량'!B3:B3000),0))</f>
        <v>0.0</v>
      </c>
      <c r="G11" s="157"/>
      <c r="H11" s="541" t="s">
        <v>4632</v>
      </c>
      <c r="I11" s="481" t="s">
        <v>4653</v>
      </c>
      <c r="J11" s="150" t="s">
        <v>4654</v>
      </c>
      <c r="K11" s="519" t="s">
        <v>4634</v>
      </c>
      <c r="L11" s="481" t="s">
        <v>4599</v>
      </c>
      <c r="M11" s="541" t="s">
        <v>4597</v>
      </c>
      <c r="N11" s="157"/>
      <c r="O11" s="157"/>
      <c r="P11" s="2656" cm="1" t="n">
        <f t="array" ref="P11">INDEX('7층_부하량'!H3:H3000,MATCH(1,("7-DaHall 1-RPP-01"='7층_부하량'!A3:A3000)*(12='7층_부하량'!B3:B3000),0))</f>
        <v>5.48</v>
      </c>
      <c r="Q11" s="157"/>
      <c r="R11" s="157" t="s">
        <v>4635</v>
      </c>
      <c r="S11" s="164" t="s">
        <v>4575</v>
      </c>
      <c r="T11" s="531" t="s">
        <v>4655</v>
      </c>
    </row>
    <row r="12" spans="1:21" ht="20.100000000000001" customHeight="1" x14ac:dyDescent="0.15">
      <c r="A12" s="500" t="s">
        <v>4656</v>
      </c>
      <c r="B12" s="143" t="s">
        <v>4631</v>
      </c>
      <c r="C12" s="164" t="s">
        <v>4652</v>
      </c>
      <c r="D12" s="2656" cm="1" t="n">
        <f t="array" ref="D12">INDEX('7층_부하량'!F3:F3000,MATCH(1,("7-DaHall 1-RPP-01"='7층_부하량'!A3:A3000)*(13='7층_부하량'!B3:B3000),0))</f>
        <v>1.53</v>
      </c>
      <c r="E12" s="157"/>
      <c r="F12" s="157"/>
      <c r="G12" s="157"/>
      <c r="H12" s="541" t="s">
        <v>4632</v>
      </c>
      <c r="I12" s="481" t="s">
        <v>4657</v>
      </c>
      <c r="J12" s="150" t="s">
        <v>4634</v>
      </c>
      <c r="K12" s="652" t="s">
        <v>4658</v>
      </c>
      <c r="L12" s="481" t="s">
        <v>4601</v>
      </c>
      <c r="M12" s="541" t="s">
        <v>4597</v>
      </c>
      <c r="N12" s="2656" cm="1" t="n">
        <f t="array" ref="N12">INDEX('7층_부하량'!F3:F3000,MATCH(1,("7-DaHall 1-RPP-01"='7층_부하량'!A3:A3000)*(14='7층_부하량'!B3:B3000),0))</f>
        <v>7.19</v>
      </c>
      <c r="O12" s="157"/>
      <c r="P12" s="157"/>
      <c r="Q12" s="157"/>
      <c r="R12" s="157" t="s">
        <v>4635</v>
      </c>
      <c r="S12" s="164" t="s">
        <v>4575</v>
      </c>
      <c r="T12" s="531" t="s">
        <v>4659</v>
      </c>
    </row>
    <row r="13" spans="1:21" ht="16.5" x14ac:dyDescent="0.15">
      <c r="A13" s="500" t="s">
        <v>4660</v>
      </c>
      <c r="B13" s="143" t="s">
        <v>4590</v>
      </c>
      <c r="C13" s="164" t="s">
        <v>4575</v>
      </c>
      <c r="D13" s="157"/>
      <c r="E13" s="2656" cm="1" t="n">
        <f t="array" ref="E13">INDEX('7층_부하량'!G3:G3000,MATCH(1,("7-DaHall 1-RPP-01"='7층_부하량'!A3:A3000)*(15='7층_부하량'!B3:B3000),0))</f>
        <v>4.8100000000000005</v>
      </c>
      <c r="F13" s="157"/>
      <c r="G13" s="157"/>
      <c r="H13" s="541" t="s">
        <v>4632</v>
      </c>
      <c r="I13" s="481" t="s">
        <v>4661</v>
      </c>
      <c r="J13" s="150" t="s">
        <v>4649</v>
      </c>
      <c r="K13" s="652" t="s">
        <v>4662</v>
      </c>
      <c r="L13" s="481" t="s">
        <v>4603</v>
      </c>
      <c r="M13" s="541" t="s">
        <v>4597</v>
      </c>
      <c r="N13" s="157"/>
      <c r="O13" s="2656" cm="1" t="n">
        <f t="array" ref="O13">INDEX('7층_부하량'!G3:G3000,MATCH(1,("7-DaHall 1-RPP-01"='7층_부하량'!A3:A3000)*(16='7층_부하량'!B3:B3000),0))</f>
        <v>6.38</v>
      </c>
      <c r="P13" s="157"/>
      <c r="Q13" s="157"/>
      <c r="R13" s="157" t="s">
        <v>4635</v>
      </c>
      <c r="S13" s="164" t="s">
        <v>4575</v>
      </c>
      <c r="T13" s="531" t="s">
        <v>4663</v>
      </c>
    </row>
    <row r="14" spans="1:21" ht="16.5" x14ac:dyDescent="0.15">
      <c r="A14" s="500" t="s">
        <v>4664</v>
      </c>
      <c r="B14" s="143" t="s">
        <v>4631</v>
      </c>
      <c r="C14" s="164" t="s">
        <v>4575</v>
      </c>
      <c r="D14" s="157"/>
      <c r="E14" s="157"/>
      <c r="F14" s="2657" cm="1" t="n">
        <f t="array" ref="F14">INDEX('7층_부하량'!H3:H3000,MATCH(1,("7-DaHall 1-RPP-01"='7층_부하량'!A3:A3000)*(17='7층_부하량'!B3:B3000),0))</f>
        <v>0.0</v>
      </c>
      <c r="G14" s="157"/>
      <c r="H14" s="541" t="s">
        <v>4632</v>
      </c>
      <c r="I14" s="481" t="s">
        <v>4665</v>
      </c>
      <c r="J14" s="150" t="s">
        <v>4666</v>
      </c>
      <c r="K14" s="2441" t="s">
        <v>4667</v>
      </c>
      <c r="L14" s="481" t="s">
        <v>4605</v>
      </c>
      <c r="M14" s="541" t="s">
        <v>4597</v>
      </c>
      <c r="N14" s="157"/>
      <c r="O14" s="157"/>
      <c r="P14" s="2656" cm="1" t="n">
        <f t="array" ref="P14">INDEX('7층_부하량'!H3:H3000,MATCH(1,("7-DaHall 1-RPP-01"='7층_부하량'!A3:A3000)*(18='7층_부하량'!B3:B3000),0))</f>
        <v>2.18</v>
      </c>
      <c r="Q14" s="157"/>
      <c r="R14" s="157" t="s">
        <v>4635</v>
      </c>
      <c r="S14" s="164" t="s">
        <v>4575</v>
      </c>
      <c r="T14" s="531" t="s">
        <v>4668</v>
      </c>
    </row>
    <row r="15" spans="1:21" ht="24" x14ac:dyDescent="0.15">
      <c r="A15" s="500" t="s">
        <v>4669</v>
      </c>
      <c r="B15" s="143" t="s">
        <v>4631</v>
      </c>
      <c r="C15" s="164" t="s">
        <v>4575</v>
      </c>
      <c r="D15" s="2656" cm="1" t="n">
        <f t="array" ref="D15">INDEX('7층_부하량'!F3:F3000,MATCH(1,("7-DaHall 1-RPP-01"='7층_부하량'!A3:A3000)*(19='7층_부하량'!B3:B3000),0))</f>
        <v>5.38</v>
      </c>
      <c r="E15" s="157"/>
      <c r="F15" s="157"/>
      <c r="G15" s="157"/>
      <c r="H15" s="541" t="s">
        <v>4632</v>
      </c>
      <c r="I15" s="481" t="s">
        <v>4670</v>
      </c>
      <c r="J15" s="653" t="s">
        <v>4671</v>
      </c>
      <c r="K15" s="519" t="s">
        <v>4649</v>
      </c>
      <c r="L15" s="481" t="s">
        <v>4609</v>
      </c>
      <c r="M15" s="541" t="s">
        <v>4597</v>
      </c>
      <c r="N15" s="2656" cm="1" t="n">
        <f t="array" ref="N15">INDEX('7층_부하량'!F3:F3000,MATCH(1,("7-DaHall 1-RPP-01"='7층_부하량'!A3:A3000)*(20='7층_부하량'!B3:B3000),0))</f>
        <v>1.52</v>
      </c>
      <c r="O15" s="157"/>
      <c r="P15" s="157"/>
      <c r="Q15" s="157"/>
      <c r="R15" s="157" t="s">
        <v>4635</v>
      </c>
      <c r="S15" s="164" t="s">
        <v>4575</v>
      </c>
      <c r="T15" s="531" t="s">
        <v>4672</v>
      </c>
    </row>
    <row r="16" spans="1:21" ht="20.100000000000001" customHeight="1" x14ac:dyDescent="0.15">
      <c r="A16" s="500" t="s">
        <v>4673</v>
      </c>
      <c r="B16" s="143" t="s">
        <v>4590</v>
      </c>
      <c r="C16" s="143" t="s">
        <v>4642</v>
      </c>
      <c r="D16" s="157"/>
      <c r="E16" s="2656" cm="1" t="n">
        <f t="array" ref="E16">INDEX('7층_부하량'!G3:G3000,MATCH(1,("7-DaHall 1-RPP-01"='7층_부하량'!A3:A3000)*(21='7층_부하량'!B3:B3000),0))</f>
        <v>0.0</v>
      </c>
      <c r="F16" s="157"/>
      <c r="G16" s="157"/>
      <c r="H16" s="541" t="s">
        <v>4632</v>
      </c>
      <c r="I16" s="481" t="s">
        <v>4674</v>
      </c>
      <c r="J16" s="150"/>
      <c r="K16" s="519" t="s">
        <v>4675</v>
      </c>
      <c r="L16" s="481" t="s">
        <v>4613</v>
      </c>
      <c r="M16" s="541" t="s">
        <v>4597</v>
      </c>
      <c r="N16" s="157"/>
      <c r="O16" s="2656" cm="1" t="n">
        <f t="array" ref="O16">INDEX('7층_부하량'!G3:G3000,MATCH(1,("7-DaHall 1-RPP-01"='7층_부하량'!A3:A3000)*(22='7층_부하량'!B3:B3000),0))</f>
        <v>0.0</v>
      </c>
      <c r="P16" s="157"/>
      <c r="Q16" s="157"/>
      <c r="R16" s="157" t="s">
        <v>4635</v>
      </c>
      <c r="S16" s="164" t="s">
        <v>4575</v>
      </c>
      <c r="T16" s="531" t="s">
        <v>4676</v>
      </c>
    </row>
    <row r="17" spans="1:21" ht="20.100000000000001" customHeight="1" x14ac:dyDescent="0.15">
      <c r="A17" s="500" t="s">
        <v>4677</v>
      </c>
      <c r="B17" s="143" t="s">
        <v>4631</v>
      </c>
      <c r="C17" s="164" t="s">
        <v>4575</v>
      </c>
      <c r="D17" s="157"/>
      <c r="E17" s="157"/>
      <c r="F17" s="2656" cm="1" t="n">
        <f t="array" ref="F17">INDEX('7층_부하량'!H3:H3000,MATCH(1,("7-DaHall 1-RPP-01"='7층_부하량'!A3:A3000)*(23='7층_부하량'!B3:B3000),0))</f>
        <v>1.5</v>
      </c>
      <c r="G17" s="157"/>
      <c r="H17" s="541" t="s">
        <v>4632</v>
      </c>
      <c r="I17" s="481" t="s">
        <v>4678</v>
      </c>
      <c r="J17" s="654" t="s">
        <v>4679</v>
      </c>
      <c r="K17" s="519" t="s">
        <v>4675</v>
      </c>
      <c r="L17" s="481" t="s">
        <v>4680</v>
      </c>
      <c r="M17" s="541" t="s">
        <v>4597</v>
      </c>
      <c r="N17" s="157"/>
      <c r="O17" s="157"/>
      <c r="P17" s="2656" cm="1" t="n">
        <f t="array" ref="P17">INDEX('7층_부하량'!H3:H3000,MATCH(1,("7-DaHall 1-RPP-01"='7층_부하량'!A3:A3000)*(24='7층_부하량'!B3:B3000),0))</f>
        <v>2.29</v>
      </c>
      <c r="Q17" s="157"/>
      <c r="R17" s="157" t="s">
        <v>4635</v>
      </c>
      <c r="S17" s="164" t="s">
        <v>4575</v>
      </c>
      <c r="T17" s="531" t="s">
        <v>4681</v>
      </c>
    </row>
    <row r="18" spans="1:21" ht="24" x14ac:dyDescent="0.15">
      <c r="A18" s="502" t="s">
        <v>4682</v>
      </c>
      <c r="B18" s="143" t="s">
        <v>4631</v>
      </c>
      <c r="C18" s="164" t="s">
        <v>4575</v>
      </c>
      <c r="D18" s="2656" cm="1" t="n">
        <f t="array" ref="D18">INDEX('7층_부하량'!F3:F3000,MATCH(1,("7-DaHall 1-RPP-01"='7층_부하량'!A3:A3000)*(25='7층_부하량'!B3:B3000),0))</f>
        <v>1.69</v>
      </c>
      <c r="E18" s="157"/>
      <c r="F18" s="157"/>
      <c r="G18" s="157"/>
      <c r="H18" s="541" t="s">
        <v>4632</v>
      </c>
      <c r="I18" s="481" t="s">
        <v>4683</v>
      </c>
      <c r="J18" s="150" t="s">
        <v>4649</v>
      </c>
      <c r="K18" s="655" t="s">
        <v>4684</v>
      </c>
      <c r="L18" s="481" t="s">
        <v>4685</v>
      </c>
      <c r="M18" s="541" t="s">
        <v>4597</v>
      </c>
      <c r="N18" s="2656" cm="1" t="n">
        <f t="array" ref="N18">INDEX('7층_부하량'!F3:F3000,MATCH(1,("7-DaHall 1-RPP-01"='7층_부하량'!A3:A3000)*(26='7층_부하량'!B3:B3000),0))</f>
        <v>5.08</v>
      </c>
      <c r="O18" s="157"/>
      <c r="P18" s="157"/>
      <c r="Q18" s="157"/>
      <c r="R18" s="157" t="s">
        <v>4635</v>
      </c>
      <c r="S18" s="164" t="s">
        <v>4575</v>
      </c>
      <c r="T18" s="531" t="s">
        <v>4686</v>
      </c>
    </row>
    <row r="19" spans="1:21" ht="20.100000000000001" customHeight="1" x14ac:dyDescent="0.15">
      <c r="A19" s="500" t="s">
        <v>4687</v>
      </c>
      <c r="B19" s="143" t="s">
        <v>4631</v>
      </c>
      <c r="C19" s="164" t="s">
        <v>4575</v>
      </c>
      <c r="D19" s="157"/>
      <c r="E19" s="2656" cm="1" t="n">
        <f t="array" ref="E19">INDEX('7층_부하량'!G3:G3000,MATCH(1,("7-DaHall 1-RPP-01"='7층_부하량'!A3:A3000)*(27='7층_부하량'!B3:B3000),0))</f>
        <v>7.12</v>
      </c>
      <c r="F19" s="157"/>
      <c r="G19" s="157"/>
      <c r="H19" s="541" t="s">
        <v>4632</v>
      </c>
      <c r="I19" s="481" t="s">
        <v>4688</v>
      </c>
      <c r="J19" s="150" t="s">
        <v>4634</v>
      </c>
      <c r="K19" s="519" t="s">
        <v>4666</v>
      </c>
      <c r="L19" s="481" t="s">
        <v>4689</v>
      </c>
      <c r="M19" s="541" t="s">
        <v>4597</v>
      </c>
      <c r="N19" s="157"/>
      <c r="O19" s="2656" cm="1" t="n">
        <f t="array" ref="O19">INDEX('7층_부하량'!G3:G3000,MATCH(1,("7-DaHall 1-RPP-01"='7층_부하량'!A3:A3000)*(28='7층_부하량'!B3:B3000),0))</f>
        <v>4.48</v>
      </c>
      <c r="P19" s="157"/>
      <c r="Q19" s="157"/>
      <c r="R19" s="157" t="s">
        <v>4635</v>
      </c>
      <c r="S19" s="164" t="s">
        <v>4575</v>
      </c>
      <c r="T19" s="531" t="s">
        <v>1229</v>
      </c>
    </row>
    <row r="20" spans="1:21" ht="20.100000000000001" customHeight="1" x14ac:dyDescent="0.15">
      <c r="A20" s="501" t="s">
        <v>4690</v>
      </c>
      <c r="B20" s="156" t="s">
        <v>4631</v>
      </c>
      <c r="C20" s="189" t="s">
        <v>4575</v>
      </c>
      <c r="D20" s="179"/>
      <c r="E20" s="179"/>
      <c r="F20" s="2658" cm="1" t="n">
        <f t="array" ref="F20">INDEX('7층_부하량'!H3:H3000,MATCH(1,("7-DaHall 1-RPP-01"='7층_부하량'!A3:A3000)*(29='7층_부하량'!B3:B3000),0))</f>
        <v>4.8100000000000005</v>
      </c>
      <c r="G20" s="179"/>
      <c r="H20" s="542" t="s">
        <v>4632</v>
      </c>
      <c r="I20" s="482" t="s">
        <v>4691</v>
      </c>
      <c r="J20" s="193" t="s">
        <v>4634</v>
      </c>
      <c r="K20" s="520" t="s">
        <v>4666</v>
      </c>
      <c r="L20" s="482" t="s">
        <v>4692</v>
      </c>
      <c r="M20" s="542" t="s">
        <v>4597</v>
      </c>
      <c r="N20" s="179"/>
      <c r="O20" s="179"/>
      <c r="P20" s="2658" cm="1" t="n">
        <f t="array" ref="P20">INDEX('7층_부하량'!H3:H3000,MATCH(1,("7-DaHall 1-RPP-01"='7층_부하량'!A3:A3000)*(30='7층_부하량'!B3:B3000),0))</f>
        <v>5.98</v>
      </c>
      <c r="Q20" s="179"/>
      <c r="R20" s="179" t="s">
        <v>4635</v>
      </c>
      <c r="S20" s="189" t="s">
        <v>4575</v>
      </c>
      <c r="T20" s="532" t="s">
        <v>1235</v>
      </c>
    </row>
    <row r="21" spans="1:21" ht="20.100000000000001" customHeight="1" x14ac:dyDescent="0.15">
      <c r="A21" s="107" t="s">
        <v>4637</v>
      </c>
      <c r="B21" s="143" t="s">
        <v>4631</v>
      </c>
      <c r="C21" s="164" t="s">
        <v>4575</v>
      </c>
      <c r="D21" s="2656" cm="1" t="n">
        <f t="array" ref="D21">INDEX('7층_부하량'!F3:F3000,MATCH(1,("7-DaHall 1-RPP-01"='7층_부하량'!A3:A3000)*(31='7층_부하량'!B3:B3000),0))</f>
        <v>6.45</v>
      </c>
      <c r="E21" s="157"/>
      <c r="F21" s="157"/>
      <c r="G21" s="157"/>
      <c r="H21" s="541" t="s">
        <v>4632</v>
      </c>
      <c r="I21" s="481" t="s">
        <v>4693</v>
      </c>
      <c r="J21" s="150" t="s">
        <v>4634</v>
      </c>
      <c r="K21" s="519" t="s">
        <v>4634</v>
      </c>
      <c r="L21" s="481" t="s">
        <v>4694</v>
      </c>
      <c r="M21" s="541" t="s">
        <v>4597</v>
      </c>
      <c r="N21" s="2656" cm="1" t="n">
        <f t="array" ref="N21">INDEX('7층_부하량'!F3:F3000,MATCH(1,("7-DaHall 1-RPP-01"='7층_부하량'!A3:A3000)*(32='7층_부하량'!B3:B3000),0))</f>
        <v>0.0</v>
      </c>
      <c r="O21" s="157"/>
      <c r="P21" s="157"/>
      <c r="Q21" s="157"/>
      <c r="R21" s="157" t="s">
        <v>4635</v>
      </c>
      <c r="S21" s="164" t="s">
        <v>4575</v>
      </c>
      <c r="T21" s="712" t="s">
        <v>4695</v>
      </c>
    </row>
    <row r="22" spans="1:21" ht="16.5" x14ac:dyDescent="0.15">
      <c r="A22" s="500" t="s">
        <v>4696</v>
      </c>
      <c r="B22" s="143" t="s">
        <v>4631</v>
      </c>
      <c r="C22" s="164" t="s">
        <v>4575</v>
      </c>
      <c r="D22" s="157"/>
      <c r="E22" s="2656" cm="1" t="n">
        <f t="array" ref="E22">INDEX('7층_부하량'!G3:G3000,MATCH(1,("7-DaHall 1-RPP-01"='7층_부하량'!A3:A3000)*(33='7층_부하량'!B3:B3000),0))</f>
        <v>0.0</v>
      </c>
      <c r="F22" s="157"/>
      <c r="G22" s="157"/>
      <c r="H22" s="541" t="s">
        <v>4632</v>
      </c>
      <c r="I22" s="481" t="s">
        <v>4697</v>
      </c>
      <c r="J22" s="150" t="s">
        <v>4675</v>
      </c>
      <c r="K22" s="519" t="s">
        <v>4654</v>
      </c>
      <c r="L22" s="481" t="s">
        <v>4698</v>
      </c>
      <c r="M22" s="541" t="s">
        <v>4597</v>
      </c>
      <c r="N22" s="157"/>
      <c r="O22" s="2656" cm="1" t="n">
        <f t="array" ref="O22">INDEX('7층_부하량'!G3:G3000,MATCH(1,("7-DaHall 1-RPP-01"='7층_부하량'!A3:A3000)*(34='7층_부하량'!B3:B3000),0))</f>
        <v>4.2</v>
      </c>
      <c r="P22" s="157"/>
      <c r="Q22" s="157"/>
      <c r="R22" s="157" t="s">
        <v>4635</v>
      </c>
      <c r="S22" s="143" t="s">
        <v>4584</v>
      </c>
      <c r="T22" s="531" t="s">
        <v>4699</v>
      </c>
    </row>
    <row r="23" spans="1:21" ht="16.5" x14ac:dyDescent="0.15">
      <c r="A23" s="500" t="s">
        <v>4700</v>
      </c>
      <c r="B23" s="143" t="s">
        <v>4631</v>
      </c>
      <c r="C23" s="164" t="s">
        <v>4575</v>
      </c>
      <c r="D23" s="157"/>
      <c r="E23" s="157"/>
      <c r="F23" s="2656" cm="1" t="n">
        <f t="array" ref="F23">INDEX('7층_부하량'!H3:H3000,MATCH(1,("7-DaHall 1-RPP-01"='7층_부하량'!A3:A3000)*(35='7층_부하량'!B3:B3000),0))</f>
        <v>9.68</v>
      </c>
      <c r="G23" s="157"/>
      <c r="H23" s="541" t="s">
        <v>4632</v>
      </c>
      <c r="I23" s="481" t="s">
        <v>4701</v>
      </c>
      <c r="J23" s="150"/>
      <c r="K23" s="652" t="s">
        <v>4702</v>
      </c>
      <c r="L23" s="481" t="s">
        <v>4703</v>
      </c>
      <c r="M23" s="541" t="s">
        <v>4597</v>
      </c>
      <c r="N23" s="157"/>
      <c r="O23" s="157"/>
      <c r="P23" s="2656" cm="1" t="n">
        <f t="array" ref="P23">INDEX('7층_부하량'!H3:H3000,MATCH(1,("7-DaHall 1-RPP-01"='7층_부하량'!A3:A3000)*(36='7층_부하량'!B3:B3000),0))</f>
        <v>4.25</v>
      </c>
      <c r="Q23" s="157"/>
      <c r="R23" s="157" t="s">
        <v>4635</v>
      </c>
      <c r="S23" s="164" t="s">
        <v>4575</v>
      </c>
      <c r="T23" s="531" t="s">
        <v>4704</v>
      </c>
    </row>
    <row r="24" spans="1:21" ht="16.5" x14ac:dyDescent="0.15">
      <c r="A24" s="500" t="s">
        <v>4705</v>
      </c>
      <c r="B24" s="143" t="s">
        <v>4631</v>
      </c>
      <c r="C24" s="164" t="s">
        <v>4575</v>
      </c>
      <c r="D24" s="2656" cm="1" t="n">
        <f t="array" ref="D24">INDEX('7층_부하량'!F3:F3000,MATCH(1,("7-DaHall 1-RPP-01"='7층_부하량'!A3:A3000)*(37='7층_부하량'!B3:B3000),0))</f>
        <v>5.39</v>
      </c>
      <c r="E24" s="157"/>
      <c r="F24" s="157"/>
      <c r="G24" s="157"/>
      <c r="H24" s="541" t="s">
        <v>4632</v>
      </c>
      <c r="I24" s="481" t="s">
        <v>4706</v>
      </c>
      <c r="J24" s="653" t="s">
        <v>4679</v>
      </c>
      <c r="K24" s="519" t="s">
        <v>4654</v>
      </c>
      <c r="L24" s="481" t="s">
        <v>4707</v>
      </c>
      <c r="M24" s="541" t="s">
        <v>4597</v>
      </c>
      <c r="N24" s="2656" cm="1" t="n">
        <f t="array" ref="N24">INDEX('7층_부하량'!F3:F3000,MATCH(1,("7-DaHall 1-RPP-01"='7층_부하량'!A3:A3000)*(38='7층_부하량'!B3:B3000),0))</f>
        <v>3.99</v>
      </c>
      <c r="O24" s="157"/>
      <c r="P24" s="157"/>
      <c r="Q24" s="157"/>
      <c r="R24" s="157" t="s">
        <v>4635</v>
      </c>
      <c r="S24" s="164" t="s">
        <v>4575</v>
      </c>
      <c r="T24" s="531" t="s">
        <v>4708</v>
      </c>
    </row>
    <row r="25" spans="1:21" ht="24.75" thickBot="1" x14ac:dyDescent="0.2">
      <c r="A25" s="503" t="s">
        <v>4709</v>
      </c>
      <c r="B25" s="166" t="s">
        <v>4631</v>
      </c>
      <c r="C25" s="184" t="s">
        <v>4575</v>
      </c>
      <c r="D25" s="167"/>
      <c r="E25" s="2659" cm="1" t="n">
        <f t="array" ref="E25">INDEX('7층_부하량'!G3:G3000,MATCH(1,("7-DaHall 1-RPP-01"='7층_부하량'!A3:A3000)*(39='7층_부하량'!B3:B3000),0))</f>
        <v>2.31</v>
      </c>
      <c r="F25" s="167"/>
      <c r="G25" s="167"/>
      <c r="H25" s="543" t="s">
        <v>4632</v>
      </c>
      <c r="I25" s="483" t="s">
        <v>4710</v>
      </c>
      <c r="J25" s="194"/>
      <c r="K25" s="521" t="s">
        <v>4649</v>
      </c>
      <c r="L25" s="483" t="s">
        <v>4711</v>
      </c>
      <c r="M25" s="543" t="s">
        <v>4597</v>
      </c>
      <c r="N25" s="167"/>
      <c r="O25" s="2659" cm="1" t="n">
        <f t="array" ref="O25">INDEX('7층_부하량'!G3:G3000,MATCH(1,("7-DaHall 1-RPP-01"='7층_부하량'!A3:A3000)*(40='7층_부하량'!B3:B3000),0))</f>
        <v>4.99</v>
      </c>
      <c r="P25" s="167"/>
      <c r="Q25" s="167"/>
      <c r="R25" s="167" t="s">
        <v>4635</v>
      </c>
      <c r="S25" s="184" t="s">
        <v>4575</v>
      </c>
      <c r="T25" s="533" t="s">
        <v>4712</v>
      </c>
    </row>
    <row r="26" spans="1:21" ht="17.25" thickTop="1" x14ac:dyDescent="0.15">
      <c r="A26" s="504"/>
      <c r="B26" s="133"/>
      <c r="C26" s="133"/>
      <c r="D26" s="131"/>
      <c r="E26" s="131"/>
      <c r="F26" s="131"/>
      <c r="G26" s="131"/>
      <c r="H26" s="504"/>
      <c r="I26" s="133"/>
      <c r="J26" s="172"/>
      <c r="K26" s="522"/>
      <c r="L26" s="172"/>
      <c r="M26" s="504" t="s">
        <v>4713</v>
      </c>
      <c r="N26" s="131" t="n">
        <f>SUM(D6:D25,N6:N25)</f>
        <v>40.730000000000004</v>
      </c>
      <c r="O26" s="131" t="n">
        <f>SUM(E6:E25,O6:O25)</f>
        <v>38.660000000000004</v>
      </c>
      <c r="P26" s="131" t="n">
        <f>SUM(F6:F25,P6:P25)</f>
        <v>36.17</v>
      </c>
      <c r="Q26" s="131"/>
      <c r="R26" s="131"/>
      <c r="S26" s="196"/>
      <c r="T26" s="515"/>
    </row>
    <row r="27" spans="1:21" ht="16.5" x14ac:dyDescent="0.15">
      <c r="A27" s="504"/>
      <c r="B27" s="133"/>
      <c r="C27" s="133"/>
      <c r="D27" s="131"/>
      <c r="E27" s="131"/>
      <c r="F27" s="131"/>
      <c r="G27" s="131"/>
      <c r="H27" s="504"/>
      <c r="I27" s="133"/>
      <c r="J27" s="172"/>
      <c r="K27" s="522"/>
      <c r="L27" s="172"/>
      <c r="M27" s="504"/>
      <c r="N27" s="131"/>
      <c r="O27" s="131"/>
      <c r="P27" s="131"/>
      <c r="Q27" s="131"/>
      <c r="R27" s="131"/>
      <c r="S27" s="196"/>
      <c r="T27" s="515"/>
    </row>
    <row r="28" spans="1:21" ht="20.100000000000001" customHeight="1" thickBot="1" x14ac:dyDescent="0.2">
      <c r="A28" s="505" t="s">
        <v>7019</v>
      </c>
      <c r="B28" s="128"/>
      <c r="C28" s="128"/>
      <c r="D28" s="3660" t="s">
        <v>8980</v>
      </c>
      <c r="E28" s="3660"/>
      <c r="F28" s="3660"/>
      <c r="G28" s="3660"/>
      <c r="H28" s="504"/>
      <c r="I28" s="133"/>
      <c r="J28" s="3663" t="s">
        <v>4715</v>
      </c>
      <c r="K28" s="3664"/>
      <c r="L28" s="487"/>
      <c r="M28" s="504"/>
      <c r="N28" s="173"/>
      <c r="O28" s="173"/>
      <c r="P28" s="173"/>
      <c r="Q28" s="173"/>
      <c r="R28" s="173"/>
      <c r="S28" s="173"/>
      <c r="T28" s="508"/>
    </row>
    <row r="29" spans="1:21" ht="20.100000000000001" customHeight="1" thickTop="1" thickBot="1" x14ac:dyDescent="0.2">
      <c r="A29" s="496"/>
      <c r="B29" s="128"/>
      <c r="C29" s="128"/>
      <c r="D29" s="129"/>
      <c r="E29" s="130"/>
      <c r="F29" s="130"/>
      <c r="G29" s="130"/>
      <c r="H29" s="515"/>
      <c r="I29" s="131"/>
      <c r="J29" s="128"/>
      <c r="K29" s="516"/>
      <c r="L29" s="132"/>
      <c r="M29" s="1371" t="s">
        <v>4562</v>
      </c>
      <c r="N29" s="1368">
        <v>30.2</v>
      </c>
      <c r="O29" s="1369">
        <v>45.2</v>
      </c>
      <c r="P29" s="1370">
        <v>46.3</v>
      </c>
      <c r="Q29" s="508" t="s">
        <v>4563</v>
      </c>
      <c r="R29" s="133"/>
      <c r="S29" s="128"/>
      <c r="T29" s="528"/>
    </row>
    <row r="30" spans="1:21" ht="20.100000000000001" customHeight="1" thickTop="1" thickBot="1" x14ac:dyDescent="0.2">
      <c r="A30" s="497" t="s">
        <v>4629</v>
      </c>
      <c r="B30" s="135" t="s">
        <v>4565</v>
      </c>
      <c r="C30" s="136" t="s">
        <v>4566</v>
      </c>
      <c r="D30" s="135" t="s">
        <v>4567</v>
      </c>
      <c r="E30" s="135" t="s">
        <v>4568</v>
      </c>
      <c r="F30" s="135" t="s">
        <v>4569</v>
      </c>
      <c r="G30" s="135" t="s">
        <v>4570</v>
      </c>
      <c r="H30" s="539" t="s">
        <v>4571</v>
      </c>
      <c r="I30" s="479"/>
      <c r="J30" s="138" t="s">
        <v>4572</v>
      </c>
      <c r="K30" s="517" t="s">
        <v>4572</v>
      </c>
      <c r="L30" s="479"/>
      <c r="M30" s="539" t="s">
        <v>4571</v>
      </c>
      <c r="N30" s="135" t="s">
        <v>4567</v>
      </c>
      <c r="O30" s="135" t="s">
        <v>4568</v>
      </c>
      <c r="P30" s="135" t="s">
        <v>4569</v>
      </c>
      <c r="Q30" s="135" t="s">
        <v>4570</v>
      </c>
      <c r="R30" s="135" t="s">
        <v>4565</v>
      </c>
      <c r="S30" s="136" t="s">
        <v>4566</v>
      </c>
      <c r="T30" s="529" t="s">
        <v>4629</v>
      </c>
    </row>
    <row r="31" spans="1:21" ht="20.100000000000001" customHeight="1" thickTop="1" x14ac:dyDescent="0.15">
      <c r="A31" s="498" t="s">
        <v>4716</v>
      </c>
      <c r="B31" s="142" t="s">
        <v>4631</v>
      </c>
      <c r="C31" s="152" t="s">
        <v>4575</v>
      </c>
      <c r="D31" s="144"/>
      <c r="E31" s="2654" cm="1" t="n">
        <f t="array" ref="E31">INDEX('7층_부하량'!G3:G3000,MATCH(1,("7-DaHall 1-PDU-02"='7층_부하량'!A3:A3000)*(1='7층_부하량'!B3:B3000),0))</f>
        <v>0.0</v>
      </c>
      <c r="F31" s="144"/>
      <c r="G31" s="144"/>
      <c r="H31" s="540" t="s">
        <v>4576</v>
      </c>
      <c r="I31" s="480" t="s">
        <v>4633</v>
      </c>
      <c r="J31" s="145" t="s">
        <v>4675</v>
      </c>
      <c r="K31" s="518" t="s">
        <v>4717</v>
      </c>
      <c r="L31" s="480" t="s">
        <v>4578</v>
      </c>
      <c r="M31" s="540" t="s">
        <v>4576</v>
      </c>
      <c r="N31" s="144"/>
      <c r="O31" s="2654" cm="1" t="n">
        <f t="array" ref="O31">INDEX('7층_부하량'!G3:G3000,MATCH(1,("7-DaHall 1-PDU-02"='7층_부하량'!A3:A3000)*(2='7층_부하량'!B3:B3000),0))</f>
        <v>5.89</v>
      </c>
      <c r="P31" s="144"/>
      <c r="Q31" s="144"/>
      <c r="R31" s="144" t="s">
        <v>4631</v>
      </c>
      <c r="S31" s="152" t="s">
        <v>4575</v>
      </c>
      <c r="T31" s="534" t="s">
        <v>4718</v>
      </c>
      <c r="U31" t="s">
        <v>4719</v>
      </c>
    </row>
    <row r="32" spans="1:21" ht="20.100000000000001" customHeight="1" x14ac:dyDescent="0.15">
      <c r="A32" s="499" t="s">
        <v>4720</v>
      </c>
      <c r="B32" s="156" t="s">
        <v>4631</v>
      </c>
      <c r="C32" s="189" t="s">
        <v>4575</v>
      </c>
      <c r="D32" s="346"/>
      <c r="E32" s="346"/>
      <c r="F32" s="2660" cm="1" t="n">
        <f t="array" ref="F32">INDEX('7층_부하량'!H3:H3000,MATCH(1,("7-DaHall 1-PDU-02"='7층_부하량'!A3:A3000)*(3='7층_부하량'!B3:B3000),0))</f>
        <v>6.13</v>
      </c>
      <c r="G32" s="346"/>
      <c r="H32" s="542" t="s">
        <v>4576</v>
      </c>
      <c r="I32" s="482" t="s">
        <v>4638</v>
      </c>
      <c r="J32" s="653" t="s">
        <v>4721</v>
      </c>
      <c r="K32" s="519"/>
      <c r="L32" s="481" t="s">
        <v>4583</v>
      </c>
      <c r="M32" s="541" t="s">
        <v>4576</v>
      </c>
      <c r="N32" s="149"/>
      <c r="O32" s="149"/>
      <c r="P32" s="2655" cm="1" t="n">
        <f t="array" ref="P32">INDEX('7층_부하량'!H3:H3000,MATCH(1,("7-DaHall 1-PDU-02"='7층_부하량'!A3:A3000)*(4='7층_부하량'!B3:B3000),0))</f>
        <v>5.78</v>
      </c>
      <c r="Q32" s="149"/>
      <c r="R32" s="149" t="s">
        <v>4631</v>
      </c>
      <c r="S32" s="164" t="s">
        <v>4575</v>
      </c>
      <c r="T32" s="531" t="s">
        <v>4722</v>
      </c>
    </row>
    <row r="33" spans="1:20" ht="20.100000000000001" customHeight="1" x14ac:dyDescent="0.15">
      <c r="A33" s="500"/>
      <c r="B33" s="143" t="s">
        <v>4590</v>
      </c>
      <c r="C33" s="143" t="s">
        <v>4723</v>
      </c>
      <c r="D33" s="2656" cm="1" t="n">
        <f t="array" ref="D33">INDEX('7층_부하량'!F3:F3000,MATCH(1,("7-DaHall 1-PDU-02"='7층_부하량'!A3:A3000)*(5='7층_부하량'!B3:B3000),0))</f>
        <v>6.05</v>
      </c>
      <c r="E33" s="157"/>
      <c r="F33" s="157"/>
      <c r="G33" s="157"/>
      <c r="H33" s="541" t="s">
        <v>4576</v>
      </c>
      <c r="I33" s="481" t="s">
        <v>4641</v>
      </c>
      <c r="J33" s="154"/>
      <c r="K33" s="519" t="s">
        <v>4724</v>
      </c>
      <c r="L33" s="481" t="s">
        <v>4588</v>
      </c>
      <c r="M33" s="541" t="s">
        <v>4576</v>
      </c>
      <c r="N33" s="2656" cm="1" t="n">
        <f t="array" ref="N33">INDEX('7층_부하량'!F3:F3000,MATCH(1,("7-DaHall 1-PDU-02"='7층_부하량'!A3:A3000)*(6='7층_부하량'!B3:B3000),0))</f>
        <v>5.72</v>
      </c>
      <c r="O33" s="157"/>
      <c r="P33" s="157"/>
      <c r="Q33" s="157"/>
      <c r="R33" s="157" t="s">
        <v>4631</v>
      </c>
      <c r="S33" s="164" t="s">
        <v>4575</v>
      </c>
      <c r="T33" s="531" t="s">
        <v>4725</v>
      </c>
    </row>
    <row r="34" spans="1:20" ht="20.100000000000001" customHeight="1" x14ac:dyDescent="0.15">
      <c r="A34" s="501" t="s">
        <v>4726</v>
      </c>
      <c r="B34" s="157" t="s">
        <v>4631</v>
      </c>
      <c r="C34" s="164" t="s">
        <v>4575</v>
      </c>
      <c r="D34" s="157"/>
      <c r="E34" s="2656" cm="1" t="n">
        <f t="array" ref="E34">INDEX('7층_부하량'!G3:G3000,MATCH(1,("7-DaHall 1-PDU-02"='7층_부하량'!A3:A3000)*(7='7층_부하량'!B3:B3000),0))</f>
        <v>5.78</v>
      </c>
      <c r="F34" s="157"/>
      <c r="G34" s="157"/>
      <c r="H34" s="541" t="s">
        <v>4576</v>
      </c>
      <c r="I34" s="481" t="s">
        <v>4645</v>
      </c>
      <c r="J34" s="154"/>
      <c r="K34" s="523" t="s">
        <v>4727</v>
      </c>
      <c r="L34" s="488" t="s">
        <v>4593</v>
      </c>
      <c r="M34" s="541" t="s">
        <v>4576</v>
      </c>
      <c r="N34" s="157"/>
      <c r="O34" s="2656" cm="1" t="n">
        <f t="array" ref="O34">INDEX('7층_부하량'!G3:G3000,MATCH(1,("7-DaHall 1-PDU-02"='7층_부하량'!A3:A3000)*(8='7층_부하량'!B3:B3000),0))</f>
        <v>1.09</v>
      </c>
      <c r="P34" s="157"/>
      <c r="Q34" s="157"/>
      <c r="R34" s="157" t="s">
        <v>4631</v>
      </c>
      <c r="S34" s="283" t="s">
        <v>4575</v>
      </c>
      <c r="T34" s="531" t="s">
        <v>4728</v>
      </c>
    </row>
    <row r="35" spans="1:20" ht="20.100000000000001" customHeight="1" x14ac:dyDescent="0.15">
      <c r="A35" s="500" t="s">
        <v>4729</v>
      </c>
      <c r="B35" s="157" t="s">
        <v>4631</v>
      </c>
      <c r="C35" s="283" t="s">
        <v>4575</v>
      </c>
      <c r="D35" s="157"/>
      <c r="E35" s="157"/>
      <c r="F35" s="2656" cm="1" t="n">
        <f t="array" ref="F35">INDEX('7층_부하량'!H3:H3000,MATCH(1,("7-DaHall 1-PDU-02"='7층_부하량'!A3:A3000)*(9='7층_부하량'!B3:B3000),0))</f>
        <v>6.04</v>
      </c>
      <c r="G35" s="157"/>
      <c r="H35" s="541" t="s">
        <v>4576</v>
      </c>
      <c r="I35" s="481" t="s">
        <v>4648</v>
      </c>
      <c r="J35" s="154"/>
      <c r="K35" s="523"/>
      <c r="L35" s="488" t="s">
        <v>4596</v>
      </c>
      <c r="M35" s="541" t="s">
        <v>4597</v>
      </c>
      <c r="N35" s="157"/>
      <c r="O35" s="157"/>
      <c r="P35" s="2656" cm="1" t="n">
        <f t="array" ref="P35">INDEX('7층_부하량'!H3:H3000,MATCH(1,("7-DaHall 1-PDU-02"='7층_부하량'!A3:A3000)*(10='7층_부하량'!B3:B3000),0))</f>
        <v>9.39</v>
      </c>
      <c r="Q35" s="157"/>
      <c r="R35" s="157" t="s">
        <v>4631</v>
      </c>
      <c r="S35" s="283" t="s">
        <v>4575</v>
      </c>
      <c r="T35" s="531" t="s">
        <v>4730</v>
      </c>
    </row>
    <row r="36" spans="1:20" ht="20.100000000000001" customHeight="1" x14ac:dyDescent="0.15">
      <c r="A36" s="713" t="s">
        <v>4731</v>
      </c>
      <c r="B36" s="157" t="s">
        <v>4631</v>
      </c>
      <c r="C36" s="164" t="s">
        <v>4575</v>
      </c>
      <c r="D36" s="2656" cm="1" t="n">
        <f t="array" ref="D36">INDEX('7층_부하량'!F3:F3000,MATCH(1,("7-DaHall 1-PDU-02"='7층_부하량'!A3:A3000)*(11='7층_부하량'!B3:B3000),0))</f>
        <v>5.71</v>
      </c>
      <c r="E36" s="157"/>
      <c r="F36" s="157"/>
      <c r="G36" s="157"/>
      <c r="H36" s="541" t="s">
        <v>4576</v>
      </c>
      <c r="I36" s="481" t="s">
        <v>4653</v>
      </c>
      <c r="J36" s="154"/>
      <c r="K36" s="656" t="s">
        <v>4679</v>
      </c>
      <c r="L36" s="488" t="s">
        <v>4599</v>
      </c>
      <c r="M36" s="541" t="s">
        <v>4597</v>
      </c>
      <c r="N36" s="2656" cm="1" t="n">
        <f t="array" ref="N36">INDEX('7층_부하량'!F3:F3000,MATCH(1,("7-DaHall 1-PDU-02"='7층_부하량'!A3:A3000)*(12='7층_부하량'!B3:B3000),0))</f>
        <v>3.22</v>
      </c>
      <c r="O36" s="157"/>
      <c r="P36" s="157"/>
      <c r="Q36" s="157"/>
      <c r="R36" s="157" t="s">
        <v>4631</v>
      </c>
      <c r="S36" s="283" t="s">
        <v>4575</v>
      </c>
      <c r="T36" s="531" t="s">
        <v>4732</v>
      </c>
    </row>
    <row r="37" spans="1:20" ht="24" x14ac:dyDescent="0.15">
      <c r="A37" s="714" t="s">
        <v>4733</v>
      </c>
      <c r="B37" s="157" t="s">
        <v>4631</v>
      </c>
      <c r="C37" s="283" t="s">
        <v>4575</v>
      </c>
      <c r="D37" s="157"/>
      <c r="E37" s="2656" cm="1" t="n">
        <f t="array" ref="E37">INDEX('7층_부하량'!G3:G3000,MATCH(1,("7-DaHall 1-PDU-02"='7층_부하량'!A3:A3000)*(13='7층_부하량'!B3:B3000),0))</f>
        <v>5.26</v>
      </c>
      <c r="F37" s="157"/>
      <c r="G37" s="157"/>
      <c r="H37" s="541" t="s">
        <v>4597</v>
      </c>
      <c r="I37" s="481" t="s">
        <v>4657</v>
      </c>
      <c r="J37" s="154"/>
      <c r="K37" s="523" t="s">
        <v>4734</v>
      </c>
      <c r="L37" s="488" t="s">
        <v>4601</v>
      </c>
      <c r="M37" s="541" t="s">
        <v>4597</v>
      </c>
      <c r="N37" s="157"/>
      <c r="O37" s="2656" cm="1" t="n">
        <f t="array" ref="O37">INDEX('7층_부하량'!G3:G3000,MATCH(1,("7-DaHall 1-PDU-02"='7층_부하량'!A3:A3000)*(14='7층_부하량'!B3:B3000),0))</f>
        <v>4.19</v>
      </c>
      <c r="P37" s="157"/>
      <c r="Q37" s="157"/>
      <c r="R37" s="157" t="s">
        <v>4631</v>
      </c>
      <c r="S37" s="283" t="s">
        <v>4575</v>
      </c>
      <c r="T37" s="531" t="s">
        <v>4735</v>
      </c>
    </row>
    <row r="38" spans="1:20" ht="24" x14ac:dyDescent="0.15">
      <c r="A38" s="500" t="s">
        <v>4736</v>
      </c>
      <c r="B38" s="157" t="s">
        <v>4631</v>
      </c>
      <c r="C38" s="283" t="s">
        <v>4575</v>
      </c>
      <c r="D38" s="157"/>
      <c r="E38" s="157"/>
      <c r="F38" s="2656" cm="1" t="n">
        <f t="array" ref="F38">INDEX('7층_부하량'!H3:H3000,MATCH(1,("7-DaHall 1-PDU-02"='7층_부하량'!A3:A3000)*(15='7층_부하량'!B3:B3000),0))</f>
        <v>2.49</v>
      </c>
      <c r="G38" s="157"/>
      <c r="H38" s="541" t="s">
        <v>4597</v>
      </c>
      <c r="I38" s="481" t="s">
        <v>4661</v>
      </c>
      <c r="J38" s="154" t="s">
        <v>4737</v>
      </c>
      <c r="K38" s="523" t="s">
        <v>4734</v>
      </c>
      <c r="L38" s="488" t="s">
        <v>4603</v>
      </c>
      <c r="M38" s="541" t="s">
        <v>4597</v>
      </c>
      <c r="N38" s="157"/>
      <c r="O38" s="157"/>
      <c r="P38" s="2656" cm="1" t="n">
        <f t="array" ref="P38">INDEX('7층_부하량'!H3:H3000,MATCH(1,("7-DaHall 1-PDU-02"='7층_부하량'!A3:A3000)*(16='7층_부하량'!B3:B3000),0))</f>
        <v>3.77</v>
      </c>
      <c r="Q38" s="157"/>
      <c r="R38" s="157" t="s">
        <v>4631</v>
      </c>
      <c r="S38" s="283" t="s">
        <v>4575</v>
      </c>
      <c r="T38" s="531" t="s">
        <v>4738</v>
      </c>
    </row>
    <row r="39" spans="1:20" ht="20.100000000000001" customHeight="1" x14ac:dyDescent="0.15">
      <c r="A39" s="500" t="s">
        <v>4739</v>
      </c>
      <c r="B39" s="157" t="s">
        <v>4631</v>
      </c>
      <c r="C39" s="164" t="s">
        <v>4575</v>
      </c>
      <c r="D39" s="2656" cm="1" t="n">
        <f t="array" ref="D39">INDEX('7층_부하량'!F3:F3000,MATCH(1,("7-DaHall 1-PDU-02"='7층_부하량'!A3:A3000)*(17='7층_부하량'!B3:B3000),0))</f>
        <v>8.53</v>
      </c>
      <c r="E39" s="157"/>
      <c r="F39" s="157"/>
      <c r="G39" s="157"/>
      <c r="H39" s="541" t="s">
        <v>4597</v>
      </c>
      <c r="I39" s="481" t="s">
        <v>4665</v>
      </c>
      <c r="J39" s="154"/>
      <c r="K39" s="1225" t="s">
        <v>4740</v>
      </c>
      <c r="L39" s="488" t="s">
        <v>4605</v>
      </c>
      <c r="M39" s="541" t="s">
        <v>4597</v>
      </c>
      <c r="N39" s="2656" cm="1" t="n">
        <f t="array" ref="N39">INDEX('7층_부하량'!F3:F3000,MATCH(1,("7-DaHall 1-PDU-02"='7층_부하량'!A3:A3000)*(18='7층_부하량'!B3:B3000),0))</f>
        <v>6.82</v>
      </c>
      <c r="O39" s="157"/>
      <c r="P39" s="157"/>
      <c r="Q39" s="157"/>
      <c r="R39" s="157" t="s">
        <v>4631</v>
      </c>
      <c r="S39" s="164" t="s">
        <v>4575</v>
      </c>
      <c r="T39" s="1227" t="s">
        <v>4741</v>
      </c>
    </row>
    <row r="40" spans="1:20" ht="20.100000000000001" customHeight="1" x14ac:dyDescent="0.15">
      <c r="A40" s="500" t="s">
        <v>4742</v>
      </c>
      <c r="B40" s="157" t="s">
        <v>4631</v>
      </c>
      <c r="C40" s="283" t="s">
        <v>4575</v>
      </c>
      <c r="D40" s="157"/>
      <c r="E40" s="2656" cm="1" t="n">
        <f t="array" ref="E40">INDEX('7층_부하량'!G3:G3000,MATCH(1,("7-DaHall 1-PDU-02"='7층_부하량'!A3:A3000)*(19='7층_부하량'!B3:B3000),0))</f>
        <v>9.22</v>
      </c>
      <c r="F40" s="157"/>
      <c r="G40" s="157"/>
      <c r="H40" s="541" t="s">
        <v>4597</v>
      </c>
      <c r="I40" s="481" t="s">
        <v>4670</v>
      </c>
      <c r="J40" s="154"/>
      <c r="K40" s="1225" t="s">
        <v>4743</v>
      </c>
      <c r="L40" s="488" t="s">
        <v>4609</v>
      </c>
      <c r="M40" s="541" t="s">
        <v>4597</v>
      </c>
      <c r="N40" s="157"/>
      <c r="O40" s="2656" cm="1" t="n">
        <f t="array" ref="O40">INDEX('7층_부하량'!G3:G3000,MATCH(1,("7-DaHall 1-PDU-02"='7층_부하량'!A3:A3000)*(20='7층_부하량'!B3:B3000),0))</f>
        <v>3.06</v>
      </c>
      <c r="P40" s="157"/>
      <c r="Q40" s="157"/>
      <c r="R40" s="157" t="s">
        <v>4631</v>
      </c>
      <c r="S40" s="283" t="s">
        <v>4575</v>
      </c>
      <c r="T40" s="1227" t="s">
        <v>4744</v>
      </c>
    </row>
    <row r="41" spans="1:20" ht="20.100000000000001" customHeight="1" x14ac:dyDescent="0.15">
      <c r="A41" s="500" t="s">
        <v>4745</v>
      </c>
      <c r="B41" s="157" t="s">
        <v>4631</v>
      </c>
      <c r="C41" s="283" t="s">
        <v>4575</v>
      </c>
      <c r="D41" s="157"/>
      <c r="E41" s="157"/>
      <c r="F41" s="2656" cm="1" t="n">
        <f t="array" ref="F41">INDEX('7층_부하량'!H3:H3000,MATCH(1,("7-DaHall 1-PDU-02"='7층_부하량'!A3:A3000)*(21='7층_부하량'!B3:B3000),0))</f>
        <v>4.65</v>
      </c>
      <c r="G41" s="157"/>
      <c r="H41" s="541" t="s">
        <v>4597</v>
      </c>
      <c r="I41" s="481" t="s">
        <v>4674</v>
      </c>
      <c r="J41" s="154"/>
      <c r="K41" s="1225" t="s">
        <v>4746</v>
      </c>
      <c r="L41" s="488" t="s">
        <v>4613</v>
      </c>
      <c r="M41" s="541" t="s">
        <v>4597</v>
      </c>
      <c r="N41" s="157"/>
      <c r="O41" s="157"/>
      <c r="P41" s="2656" cm="1" t="n">
        <f t="array" ref="P41">INDEX('7층_부하량'!H3:H3000,MATCH(1,("7-DaHall 1-PDU-02"='7층_부하량'!A3:A3000)*(22='7층_부하량'!B3:B3000),0))</f>
        <v>1.99</v>
      </c>
      <c r="Q41" s="157"/>
      <c r="R41" s="157" t="s">
        <v>4631</v>
      </c>
      <c r="S41" s="283" t="s">
        <v>4575</v>
      </c>
      <c r="T41" s="1227" t="s">
        <v>4747</v>
      </c>
    </row>
    <row r="42" spans="1:20" ht="20.100000000000001" customHeight="1" x14ac:dyDescent="0.15">
      <c r="A42" s="500" t="s">
        <v>4748</v>
      </c>
      <c r="B42" s="157" t="s">
        <v>4631</v>
      </c>
      <c r="C42" s="283" t="s">
        <v>4575</v>
      </c>
      <c r="D42" s="2656" cm="1" t="n">
        <f t="array" ref="D42">INDEX('7층_부하량'!F3:F3000,MATCH(1,("7-DaHall 1-PDU-02"='7층_부하량'!A3:A3000)*(23='7층_부하량'!B3:B3000),0))</f>
        <v>3.7</v>
      </c>
      <c r="E42" s="157"/>
      <c r="F42" s="157"/>
      <c r="G42" s="157"/>
      <c r="H42" s="541" t="s">
        <v>4597</v>
      </c>
      <c r="I42" s="481" t="s">
        <v>4678</v>
      </c>
      <c r="J42" s="154"/>
      <c r="K42" s="1225" t="s">
        <v>4749</v>
      </c>
      <c r="L42" s="488" t="s">
        <v>4680</v>
      </c>
      <c r="M42" s="541" t="s">
        <v>4597</v>
      </c>
      <c r="N42" s="2656" cm="1" t="n">
        <f t="array" ref="N42">INDEX('7층_부하량'!F3:F3000,MATCH(1,("7-DaHall 1-PDU-02"='7층_부하량'!A3:A3000)*(24='7층_부하량'!B3:B3000),0))</f>
        <v>2.41</v>
      </c>
      <c r="O42" s="157"/>
      <c r="P42" s="157"/>
      <c r="Q42" s="157"/>
      <c r="R42" s="157" t="s">
        <v>4631</v>
      </c>
      <c r="S42" s="283" t="s">
        <v>4575</v>
      </c>
      <c r="T42" s="1227" t="s">
        <v>4750</v>
      </c>
    </row>
    <row r="43" spans="1:20" ht="20.100000000000001" customHeight="1" x14ac:dyDescent="0.15">
      <c r="A43" s="500" t="s">
        <v>4751</v>
      </c>
      <c r="B43" s="157" t="s">
        <v>4631</v>
      </c>
      <c r="C43" s="283" t="s">
        <v>4575</v>
      </c>
      <c r="D43" s="157"/>
      <c r="E43" s="2656" cm="1" t="n">
        <f t="array" ref="E43">INDEX('7층_부하량'!G3:G3000,MATCH(1,("7-DaHall 1-PDU-02"='7층_부하량'!A3:A3000)*(25='7층_부하량'!B3:B3000),0))</f>
        <v>2.35</v>
      </c>
      <c r="F43" s="157"/>
      <c r="G43" s="157"/>
      <c r="H43" s="541" t="s">
        <v>4597</v>
      </c>
      <c r="I43" s="481" t="s">
        <v>4683</v>
      </c>
      <c r="J43" s="154"/>
      <c r="K43" s="1225" t="s">
        <v>4752</v>
      </c>
      <c r="L43" s="488" t="s">
        <v>4685</v>
      </c>
      <c r="M43" s="541" t="s">
        <v>4597</v>
      </c>
      <c r="N43" s="157"/>
      <c r="O43" s="2656" cm="1" t="n">
        <f t="array" ref="O43">INDEX('7층_부하량'!G3:G3000,MATCH(1,("7-DaHall 1-PDU-02"='7층_부하량'!A3:A3000)*(26='7층_부하량'!B3:B3000),0))</f>
        <v>3.65</v>
      </c>
      <c r="P43" s="157"/>
      <c r="Q43" s="157"/>
      <c r="R43" s="157" t="s">
        <v>4631</v>
      </c>
      <c r="S43" s="283" t="s">
        <v>4575</v>
      </c>
      <c r="T43" s="1227" t="s">
        <v>4753</v>
      </c>
    </row>
    <row r="44" spans="1:20" ht="20.100000000000001" customHeight="1" thickBot="1" x14ac:dyDescent="0.2">
      <c r="A44" s="506" t="s">
        <v>4754</v>
      </c>
      <c r="B44" s="177" t="s">
        <v>4631</v>
      </c>
      <c r="C44" s="476" t="s">
        <v>4575</v>
      </c>
      <c r="D44" s="177"/>
      <c r="E44" s="177"/>
      <c r="F44" s="2661" cm="1" t="n">
        <f t="array" ref="F44">INDEX('7층_부하량'!H3:H3000,MATCH(1,("7-DaHall 1-PDU-02"='7층_부하량'!A3:A3000)*(27='7층_부하량'!B3:B3000),0))</f>
        <v>4.23</v>
      </c>
      <c r="G44" s="177"/>
      <c r="H44" s="544" t="s">
        <v>4597</v>
      </c>
      <c r="I44" s="484" t="s">
        <v>4688</v>
      </c>
      <c r="J44" s="178"/>
      <c r="K44" s="1226" t="s">
        <v>4755</v>
      </c>
      <c r="L44" s="489" t="s">
        <v>4689</v>
      </c>
      <c r="M44" s="544" t="s">
        <v>4597</v>
      </c>
      <c r="N44" s="177"/>
      <c r="O44" s="177"/>
      <c r="P44" s="2661" cm="1" t="n">
        <f t="array" ref="P44">INDEX('7층_부하량'!H3:H3000,MATCH(1,("7-DaHall 1-PDU-02"='7층_부하량'!A3:A3000)*(28='7층_부하량'!B3:B3000),0))</f>
        <v>5.87</v>
      </c>
      <c r="Q44" s="177"/>
      <c r="R44" s="177" t="s">
        <v>4631</v>
      </c>
      <c r="S44" s="476" t="s">
        <v>4575</v>
      </c>
      <c r="T44" s="1228" t="s">
        <v>4756</v>
      </c>
    </row>
    <row r="45" spans="1:20" ht="20.100000000000001" customHeight="1" thickTop="1" x14ac:dyDescent="0.15">
      <c r="A45" s="501" t="s">
        <v>4757</v>
      </c>
      <c r="B45" s="157" t="s">
        <v>4631</v>
      </c>
      <c r="C45" s="2439" t="s">
        <v>4575</v>
      </c>
      <c r="D45" s="2656" cm="1" t="n">
        <f t="array" ref="D45">INDEX('7층_부하량'!F3:F3000,MATCH(1,("7-DaHall 1-PDU-02"='7층_부하량'!A3:A3000)*(29='7층_부하량'!B3:B3000),0))</f>
        <v>2.49</v>
      </c>
      <c r="E45" s="179"/>
      <c r="F45" s="179"/>
      <c r="G45" s="179"/>
      <c r="H45" s="542" t="s">
        <v>4597</v>
      </c>
      <c r="I45" s="482" t="s">
        <v>4691</v>
      </c>
      <c r="J45" s="2440" t="s">
        <v>4667</v>
      </c>
      <c r="K45" s="524" t="s">
        <v>4758</v>
      </c>
      <c r="L45" s="490" t="s">
        <v>4692</v>
      </c>
      <c r="M45" s="542" t="s">
        <v>4597</v>
      </c>
      <c r="N45" s="2656" cm="1" t="n">
        <f t="array" ref="N45">INDEX('7층_부하량'!F3:F3000,MATCH(1,("7-DaHall 1-PDU-02"='7층_부하량'!A3:A3000)*(30='7층_부하량'!B3:B3000),0))</f>
        <v>0.68</v>
      </c>
      <c r="O45" s="179"/>
      <c r="P45" s="179"/>
      <c r="Q45" s="179"/>
      <c r="R45" s="157" t="s">
        <v>4631</v>
      </c>
      <c r="S45" s="283" t="s">
        <v>4575</v>
      </c>
      <c r="T45" s="1378" t="s">
        <v>4759</v>
      </c>
    </row>
    <row r="46" spans="1:20" ht="20.100000000000001" customHeight="1" x14ac:dyDescent="0.15">
      <c r="A46" s="502" t="s">
        <v>4760</v>
      </c>
      <c r="B46" s="157" t="s">
        <v>4631</v>
      </c>
      <c r="C46" s="283" t="s">
        <v>4575</v>
      </c>
      <c r="D46" s="157"/>
      <c r="E46" s="2656" cm="1" t="n">
        <f t="array" ref="E46">INDEX('7층_부하량'!G3:G3000,MATCH(1,("7-DaHall 1-PDU-02"='7층_부하량'!A3:A3000)*(31='7층_부하량'!B3:B3000),0))</f>
        <v>3.76</v>
      </c>
      <c r="F46" s="157"/>
      <c r="G46" s="157"/>
      <c r="H46" s="541" t="s">
        <v>4597</v>
      </c>
      <c r="I46" s="481" t="s">
        <v>4693</v>
      </c>
      <c r="J46" s="657" t="s">
        <v>4761</v>
      </c>
      <c r="K46" s="523" t="s">
        <v>4762</v>
      </c>
      <c r="L46" s="488" t="s">
        <v>4694</v>
      </c>
      <c r="M46" s="541" t="s">
        <v>4597</v>
      </c>
      <c r="N46" s="157"/>
      <c r="O46" s="2656" cm="1" t="n">
        <f t="array" ref="O46">INDEX('7층_부하량'!G3:G3000,MATCH(1,("7-DaHall 1-PDU-02"='7층_부하량'!A3:A3000)*(32='7층_부하량'!B3:B3000),0))</f>
        <v>3.54</v>
      </c>
      <c r="P46" s="157"/>
      <c r="Q46" s="157"/>
      <c r="R46" s="157" t="s">
        <v>4631</v>
      </c>
      <c r="S46" s="283" t="s">
        <v>4575</v>
      </c>
      <c r="T46" s="531" t="s">
        <v>4763</v>
      </c>
    </row>
    <row r="47" spans="1:20" ht="20.100000000000001" customHeight="1" x14ac:dyDescent="0.15">
      <c r="A47" s="500" t="s">
        <v>4764</v>
      </c>
      <c r="B47" s="157" t="s">
        <v>4765</v>
      </c>
      <c r="C47" s="283" t="s">
        <v>4575</v>
      </c>
      <c r="D47" s="157"/>
      <c r="E47" s="157"/>
      <c r="F47" s="2656" cm="1" t="n">
        <f t="array" ref="F47">INDEX('7층_부하량'!H3:H3000,MATCH(1,("7-DaHall 1-PDU-02"='7층_부하량'!A3:A3000)*(33='7층_부하량'!B3:B3000),0))</f>
        <v>8.58</v>
      </c>
      <c r="G47" s="157"/>
      <c r="H47" s="541" t="s">
        <v>4597</v>
      </c>
      <c r="I47" s="481" t="s">
        <v>4697</v>
      </c>
      <c r="J47" s="657" t="s">
        <v>4761</v>
      </c>
      <c r="K47" s="1399" t="s">
        <v>4766</v>
      </c>
      <c r="L47" s="488" t="s">
        <v>4698</v>
      </c>
      <c r="M47" s="541" t="s">
        <v>4597</v>
      </c>
      <c r="N47" s="157"/>
      <c r="O47" s="157"/>
      <c r="P47" s="2656" cm="1" t="n">
        <f t="array" ref="P47">INDEX('7층_부하량'!H3:H3000,MATCH(1,("7-DaHall 1-PDU-02"='7층_부하량'!A3:A3000)*(34='7층_부하량'!B3:B3000),0))</f>
        <v>3.22</v>
      </c>
      <c r="Q47" s="157"/>
      <c r="R47" s="157" t="s">
        <v>4631</v>
      </c>
      <c r="S47" s="283" t="s">
        <v>4575</v>
      </c>
      <c r="T47" s="531" t="s">
        <v>4767</v>
      </c>
    </row>
    <row r="48" spans="1:20" ht="20.100000000000001" customHeight="1" x14ac:dyDescent="0.15">
      <c r="A48" s="500" t="s">
        <v>4768</v>
      </c>
      <c r="B48" s="157" t="s">
        <v>4765</v>
      </c>
      <c r="C48" s="283" t="s">
        <v>4575</v>
      </c>
      <c r="D48" s="2656" cm="1" t="n">
        <f t="array" ref="D48">INDEX('7층_부하량'!F3:F3000,MATCH(1,("7-DaHall 1-PDU-02"='7층_부하량'!A3:A3000)*(35='7층_부하량'!B3:B3000),0))</f>
        <v>6.8100000000000005</v>
      </c>
      <c r="E48" s="157"/>
      <c r="F48" s="157"/>
      <c r="G48" s="157"/>
      <c r="H48" s="541" t="s">
        <v>4597</v>
      </c>
      <c r="I48" s="481" t="s">
        <v>4701</v>
      </c>
      <c r="J48" s="657" t="s">
        <v>4761</v>
      </c>
      <c r="K48" s="523"/>
      <c r="L48" s="488" t="s">
        <v>4703</v>
      </c>
      <c r="M48" s="541" t="s">
        <v>4597</v>
      </c>
      <c r="N48" s="2656" cm="1" t="n">
        <f t="array" ref="N48">INDEX('7층_부하량'!F3:F3000,MATCH(1,("7-DaHall 1-PDU-02"='7층_부하량'!A3:A3000)*(36='7층_부하량'!B3:B3000),0))</f>
        <v>1.77</v>
      </c>
      <c r="O48" s="157"/>
      <c r="P48" s="157"/>
      <c r="Q48" s="157"/>
      <c r="R48" s="157" t="s">
        <v>4631</v>
      </c>
      <c r="S48" s="283" t="s">
        <v>4575</v>
      </c>
      <c r="T48" s="531" t="s">
        <v>4769</v>
      </c>
    </row>
    <row r="49" spans="1:21" ht="20.100000000000001" customHeight="1" x14ac:dyDescent="0.15">
      <c r="A49" s="502" t="s">
        <v>4770</v>
      </c>
      <c r="B49" s="157" t="s">
        <v>4765</v>
      </c>
      <c r="C49" s="283" t="s">
        <v>4575</v>
      </c>
      <c r="D49" s="157"/>
      <c r="E49" s="2656" cm="1" t="n">
        <f t="array" ref="E49">INDEX('7층_부하량'!G3:G3000,MATCH(1,("7-DaHall 1-PDU-02"='7층_부하량'!A3:A3000)*(37='7층_부하량'!B3:B3000),0))</f>
        <v>3.04</v>
      </c>
      <c r="F49" s="157"/>
      <c r="G49" s="157"/>
      <c r="H49" s="541" t="s">
        <v>4597</v>
      </c>
      <c r="I49" s="481" t="s">
        <v>4706</v>
      </c>
      <c r="J49" s="154"/>
      <c r="K49" s="523"/>
      <c r="L49" s="488" t="s">
        <v>4707</v>
      </c>
      <c r="M49" s="541" t="s">
        <v>4597</v>
      </c>
      <c r="N49" s="157"/>
      <c r="O49" s="2656" cm="1" t="n">
        <f t="array" ref="O49">INDEX('7층_부하량'!G3:G3000,MATCH(1,("7-DaHall 1-PDU-02"='7층_부하량'!A3:A3000)*(38='7층_부하량'!B3:B3000),0))</f>
        <v>4.11</v>
      </c>
      <c r="P49" s="157"/>
      <c r="Q49" s="157"/>
      <c r="R49" s="157" t="s">
        <v>4631</v>
      </c>
      <c r="S49" s="283" t="s">
        <v>4575</v>
      </c>
      <c r="T49" s="531" t="s">
        <v>4771</v>
      </c>
    </row>
    <row r="50" spans="1:21" ht="20.100000000000001" customHeight="1" x14ac:dyDescent="0.15">
      <c r="A50" s="500" t="s">
        <v>4772</v>
      </c>
      <c r="B50" s="157" t="s">
        <v>4765</v>
      </c>
      <c r="C50" s="283" t="s">
        <v>4575</v>
      </c>
      <c r="D50" s="157"/>
      <c r="E50" s="157"/>
      <c r="F50" s="2656" cm="1" t="n">
        <f t="array" ref="F50">INDEX('7층_부하량'!H3:H3000,MATCH(1,("7-DaHall 1-PDU-02"='7층_부하량'!A3:A3000)*(39='7층_부하량'!B3:B3000),0))</f>
        <v>2.4</v>
      </c>
      <c r="G50" s="157"/>
      <c r="H50" s="541" t="s">
        <v>4597</v>
      </c>
      <c r="I50" s="481" t="s">
        <v>4710</v>
      </c>
      <c r="J50" s="154"/>
      <c r="K50" s="523"/>
      <c r="L50" s="488" t="s">
        <v>4711</v>
      </c>
      <c r="M50" s="541" t="s">
        <v>4597</v>
      </c>
      <c r="N50" s="157"/>
      <c r="O50" s="157"/>
      <c r="P50" s="2656" cm="1" t="n">
        <f t="array" ref="P50">INDEX('7층_부하량'!H3:H3000,MATCH(1,("7-DaHall 1-PDU-02"='7층_부하량'!A3:A3000)*(40='7층_부하량'!B3:B3000),0))</f>
        <v>3.65</v>
      </c>
      <c r="Q50" s="157"/>
      <c r="R50" s="157" t="s">
        <v>4631</v>
      </c>
      <c r="S50" s="283" t="s">
        <v>4575</v>
      </c>
      <c r="T50" s="531" t="s">
        <v>4773</v>
      </c>
    </row>
    <row r="51" spans="1:21" ht="20.100000000000001" customHeight="1" x14ac:dyDescent="0.15">
      <c r="A51" s="500" t="s">
        <v>4774</v>
      </c>
      <c r="B51" s="157" t="s">
        <v>4765</v>
      </c>
      <c r="C51" s="283" t="s">
        <v>4575</v>
      </c>
      <c r="D51" s="2656" cm="1" t="n">
        <f t="array" ref="D51">INDEX('7층_부하량'!F3:F3000,MATCH(1,("7-DaHall 1-PDU-02"='7층_부하량'!A3:A3000)*(41='7층_부하량'!B3:B3000),0))</f>
        <v>5.87</v>
      </c>
      <c r="E51" s="157"/>
      <c r="F51" s="157"/>
      <c r="G51" s="157"/>
      <c r="H51" s="541" t="s">
        <v>4597</v>
      </c>
      <c r="I51" s="481" t="s">
        <v>4775</v>
      </c>
      <c r="J51" s="154" t="s">
        <v>1684</v>
      </c>
      <c r="K51" s="523"/>
      <c r="L51" s="488" t="s">
        <v>4776</v>
      </c>
      <c r="M51" s="541" t="s">
        <v>4597</v>
      </c>
      <c r="N51" s="2656" cm="1" t="n">
        <f t="array" ref="N51">INDEX('7층_부하량'!F3:F3000,MATCH(1,("7-DaHall 1-PDU-02"='7층_부하량'!A3:A3000)*(42='7층_부하량'!B3:B3000),0))</f>
        <v>5.21</v>
      </c>
      <c r="O51" s="157"/>
      <c r="P51" s="157"/>
      <c r="Q51" s="157"/>
      <c r="R51" s="157" t="s">
        <v>4765</v>
      </c>
      <c r="S51" s="283" t="s">
        <v>4575</v>
      </c>
      <c r="T51" s="531" t="s">
        <v>4777</v>
      </c>
    </row>
    <row r="52" spans="1:21" ht="20.100000000000001" customHeight="1" x14ac:dyDescent="0.15">
      <c r="A52" s="500"/>
      <c r="B52" s="143" t="s">
        <v>4590</v>
      </c>
      <c r="C52" s="143" t="s">
        <v>4723</v>
      </c>
      <c r="D52" s="157"/>
      <c r="E52" s="2656" cm="1" t="n">
        <f t="array" ref="E52">INDEX('7층_부하량'!G3:G3000,MATCH(1,("7-DaHall 1-PDU-02"='7층_부하량'!A3:A3000)*(43='7층_부하량'!B3:B3000),0))</f>
        <v>1.9100000000000001</v>
      </c>
      <c r="F52" s="157"/>
      <c r="G52" s="157"/>
      <c r="H52" s="541" t="s">
        <v>4597</v>
      </c>
      <c r="I52" s="481" t="s">
        <v>4778</v>
      </c>
      <c r="J52" s="154"/>
      <c r="K52" s="523" t="s">
        <v>4779</v>
      </c>
      <c r="L52" s="488" t="s">
        <v>4780</v>
      </c>
      <c r="M52" s="541" t="s">
        <v>4597</v>
      </c>
      <c r="N52" s="157"/>
      <c r="O52" s="2656" cm="1" t="n">
        <f t="array" ref="O52">INDEX('7층_부하량'!G3:G3000,MATCH(1,("7-DaHall 1-PDU-02"='7층_부하량'!A3:A3000)*(44='7층_부하량'!B3:B3000),0))</f>
        <v>3.32</v>
      </c>
      <c r="P52" s="157"/>
      <c r="Q52" s="157"/>
      <c r="R52" s="157" t="s">
        <v>4765</v>
      </c>
      <c r="S52" s="283" t="s">
        <v>4575</v>
      </c>
      <c r="T52" s="531" t="s">
        <v>813</v>
      </c>
      <c r="U52" s="2320" t="s">
        <v>4781</v>
      </c>
    </row>
    <row r="53" spans="1:21" ht="20.100000000000001" customHeight="1" x14ac:dyDescent="0.15">
      <c r="A53" s="500"/>
      <c r="B53" s="143" t="s">
        <v>4590</v>
      </c>
      <c r="C53" s="143" t="s">
        <v>4723</v>
      </c>
      <c r="D53" s="157"/>
      <c r="E53" s="157"/>
      <c r="F53" s="2656" cm="1" t="n">
        <f t="array" ref="F53">INDEX('7층_부하량'!H3:H3000,MATCH(1,("7-DaHall 1-PDU-02"='7층_부하량'!A3:A3000)*(45='7층_부하량'!B3:B3000),0))</f>
        <v>0.0</v>
      </c>
      <c r="G53" s="157"/>
      <c r="H53" s="541" t="s">
        <v>4597</v>
      </c>
      <c r="I53" s="481" t="s">
        <v>4782</v>
      </c>
      <c r="J53" s="154"/>
      <c r="K53" s="523" t="s">
        <v>4717</v>
      </c>
      <c r="L53" s="488" t="s">
        <v>4783</v>
      </c>
      <c r="M53" s="541" t="s">
        <v>4597</v>
      </c>
      <c r="N53" s="157"/>
      <c r="O53" s="157"/>
      <c r="P53" s="2656" cm="1" t="n">
        <f t="array" ref="P53">INDEX('7층_부하량'!H3:H3000,MATCH(1,("7-DaHall 1-PDU-02"='7층_부하량'!A3:A3000)*(46='7층_부하량'!B3:B3000),0))</f>
        <v>4.03</v>
      </c>
      <c r="Q53" s="157"/>
      <c r="R53" s="157" t="s">
        <v>4765</v>
      </c>
      <c r="S53" s="283" t="s">
        <v>4575</v>
      </c>
      <c r="T53" s="531" t="s">
        <v>826</v>
      </c>
      <c r="U53" t="s">
        <v>4784</v>
      </c>
    </row>
    <row r="54" spans="1:21" ht="20.100000000000001" customHeight="1" x14ac:dyDescent="0.15">
      <c r="A54" s="500"/>
      <c r="B54" s="143" t="s">
        <v>4590</v>
      </c>
      <c r="C54" s="143" t="s">
        <v>4723</v>
      </c>
      <c r="D54" s="2656" cm="1" t="n">
        <f t="array" ref="D54">INDEX('7층_부하량'!F3:F3000,MATCH(1,("7-DaHall 1-PDU-02"='7층_부하량'!A3:A3000)*(47='7층_부하량'!B3:B3000),0))</f>
        <v>3.25</v>
      </c>
      <c r="E54" s="157"/>
      <c r="F54" s="157"/>
      <c r="G54" s="157"/>
      <c r="H54" s="541" t="s">
        <v>4597</v>
      </c>
      <c r="I54" s="481" t="s">
        <v>4785</v>
      </c>
      <c r="J54" s="154"/>
      <c r="K54" s="523"/>
      <c r="L54" s="488" t="s">
        <v>4786</v>
      </c>
      <c r="M54" s="541" t="s">
        <v>4597</v>
      </c>
      <c r="N54" s="2656" cm="1" t="n">
        <f t="array" ref="N54">INDEX('7층_부하량'!F3:F3000,MATCH(1,("7-DaHall 1-PDU-02"='7층_부하량'!A3:A3000)*(48='7층_부하량'!B3:B3000),0))</f>
        <v>5.27</v>
      </c>
      <c r="O54" s="157"/>
      <c r="P54" s="157"/>
      <c r="Q54" s="157"/>
      <c r="R54" s="157" t="s">
        <v>4590</v>
      </c>
      <c r="S54" s="143" t="s">
        <v>4642</v>
      </c>
      <c r="T54" s="531"/>
    </row>
    <row r="55" spans="1:21" ht="27.75" customHeight="1" x14ac:dyDescent="0.15">
      <c r="A55" s="2336" t="s">
        <v>1195</v>
      </c>
      <c r="B55" s="157" t="s">
        <v>4579</v>
      </c>
      <c r="C55" s="283" t="s">
        <v>4575</v>
      </c>
      <c r="D55" s="157"/>
      <c r="E55" s="2656" cm="1" t="n">
        <f t="array" ref="E55">INDEX('7층_부하량'!G3:G3000,MATCH(1,("7-DaHall 1-PDU-02"='7층_부하량'!A3:A3000)*(49='7층_부하량'!B3:B3000),0))</f>
        <v>3.26</v>
      </c>
      <c r="F55" s="157"/>
      <c r="G55" s="157"/>
      <c r="H55" s="541" t="s">
        <v>4597</v>
      </c>
      <c r="I55" s="481" t="s">
        <v>4787</v>
      </c>
      <c r="J55" s="2337" t="s">
        <v>4788</v>
      </c>
      <c r="K55" s="523"/>
      <c r="L55" s="488" t="s">
        <v>4789</v>
      </c>
      <c r="M55" s="541" t="s">
        <v>4597</v>
      </c>
      <c r="N55" s="157"/>
      <c r="O55" s="2655" cm="1" t="n">
        <f t="array" ref="O55">INDEX('7층_부하량'!G3:G3000,MATCH(1,("7-DaHall 1-PDU-02"='7층_부하량'!A3:A3000)*(50='7층_부하량'!B3:B3000),0))</f>
        <v>4.01</v>
      </c>
      <c r="P55" s="157"/>
      <c r="Q55" s="157"/>
      <c r="R55" s="157" t="s">
        <v>4631</v>
      </c>
      <c r="S55" s="283" t="s">
        <v>4575</v>
      </c>
      <c r="T55" s="531" t="s">
        <v>4790</v>
      </c>
    </row>
    <row r="56" spans="1:21" ht="28.5" customHeight="1" x14ac:dyDescent="0.15">
      <c r="A56" s="2336" t="s">
        <v>1197</v>
      </c>
      <c r="B56" s="157" t="s">
        <v>4579</v>
      </c>
      <c r="C56" s="283" t="s">
        <v>4575</v>
      </c>
      <c r="D56" s="157"/>
      <c r="E56" s="157"/>
      <c r="F56" s="2656" cm="1" t="n">
        <f t="array" ref="F56">INDEX('7층_부하량'!H3:H3000,MATCH(1,("7-DaHall 1-PDU-02"='7층_부하량'!A3:A3000)*(51='7층_부하량'!B3:B3000),0))</f>
        <v>1.94</v>
      </c>
      <c r="G56" s="157"/>
      <c r="H56" s="541" t="s">
        <v>4597</v>
      </c>
      <c r="I56" s="481" t="s">
        <v>4791</v>
      </c>
      <c r="J56" s="2337" t="s">
        <v>4792</v>
      </c>
      <c r="K56" s="523"/>
      <c r="L56" s="488" t="s">
        <v>4793</v>
      </c>
      <c r="M56" s="541" t="s">
        <v>4597</v>
      </c>
      <c r="N56" s="157"/>
      <c r="O56" s="157"/>
      <c r="P56" s="2655" cm="1" t="n">
        <f t="array" ref="P56">INDEX('7층_부하량'!H3:H3000,MATCH(1,("7-DaHall 1-PDU-02"='7층_부하량'!A3:A3000)*(52='7층_부하량'!B3:B3000),0))</f>
        <v>3.8</v>
      </c>
      <c r="Q56" s="157"/>
      <c r="R56" s="157" t="s">
        <v>4631</v>
      </c>
      <c r="S56" s="283" t="s">
        <v>4575</v>
      </c>
      <c r="T56" s="531" t="s">
        <v>4794</v>
      </c>
    </row>
    <row r="57" spans="1:21" ht="20.100000000000001" customHeight="1" thickBot="1" x14ac:dyDescent="0.2">
      <c r="A57" s="507" t="s">
        <v>4795</v>
      </c>
      <c r="B57" s="166" t="s">
        <v>4631</v>
      </c>
      <c r="C57" s="184" t="s">
        <v>4575</v>
      </c>
      <c r="D57" s="2659" cm="1" t="n">
        <f t="array" ref="D57">INDEX('7층_부하량'!F3:F3000,MATCH(1,("7-DaHall 1-PDU-02"='7층_부하량'!A3:A3000)*(53='7층_부하량'!B3:B3000),0))</f>
        <v>0.24</v>
      </c>
      <c r="E57" s="167"/>
      <c r="F57" s="167"/>
      <c r="G57" s="167"/>
      <c r="H57" s="543" t="s">
        <v>4597</v>
      </c>
      <c r="I57" s="483" t="s">
        <v>4796</v>
      </c>
      <c r="J57" s="168" t="s">
        <v>4679</v>
      </c>
      <c r="K57" s="525"/>
      <c r="L57" s="491" t="s">
        <v>4797</v>
      </c>
      <c r="M57" s="543" t="s">
        <v>4597</v>
      </c>
      <c r="N57" s="2659" cm="1" t="n">
        <f t="array" ref="N57">INDEX('7층_부하량'!F3:F3000,MATCH(1,("7-DaHall 1-PDU-02"='7층_부하량'!A3:A3000)*(54='7층_부하량'!B3:B3000),0))</f>
        <v>0.0</v>
      </c>
      <c r="O57" s="167"/>
      <c r="P57" s="167"/>
      <c r="Q57" s="167"/>
      <c r="R57" s="166" t="s">
        <v>4631</v>
      </c>
      <c r="S57" s="184" t="s">
        <v>4575</v>
      </c>
      <c r="T57" s="533" t="s">
        <v>4798</v>
      </c>
    </row>
    <row r="58" spans="1:21" ht="20.100000000000001" customHeight="1" thickTop="1" x14ac:dyDescent="0.15">
      <c r="A58" s="504"/>
      <c r="B58" s="133"/>
      <c r="C58" s="133"/>
      <c r="D58" s="131"/>
      <c r="E58" s="131"/>
      <c r="F58" s="131"/>
      <c r="G58" s="131"/>
      <c r="H58" s="504"/>
      <c r="I58" s="133"/>
      <c r="J58" s="172"/>
      <c r="K58" s="522"/>
      <c r="L58" s="172"/>
      <c r="M58" s="504" t="s">
        <v>4713</v>
      </c>
      <c r="N58" s="131" t="n">
        <f>SUM(D31:D57,N31:N57)</f>
        <v>73.74999999999999</v>
      </c>
      <c r="O58" s="131" t="n">
        <f>SUM(E31:E57,O31:O57)</f>
        <v>67.44</v>
      </c>
      <c r="P58" s="131" t="n">
        <f>SUM(P31:P57,F31:F57)</f>
        <v>77.96000000000001</v>
      </c>
      <c r="Q58" s="131" t="n">
        <f>SUM(Q31:Q57,Y31:Y57)</f>
        <v>0.0</v>
      </c>
      <c r="R58" s="128"/>
      <c r="S58" s="128"/>
      <c r="T58" s="515"/>
    </row>
    <row r="59" spans="1:21" ht="20.100000000000001" customHeight="1" x14ac:dyDescent="0.15">
      <c r="A59" s="508"/>
      <c r="B59" s="128"/>
      <c r="C59" s="128"/>
      <c r="D59" s="128"/>
      <c r="E59" s="128"/>
      <c r="F59" s="128"/>
      <c r="G59" s="128"/>
      <c r="H59" s="508"/>
      <c r="I59" s="128"/>
      <c r="J59" s="128"/>
      <c r="K59" s="508"/>
      <c r="L59" s="128"/>
      <c r="M59" s="508"/>
      <c r="N59" s="128"/>
      <c r="O59" s="128"/>
      <c r="P59" s="128"/>
      <c r="Q59" s="128"/>
      <c r="R59" s="128"/>
      <c r="S59" s="128"/>
      <c r="T59" s="508"/>
    </row>
    <row r="60" spans="1:21" ht="20.100000000000001" customHeight="1" thickBot="1" x14ac:dyDescent="0.2">
      <c r="A60" s="505" t="s">
        <v>7020</v>
      </c>
      <c r="B60" s="128"/>
      <c r="C60" s="128"/>
      <c r="D60" s="3660" t="s">
        <v>8981</v>
      </c>
      <c r="E60" s="3660"/>
      <c r="F60" s="3660"/>
      <c r="G60" s="3660"/>
      <c r="H60" s="504"/>
      <c r="I60" s="133"/>
      <c r="J60" s="3663" t="s">
        <v>4715</v>
      </c>
      <c r="K60" s="3664"/>
      <c r="L60" s="487"/>
      <c r="M60" s="504"/>
      <c r="N60" s="173"/>
      <c r="O60" s="173"/>
      <c r="P60" s="173"/>
      <c r="Q60" s="173"/>
      <c r="R60" s="173"/>
      <c r="S60" s="173"/>
      <c r="T60" s="508"/>
    </row>
    <row r="61" spans="1:21" ht="20.100000000000001" customHeight="1" thickTop="1" thickBot="1" x14ac:dyDescent="0.2">
      <c r="A61" s="496"/>
      <c r="B61" s="128"/>
      <c r="C61" s="128"/>
      <c r="D61" s="129"/>
      <c r="E61" s="130"/>
      <c r="F61" s="130"/>
      <c r="G61" s="130"/>
      <c r="H61" s="515"/>
      <c r="I61" s="131"/>
      <c r="J61" s="128"/>
      <c r="K61" s="516"/>
      <c r="L61" s="132"/>
      <c r="M61" s="1371" t="s">
        <v>4562</v>
      </c>
      <c r="N61" s="1368">
        <v>33.4</v>
      </c>
      <c r="O61" s="1369">
        <v>43.4</v>
      </c>
      <c r="P61" s="1370">
        <v>40.1</v>
      </c>
      <c r="Q61" s="508" t="s">
        <v>4563</v>
      </c>
      <c r="R61" s="133"/>
      <c r="S61" s="128"/>
      <c r="T61" s="528"/>
    </row>
    <row r="62" spans="1:21" ht="20.100000000000001" customHeight="1" thickTop="1" thickBot="1" x14ac:dyDescent="0.2">
      <c r="A62" s="497" t="s">
        <v>4629</v>
      </c>
      <c r="B62" s="135" t="s">
        <v>4565</v>
      </c>
      <c r="C62" s="136" t="s">
        <v>4566</v>
      </c>
      <c r="D62" s="135" t="s">
        <v>4567</v>
      </c>
      <c r="E62" s="135" t="s">
        <v>4568</v>
      </c>
      <c r="F62" s="135" t="s">
        <v>4569</v>
      </c>
      <c r="G62" s="135" t="s">
        <v>4570</v>
      </c>
      <c r="H62" s="539" t="s">
        <v>4571</v>
      </c>
      <c r="I62" s="479"/>
      <c r="J62" s="138" t="s">
        <v>4572</v>
      </c>
      <c r="K62" s="517" t="s">
        <v>4572</v>
      </c>
      <c r="L62" s="479"/>
      <c r="M62" s="539" t="s">
        <v>4571</v>
      </c>
      <c r="N62" s="135" t="s">
        <v>4567</v>
      </c>
      <c r="O62" s="135" t="s">
        <v>4568</v>
      </c>
      <c r="P62" s="135" t="s">
        <v>4569</v>
      </c>
      <c r="Q62" s="135" t="s">
        <v>4570</v>
      </c>
      <c r="R62" s="135" t="s">
        <v>4565</v>
      </c>
      <c r="S62" s="136" t="s">
        <v>4566</v>
      </c>
      <c r="T62" s="529" t="s">
        <v>4629</v>
      </c>
    </row>
    <row r="63" spans="1:21" ht="17.25" thickTop="1" x14ac:dyDescent="0.15">
      <c r="A63" s="498" t="s">
        <v>4800</v>
      </c>
      <c r="B63" s="142" t="s">
        <v>4631</v>
      </c>
      <c r="C63" s="152" t="s">
        <v>4575</v>
      </c>
      <c r="D63" s="144"/>
      <c r="E63" s="2654" cm="1" t="n">
        <f t="array" ref="E63">INDEX('7층_부하량'!G3:G3000,MATCH(1,("7-DaHall 1-PDU-01"='7층_부하량'!A3:A3000)*(1='7층_부하량'!B3:B3000),0))</f>
        <v>0.0</v>
      </c>
      <c r="F63" s="144"/>
      <c r="G63" s="144"/>
      <c r="H63" s="540" t="s">
        <v>4576</v>
      </c>
      <c r="I63" s="480" t="s">
        <v>4633</v>
      </c>
      <c r="J63" s="145" t="s">
        <v>4675</v>
      </c>
      <c r="K63" s="523" t="s">
        <v>4779</v>
      </c>
      <c r="L63" s="480" t="s">
        <v>4578</v>
      </c>
      <c r="M63" s="540" t="s">
        <v>4576</v>
      </c>
      <c r="N63" s="144"/>
      <c r="O63" s="2654" cm="1" t="n">
        <f t="array" ref="O63">INDEX('7층_부하량'!G3:G3000,MATCH(1,("7-DaHall 1-PDU-01"='7층_부하량'!A3:A3000)*(2='7층_부하량'!B3:B3000),0))</f>
        <v>2.5300000000000002</v>
      </c>
      <c r="P63" s="144"/>
      <c r="Q63" s="144"/>
      <c r="R63" s="144" t="s">
        <v>4631</v>
      </c>
      <c r="S63" s="152" t="s">
        <v>4575</v>
      </c>
      <c r="T63" s="534" t="s">
        <v>4801</v>
      </c>
      <c r="U63" t="s">
        <v>4784</v>
      </c>
    </row>
    <row r="64" spans="1:21" ht="16.5" x14ac:dyDescent="0.15">
      <c r="A64" s="499" t="s">
        <v>4802</v>
      </c>
      <c r="B64" s="143" t="s">
        <v>4631</v>
      </c>
      <c r="C64" s="164" t="s">
        <v>4575</v>
      </c>
      <c r="D64" s="346"/>
      <c r="E64" s="346"/>
      <c r="F64" s="2660" cm="1" t="n">
        <f t="array" ref="F64">INDEX('7층_부하량'!H3:H3000,MATCH(1,("7-DaHall 1-PDU-01"='7층_부하량'!A3:A3000)*(3='7층_부하량'!B3:B3000),0))</f>
        <v>5.08</v>
      </c>
      <c r="G64" s="149"/>
      <c r="H64" s="541" t="s">
        <v>4576</v>
      </c>
      <c r="I64" s="481" t="s">
        <v>4638</v>
      </c>
      <c r="J64" s="653" t="s">
        <v>4803</v>
      </c>
      <c r="K64" s="519"/>
      <c r="L64" s="481" t="s">
        <v>4583</v>
      </c>
      <c r="M64" s="541" t="s">
        <v>4576</v>
      </c>
      <c r="N64" s="149"/>
      <c r="O64" s="149"/>
      <c r="P64" s="2655" cm="1" t="n">
        <f t="array" ref="P64">INDEX('7층_부하량'!H3:H3000,MATCH(1,("7-DaHall 1-PDU-01"='7층_부하량'!A3:A3000)*(4='7층_부하량'!B3:B3000),0))</f>
        <v>6.02</v>
      </c>
      <c r="Q64" s="149"/>
      <c r="R64" s="149" t="s">
        <v>4631</v>
      </c>
      <c r="S64" s="164" t="s">
        <v>4575</v>
      </c>
      <c r="T64" s="531" t="s">
        <v>4804</v>
      </c>
    </row>
    <row r="65" spans="1:20" ht="16.5" x14ac:dyDescent="0.15">
      <c r="A65" s="500" t="s">
        <v>4805</v>
      </c>
      <c r="B65" s="143" t="s">
        <v>4631</v>
      </c>
      <c r="C65" s="164" t="s">
        <v>4575</v>
      </c>
      <c r="D65" s="2656" cm="1" t="n">
        <f t="array" ref="D65">INDEX('7층_부하량'!F3:F3000,MATCH(1,("7-DaHall 1-PDU-01"='7층_부하량'!A3:A3000)*(5='7층_부하량'!B3:B3000),0))</f>
        <v>7.44</v>
      </c>
      <c r="E65" s="157"/>
      <c r="F65" s="157"/>
      <c r="G65" s="157"/>
      <c r="H65" s="541" t="s">
        <v>4576</v>
      </c>
      <c r="I65" s="481" t="s">
        <v>4641</v>
      </c>
      <c r="J65" s="654" t="s">
        <v>4806</v>
      </c>
      <c r="K65" s="519" t="s">
        <v>4724</v>
      </c>
      <c r="L65" s="481" t="s">
        <v>4588</v>
      </c>
      <c r="M65" s="541" t="s">
        <v>4576</v>
      </c>
      <c r="N65" s="2656" cm="1" t="n">
        <f t="array" ref="N65">INDEX('7층_부하량'!F3:F3000,MATCH(1,("7-DaHall 1-PDU-01"='7층_부하량'!A3:A3000)*(6='7층_부하량'!B3:B3000),0))</f>
        <v>6.86</v>
      </c>
      <c r="O65" s="157"/>
      <c r="P65" s="157"/>
      <c r="Q65" s="157"/>
      <c r="R65" s="157" t="s">
        <v>4631</v>
      </c>
      <c r="S65" s="164" t="s">
        <v>4575</v>
      </c>
      <c r="T65" s="531" t="s">
        <v>4807</v>
      </c>
    </row>
    <row r="66" spans="1:20" ht="16.5" x14ac:dyDescent="0.15">
      <c r="A66" s="501" t="s">
        <v>4808</v>
      </c>
      <c r="B66" s="143" t="s">
        <v>4631</v>
      </c>
      <c r="C66" s="164" t="s">
        <v>4575</v>
      </c>
      <c r="D66" s="157"/>
      <c r="E66" s="2656" cm="1" t="n">
        <f t="array" ref="E66">INDEX('7층_부하량'!G3:G3000,MATCH(1,("7-DaHall 1-PDU-01"='7층_부하량'!A3:A3000)*(7='7층_부하량'!B3:B3000),0))</f>
        <v>6.67</v>
      </c>
      <c r="F66" s="157"/>
      <c r="G66" s="157"/>
      <c r="H66" s="541" t="s">
        <v>4576</v>
      </c>
      <c r="I66" s="481" t="s">
        <v>4645</v>
      </c>
      <c r="J66" s="154"/>
      <c r="K66" s="523"/>
      <c r="L66" s="488" t="s">
        <v>4593</v>
      </c>
      <c r="M66" s="541" t="s">
        <v>4576</v>
      </c>
      <c r="N66" s="157"/>
      <c r="O66" s="2656" cm="1" t="n">
        <f t="array" ref="O66">INDEX('7층_부하량'!G3:G3000,MATCH(1,("7-DaHall 1-PDU-01"='7층_부하량'!A3:A3000)*(8='7층_부하량'!B3:B3000),0))</f>
        <v>2.2800000000000002</v>
      </c>
      <c r="P66" s="157"/>
      <c r="Q66" s="157"/>
      <c r="R66" s="157" t="s">
        <v>4631</v>
      </c>
      <c r="S66" s="283" t="s">
        <v>4575</v>
      </c>
      <c r="T66" s="531" t="s">
        <v>4809</v>
      </c>
    </row>
    <row r="67" spans="1:20" ht="16.5" x14ac:dyDescent="0.15">
      <c r="A67" s="501" t="s">
        <v>4810</v>
      </c>
      <c r="B67" s="143" t="s">
        <v>4631</v>
      </c>
      <c r="C67" s="164" t="s">
        <v>4575</v>
      </c>
      <c r="D67" s="157"/>
      <c r="E67" s="157"/>
      <c r="F67" s="2656" cm="1" t="n">
        <f t="array" ref="F67">INDEX('7층_부하량'!H3:H3000,MATCH(1,("7-DaHall 1-PDU-01"='7층_부하량'!A3:A3000)*(9='7층_부하량'!B3:B3000),0))</f>
        <v>7.46</v>
      </c>
      <c r="G67" s="157"/>
      <c r="H67" s="541" t="s">
        <v>4576</v>
      </c>
      <c r="I67" s="481" t="s">
        <v>4648</v>
      </c>
      <c r="J67" s="154"/>
      <c r="K67" s="523"/>
      <c r="L67" s="488" t="s">
        <v>4596</v>
      </c>
      <c r="M67" s="541" t="s">
        <v>4597</v>
      </c>
      <c r="N67" s="157"/>
      <c r="O67" s="157"/>
      <c r="P67" s="2656" cm="1" t="n">
        <f t="array" ref="P67">INDEX('7층_부하량'!H3:H3000,MATCH(1,("7-DaHall 1-PDU-01"='7층_부하량'!A3:A3000)*(10='7층_부하량'!B3:B3000),0))</f>
        <v>4.11</v>
      </c>
      <c r="Q67" s="157"/>
      <c r="R67" s="157" t="s">
        <v>4631</v>
      </c>
      <c r="S67" s="283" t="s">
        <v>4575</v>
      </c>
      <c r="T67" s="531" t="s">
        <v>4811</v>
      </c>
    </row>
    <row r="68" spans="1:20" ht="16.5" x14ac:dyDescent="0.15">
      <c r="A68" s="713" t="s">
        <v>4812</v>
      </c>
      <c r="B68" s="157" t="s">
        <v>4631</v>
      </c>
      <c r="C68" s="164" t="s">
        <v>4575</v>
      </c>
      <c r="D68" s="2656" cm="1" t="n">
        <f t="array" ref="D68">INDEX('7층_부하량'!F3:F3000,MATCH(1,("7-DaHall 1-PDU-01"='7층_부하량'!A3:A3000)*(11='7층_부하량'!B3:B3000),0))</f>
        <v>6.88</v>
      </c>
      <c r="E68" s="157"/>
      <c r="F68" s="157"/>
      <c r="G68" s="157"/>
      <c r="H68" s="541" t="s">
        <v>4576</v>
      </c>
      <c r="I68" s="481" t="s">
        <v>4653</v>
      </c>
      <c r="J68" s="654" t="s">
        <v>4806</v>
      </c>
      <c r="K68" s="656" t="s">
        <v>4679</v>
      </c>
      <c r="L68" s="488" t="s">
        <v>4599</v>
      </c>
      <c r="M68" s="541" t="s">
        <v>4597</v>
      </c>
      <c r="N68" s="2656" cm="1" t="n">
        <f t="array" ref="N68">INDEX('7층_부하량'!F3:F3000,MATCH(1,("7-DaHall 1-PDU-01"='7층_부하량'!A3:A3000)*(12='7층_부하량'!B3:B3000),0))</f>
        <v>2.4699999999999998</v>
      </c>
      <c r="O68" s="157"/>
      <c r="P68" s="157"/>
      <c r="Q68" s="157"/>
      <c r="R68" s="157" t="s">
        <v>4631</v>
      </c>
      <c r="S68" s="283" t="s">
        <v>4575</v>
      </c>
      <c r="T68" s="531" t="s">
        <v>4813</v>
      </c>
    </row>
    <row r="69" spans="1:20" ht="24" x14ac:dyDescent="0.15">
      <c r="A69" s="714" t="s">
        <v>4814</v>
      </c>
      <c r="B69" s="157" t="s">
        <v>4631</v>
      </c>
      <c r="C69" s="283" t="s">
        <v>4575</v>
      </c>
      <c r="D69" s="157"/>
      <c r="E69" s="2656" cm="1" t="n">
        <f t="array" ref="E69">INDEX('7층_부하량'!G3:G3000,MATCH(1,("7-DaHall 1-PDU-01"='7층_부하량'!A3:A3000)*(13='7층_부하량'!B3:B3000),0))</f>
        <v>6.6899999999999995</v>
      </c>
      <c r="F69" s="157"/>
      <c r="G69" s="157"/>
      <c r="H69" s="541" t="s">
        <v>4597</v>
      </c>
      <c r="I69" s="481" t="s">
        <v>4657</v>
      </c>
      <c r="J69" s="654" t="s">
        <v>4806</v>
      </c>
      <c r="K69" s="523" t="s">
        <v>4734</v>
      </c>
      <c r="L69" s="488" t="s">
        <v>4601</v>
      </c>
      <c r="M69" s="541" t="s">
        <v>4597</v>
      </c>
      <c r="N69" s="157"/>
      <c r="O69" s="2656" cm="1" t="n">
        <f t="array" ref="O69">INDEX('7층_부하량'!G3:G3000,MATCH(1,("7-DaHall 1-PDU-01"='7층_부하량'!A3:A3000)*(14='7층_부하량'!B3:B3000),0))</f>
        <v>4.57</v>
      </c>
      <c r="P69" s="157"/>
      <c r="Q69" s="157"/>
      <c r="R69" s="157" t="s">
        <v>4631</v>
      </c>
      <c r="S69" s="283" t="s">
        <v>4575</v>
      </c>
      <c r="T69" s="531" t="s">
        <v>4735</v>
      </c>
    </row>
    <row r="70" spans="1:20" ht="24" x14ac:dyDescent="0.15">
      <c r="A70" s="500" t="s">
        <v>4815</v>
      </c>
      <c r="B70" s="157" t="s">
        <v>4631</v>
      </c>
      <c r="C70" s="283" t="s">
        <v>4575</v>
      </c>
      <c r="D70" s="157"/>
      <c r="E70" s="157"/>
      <c r="F70" s="2656" cm="1" t="n">
        <f t="array" ref="F70">INDEX('7층_부하량'!H3:H3000,MATCH(1,("7-DaHall 1-PDU-01"='7층_부하량'!A3:A3000)*(15='7층_부하량'!B3:B3000),0))</f>
        <v>0.79</v>
      </c>
      <c r="G70" s="157"/>
      <c r="H70" s="541" t="s">
        <v>4597</v>
      </c>
      <c r="I70" s="481" t="s">
        <v>4661</v>
      </c>
      <c r="J70" s="154" t="s">
        <v>4737</v>
      </c>
      <c r="K70" s="523" t="s">
        <v>4734</v>
      </c>
      <c r="L70" s="488" t="s">
        <v>4603</v>
      </c>
      <c r="M70" s="541" t="s">
        <v>4597</v>
      </c>
      <c r="N70" s="157"/>
      <c r="O70" s="157"/>
      <c r="P70" s="2656" cm="1" t="n">
        <f t="array" ref="P70">INDEX('7층_부하량'!H3:H3000,MATCH(1,("7-DaHall 1-PDU-01"='7층_부하량'!A3:A3000)*(16='7층_부하량'!B3:B3000),0))</f>
        <v>4.58</v>
      </c>
      <c r="Q70" s="157"/>
      <c r="R70" s="157" t="s">
        <v>4631</v>
      </c>
      <c r="S70" s="283" t="s">
        <v>4575</v>
      </c>
      <c r="T70" s="531" t="s">
        <v>4738</v>
      </c>
    </row>
    <row r="71" spans="1:20" ht="24" x14ac:dyDescent="0.15">
      <c r="A71" s="500" t="s">
        <v>4816</v>
      </c>
      <c r="B71" s="157" t="s">
        <v>4631</v>
      </c>
      <c r="C71" s="283" t="s">
        <v>4575</v>
      </c>
      <c r="D71" s="2656" cm="1" t="n">
        <f t="array" ref="D71">INDEX('7층_부하량'!F3:F3000,MATCH(1,("7-DaHall 1-PDU-01"='7층_부하량'!A3:A3000)*(17='7층_부하량'!B3:B3000),0))</f>
        <v>8.94</v>
      </c>
      <c r="E71" s="157"/>
      <c r="F71" s="157"/>
      <c r="G71" s="157"/>
      <c r="H71" s="541" t="s">
        <v>4597</v>
      </c>
      <c r="I71" s="481" t="s">
        <v>4665</v>
      </c>
      <c r="J71" s="154" t="s">
        <v>4721</v>
      </c>
      <c r="K71" s="1225" t="s">
        <v>4740</v>
      </c>
      <c r="L71" s="488" t="s">
        <v>4605</v>
      </c>
      <c r="M71" s="541" t="s">
        <v>4597</v>
      </c>
      <c r="N71" s="2656" cm="1" t="n">
        <f t="array" ref="N71">INDEX('7층_부하량'!F3:F3000,MATCH(1,("7-DaHall 1-PDU-01"='7층_부하량'!A3:A3000)*(18='7층_부하량'!B3:B3000),0))</f>
        <v>7.17</v>
      </c>
      <c r="O71" s="157"/>
      <c r="P71" s="157"/>
      <c r="Q71" s="157"/>
      <c r="R71" s="157" t="s">
        <v>4631</v>
      </c>
      <c r="S71" s="164" t="s">
        <v>4575</v>
      </c>
      <c r="T71" s="1227" t="s">
        <v>4817</v>
      </c>
    </row>
    <row r="72" spans="1:20" ht="24" x14ac:dyDescent="0.15">
      <c r="A72" s="500" t="s">
        <v>4818</v>
      </c>
      <c r="B72" s="157" t="s">
        <v>4631</v>
      </c>
      <c r="C72" s="283" t="s">
        <v>4575</v>
      </c>
      <c r="D72" s="157"/>
      <c r="E72" s="2656" cm="1" t="n">
        <f t="array" ref="E72">INDEX('7층_부하량'!G3:G3000,MATCH(1,("7-DaHall 1-PDU-01"='7층_부하량'!A3:A3000)*(19='7층_부하량'!B3:B3000),0))</f>
        <v>4.17</v>
      </c>
      <c r="F72" s="157"/>
      <c r="G72" s="157"/>
      <c r="H72" s="541" t="s">
        <v>4597</v>
      </c>
      <c r="I72" s="481" t="s">
        <v>4670</v>
      </c>
      <c r="J72" s="154" t="s">
        <v>4721</v>
      </c>
      <c r="K72" s="1225" t="s">
        <v>4743</v>
      </c>
      <c r="L72" s="488" t="s">
        <v>4609</v>
      </c>
      <c r="M72" s="541" t="s">
        <v>4597</v>
      </c>
      <c r="N72" s="157"/>
      <c r="O72" s="2656" cm="1" t="n">
        <f t="array" ref="O72">INDEX('7층_부하량'!G3:G3000,MATCH(1,("7-DaHall 1-PDU-01"='7층_부하량'!A3:A3000)*(20='7층_부하량'!B3:B3000),0))</f>
        <v>1.8900000000000001</v>
      </c>
      <c r="P72" s="157"/>
      <c r="Q72" s="157"/>
      <c r="R72" s="157" t="s">
        <v>4631</v>
      </c>
      <c r="S72" s="283" t="s">
        <v>4575</v>
      </c>
      <c r="T72" s="1227" t="s">
        <v>4819</v>
      </c>
    </row>
    <row r="73" spans="1:20" ht="24" x14ac:dyDescent="0.15">
      <c r="A73" s="500" t="s">
        <v>4820</v>
      </c>
      <c r="B73" s="157" t="s">
        <v>4631</v>
      </c>
      <c r="C73" s="283" t="s">
        <v>4575</v>
      </c>
      <c r="D73" s="157"/>
      <c r="E73" s="157"/>
      <c r="F73" s="2656" cm="1" t="n">
        <f t="array" ref="F73">INDEX('7층_부하량'!H3:H3000,MATCH(1,("7-DaHall 1-PDU-01"='7층_부하량'!A3:A3000)*(21='7층_부하량'!B3:B3000),0))</f>
        <v>4.44</v>
      </c>
      <c r="G73" s="157"/>
      <c r="H73" s="541" t="s">
        <v>4597</v>
      </c>
      <c r="I73" s="481" t="s">
        <v>4674</v>
      </c>
      <c r="J73" s="154" t="s">
        <v>4721</v>
      </c>
      <c r="K73" s="1225" t="s">
        <v>4746</v>
      </c>
      <c r="L73" s="488" t="s">
        <v>4613</v>
      </c>
      <c r="M73" s="541" t="s">
        <v>4597</v>
      </c>
      <c r="N73" s="157"/>
      <c r="O73" s="157"/>
      <c r="P73" s="2656" cm="1" t="n">
        <f t="array" ref="P73">INDEX('7층_부하량'!H3:H3000,MATCH(1,("7-DaHall 1-PDU-01"='7층_부하량'!A3:A3000)*(22='7층_부하량'!B3:B3000),0))</f>
        <v>1.77</v>
      </c>
      <c r="Q73" s="157"/>
      <c r="R73" s="157" t="s">
        <v>4631</v>
      </c>
      <c r="S73" s="283" t="s">
        <v>4575</v>
      </c>
      <c r="T73" s="1227" t="s">
        <v>4821</v>
      </c>
    </row>
    <row r="74" spans="1:20" ht="24" x14ac:dyDescent="0.15">
      <c r="A74" s="500" t="s">
        <v>4822</v>
      </c>
      <c r="B74" s="157" t="s">
        <v>4631</v>
      </c>
      <c r="C74" s="283" t="s">
        <v>4575</v>
      </c>
      <c r="D74" s="2656" cm="1" t="n">
        <f t="array" ref="D74">INDEX('7층_부하량'!F3:F3000,MATCH(1,("7-DaHall 1-PDU-01"='7층_부하량'!A3:A3000)*(23='7층_부하량'!B3:B3000),0))</f>
        <v>2.43</v>
      </c>
      <c r="E74" s="157"/>
      <c r="F74" s="157"/>
      <c r="G74" s="157"/>
      <c r="H74" s="541" t="s">
        <v>4597</v>
      </c>
      <c r="I74" s="481" t="s">
        <v>4678</v>
      </c>
      <c r="J74" s="154" t="s">
        <v>4721</v>
      </c>
      <c r="K74" s="1225" t="s">
        <v>4749</v>
      </c>
      <c r="L74" s="488" t="s">
        <v>4680</v>
      </c>
      <c r="M74" s="541" t="s">
        <v>4597</v>
      </c>
      <c r="N74" s="2656" cm="1" t="n">
        <f t="array" ref="N74">INDEX('7층_부하량'!F3:F3000,MATCH(1,("7-DaHall 1-PDU-01"='7층_부하량'!A3:A3000)*(24='7층_부하량'!B3:B3000),0))</f>
        <v>2.83</v>
      </c>
      <c r="O74" s="157"/>
      <c r="P74" s="157"/>
      <c r="Q74" s="157"/>
      <c r="R74" s="157" t="s">
        <v>4631</v>
      </c>
      <c r="S74" s="283" t="s">
        <v>4575</v>
      </c>
      <c r="T74" s="1227" t="s">
        <v>4823</v>
      </c>
    </row>
    <row r="75" spans="1:20" ht="24" x14ac:dyDescent="0.15">
      <c r="A75" s="500" t="s">
        <v>4824</v>
      </c>
      <c r="B75" s="157" t="s">
        <v>4631</v>
      </c>
      <c r="C75" s="283" t="s">
        <v>4575</v>
      </c>
      <c r="D75" s="157"/>
      <c r="E75" s="2656" cm="1" t="n">
        <f t="array" ref="E75">INDEX('7층_부하량'!G3:G3000,MATCH(1,("7-DaHall 1-PDU-01"='7층_부하량'!A3:A3000)*(25='7층_부하량'!B3:B3000),0))</f>
        <v>2.24</v>
      </c>
      <c r="F75" s="157"/>
      <c r="G75" s="157"/>
      <c r="H75" s="541" t="s">
        <v>4597</v>
      </c>
      <c r="I75" s="481" t="s">
        <v>4683</v>
      </c>
      <c r="J75" s="654" t="s">
        <v>4806</v>
      </c>
      <c r="K75" s="1225" t="s">
        <v>4752</v>
      </c>
      <c r="L75" s="488" t="s">
        <v>4685</v>
      </c>
      <c r="M75" s="541" t="s">
        <v>4597</v>
      </c>
      <c r="N75" s="157"/>
      <c r="O75" s="2656" cm="1" t="n">
        <f t="array" ref="O75">INDEX('7층_부하량'!G3:G3000,MATCH(1,("7-DaHall 1-PDU-01"='7층_부하량'!A3:A3000)*(26='7층_부하량'!B3:B3000),0))</f>
        <v>3.85</v>
      </c>
      <c r="P75" s="157"/>
      <c r="Q75" s="157"/>
      <c r="R75" s="157" t="s">
        <v>4631</v>
      </c>
      <c r="S75" s="283" t="s">
        <v>4575</v>
      </c>
      <c r="T75" s="1227" t="s">
        <v>4825</v>
      </c>
    </row>
    <row r="76" spans="1:20" ht="24.75" thickBot="1" x14ac:dyDescent="0.2">
      <c r="A76" s="506" t="s">
        <v>4826</v>
      </c>
      <c r="B76" s="177" t="s">
        <v>4631</v>
      </c>
      <c r="C76" s="476" t="s">
        <v>4575</v>
      </c>
      <c r="D76" s="177"/>
      <c r="E76" s="177"/>
      <c r="F76" s="2661" cm="1" t="n">
        <f t="array" ref="F76">INDEX('7층_부하량'!H3:H3000,MATCH(1,("7-DaHall 1-PDU-01"='7층_부하량'!A3:A3000)*(27='7층_부하량'!B3:B3000),0))</f>
        <v>3.49</v>
      </c>
      <c r="G76" s="177"/>
      <c r="H76" s="544" t="s">
        <v>4597</v>
      </c>
      <c r="I76" s="484" t="s">
        <v>4688</v>
      </c>
      <c r="J76" s="178" t="s">
        <v>4721</v>
      </c>
      <c r="K76" s="1226" t="s">
        <v>4755</v>
      </c>
      <c r="L76" s="489" t="s">
        <v>4689</v>
      </c>
      <c r="M76" s="544" t="s">
        <v>4597</v>
      </c>
      <c r="N76" s="177"/>
      <c r="O76" s="177"/>
      <c r="P76" s="2661" cm="1" t="n">
        <f t="array" ref="P76">INDEX('7층_부하량'!H3:H3000,MATCH(1,("7-DaHall 1-PDU-01"='7층_부하량'!A3:A3000)*(28='7층_부하량'!B3:B3000),0))</f>
        <v>6.38</v>
      </c>
      <c r="Q76" s="177"/>
      <c r="R76" s="177" t="s">
        <v>4631</v>
      </c>
      <c r="S76" s="476" t="s">
        <v>4575</v>
      </c>
      <c r="T76" s="1228" t="s">
        <v>4827</v>
      </c>
    </row>
    <row r="77" spans="1:20" ht="21.75" thickTop="1" x14ac:dyDescent="0.15">
      <c r="A77" s="501" t="s">
        <v>4828</v>
      </c>
      <c r="B77" s="142" t="s">
        <v>4631</v>
      </c>
      <c r="C77" s="152" t="s">
        <v>4575</v>
      </c>
      <c r="D77" s="2656" cm="1" t="n">
        <f t="array" ref="D77">INDEX('7층_부하량'!F3:F3000,MATCH(1,("7-DaHall 1-PDU-01"='7층_부하량'!A3:A3000)*(29='7층_부하량'!B3:B3000),0))</f>
        <v>0.38</v>
      </c>
      <c r="E77" s="179"/>
      <c r="F77" s="179"/>
      <c r="G77" s="179"/>
      <c r="H77" s="542" t="s">
        <v>4597</v>
      </c>
      <c r="I77" s="482" t="s">
        <v>4691</v>
      </c>
      <c r="J77" s="180" t="s">
        <v>4829</v>
      </c>
      <c r="K77" s="524" t="s">
        <v>4758</v>
      </c>
      <c r="L77" s="490" t="s">
        <v>4692</v>
      </c>
      <c r="M77" s="542" t="s">
        <v>4597</v>
      </c>
      <c r="N77" s="2656" cm="1" t="n">
        <f t="array" ref="N77">INDEX('7층_부하량'!F3:F3000,MATCH(1,("7-DaHall 1-PDU-01"='7층_부하량'!A3:A3000)*(30='7층_부하량'!B3:B3000),0))</f>
        <v>0.35</v>
      </c>
      <c r="O77" s="179"/>
      <c r="P77" s="179"/>
      <c r="Q77" s="179"/>
      <c r="R77" s="157" t="s">
        <v>4631</v>
      </c>
      <c r="S77" s="283" t="s">
        <v>4575</v>
      </c>
      <c r="T77" s="1378" t="s">
        <v>4830</v>
      </c>
    </row>
    <row r="78" spans="1:20" ht="24" x14ac:dyDescent="0.15">
      <c r="A78" s="502" t="s">
        <v>4831</v>
      </c>
      <c r="B78" s="157" t="s">
        <v>4631</v>
      </c>
      <c r="C78" s="283" t="s">
        <v>4575</v>
      </c>
      <c r="D78" s="157"/>
      <c r="E78" s="2656" cm="1" t="n">
        <f t="array" ref="E78">INDEX('7층_부하량'!G3:G3000,MATCH(1,("7-DaHall 1-PDU-01"='7층_부하량'!A3:A3000)*(31='7층_부하량'!B3:B3000),0))</f>
        <v>4.59</v>
      </c>
      <c r="F78" s="157"/>
      <c r="G78" s="157"/>
      <c r="H78" s="541" t="s">
        <v>4597</v>
      </c>
      <c r="I78" s="481" t="s">
        <v>4693</v>
      </c>
      <c r="J78" s="657" t="s">
        <v>4761</v>
      </c>
      <c r="K78" s="523" t="s">
        <v>4762</v>
      </c>
      <c r="L78" s="488" t="s">
        <v>4694</v>
      </c>
      <c r="M78" s="541" t="s">
        <v>4597</v>
      </c>
      <c r="N78" s="157"/>
      <c r="O78" s="2656" cm="1" t="n">
        <f t="array" ref="O78">INDEX('7층_부하량'!G3:G3000,MATCH(1,("7-DaHall 1-PDU-01"='7층_부하량'!A3:A3000)*(32='7층_부하량'!B3:B3000),0))</f>
        <v>2.85</v>
      </c>
      <c r="P78" s="157"/>
      <c r="Q78" s="157"/>
      <c r="R78" s="157" t="s">
        <v>4631</v>
      </c>
      <c r="S78" s="283" t="s">
        <v>4575</v>
      </c>
      <c r="T78" s="531" t="s">
        <v>4832</v>
      </c>
    </row>
    <row r="79" spans="1:20" ht="24" x14ac:dyDescent="0.15">
      <c r="A79" s="500" t="s">
        <v>4833</v>
      </c>
      <c r="B79" s="157" t="s">
        <v>4631</v>
      </c>
      <c r="C79" s="283" t="s">
        <v>4575</v>
      </c>
      <c r="D79" s="157"/>
      <c r="E79" s="157"/>
      <c r="F79" s="2656" cm="1" t="n">
        <f t="array" ref="F79">INDEX('7층_부하량'!H3:H3000,MATCH(1,("7-DaHall 1-PDU-01"='7층_부하량'!A3:A3000)*(33='7층_부하량'!B3:B3000),0))</f>
        <v>8.88</v>
      </c>
      <c r="G79" s="157"/>
      <c r="H79" s="541" t="s">
        <v>4597</v>
      </c>
      <c r="I79" s="481" t="s">
        <v>4697</v>
      </c>
      <c r="J79" s="657" t="s">
        <v>4761</v>
      </c>
      <c r="K79" s="1399" t="s">
        <v>4766</v>
      </c>
      <c r="L79" s="488" t="s">
        <v>4698</v>
      </c>
      <c r="M79" s="541" t="s">
        <v>4597</v>
      </c>
      <c r="N79" s="157"/>
      <c r="O79" s="157"/>
      <c r="P79" s="2656" cm="1" t="n">
        <f t="array" ref="P79">INDEX('7층_부하량'!H3:H3000,MATCH(1,("7-DaHall 1-PDU-01"='7층_부하량'!A3:A3000)*(34='7층_부하량'!B3:B3000),0))</f>
        <v>4.58</v>
      </c>
      <c r="Q79" s="157"/>
      <c r="R79" s="157" t="s">
        <v>4631</v>
      </c>
      <c r="S79" s="283" t="s">
        <v>4575</v>
      </c>
      <c r="T79" s="531" t="s">
        <v>4834</v>
      </c>
    </row>
    <row r="80" spans="1:20" ht="16.5" x14ac:dyDescent="0.15">
      <c r="A80" s="500" t="s">
        <v>4835</v>
      </c>
      <c r="B80" s="157" t="s">
        <v>4631</v>
      </c>
      <c r="C80" s="283" t="s">
        <v>4575</v>
      </c>
      <c r="D80" s="2656" cm="1" t="n">
        <f t="array" ref="D80">INDEX('7층_부하량'!F3:F3000,MATCH(1,("7-DaHall 1-PDU-01"='7층_부하량'!A3:A3000)*(35='7층_부하량'!B3:B3000),0))</f>
        <v>7.16</v>
      </c>
      <c r="E80" s="157"/>
      <c r="F80" s="157"/>
      <c r="G80" s="157"/>
      <c r="H80" s="541" t="s">
        <v>4597</v>
      </c>
      <c r="I80" s="481" t="s">
        <v>4701</v>
      </c>
      <c r="J80" s="657" t="s">
        <v>4761</v>
      </c>
      <c r="K80" s="523"/>
      <c r="L80" s="488" t="s">
        <v>4703</v>
      </c>
      <c r="M80" s="541" t="s">
        <v>4597</v>
      </c>
      <c r="N80" s="2656" cm="1" t="n">
        <f t="array" ref="N80">INDEX('7층_부하량'!F3:F3000,MATCH(1,("7-DaHall 1-PDU-01"='7층_부하량'!A3:A3000)*(36='7층_부하량'!B3:B3000),0))</f>
        <v>1.78</v>
      </c>
      <c r="O80" s="157"/>
      <c r="P80" s="157"/>
      <c r="Q80" s="157"/>
      <c r="R80" s="157" t="s">
        <v>4631</v>
      </c>
      <c r="S80" s="283" t="s">
        <v>4575</v>
      </c>
      <c r="T80" s="531" t="s">
        <v>4836</v>
      </c>
    </row>
    <row r="81" spans="1:21" ht="24" x14ac:dyDescent="0.15">
      <c r="A81" s="502" t="s">
        <v>4837</v>
      </c>
      <c r="B81" s="157" t="s">
        <v>4631</v>
      </c>
      <c r="C81" s="283" t="s">
        <v>4575</v>
      </c>
      <c r="D81" s="157"/>
      <c r="E81" s="2656" cm="1" t="n">
        <f t="array" ref="E81">INDEX('7층_부하량'!G3:G3000,MATCH(1,("7-DaHall 1-PDU-01"='7층_부하량'!A3:A3000)*(37='7층_부하량'!B3:B3000),0))</f>
        <v>1.8900000000000001</v>
      </c>
      <c r="F81" s="157"/>
      <c r="G81" s="157"/>
      <c r="H81" s="541" t="s">
        <v>4597</v>
      </c>
      <c r="I81" s="481" t="s">
        <v>4706</v>
      </c>
      <c r="J81" s="658"/>
      <c r="K81" s="523"/>
      <c r="L81" s="488" t="s">
        <v>4707</v>
      </c>
      <c r="M81" s="541" t="s">
        <v>4597</v>
      </c>
      <c r="N81" s="157"/>
      <c r="O81" s="2656" cm="1" t="n">
        <f t="array" ref="O81">INDEX('7층_부하량'!G3:G3000,MATCH(1,("7-DaHall 1-PDU-01"='7층_부하량'!A3:A3000)*(38='7층_부하량'!B3:B3000),0))</f>
        <v>3.05</v>
      </c>
      <c r="P81" s="157"/>
      <c r="Q81" s="157"/>
      <c r="R81" s="157" t="s">
        <v>4631</v>
      </c>
      <c r="S81" s="283" t="s">
        <v>4575</v>
      </c>
      <c r="T81" s="531" t="s">
        <v>4838</v>
      </c>
    </row>
    <row r="82" spans="1:21" ht="16.5" x14ac:dyDescent="0.15">
      <c r="A82" s="500" t="s">
        <v>4839</v>
      </c>
      <c r="B82" s="157" t="s">
        <v>4765</v>
      </c>
      <c r="C82" s="283" t="s">
        <v>4575</v>
      </c>
      <c r="D82" s="157"/>
      <c r="E82" s="157"/>
      <c r="F82" s="2656" cm="1" t="n">
        <f t="array" ref="F82">INDEX('7층_부하량'!H3:H3000,MATCH(1,("7-DaHall 1-PDU-01"='7층_부하량'!A3:A3000)*(39='7층_부하량'!B3:B3000),0))</f>
        <v>2.7800000000000002</v>
      </c>
      <c r="G82" s="157"/>
      <c r="H82" s="541" t="s">
        <v>4597</v>
      </c>
      <c r="I82" s="481" t="s">
        <v>4710</v>
      </c>
      <c r="J82" s="154"/>
      <c r="K82" s="523"/>
      <c r="L82" s="488" t="s">
        <v>4711</v>
      </c>
      <c r="M82" s="541" t="s">
        <v>4597</v>
      </c>
      <c r="N82" s="157"/>
      <c r="O82" s="157"/>
      <c r="P82" s="2656" cm="1" t="n">
        <f t="array" ref="P82">INDEX('7층_부하량'!H3:H3000,MATCH(1,("7-DaHall 1-PDU-01"='7층_부하량'!A3:A3000)*(40='7층_부하량'!B3:B3000),0))</f>
        <v>3.56</v>
      </c>
      <c r="Q82" s="157"/>
      <c r="R82" s="157" t="s">
        <v>4631</v>
      </c>
      <c r="S82" s="283" t="s">
        <v>4575</v>
      </c>
      <c r="T82" s="531" t="s">
        <v>4840</v>
      </c>
    </row>
    <row r="83" spans="1:21" ht="16.5" x14ac:dyDescent="0.15">
      <c r="A83" s="500" t="s">
        <v>4841</v>
      </c>
      <c r="B83" s="157" t="s">
        <v>4579</v>
      </c>
      <c r="C83" s="283" t="s">
        <v>4575</v>
      </c>
      <c r="D83" s="2656" cm="1" t="n">
        <f t="array" ref="D83">INDEX('7층_부하량'!F3:F3000,MATCH(1,("7-DaHall 1-PDU-01"='7층_부하량'!A3:A3000)*(41='7층_부하량'!B3:B3000),0))</f>
        <v>5.61</v>
      </c>
      <c r="E83" s="157"/>
      <c r="F83" s="157"/>
      <c r="G83" s="157"/>
      <c r="H83" s="541" t="s">
        <v>4597</v>
      </c>
      <c r="I83" s="481" t="s">
        <v>4842</v>
      </c>
      <c r="J83" s="154" t="s">
        <v>1684</v>
      </c>
      <c r="K83" s="523"/>
      <c r="L83" s="488" t="s">
        <v>4843</v>
      </c>
      <c r="M83" s="541" t="s">
        <v>4597</v>
      </c>
      <c r="N83" s="2656" cm="1" t="n">
        <f t="array" ref="N83">INDEX('7층_부하량'!F3:F3000,MATCH(1,("7-DaHall 1-PDU-01"='7층_부하량'!A3:A3000)*(42='7층_부하량'!B3:B3000),0))</f>
        <v>3.64</v>
      </c>
      <c r="O83" s="157"/>
      <c r="P83" s="157"/>
      <c r="Q83" s="157"/>
      <c r="R83" s="157" t="s">
        <v>4765</v>
      </c>
      <c r="S83" s="283" t="s">
        <v>4575</v>
      </c>
      <c r="T83" s="531" t="s">
        <v>4844</v>
      </c>
    </row>
    <row r="84" spans="1:21" ht="16.5" x14ac:dyDescent="0.15">
      <c r="A84" s="500"/>
      <c r="B84" s="143" t="s">
        <v>4590</v>
      </c>
      <c r="C84" s="143" t="s">
        <v>4723</v>
      </c>
      <c r="D84" s="157"/>
      <c r="E84" s="2656" cm="1" t="n">
        <f t="array" ref="E84">INDEX('7층_부하량'!G3:G3000,MATCH(1,("7-DaHall 1-PDU-01"='7층_부하량'!A3:A3000)*(43='7층_부하량'!B3:B3000),0))</f>
        <v>2.18</v>
      </c>
      <c r="F84" s="157"/>
      <c r="G84" s="157"/>
      <c r="H84" s="541" t="s">
        <v>4597</v>
      </c>
      <c r="I84" s="481" t="s">
        <v>4845</v>
      </c>
      <c r="J84" s="154"/>
      <c r="K84" s="523" t="s">
        <v>4779</v>
      </c>
      <c r="L84" s="488" t="s">
        <v>4846</v>
      </c>
      <c r="M84" s="541" t="s">
        <v>4597</v>
      </c>
      <c r="N84" s="157"/>
      <c r="O84" s="2656" cm="1" t="n">
        <f t="array" ref="O84">INDEX('7층_부하량'!G3:G3000,MATCH(1,("7-DaHall 1-PDU-01"='7층_부하량'!A3:A3000)*(44='7층_부하량'!B3:B3000),0))</f>
        <v>6.82</v>
      </c>
      <c r="P84" s="157"/>
      <c r="Q84" s="157"/>
      <c r="R84" s="157" t="s">
        <v>4765</v>
      </c>
      <c r="S84" s="283" t="s">
        <v>4575</v>
      </c>
      <c r="T84" s="531" t="s">
        <v>813</v>
      </c>
      <c r="U84" s="2320" t="s">
        <v>4781</v>
      </c>
    </row>
    <row r="85" spans="1:21" ht="16.5" x14ac:dyDescent="0.15">
      <c r="A85" s="500"/>
      <c r="B85" s="143" t="s">
        <v>4590</v>
      </c>
      <c r="C85" s="143" t="s">
        <v>4723</v>
      </c>
      <c r="D85" s="157"/>
      <c r="E85" s="157"/>
      <c r="F85" s="2656" cm="1" t="n">
        <f t="array" ref="F85">INDEX('7층_부하량'!H3:H3000,MATCH(1,("7-DaHall 1-PDU-01"='7층_부하량'!A3:A3000)*(45='7층_부하량'!B3:B3000),0))</f>
        <v>0.0</v>
      </c>
      <c r="G85" s="157"/>
      <c r="H85" s="541" t="s">
        <v>4597</v>
      </c>
      <c r="I85" s="481" t="s">
        <v>4847</v>
      </c>
      <c r="J85" s="154"/>
      <c r="K85" s="523" t="s">
        <v>4779</v>
      </c>
      <c r="L85" s="488" t="s">
        <v>4848</v>
      </c>
      <c r="M85" s="541" t="s">
        <v>4597</v>
      </c>
      <c r="N85" s="157"/>
      <c r="O85" s="157"/>
      <c r="P85" s="2656" cm="1" t="n">
        <f t="array" ref="P85">INDEX('7층_부하량'!H3:H3000,MATCH(1,("7-DaHall 1-PDU-01"='7층_부하량'!A3:A3000)*(46='7층_부하량'!B3:B3000),0))</f>
        <v>2.95</v>
      </c>
      <c r="Q85" s="157"/>
      <c r="R85" s="157" t="s">
        <v>4765</v>
      </c>
      <c r="S85" s="283" t="s">
        <v>4575</v>
      </c>
      <c r="T85" s="531" t="s">
        <v>826</v>
      </c>
      <c r="U85" t="s">
        <v>4784</v>
      </c>
    </row>
    <row r="86" spans="1:21" x14ac:dyDescent="0.15">
      <c r="A86" s="500"/>
      <c r="B86" s="143" t="s">
        <v>4590</v>
      </c>
      <c r="C86" s="143" t="s">
        <v>4723</v>
      </c>
      <c r="D86" s="2656" cm="1" t="n">
        <f t="array" ref="D86">INDEX('7층_부하량'!F3:F3000,MATCH(1,("7-DaHall 1-PDU-01"='7층_부하량'!A3:A3000)*(47='7층_부하량'!B3:B3000),0))</f>
        <v>3.45</v>
      </c>
      <c r="E86" s="157"/>
      <c r="F86" s="157"/>
      <c r="G86" s="157"/>
      <c r="H86" s="541" t="s">
        <v>4597</v>
      </c>
      <c r="I86" s="481" t="s">
        <v>4849</v>
      </c>
      <c r="J86" s="154"/>
      <c r="K86" s="523"/>
      <c r="L86" s="488" t="s">
        <v>4850</v>
      </c>
      <c r="M86" s="541" t="s">
        <v>4597</v>
      </c>
      <c r="N86" s="2656" cm="1" t="n">
        <f t="array" ref="N86">INDEX('7층_부하량'!F3:F3000,MATCH(1,("7-DaHall 1-PDU-01"='7층_부하량'!A3:A3000)*(48='7층_부하량'!B3:B3000),0))</f>
        <v>3.63</v>
      </c>
      <c r="O86" s="157"/>
      <c r="P86" s="157"/>
      <c r="Q86" s="157"/>
      <c r="R86" s="157" t="s">
        <v>4590</v>
      </c>
      <c r="S86" s="143" t="s">
        <v>4642</v>
      </c>
      <c r="T86" s="531"/>
    </row>
    <row r="87" spans="1:21" x14ac:dyDescent="0.15">
      <c r="A87" s="500"/>
      <c r="B87" s="143" t="s">
        <v>4590</v>
      </c>
      <c r="C87" s="143" t="s">
        <v>4723</v>
      </c>
      <c r="D87" s="157"/>
      <c r="E87" s="2656" cm="1" t="n">
        <f t="array" ref="E87">INDEX('7층_부하량'!G3:G3000,MATCH(1,("7-DaHall 1-PDU-01"='7층_부하량'!A3:A3000)*(49='7층_부하량'!B3:B3000),0))</f>
        <v>6.66</v>
      </c>
      <c r="F87" s="157"/>
      <c r="G87" s="157"/>
      <c r="H87" s="541" t="s">
        <v>4597</v>
      </c>
      <c r="I87" s="481" t="s">
        <v>4851</v>
      </c>
      <c r="J87" s="154"/>
      <c r="K87" s="523"/>
      <c r="L87" s="488" t="s">
        <v>4852</v>
      </c>
      <c r="M87" s="541" t="s">
        <v>4597</v>
      </c>
      <c r="N87" s="157"/>
      <c r="O87" s="2655" cm="1" t="n">
        <f t="array" ref="O87">INDEX('7층_부하량'!G3:G3000,MATCH(1,("7-DaHall 1-PDU-01"='7층_부하량'!A3:A3000)*(50='7층_부하량'!B3:B3000),0))</f>
        <v>0.0</v>
      </c>
      <c r="P87" s="157"/>
      <c r="Q87" s="157"/>
      <c r="R87" s="157" t="s">
        <v>4590</v>
      </c>
      <c r="S87" s="143" t="s">
        <v>4642</v>
      </c>
      <c r="T87" s="531"/>
    </row>
    <row r="88" spans="1:21" ht="16.5" x14ac:dyDescent="0.15">
      <c r="A88" s="500"/>
      <c r="B88" s="143" t="s">
        <v>4590</v>
      </c>
      <c r="C88" s="143" t="s">
        <v>4723</v>
      </c>
      <c r="D88" s="157"/>
      <c r="E88" s="157"/>
      <c r="F88" s="2656" cm="1" t="n">
        <f t="array" ref="F88">INDEX('7층_부하량'!H3:H3000,MATCH(1,("7-DaHall 1-PDU-01"='7층_부하량'!A3:A3000)*(51='7층_부하량'!B3:B3000),0))</f>
        <v>1.74</v>
      </c>
      <c r="G88" s="157"/>
      <c r="H88" s="541" t="s">
        <v>4597</v>
      </c>
      <c r="I88" s="481" t="s">
        <v>4853</v>
      </c>
      <c r="J88" s="154"/>
      <c r="K88" s="523"/>
      <c r="L88" s="488" t="s">
        <v>4854</v>
      </c>
      <c r="M88" s="541" t="s">
        <v>4597</v>
      </c>
      <c r="N88" s="157"/>
      <c r="O88" s="157"/>
      <c r="P88" s="2655" cm="1" t="n">
        <f t="array" ref="P88">INDEX('7층_부하량'!H3:H3000,MATCH(1,("7-DaHall 1-PDU-01"='7층_부하량'!A3:A3000)*(52='7층_부하량'!B3:B3000),0))</f>
        <v>4.06</v>
      </c>
      <c r="Q88" s="157"/>
      <c r="R88" s="157" t="s">
        <v>4631</v>
      </c>
      <c r="S88" s="164" t="s">
        <v>4575</v>
      </c>
      <c r="T88" s="531" t="s">
        <v>4855</v>
      </c>
    </row>
    <row r="89" spans="1:21" ht="17.25" thickBot="1" x14ac:dyDescent="0.2">
      <c r="A89" s="507"/>
      <c r="B89" s="166" t="s">
        <v>4590</v>
      </c>
      <c r="C89" s="166" t="s">
        <v>4642</v>
      </c>
      <c r="D89" s="2659" cm="1" t="n">
        <f t="array" ref="D89">INDEX('7층_부하량'!F3:F3000,MATCH(1,("7-DaHall 1-PDU-01"='7층_부하량'!A3:A3000)*(53='7층_부하량'!B3:B3000),0))</f>
        <v>0.0</v>
      </c>
      <c r="E89" s="167"/>
      <c r="F89" s="167"/>
      <c r="G89" s="167"/>
      <c r="H89" s="543" t="s">
        <v>4597</v>
      </c>
      <c r="I89" s="483" t="s">
        <v>4856</v>
      </c>
      <c r="J89" s="168"/>
      <c r="K89" s="526" t="s">
        <v>4724</v>
      </c>
      <c r="L89" s="492" t="s">
        <v>4857</v>
      </c>
      <c r="M89" s="543" t="s">
        <v>4597</v>
      </c>
      <c r="N89" s="2659" cm="1" t="n">
        <f t="array" ref="N89">INDEX('7층_부하량'!F3:F3000,MATCH(1,("7-DaHall 1-PDU-01"='7층_부하량'!A3:A3000)*(54='7층_부하량'!B3:B3000),0))</f>
        <v>0.35</v>
      </c>
      <c r="O89" s="167"/>
      <c r="P89" s="167"/>
      <c r="Q89" s="167"/>
      <c r="R89" s="166" t="s">
        <v>4631</v>
      </c>
      <c r="S89" s="184" t="s">
        <v>4575</v>
      </c>
      <c r="T89" s="533" t="s">
        <v>4858</v>
      </c>
    </row>
    <row r="90" spans="1:21" ht="14.25" thickTop="1" x14ac:dyDescent="0.15">
      <c r="A90" s="504"/>
      <c r="B90" s="133"/>
      <c r="C90" s="133"/>
      <c r="D90" s="131"/>
      <c r="E90" s="131"/>
      <c r="F90" s="131"/>
      <c r="G90" s="131"/>
      <c r="H90" s="508"/>
      <c r="I90" s="128"/>
      <c r="J90" s="128"/>
      <c r="K90" s="508"/>
      <c r="L90" s="128"/>
      <c r="M90" s="504" t="s">
        <v>4713</v>
      </c>
      <c r="N90" s="131" t="n">
        <f>SUM(D63:D89,N63:N89)</f>
        <v>71.36999999999999</v>
      </c>
      <c r="O90" s="131" t="n">
        <f>SUM(E63:E89,O63:O89)</f>
        <v>62.93000000000001</v>
      </c>
      <c r="P90" s="131" t="n">
        <f>SUM(F63:F89,P63:P89)</f>
        <v>72.67000000000002</v>
      </c>
      <c r="Q90" s="131" t="n">
        <f>SUM(Q63:Q89,Y63:Y89)</f>
        <v>0.0</v>
      </c>
      <c r="R90" s="128"/>
      <c r="S90" s="128"/>
      <c r="T90" s="508"/>
    </row>
    <row r="91" spans="1:21" ht="14.25" thickBot="1" x14ac:dyDescent="0.2">
      <c r="A91" s="508"/>
      <c r="B91" s="128"/>
      <c r="C91" s="128"/>
      <c r="D91" s="128"/>
      <c r="E91" s="128"/>
      <c r="F91" s="128"/>
      <c r="G91" s="128"/>
      <c r="H91" s="508"/>
      <c r="I91" s="128"/>
      <c r="J91" s="128"/>
      <c r="K91" s="508"/>
      <c r="L91" s="128"/>
      <c r="M91" s="508"/>
      <c r="N91" s="128"/>
      <c r="O91" s="128"/>
      <c r="P91" s="128"/>
      <c r="Q91" s="128"/>
      <c r="R91" s="128"/>
      <c r="S91" s="128"/>
      <c r="T91" s="508"/>
    </row>
    <row r="92" spans="1:21" ht="15" thickTop="1" thickBot="1" x14ac:dyDescent="0.2">
      <c r="A92" s="53" t="s">
        <v>7014</v>
      </c>
      <c r="D92" s="3660" t="s">
        <v>8982</v>
      </c>
      <c r="E92" s="3660"/>
      <c r="F92" s="3660"/>
      <c r="G92" s="3660"/>
      <c r="H92" s="495"/>
      <c r="I92" s="124"/>
      <c r="J92" s="3661" t="s">
        <v>4628</v>
      </c>
      <c r="K92" s="3662"/>
      <c r="L92" s="486"/>
      <c r="M92" s="495"/>
      <c r="N92" s="126"/>
      <c r="O92" s="126"/>
      <c r="P92" s="126"/>
      <c r="Q92" s="126"/>
      <c r="R92" s="126"/>
      <c r="S92" s="126"/>
    </row>
    <row r="93" spans="1:21" ht="15" thickTop="1" thickBot="1" x14ac:dyDescent="0.2">
      <c r="A93" s="496"/>
      <c r="B93" s="128"/>
      <c r="C93" s="128"/>
      <c r="D93" s="129"/>
      <c r="E93" s="130"/>
      <c r="F93" s="130"/>
      <c r="G93" s="130"/>
      <c r="H93" s="515"/>
      <c r="I93" s="131"/>
      <c r="J93" s="128"/>
      <c r="K93" s="516"/>
      <c r="L93" s="132"/>
      <c r="M93" s="1371" t="s">
        <v>4562</v>
      </c>
      <c r="N93" s="1368">
        <v>39</v>
      </c>
      <c r="O93" s="1369">
        <v>12.5</v>
      </c>
      <c r="P93" s="1370">
        <v>20.5</v>
      </c>
      <c r="Q93" s="508" t="s">
        <v>4563</v>
      </c>
      <c r="R93" s="133"/>
      <c r="S93" s="128"/>
      <c r="T93" s="528"/>
    </row>
    <row r="94" spans="1:21" ht="15" thickTop="1" thickBot="1" x14ac:dyDescent="0.2">
      <c r="A94" s="497" t="s">
        <v>4629</v>
      </c>
      <c r="B94" s="135" t="s">
        <v>4565</v>
      </c>
      <c r="C94" s="136" t="s">
        <v>4566</v>
      </c>
      <c r="D94" s="135" t="s">
        <v>4567</v>
      </c>
      <c r="E94" s="135" t="s">
        <v>4568</v>
      </c>
      <c r="F94" s="135" t="s">
        <v>4569</v>
      </c>
      <c r="G94" s="135" t="s">
        <v>4570</v>
      </c>
      <c r="H94" s="539" t="s">
        <v>4571</v>
      </c>
      <c r="I94" s="479" t="s">
        <v>4860</v>
      </c>
      <c r="J94" s="138" t="s">
        <v>4572</v>
      </c>
      <c r="K94" s="517" t="s">
        <v>4572</v>
      </c>
      <c r="L94" s="479" t="s">
        <v>4861</v>
      </c>
      <c r="M94" s="539" t="s">
        <v>4571</v>
      </c>
      <c r="N94" s="135" t="s">
        <v>4567</v>
      </c>
      <c r="O94" s="135" t="s">
        <v>4568</v>
      </c>
      <c r="P94" s="135" t="s">
        <v>4569</v>
      </c>
      <c r="Q94" s="135" t="s">
        <v>4570</v>
      </c>
      <c r="R94" s="135" t="s">
        <v>4565</v>
      </c>
      <c r="S94" s="136" t="s">
        <v>4566</v>
      </c>
      <c r="T94" s="529" t="s">
        <v>4629</v>
      </c>
    </row>
    <row r="95" spans="1:21" ht="17.25" thickTop="1" x14ac:dyDescent="0.15">
      <c r="A95" s="498" t="s">
        <v>4862</v>
      </c>
      <c r="B95" s="142" t="s">
        <v>4631</v>
      </c>
      <c r="C95" s="152" t="s">
        <v>4575</v>
      </c>
      <c r="D95" s="2654" cm="1" t="n">
        <f t="array" ref="D95">INDEX('7층_부하량'!F3:F3000,MATCH(1,("7-DaHall 1-RPP-02"='7층_부하량'!A3:A3000)*(1='7층_부하량'!B3:B3000),0))</f>
        <v>0.0</v>
      </c>
      <c r="E95" s="144"/>
      <c r="F95" s="144"/>
      <c r="G95" s="144"/>
      <c r="H95" s="540" t="s">
        <v>4632</v>
      </c>
      <c r="I95" s="480" t="s">
        <v>4577</v>
      </c>
      <c r="J95" s="145" t="s">
        <v>4666</v>
      </c>
      <c r="K95" s="518" t="s">
        <v>4666</v>
      </c>
      <c r="L95" s="480" t="s">
        <v>4863</v>
      </c>
      <c r="M95" s="540" t="s">
        <v>4576</v>
      </c>
      <c r="N95" s="2654" cm="1" t="n">
        <f t="array" ref="N95">INDEX('7층_부하량'!F3:F3000,MATCH(1,("7-DaHall 1-RPP-02"='7층_부하량'!A3:A3000)*(2='7층_부하량'!B3:B3000),0))</f>
        <v>3.02</v>
      </c>
      <c r="O95" s="144"/>
      <c r="P95" s="144"/>
      <c r="Q95" s="144"/>
      <c r="R95" s="144" t="s">
        <v>4631</v>
      </c>
      <c r="S95" s="152" t="s">
        <v>4575</v>
      </c>
      <c r="T95" s="530" t="s">
        <v>4864</v>
      </c>
    </row>
    <row r="96" spans="1:21" ht="16.5" x14ac:dyDescent="0.15">
      <c r="A96" s="499" t="s">
        <v>4637</v>
      </c>
      <c r="B96" s="143" t="s">
        <v>4631</v>
      </c>
      <c r="C96" s="164" t="s">
        <v>4575</v>
      </c>
      <c r="D96" s="149"/>
      <c r="E96" s="2655" cm="1" t="n">
        <f t="array" ref="E96">INDEX('7층_부하량'!G3:G3000,MATCH(1,("7-DaHall 1-RPP-02"='7층_부하량'!A3:A3000)*(3='7층_부하량'!B3:B3000),0))</f>
        <v>0.56</v>
      </c>
      <c r="F96" s="149"/>
      <c r="G96" s="149"/>
      <c r="H96" s="541" t="s">
        <v>4632</v>
      </c>
      <c r="I96" s="481" t="s">
        <v>4582</v>
      </c>
      <c r="J96" s="150" t="s">
        <v>4666</v>
      </c>
      <c r="K96" s="519"/>
      <c r="L96" s="481" t="s">
        <v>4865</v>
      </c>
      <c r="M96" s="541" t="s">
        <v>4576</v>
      </c>
      <c r="N96" s="149"/>
      <c r="O96" s="2655" cm="1" t="n">
        <f t="array" ref="O96">INDEX('7층_부하량'!G3:G3000,MATCH(1,("7-DaHall 1-RPP-02"='7층_부하량'!A3:A3000)*(4='7층_부하량'!B3:B3000),0))</f>
        <v>1.13</v>
      </c>
      <c r="P96" s="149"/>
      <c r="Q96" s="149"/>
      <c r="R96" s="149" t="s">
        <v>4590</v>
      </c>
      <c r="S96" s="143" t="s">
        <v>4642</v>
      </c>
      <c r="T96" s="531" t="s">
        <v>4866</v>
      </c>
    </row>
    <row r="97" spans="1:20" ht="16.5" x14ac:dyDescent="0.15">
      <c r="A97" s="500" t="s">
        <v>4867</v>
      </c>
      <c r="B97" s="143" t="s">
        <v>4631</v>
      </c>
      <c r="C97" s="143" t="s">
        <v>4723</v>
      </c>
      <c r="D97" s="157"/>
      <c r="E97" s="157"/>
      <c r="F97" s="2656" cm="1" t="n">
        <f t="array" ref="F97">INDEX('7층_부하량'!H3:H3000,MATCH(1,("7-DaHall 1-RPP-02"='7층_부하량'!A3:A3000)*(5='7층_부하량'!B3:B3000),0))</f>
        <v>1.8399999999999999</v>
      </c>
      <c r="G97" s="157"/>
      <c r="H97" s="541" t="s">
        <v>4632</v>
      </c>
      <c r="I97" s="481" t="s">
        <v>4587</v>
      </c>
      <c r="J97" s="150" t="s">
        <v>4634</v>
      </c>
      <c r="K97" s="519" t="s">
        <v>4634</v>
      </c>
      <c r="L97" s="481" t="s">
        <v>4868</v>
      </c>
      <c r="M97" s="541" t="s">
        <v>4576</v>
      </c>
      <c r="N97" s="157"/>
      <c r="O97" s="157"/>
      <c r="P97" s="2656" cm="1" t="n">
        <f t="array" ref="P97">INDEX('7층_부하량'!H3:H3000,MATCH(1,("7-DaHall 1-RPP-02"='7층_부하량'!A3:A3000)*(6='7층_부하량'!B3:B3000),0))</f>
        <v>0.0</v>
      </c>
      <c r="Q97" s="157"/>
      <c r="R97" s="157" t="s">
        <v>4631</v>
      </c>
      <c r="S97" s="164" t="s">
        <v>4575</v>
      </c>
      <c r="T97" s="531" t="s">
        <v>4869</v>
      </c>
    </row>
    <row r="98" spans="1:20" ht="24" x14ac:dyDescent="0.15">
      <c r="A98" s="509" t="s">
        <v>4870</v>
      </c>
      <c r="B98" s="143" t="s">
        <v>4631</v>
      </c>
      <c r="C98" s="164" t="s">
        <v>4575</v>
      </c>
      <c r="D98" s="2656" cm="1" t="n">
        <f t="array" ref="D98">INDEX('7층_부하량'!F3:F3000,MATCH(1,("7-DaHall 1-RPP-02"='7층_부하량'!A3:A3000)*(7='7층_부하량'!B3:B3000),0))</f>
        <v>2.86</v>
      </c>
      <c r="E98" s="157"/>
      <c r="F98" s="157"/>
      <c r="G98" s="157"/>
      <c r="H98" s="541" t="s">
        <v>4632</v>
      </c>
      <c r="I98" s="481" t="s">
        <v>4592</v>
      </c>
      <c r="J98" s="150" t="s">
        <v>4634</v>
      </c>
      <c r="K98" s="652" t="s">
        <v>4675</v>
      </c>
      <c r="L98" s="481" t="s">
        <v>4871</v>
      </c>
      <c r="M98" s="541" t="s">
        <v>4576</v>
      </c>
      <c r="N98" s="2656" cm="1" t="n">
        <f t="array" ref="N98">INDEX('7층_부하량'!F3:F3000,MATCH(1,("7-DaHall 1-RPP-02"='7층_부하량'!A3:A3000)*(8='7층_부하량'!B3:B3000),0))</f>
        <v>4.75</v>
      </c>
      <c r="O98" s="157"/>
      <c r="P98" s="157"/>
      <c r="Q98" s="157"/>
      <c r="R98" s="157" t="s">
        <v>4631</v>
      </c>
      <c r="S98" s="164" t="s">
        <v>4575</v>
      </c>
      <c r="T98" s="531" t="s">
        <v>4872</v>
      </c>
    </row>
    <row r="99" spans="1:20" ht="16.5" x14ac:dyDescent="0.15">
      <c r="A99" s="502" t="s">
        <v>4809</v>
      </c>
      <c r="B99" s="143" t="s">
        <v>4631</v>
      </c>
      <c r="C99" s="164" t="s">
        <v>4575</v>
      </c>
      <c r="D99" s="157"/>
      <c r="E99" s="2656" cm="1" t="n">
        <f t="array" ref="E99">INDEX('7층_부하량'!G3:G3000,MATCH(1,("7-DaHall 1-RPP-02"='7층_부하량'!A3:A3000)*(9='7층_부하량'!B3:B3000),0))</f>
        <v>4.5</v>
      </c>
      <c r="F99" s="157"/>
      <c r="G99" s="157"/>
      <c r="H99" s="541" t="s">
        <v>4632</v>
      </c>
      <c r="I99" s="481" t="s">
        <v>4595</v>
      </c>
      <c r="J99" s="150" t="s">
        <v>4634</v>
      </c>
      <c r="K99" s="652" t="s">
        <v>4873</v>
      </c>
      <c r="L99" s="481" t="s">
        <v>4874</v>
      </c>
      <c r="M99" s="541" t="s">
        <v>4597</v>
      </c>
      <c r="N99" s="157"/>
      <c r="O99" s="2656" cm="1" t="n">
        <f t="array" ref="O99">INDEX('7층_부하량'!G3:G3000,MATCH(1,("7-DaHall 1-RPP-02"='7층_부하량'!A3:A3000)*(10='7층_부하량'!B3:B3000),0))</f>
        <v>0.72</v>
      </c>
      <c r="P99" s="157"/>
      <c r="Q99" s="157"/>
      <c r="R99" s="157" t="s">
        <v>4631</v>
      </c>
      <c r="S99" s="164" t="s">
        <v>4575</v>
      </c>
      <c r="T99" s="535" t="s">
        <v>4875</v>
      </c>
    </row>
    <row r="100" spans="1:20" ht="16.5" x14ac:dyDescent="0.15">
      <c r="A100" s="500" t="s">
        <v>1217</v>
      </c>
      <c r="B100" s="143" t="s">
        <v>4631</v>
      </c>
      <c r="C100" s="164" t="s">
        <v>4575</v>
      </c>
      <c r="D100" s="157"/>
      <c r="E100" s="157"/>
      <c r="F100" s="2656" cm="1" t="n">
        <f t="array" ref="F100">INDEX('7층_부하량'!H3:H3000,MATCH(1,("7-DaHall 1-RPP-02"='7층_부하량'!A3:A3000)*(11='7층_부하량'!B3:B3000),0))</f>
        <v>0.0</v>
      </c>
      <c r="G100" s="157"/>
      <c r="H100" s="541" t="s">
        <v>4632</v>
      </c>
      <c r="I100" s="481" t="s">
        <v>4598</v>
      </c>
      <c r="J100" s="150" t="s">
        <v>4634</v>
      </c>
      <c r="K100" s="652" t="s">
        <v>4675</v>
      </c>
      <c r="L100" s="481" t="s">
        <v>4876</v>
      </c>
      <c r="M100" s="541" t="s">
        <v>4597</v>
      </c>
      <c r="N100" s="157"/>
      <c r="O100" s="157"/>
      <c r="P100" s="2656" cm="1" t="n">
        <f t="array" ref="P100">INDEX('7층_부하량'!H3:H3000,MATCH(1,("7-DaHall 1-RPP-02"='7층_부하량'!A3:A3000)*(12='7층_부하량'!B3:B3000),0))</f>
        <v>4.72</v>
      </c>
      <c r="Q100" s="157"/>
      <c r="R100" s="157" t="s">
        <v>4631</v>
      </c>
      <c r="S100" s="164" t="s">
        <v>4575</v>
      </c>
      <c r="T100" s="536" t="s">
        <v>4877</v>
      </c>
    </row>
    <row r="101" spans="1:20" ht="16.5" x14ac:dyDescent="0.15">
      <c r="A101" s="500" t="s">
        <v>4878</v>
      </c>
      <c r="B101" s="143" t="s">
        <v>4631</v>
      </c>
      <c r="C101" s="164" t="s">
        <v>4575</v>
      </c>
      <c r="D101" s="2656" cm="1" t="n">
        <f t="array" ref="D101">INDEX('7층_부하량'!F3:F3000,MATCH(1,("7-DaHall 1-RPP-02"='7층_부하량'!A3:A3000)*(13='7층_부하량'!B3:B3000),0))</f>
        <v>2.86</v>
      </c>
      <c r="E101" s="157"/>
      <c r="F101" s="157"/>
      <c r="G101" s="157"/>
      <c r="H101" s="541" t="s">
        <v>4632</v>
      </c>
      <c r="I101" s="481" t="s">
        <v>4600</v>
      </c>
      <c r="J101" s="150" t="s">
        <v>4634</v>
      </c>
      <c r="K101" s="519" t="s">
        <v>4879</v>
      </c>
      <c r="L101" s="481" t="s">
        <v>4880</v>
      </c>
      <c r="M101" s="541" t="s">
        <v>4597</v>
      </c>
      <c r="N101" s="2656" cm="1" t="n">
        <f t="array" ref="N101">INDEX('7층_부하량'!F3:F3000,MATCH(1,("7-DaHall 1-RPP-02"='7층_부하량'!A3:A3000)*(14='7층_부하량'!B3:B3000),0))</f>
        <v>15.79</v>
      </c>
      <c r="O101" s="157"/>
      <c r="P101" s="157"/>
      <c r="Q101" s="157"/>
      <c r="R101" s="157" t="s">
        <v>4631</v>
      </c>
      <c r="S101" s="164" t="s">
        <v>4575</v>
      </c>
      <c r="T101" s="535" t="s">
        <v>4881</v>
      </c>
    </row>
    <row r="102" spans="1:20" ht="16.5" x14ac:dyDescent="0.15">
      <c r="A102" s="500" t="s">
        <v>4882</v>
      </c>
      <c r="B102" s="143" t="s">
        <v>4631</v>
      </c>
      <c r="C102" s="164" t="s">
        <v>4575</v>
      </c>
      <c r="D102" s="157"/>
      <c r="E102" s="2656" cm="1" t="n">
        <f t="array" ref="E102">INDEX('7층_부하량'!G3:G3000,MATCH(1,("7-DaHall 1-RPP-02"='7층_부하량'!A3:A3000)*(15='7층_부하량'!B3:B3000),0))</f>
        <v>1.78</v>
      </c>
      <c r="F102" s="157"/>
      <c r="G102" s="157"/>
      <c r="H102" s="541" t="s">
        <v>4632</v>
      </c>
      <c r="I102" s="481" t="s">
        <v>4602</v>
      </c>
      <c r="J102" s="150" t="s">
        <v>4634</v>
      </c>
      <c r="K102" s="519" t="s">
        <v>4724</v>
      </c>
      <c r="L102" s="481" t="s">
        <v>4883</v>
      </c>
      <c r="M102" s="541" t="s">
        <v>4597</v>
      </c>
      <c r="N102" s="157"/>
      <c r="O102" s="2656" cm="1" t="n">
        <f t="array" ref="O102">INDEX('7층_부하량'!G3:G3000,MATCH(1,("7-DaHall 1-RPP-02"='7층_부하량'!A3:A3000)*(16='7층_부하량'!B3:B3000),0))</f>
        <v>0.0</v>
      </c>
      <c r="P102" s="157"/>
      <c r="Q102" s="157"/>
      <c r="R102" s="157" t="s">
        <v>4631</v>
      </c>
      <c r="S102" s="164" t="s">
        <v>4575</v>
      </c>
      <c r="T102" s="535" t="s">
        <v>4884</v>
      </c>
    </row>
    <row r="103" spans="1:20" ht="16.5" x14ac:dyDescent="0.15">
      <c r="A103" s="500" t="s">
        <v>4885</v>
      </c>
      <c r="B103" s="143" t="s">
        <v>4631</v>
      </c>
      <c r="C103" s="164" t="s">
        <v>4575</v>
      </c>
      <c r="D103" s="157"/>
      <c r="E103" s="157"/>
      <c r="F103" s="2656" cm="1" t="n">
        <f t="array" ref="F103">INDEX('7층_부하량'!H3:H3000,MATCH(1,("7-DaHall 1-RPP-02"='7층_부하량'!A3:A3000)*(17='7층_부하량'!B3:B3000),0))</f>
        <v>4.52</v>
      </c>
      <c r="G103" s="157"/>
      <c r="H103" s="541" t="s">
        <v>4632</v>
      </c>
      <c r="I103" s="481" t="s">
        <v>4604</v>
      </c>
      <c r="J103" s="150" t="s">
        <v>4634</v>
      </c>
      <c r="K103" s="652" t="s">
        <v>4679</v>
      </c>
      <c r="L103" s="481" t="s">
        <v>4886</v>
      </c>
      <c r="M103" s="541" t="s">
        <v>4597</v>
      </c>
      <c r="N103" s="157"/>
      <c r="O103" s="157"/>
      <c r="P103" s="2656" cm="1" t="n">
        <f t="array" ref="P103">INDEX('7층_부하량'!H3:H3000,MATCH(1,("7-DaHall 1-RPP-02"='7층_부하량'!A3:A3000)*(18='7층_부하량'!B3:B3000),0))</f>
        <v>2.91</v>
      </c>
      <c r="Q103" s="157"/>
      <c r="R103" s="157" t="s">
        <v>4631</v>
      </c>
      <c r="S103" s="164" t="s">
        <v>4575</v>
      </c>
      <c r="T103" s="535" t="s">
        <v>4887</v>
      </c>
    </row>
    <row r="104" spans="1:20" ht="16.5" x14ac:dyDescent="0.15">
      <c r="A104" s="502" t="s">
        <v>4888</v>
      </c>
      <c r="B104" s="143" t="s">
        <v>4631</v>
      </c>
      <c r="C104" s="164" t="s">
        <v>4575</v>
      </c>
      <c r="D104" s="2656" cm="1" t="n">
        <f t="array" ref="D104">INDEX('7층_부하량'!F3:F3000,MATCH(1,("7-DaHall 1-RPP-02"='7층_부하량'!A3:A3000)*(19='7층_부하량'!B3:B3000),0))</f>
        <v>6.61</v>
      </c>
      <c r="E104" s="157"/>
      <c r="F104" s="157"/>
      <c r="G104" s="157"/>
      <c r="H104" s="541" t="s">
        <v>4632</v>
      </c>
      <c r="I104" s="481" t="s">
        <v>4608</v>
      </c>
      <c r="J104" s="150"/>
      <c r="K104" s="655" t="s">
        <v>4684</v>
      </c>
      <c r="L104" s="481" t="s">
        <v>4889</v>
      </c>
      <c r="M104" s="541" t="s">
        <v>4597</v>
      </c>
      <c r="N104" s="2656" cm="1" t="n">
        <f t="array" ref="N104">INDEX('7층_부하량'!F3:F3000,MATCH(1,("7-DaHall 1-RPP-02"='7층_부하량'!A3:A3000)*(20='7층_부하량'!B3:B3000),0))</f>
        <v>8.08</v>
      </c>
      <c r="O104" s="157"/>
      <c r="P104" s="157"/>
      <c r="Q104" s="157"/>
      <c r="R104" s="157" t="s">
        <v>4631</v>
      </c>
      <c r="S104" s="164" t="s">
        <v>4575</v>
      </c>
      <c r="T104" s="535" t="s">
        <v>4890</v>
      </c>
    </row>
    <row r="105" spans="1:20" ht="16.5" x14ac:dyDescent="0.15">
      <c r="A105" s="502" t="s">
        <v>4891</v>
      </c>
      <c r="B105" s="143" t="s">
        <v>4590</v>
      </c>
      <c r="C105" s="143" t="s">
        <v>4723</v>
      </c>
      <c r="D105" s="157"/>
      <c r="E105" s="2656" cm="1" t="n">
        <f t="array" ref="E105">INDEX('7층_부하량'!G3:G3000,MATCH(1,("7-DaHall 1-RPP-02"='7층_부하량'!A3:A3000)*(21='7층_부하량'!B3:B3000),0))</f>
        <v>2.45</v>
      </c>
      <c r="F105" s="157"/>
      <c r="G105" s="157"/>
      <c r="H105" s="541" t="s">
        <v>4632</v>
      </c>
      <c r="I105" s="481" t="s">
        <v>4612</v>
      </c>
      <c r="J105" s="150" t="s">
        <v>4892</v>
      </c>
      <c r="K105" s="519" t="s">
        <v>4666</v>
      </c>
      <c r="L105" s="481" t="s">
        <v>4893</v>
      </c>
      <c r="M105" s="541" t="s">
        <v>4597</v>
      </c>
      <c r="N105" s="157"/>
      <c r="O105" s="2656" cm="1" t="n">
        <f t="array" ref="O105">INDEX('7층_부하량'!G3:G3000,MATCH(1,("7-DaHall 1-RPP-02"='7층_부하량'!A3:A3000)*(22='7층_부하량'!B3:B3000),0))</f>
        <v>0.0</v>
      </c>
      <c r="P105" s="157"/>
      <c r="Q105" s="157"/>
      <c r="R105" s="157" t="s">
        <v>4631</v>
      </c>
      <c r="S105" s="164" t="s">
        <v>4575</v>
      </c>
      <c r="T105" s="536" t="s">
        <v>4894</v>
      </c>
    </row>
    <row r="106" spans="1:20" ht="16.5" x14ac:dyDescent="0.15">
      <c r="A106" s="502" t="s">
        <v>4895</v>
      </c>
      <c r="B106" s="143" t="s">
        <v>4631</v>
      </c>
      <c r="C106" s="164" t="s">
        <v>4575</v>
      </c>
      <c r="D106" s="157"/>
      <c r="E106" s="157"/>
      <c r="F106" s="2656" cm="1" t="n">
        <f t="array" ref="F106">INDEX('7층_부하량'!H3:H3000,MATCH(1,("7-DaHall 1-RPP-02"='7층_부하량'!A3:A3000)*(23='7층_부하량'!B3:B3000),0))</f>
        <v>0.0</v>
      </c>
      <c r="G106" s="157"/>
      <c r="H106" s="541" t="s">
        <v>4632</v>
      </c>
      <c r="I106" s="481" t="s">
        <v>4896</v>
      </c>
      <c r="J106" s="150"/>
      <c r="K106" s="519" t="s">
        <v>4666</v>
      </c>
      <c r="L106" s="481" t="s">
        <v>4897</v>
      </c>
      <c r="M106" s="541" t="s">
        <v>4597</v>
      </c>
      <c r="N106" s="157"/>
      <c r="O106" s="157"/>
      <c r="P106" s="2656" cm="1" t="n">
        <f t="array" ref="P106">INDEX('7층_부하량'!H3:H3000,MATCH(1,("7-DaHall 1-RPP-02"='7층_부하량'!A3:A3000)*(24='7층_부하량'!B3:B3000),0))</f>
        <v>4.78</v>
      </c>
      <c r="Q106" s="157"/>
      <c r="R106" s="157" t="s">
        <v>4631</v>
      </c>
      <c r="S106" s="164" t="s">
        <v>4575</v>
      </c>
      <c r="T106" s="535" t="s">
        <v>4898</v>
      </c>
    </row>
    <row r="107" spans="1:20" ht="16.5" x14ac:dyDescent="0.15">
      <c r="A107" s="502" t="s">
        <v>4899</v>
      </c>
      <c r="B107" s="143" t="s">
        <v>4631</v>
      </c>
      <c r="C107" s="164" t="s">
        <v>4575</v>
      </c>
      <c r="D107" s="2656" cm="1" t="n">
        <f t="array" ref="D107">INDEX('7층_부하량'!F3:F3000,MATCH(1,("7-DaHall 1-RPP-02"='7층_부하량'!A3:A3000)*(25='7층_부하량'!B3:B3000),0))</f>
        <v>0.72</v>
      </c>
      <c r="E107" s="157"/>
      <c r="F107" s="157"/>
      <c r="G107" s="157"/>
      <c r="H107" s="541" t="s">
        <v>4632</v>
      </c>
      <c r="I107" s="481" t="s">
        <v>4900</v>
      </c>
      <c r="J107" s="150"/>
      <c r="K107" s="519" t="s">
        <v>4634</v>
      </c>
      <c r="L107" s="481" t="s">
        <v>4901</v>
      </c>
      <c r="M107" s="541" t="s">
        <v>4597</v>
      </c>
      <c r="N107" s="2656" cm="1" t="n">
        <f t="array" ref="N107">INDEX('7층_부하량'!F3:F3000,MATCH(1,("7-DaHall 1-RPP-02"='7층_부하량'!A3:A3000)*(26='7층_부하량'!B3:B3000),0))</f>
        <v>6.8</v>
      </c>
      <c r="O107" s="157"/>
      <c r="P107" s="157"/>
      <c r="Q107" s="157"/>
      <c r="R107" s="157" t="s">
        <v>4631</v>
      </c>
      <c r="S107" s="164" t="s">
        <v>4575</v>
      </c>
      <c r="T107" s="531" t="s">
        <v>4902</v>
      </c>
    </row>
    <row r="108" spans="1:20" ht="16.5" x14ac:dyDescent="0.15">
      <c r="A108" s="500" t="s">
        <v>4903</v>
      </c>
      <c r="B108" s="143" t="s">
        <v>4631</v>
      </c>
      <c r="C108" s="164" t="s">
        <v>4575</v>
      </c>
      <c r="D108" s="157"/>
      <c r="E108" s="2656" cm="1" t="n">
        <f t="array" ref="E108">INDEX('7층_부하량'!G3:G3000,MATCH(1,("7-DaHall 1-RPP-02"='7층_부하량'!A3:A3000)*(27='7층_부하량'!B3:B3000),0))</f>
        <v>15.17</v>
      </c>
      <c r="F108" s="157"/>
      <c r="G108" s="157"/>
      <c r="H108" s="541" t="s">
        <v>4632</v>
      </c>
      <c r="I108" s="481" t="s">
        <v>4904</v>
      </c>
      <c r="J108" s="653" t="s">
        <v>4905</v>
      </c>
      <c r="K108" s="519" t="s">
        <v>4654</v>
      </c>
      <c r="L108" s="481" t="s">
        <v>4906</v>
      </c>
      <c r="M108" s="541" t="s">
        <v>4597</v>
      </c>
      <c r="N108" s="157"/>
      <c r="O108" s="2656" cm="1" t="n">
        <f t="array" ref="O108">INDEX('7층_부하량'!G3:G3000,MATCH(1,("7-DaHall 1-RPP-02"='7층_부하량'!A3:A3000)*(28='7층_부하량'!B3:B3000),0))</f>
        <v>0.0</v>
      </c>
      <c r="P108" s="157"/>
      <c r="Q108" s="157"/>
      <c r="R108" s="157" t="s">
        <v>4631</v>
      </c>
      <c r="S108" s="143" t="s">
        <v>4723</v>
      </c>
      <c r="T108" s="531" t="s">
        <v>4907</v>
      </c>
    </row>
    <row r="109" spans="1:20" ht="16.5" x14ac:dyDescent="0.15">
      <c r="A109" s="501" t="s">
        <v>4908</v>
      </c>
      <c r="B109" s="156" t="s">
        <v>4631</v>
      </c>
      <c r="C109" s="189" t="s">
        <v>4575</v>
      </c>
      <c r="D109" s="179"/>
      <c r="E109" s="179"/>
      <c r="F109" s="2658" cm="1" t="n">
        <f t="array" ref="F109">INDEX('7층_부하량'!H3:H3000,MATCH(1,("7-DaHall 1-RPP-02"='7층_부하량'!A3:A3000)*(29='7층_부하량'!B3:B3000),0))</f>
        <v>0.0</v>
      </c>
      <c r="G109" s="179"/>
      <c r="H109" s="542" t="s">
        <v>4632</v>
      </c>
      <c r="I109" s="482" t="s">
        <v>4909</v>
      </c>
      <c r="J109" s="193" t="s">
        <v>4724</v>
      </c>
      <c r="K109" s="659" t="s">
        <v>4910</v>
      </c>
      <c r="L109" s="482" t="s">
        <v>4911</v>
      </c>
      <c r="M109" s="542" t="s">
        <v>4597</v>
      </c>
      <c r="N109" s="179"/>
      <c r="O109" s="179"/>
      <c r="P109" s="2658" cm="1" t="n">
        <f t="array" ref="P109">INDEX('7층_부하량'!H3:H3000,MATCH(1,("7-DaHall 1-RPP-02"='7층_부하량'!A3:A3000)*(30='7층_부하량'!B3:B3000),0))</f>
        <v>2.67</v>
      </c>
      <c r="Q109" s="179"/>
      <c r="R109" s="179" t="s">
        <v>4631</v>
      </c>
      <c r="S109" s="189" t="s">
        <v>4575</v>
      </c>
      <c r="T109" s="531" t="s">
        <v>4912</v>
      </c>
    </row>
    <row r="110" spans="1:20" ht="24" x14ac:dyDescent="0.15">
      <c r="A110" s="510" t="s">
        <v>4913</v>
      </c>
      <c r="B110" s="143" t="s">
        <v>4590</v>
      </c>
      <c r="C110" s="143" t="s">
        <v>4723</v>
      </c>
      <c r="D110" s="2656" cm="1" t="n">
        <f t="array" ref="D110">INDEX('7층_부하량'!F3:F3000,MATCH(1,("7-DaHall 1-RPP-02"='7층_부하량'!A3:A3000)*(31='7층_부하량'!B3:B3000),0))</f>
        <v>0.0</v>
      </c>
      <c r="E110" s="157"/>
      <c r="F110" s="157"/>
      <c r="G110" s="157"/>
      <c r="H110" s="541" t="s">
        <v>4632</v>
      </c>
      <c r="I110" s="481" t="s">
        <v>4914</v>
      </c>
      <c r="J110" s="150" t="s">
        <v>4649</v>
      </c>
      <c r="K110" s="519" t="s">
        <v>4654</v>
      </c>
      <c r="L110" s="481" t="s">
        <v>4915</v>
      </c>
      <c r="M110" s="541" t="s">
        <v>4597</v>
      </c>
      <c r="N110" s="2656" cm="1" t="n">
        <f t="array" ref="N110">INDEX('7층_부하량'!F3:F3000,MATCH(1,("7-DaHall 1-RPP-02"='7층_부하량'!A3:A3000)*(32='7층_부하량'!B3:B3000),0))</f>
        <v>4.18</v>
      </c>
      <c r="O110" s="157"/>
      <c r="P110" s="157"/>
      <c r="Q110" s="157"/>
      <c r="R110" s="157" t="s">
        <v>4631</v>
      </c>
      <c r="S110" s="164" t="s">
        <v>4575</v>
      </c>
      <c r="T110" s="531" t="s">
        <v>4916</v>
      </c>
    </row>
    <row r="111" spans="1:20" ht="16.5" x14ac:dyDescent="0.15">
      <c r="A111" s="500" t="s">
        <v>4917</v>
      </c>
      <c r="B111" s="143" t="s">
        <v>4590</v>
      </c>
      <c r="C111" s="143" t="s">
        <v>4723</v>
      </c>
      <c r="D111" s="157"/>
      <c r="E111" s="2656" cm="1" t="n">
        <f t="array" ref="E111">INDEX('7층_부하량'!G3:G3000,MATCH(1,("7-DaHall 1-RPP-02"='7층_부하량'!A3:A3000)*(33='7층_부하량'!B3:B3000),0))</f>
        <v>0.48</v>
      </c>
      <c r="F111" s="157"/>
      <c r="G111" s="157"/>
      <c r="H111" s="541" t="s">
        <v>4632</v>
      </c>
      <c r="I111" s="481" t="s">
        <v>4918</v>
      </c>
      <c r="J111" s="150" t="s">
        <v>4649</v>
      </c>
      <c r="K111" s="519"/>
      <c r="L111" s="481" t="s">
        <v>4919</v>
      </c>
      <c r="M111" s="541" t="s">
        <v>4597</v>
      </c>
      <c r="N111" s="157"/>
      <c r="O111" s="2656" cm="1" t="n">
        <f t="array" ref="O111">INDEX('7층_부하량'!G3:G3000,MATCH(1,("7-DaHall 1-RPP-02"='7층_부하량'!A3:A3000)*(34='7층_부하량'!B3:B3000),0))</f>
        <v>0.0</v>
      </c>
      <c r="P111" s="157"/>
      <c r="Q111" s="157"/>
      <c r="R111" s="157" t="s">
        <v>4631</v>
      </c>
      <c r="S111" s="164" t="s">
        <v>4575</v>
      </c>
      <c r="T111" s="532" t="s">
        <v>4920</v>
      </c>
    </row>
    <row r="112" spans="1:20" ht="16.5" x14ac:dyDescent="0.15">
      <c r="A112" s="500" t="s">
        <v>4921</v>
      </c>
      <c r="B112" s="143" t="s">
        <v>4631</v>
      </c>
      <c r="C112" s="164" t="s">
        <v>4575</v>
      </c>
      <c r="D112" s="157"/>
      <c r="E112" s="157"/>
      <c r="F112" s="2656" cm="1" t="n">
        <f t="array" ref="F112">INDEX('7층_부하량'!H3:H3000,MATCH(1,("7-DaHall 1-RPP-02"='7층_부하량'!A3:A3000)*(35='7층_부하량'!B3:B3000),0))</f>
        <v>3.0</v>
      </c>
      <c r="G112" s="157"/>
      <c r="H112" s="541" t="s">
        <v>4632</v>
      </c>
      <c r="I112" s="481" t="s">
        <v>4922</v>
      </c>
      <c r="J112" s="150" t="s">
        <v>4634</v>
      </c>
      <c r="K112" s="519" t="s">
        <v>4923</v>
      </c>
      <c r="L112" s="481" t="s">
        <v>4924</v>
      </c>
      <c r="M112" s="541" t="s">
        <v>4597</v>
      </c>
      <c r="N112" s="157"/>
      <c r="O112" s="157"/>
      <c r="P112" s="2656" cm="1" t="n">
        <f t="array" ref="P112">INDEX('7층_부하량'!H3:H3000,MATCH(1,("7-DaHall 1-RPP-02"='7층_부하량'!A3:A3000)*(36='7층_부하량'!B3:B3000),0))</f>
        <v>8.03</v>
      </c>
      <c r="Q112" s="157"/>
      <c r="R112" s="157" t="s">
        <v>4631</v>
      </c>
      <c r="S112" s="164" t="s">
        <v>4575</v>
      </c>
      <c r="T112" s="531" t="s">
        <v>4925</v>
      </c>
    </row>
    <row r="113" spans="1:20" ht="16.5" x14ac:dyDescent="0.15">
      <c r="A113" s="500" t="s">
        <v>4926</v>
      </c>
      <c r="B113" s="143" t="s">
        <v>4631</v>
      </c>
      <c r="C113" s="164" t="s">
        <v>4575</v>
      </c>
      <c r="D113" s="2656" cm="1" t="n">
        <f t="array" ref="D113">INDEX('7층_부하량'!F3:F3000,MATCH(1,("7-DaHall 1-RPP-02"='7층_부하량'!A3:A3000)*(37='7층_부하량'!B3:B3000),0))</f>
        <v>6.77</v>
      </c>
      <c r="E113" s="157"/>
      <c r="F113" s="157"/>
      <c r="G113" s="157"/>
      <c r="H113" s="541" t="s">
        <v>4632</v>
      </c>
      <c r="I113" s="481" t="s">
        <v>4927</v>
      </c>
      <c r="J113" s="150" t="s">
        <v>4634</v>
      </c>
      <c r="K113" s="519" t="s">
        <v>4649</v>
      </c>
      <c r="L113" s="481" t="s">
        <v>4928</v>
      </c>
      <c r="M113" s="541" t="s">
        <v>4597</v>
      </c>
      <c r="N113" s="2656" cm="1" t="n">
        <f t="array" ref="N113">INDEX('7층_부하량'!F3:F3000,MATCH(1,("7-DaHall 1-RPP-02"='7층_부하량'!A3:A3000)*(38='7층_부하량'!B3:B3000),0))</f>
        <v>7.9399999999999995</v>
      </c>
      <c r="O113" s="157"/>
      <c r="P113" s="157"/>
      <c r="Q113" s="157"/>
      <c r="R113" s="157" t="s">
        <v>4631</v>
      </c>
      <c r="S113" s="164" t="s">
        <v>4575</v>
      </c>
      <c r="T113" s="531" t="s">
        <v>4929</v>
      </c>
    </row>
    <row r="114" spans="1:20" ht="17.25" thickBot="1" x14ac:dyDescent="0.2">
      <c r="A114" s="503" t="s">
        <v>4930</v>
      </c>
      <c r="B114" s="166" t="s">
        <v>4631</v>
      </c>
      <c r="C114" s="184" t="s">
        <v>4575</v>
      </c>
      <c r="D114" s="167"/>
      <c r="E114" s="2659" cm="1" t="n">
        <f t="array" ref="E114">INDEX('7층_부하량'!G3:G3000,MATCH(1,("7-DaHall 1-RPP-02"='7층_부하량'!A3:A3000)*(39='7층_부하량'!B3:B3000),0))</f>
        <v>8.07</v>
      </c>
      <c r="F114" s="167"/>
      <c r="G114" s="167"/>
      <c r="H114" s="543" t="s">
        <v>4632</v>
      </c>
      <c r="I114" s="483" t="s">
        <v>4931</v>
      </c>
      <c r="J114" s="194" t="s">
        <v>4634</v>
      </c>
      <c r="K114" s="521"/>
      <c r="L114" s="483" t="s">
        <v>4932</v>
      </c>
      <c r="M114" s="543" t="s">
        <v>4597</v>
      </c>
      <c r="N114" s="167"/>
      <c r="O114" s="2659" cm="1" t="n">
        <f t="array" ref="O114">INDEX('7층_부하량'!G3:G3000,MATCH(1,("7-DaHall 1-RPP-02"='7층_부하량'!A3:A3000)*(40='7층_부하량'!B3:B3000),0))</f>
        <v>0.0</v>
      </c>
      <c r="P114" s="167"/>
      <c r="Q114" s="167"/>
      <c r="R114" s="167" t="s">
        <v>4631</v>
      </c>
      <c r="S114" s="184" t="s">
        <v>4575</v>
      </c>
      <c r="T114" s="533" t="s">
        <v>4933</v>
      </c>
    </row>
    <row r="115" spans="1:20" ht="14.25" thickTop="1" x14ac:dyDescent="0.15">
      <c r="A115" s="504"/>
      <c r="B115" s="133"/>
      <c r="C115" s="133"/>
      <c r="D115" s="131"/>
      <c r="E115" s="131"/>
      <c r="F115" s="131"/>
      <c r="G115" s="131"/>
      <c r="M115" s="504" t="s">
        <v>4713</v>
      </c>
      <c r="N115" s="128" t="n">
        <f>SUM(D95:D114,N95:N114)</f>
        <v>70.38</v>
      </c>
      <c r="O115" s="128" t="n">
        <f>SUM(E95:E114,O95:O114)</f>
        <v>34.86000000000001</v>
      </c>
      <c r="P115" s="128" t="n">
        <f>SUM(F95:F114,P95:P114)</f>
        <v>32.47</v>
      </c>
    </row>
    <row r="116" spans="1:20" ht="14.25" thickBot="1" x14ac:dyDescent="0.2"/>
    <row r="117" spans="1:20" ht="15" thickTop="1" thickBot="1" x14ac:dyDescent="0.2">
      <c r="A117" s="53" t="s">
        <v>7017</v>
      </c>
      <c r="D117" s="3660" t="s">
        <v>8983</v>
      </c>
      <c r="E117" s="3660"/>
      <c r="F117" s="3660"/>
      <c r="G117" s="3660"/>
      <c r="H117" s="495"/>
      <c r="I117" s="124"/>
      <c r="J117" s="3661" t="s">
        <v>4934</v>
      </c>
      <c r="K117" s="3662"/>
      <c r="L117" s="486"/>
      <c r="M117" s="495"/>
      <c r="N117" s="126"/>
      <c r="O117" s="126"/>
      <c r="P117" s="126"/>
      <c r="Q117" s="126"/>
      <c r="R117" s="126"/>
      <c r="S117" s="126"/>
    </row>
    <row r="118" spans="1:20" ht="15" thickTop="1" thickBot="1" x14ac:dyDescent="0.2">
      <c r="A118" s="496"/>
      <c r="B118" s="128"/>
      <c r="C118" s="128"/>
      <c r="D118" s="129"/>
      <c r="E118" s="130"/>
      <c r="F118" s="130"/>
      <c r="G118" s="130"/>
      <c r="H118" s="515"/>
      <c r="I118" s="131"/>
      <c r="J118" s="128"/>
      <c r="K118" s="516"/>
      <c r="L118" s="132"/>
      <c r="M118" s="1371" t="s">
        <v>4562</v>
      </c>
      <c r="N118" s="1368">
        <v>6.8</v>
      </c>
      <c r="O118" s="1369">
        <v>8</v>
      </c>
      <c r="P118" s="1370">
        <v>5</v>
      </c>
      <c r="Q118" s="508" t="s">
        <v>4563</v>
      </c>
      <c r="R118" s="133"/>
      <c r="S118" s="128"/>
      <c r="T118" s="528"/>
    </row>
    <row r="119" spans="1:20" ht="15" thickTop="1" thickBot="1" x14ac:dyDescent="0.2">
      <c r="A119" s="497" t="s">
        <v>4629</v>
      </c>
      <c r="B119" s="135" t="s">
        <v>4565</v>
      </c>
      <c r="C119" s="136" t="s">
        <v>4566</v>
      </c>
      <c r="D119" s="135" t="s">
        <v>4567</v>
      </c>
      <c r="E119" s="135" t="s">
        <v>4568</v>
      </c>
      <c r="F119" s="135" t="s">
        <v>4569</v>
      </c>
      <c r="G119" s="135" t="s">
        <v>4570</v>
      </c>
      <c r="H119" s="539" t="s">
        <v>4571</v>
      </c>
      <c r="I119" s="479"/>
      <c r="J119" s="138" t="s">
        <v>4572</v>
      </c>
      <c r="K119" s="517" t="s">
        <v>4572</v>
      </c>
      <c r="L119" s="479"/>
      <c r="M119" s="539" t="s">
        <v>4571</v>
      </c>
      <c r="N119" s="135" t="s">
        <v>4567</v>
      </c>
      <c r="O119" s="135" t="s">
        <v>4568</v>
      </c>
      <c r="P119" s="135" t="s">
        <v>4569</v>
      </c>
      <c r="Q119" s="135" t="s">
        <v>4570</v>
      </c>
      <c r="R119" s="135" t="s">
        <v>4565</v>
      </c>
      <c r="S119" s="136" t="s">
        <v>4566</v>
      </c>
      <c r="T119" s="529" t="s">
        <v>4629</v>
      </c>
    </row>
    <row r="120" spans="1:20" ht="17.25" thickTop="1" x14ac:dyDescent="0.15">
      <c r="A120" s="498" t="s">
        <v>4935</v>
      </c>
      <c r="B120" s="142" t="s">
        <v>4631</v>
      </c>
      <c r="C120" s="152" t="s">
        <v>4575</v>
      </c>
      <c r="D120" s="2654" cm="1" t="n">
        <f t="array" ref="D120">INDEX('7층_부하량'!F3:F3000,MATCH(1,("7-DaHall 1-RPP-03"='7층_부하량'!A3:A3000)*(1='7층_부하량'!B3:B3000),0))</f>
        <v>1.2</v>
      </c>
      <c r="E120" s="144"/>
      <c r="F120" s="144"/>
      <c r="G120" s="144"/>
      <c r="H120" s="540" t="s">
        <v>4936</v>
      </c>
      <c r="I120" s="482" t="s">
        <v>4633</v>
      </c>
      <c r="J120" s="150" t="s">
        <v>4937</v>
      </c>
      <c r="K120" s="518" t="s">
        <v>4724</v>
      </c>
      <c r="L120" s="480" t="s">
        <v>4578</v>
      </c>
      <c r="M120" s="540" t="s">
        <v>4936</v>
      </c>
      <c r="N120" s="2654" cm="1" t="n">
        <f t="array" ref="N120">INDEX('7층_부하량'!F3:F3000,MATCH(1,("7-DaHall 1-RPP-03"='7층_부하량'!A3:A3000)*(2='7층_부하량'!B3:B3000),0))</f>
        <v>2.88</v>
      </c>
      <c r="O120" s="144"/>
      <c r="P120" s="144"/>
      <c r="Q120" s="144"/>
      <c r="R120" s="144" t="s">
        <v>4631</v>
      </c>
      <c r="S120" s="152" t="s">
        <v>4575</v>
      </c>
      <c r="T120" s="530" t="s">
        <v>4938</v>
      </c>
    </row>
    <row r="121" spans="1:20" ht="16.5" x14ac:dyDescent="0.15">
      <c r="A121" s="499" t="s">
        <v>4939</v>
      </c>
      <c r="B121" s="143" t="s">
        <v>4631</v>
      </c>
      <c r="C121" s="164" t="s">
        <v>4575</v>
      </c>
      <c r="D121" s="149"/>
      <c r="E121" s="2655" cm="1" t="n">
        <f t="array" ref="E121">INDEX('7층_부하량'!G3:G3000,MATCH(1,("7-DaHall 1-RPP-03"='7층_부하량'!A3:A3000)*(3='7층_부하량'!B3:B3000),0))</f>
        <v>3.49</v>
      </c>
      <c r="F121" s="149"/>
      <c r="G121" s="149"/>
      <c r="H121" s="541" t="s">
        <v>4936</v>
      </c>
      <c r="I121" s="481" t="s">
        <v>4638</v>
      </c>
      <c r="J121" s="150" t="s">
        <v>4937</v>
      </c>
      <c r="K121" s="519" t="s">
        <v>4724</v>
      </c>
      <c r="L121" s="481" t="s">
        <v>4583</v>
      </c>
      <c r="M121" s="541" t="s">
        <v>4936</v>
      </c>
      <c r="N121" s="149"/>
      <c r="O121" s="2655" cm="1" t="n">
        <f t="array" ref="O121">INDEX('7층_부하량'!G3:G3000,MATCH(1,("7-DaHall 1-RPP-03"='7층_부하량'!A3:A3000)*(4='7층_부하량'!B3:B3000),0))</f>
        <v>2.63</v>
      </c>
      <c r="P121" s="149"/>
      <c r="Q121" s="149"/>
      <c r="R121" s="143" t="s">
        <v>4940</v>
      </c>
      <c r="S121" s="143" t="s">
        <v>4723</v>
      </c>
      <c r="T121" s="531" t="s">
        <v>4941</v>
      </c>
    </row>
    <row r="122" spans="1:20" ht="16.5" x14ac:dyDescent="0.15">
      <c r="A122" s="500" t="s">
        <v>4942</v>
      </c>
      <c r="B122" s="143" t="s">
        <v>4631</v>
      </c>
      <c r="C122" s="164" t="s">
        <v>4575</v>
      </c>
      <c r="D122" s="157"/>
      <c r="E122" s="157"/>
      <c r="F122" s="2656" cm="1" t="n">
        <f t="array" ref="F122">INDEX('7층_부하량'!H3:H3000,MATCH(1,("7-DaHall 1-RPP-03"='7층_부하량'!A3:A3000)*(5='7층_부하량'!B3:B3000),0))</f>
        <v>3.5</v>
      </c>
      <c r="G122" s="157"/>
      <c r="H122" s="541" t="s">
        <v>4936</v>
      </c>
      <c r="I122" s="481" t="s">
        <v>4641</v>
      </c>
      <c r="J122" s="150" t="s">
        <v>4937</v>
      </c>
      <c r="K122" s="527" t="s">
        <v>4937</v>
      </c>
      <c r="L122" s="493" t="s">
        <v>4588</v>
      </c>
      <c r="M122" s="545" t="s">
        <v>4936</v>
      </c>
      <c r="N122" s="157"/>
      <c r="O122" s="157"/>
      <c r="P122" s="2656" cm="1" t="n">
        <f t="array" ref="P122">INDEX('7층_부하량'!H3:H3000,MATCH(1,("7-DaHall 1-RPP-03"='7층_부하량'!A3:A3000)*(6='7층_부하량'!B3:B3000),0))</f>
        <v>1.77</v>
      </c>
      <c r="Q122" s="157"/>
      <c r="R122" s="157" t="s">
        <v>4631</v>
      </c>
      <c r="S122" s="164" t="s">
        <v>4575</v>
      </c>
      <c r="T122" s="531" t="s">
        <v>4943</v>
      </c>
    </row>
    <row r="123" spans="1:20" ht="16.5" x14ac:dyDescent="0.15">
      <c r="A123" s="509" t="s">
        <v>4944</v>
      </c>
      <c r="B123" s="143" t="s">
        <v>4631</v>
      </c>
      <c r="C123" s="164" t="s">
        <v>4575</v>
      </c>
      <c r="D123" s="2656" cm="1" t="n">
        <f t="array" ref="D123">INDEX('7층_부하량'!F3:F3000,MATCH(1,("7-DaHall 1-RPP-03"='7층_부하량'!A3:A3000)*(7='7층_부하량'!B3:B3000),0))</f>
        <v>2.64</v>
      </c>
      <c r="E123" s="157"/>
      <c r="F123" s="157"/>
      <c r="G123" s="157"/>
      <c r="H123" s="541" t="s">
        <v>4936</v>
      </c>
      <c r="I123" s="481" t="s">
        <v>4645</v>
      </c>
      <c r="J123" s="150" t="s">
        <v>4937</v>
      </c>
      <c r="K123" s="527" t="s">
        <v>4937</v>
      </c>
      <c r="L123" s="493" t="s">
        <v>4593</v>
      </c>
      <c r="M123" s="545" t="s">
        <v>4936</v>
      </c>
      <c r="N123" s="2656" cm="1" t="n">
        <f t="array" ref="N123">INDEX('7층_부하량'!F3:F3000,MATCH(1,("7-DaHall 1-RPP-03"='7층_부하량'!A3:A3000)*(8='7층_부하량'!B3:B3000),0))</f>
        <v>2.16</v>
      </c>
      <c r="O123" s="157"/>
      <c r="P123" s="157"/>
      <c r="Q123" s="157"/>
      <c r="R123" s="157" t="s">
        <v>4631</v>
      </c>
      <c r="S123" s="164" t="s">
        <v>4575</v>
      </c>
      <c r="T123" s="531" t="s">
        <v>4945</v>
      </c>
    </row>
    <row r="124" spans="1:20" ht="16.5" x14ac:dyDescent="0.15">
      <c r="A124" s="502" t="s">
        <v>4946</v>
      </c>
      <c r="B124" s="143" t="s">
        <v>4631</v>
      </c>
      <c r="C124" s="164" t="s">
        <v>4575</v>
      </c>
      <c r="D124" s="157"/>
      <c r="E124" s="2656" cm="1" t="n">
        <f t="array" ref="E124">INDEX('7층_부하량'!G3:G3000,MATCH(1,("7-DaHall 1-RPP-03"='7층_부하량'!A3:A3000)*(9='7층_부하량'!B3:B3000),0))</f>
        <v>2.99</v>
      </c>
      <c r="F124" s="157"/>
      <c r="G124" s="157"/>
      <c r="H124" s="541" t="s">
        <v>4936</v>
      </c>
      <c r="I124" s="481" t="s">
        <v>4648</v>
      </c>
      <c r="J124" s="150" t="s">
        <v>4937</v>
      </c>
      <c r="K124" s="527" t="s">
        <v>4937</v>
      </c>
      <c r="L124" s="493" t="s">
        <v>4596</v>
      </c>
      <c r="M124" s="545" t="s">
        <v>4936</v>
      </c>
      <c r="N124" s="157"/>
      <c r="O124" s="2656" cm="1" t="n">
        <f t="array" ref="O124">INDEX('7층_부하량'!G3:G3000,MATCH(1,("7-DaHall 1-RPP-03"='7층_부하량'!A3:A3000)*(10='7층_부하량'!B3:B3000),0))</f>
        <v>2.79</v>
      </c>
      <c r="P124" s="157"/>
      <c r="Q124" s="157"/>
      <c r="R124" s="157" t="s">
        <v>4631</v>
      </c>
      <c r="S124" s="164" t="s">
        <v>4575</v>
      </c>
      <c r="T124" s="535" t="s">
        <v>4947</v>
      </c>
    </row>
    <row r="125" spans="1:20" ht="16.5" x14ac:dyDescent="0.15">
      <c r="A125" s="512"/>
      <c r="B125" s="133"/>
      <c r="C125" s="196"/>
      <c r="D125" s="131"/>
      <c r="E125" s="131"/>
      <c r="F125" s="131"/>
      <c r="G125" s="131"/>
      <c r="H125" s="504"/>
      <c r="I125" s="133"/>
      <c r="J125" s="172"/>
      <c r="K125" s="522"/>
      <c r="L125" s="172"/>
      <c r="M125" s="504" t="s">
        <v>4713</v>
      </c>
      <c r="N125" s="131" t="n">
        <f>SUM(D120:D124,N120:N124)</f>
        <v>8.879999999999999</v>
      </c>
      <c r="O125" s="131" t="n">
        <f>SUM(E120:E124,O120:O124)</f>
        <v>11.899999999999999</v>
      </c>
      <c r="P125" s="131" t="n">
        <f>SUM(F120:F124,P120:P124)</f>
        <v>5.27</v>
      </c>
      <c r="Q125" s="131"/>
      <c r="R125" s="131"/>
      <c r="S125" s="196"/>
      <c r="T125" s="537"/>
    </row>
    <row r="126" spans="1:20" ht="17.25" thickBot="1" x14ac:dyDescent="0.2">
      <c r="A126" s="2551" t="s">
        <v>7015</v>
      </c>
      <c r="B126" s="133"/>
      <c r="C126" s="196"/>
      <c r="D126" s="3660" t="s">
        <v>8986</v>
      </c>
      <c r="E126" s="3660"/>
      <c r="F126" s="3660"/>
      <c r="G126" s="3660"/>
      <c r="H126" s="504"/>
      <c r="I126" s="133"/>
      <c r="J126" s="172"/>
      <c r="K126" s="522"/>
      <c r="L126" s="172"/>
      <c r="M126" s="504"/>
      <c r="N126" s="131"/>
      <c r="O126" s="131"/>
      <c r="P126" s="131"/>
      <c r="Q126" s="131"/>
      <c r="R126" s="131"/>
      <c r="S126" s="196"/>
      <c r="T126" s="537"/>
    </row>
    <row r="127" spans="1:20" ht="15" thickTop="1" thickBot="1" x14ac:dyDescent="0.2">
      <c r="A127" s="513"/>
      <c r="F127" s="124"/>
      <c r="H127" s="495" t="s">
        <v>4948</v>
      </c>
      <c r="I127" s="124"/>
      <c r="J127" s="3661" t="s">
        <v>4934</v>
      </c>
      <c r="K127" s="3662"/>
      <c r="L127" s="486"/>
      <c r="M127" s="1371" t="s">
        <v>4562</v>
      </c>
      <c r="N127" s="1368">
        <v>8.6</v>
      </c>
      <c r="O127" s="1369">
        <v>7.6</v>
      </c>
      <c r="P127" s="1370">
        <v>5.7</v>
      </c>
      <c r="Q127" s="508" t="s">
        <v>4563</v>
      </c>
      <c r="R127" s="133"/>
      <c r="S127" s="128"/>
      <c r="T127" s="528"/>
    </row>
    <row r="128" spans="1:20" ht="17.25" thickTop="1" x14ac:dyDescent="0.15">
      <c r="A128" s="498" t="s">
        <v>4949</v>
      </c>
      <c r="B128" s="142" t="s">
        <v>4631</v>
      </c>
      <c r="C128" s="152" t="s">
        <v>4575</v>
      </c>
      <c r="D128" s="2654" cm="1" t="n">
        <f t="array" ref="D128">INDEX('7층_부하량'!F3:F3000,MATCH(1,("7-DaHall 1-RPP-04"='7층_부하량'!A3:A3000)*(1='7층_부하량'!B3:B3000),0))</f>
        <v>1.19</v>
      </c>
      <c r="E128" s="144"/>
      <c r="F128" s="144"/>
      <c r="G128" s="144"/>
      <c r="H128" s="540" t="s">
        <v>4936</v>
      </c>
      <c r="I128" s="482" t="s">
        <v>4633</v>
      </c>
      <c r="J128" s="150" t="s">
        <v>4937</v>
      </c>
      <c r="K128" s="518" t="s">
        <v>4724</v>
      </c>
      <c r="L128" s="480" t="s">
        <v>4578</v>
      </c>
      <c r="M128" s="540" t="s">
        <v>4936</v>
      </c>
      <c r="N128" s="2654" cm="1" t="n">
        <f t="array" ref="N128">INDEX('7층_부하량'!F3:F3000,MATCH(1,("7-DaHall 1-RPP-04"='7층_부하량'!A3:A3000)*(2='7층_부하량'!B3:B3000),0))</f>
        <v>3.39</v>
      </c>
      <c r="O128" s="144"/>
      <c r="P128" s="144"/>
      <c r="Q128" s="144"/>
      <c r="R128" s="144" t="s">
        <v>4631</v>
      </c>
      <c r="S128" s="152" t="s">
        <v>4575</v>
      </c>
      <c r="T128" s="530" t="s">
        <v>4950</v>
      </c>
    </row>
    <row r="129" spans="1:20" ht="16.5" x14ac:dyDescent="0.15">
      <c r="A129" s="499" t="s">
        <v>4951</v>
      </c>
      <c r="B129" s="143" t="s">
        <v>4631</v>
      </c>
      <c r="C129" s="164" t="s">
        <v>4575</v>
      </c>
      <c r="D129" s="149"/>
      <c r="E129" s="2655" cm="1" t="n">
        <f t="array" ref="E129">INDEX('7층_부하량'!G3:G3000,MATCH(1,("7-DaHall 1-RPP-04"='7층_부하량'!A3:A3000)*(3='7층_부하량'!B3:B3000),0))</f>
        <v>4.54</v>
      </c>
      <c r="F129" s="149"/>
      <c r="G129" s="149"/>
      <c r="H129" s="541" t="s">
        <v>4936</v>
      </c>
      <c r="I129" s="481" t="s">
        <v>4638</v>
      </c>
      <c r="J129" s="150" t="s">
        <v>4937</v>
      </c>
      <c r="K129" s="519" t="s">
        <v>4724</v>
      </c>
      <c r="L129" s="481" t="s">
        <v>4583</v>
      </c>
      <c r="M129" s="541" t="s">
        <v>4936</v>
      </c>
      <c r="N129" s="149"/>
      <c r="O129" s="2655" cm="1" t="n">
        <f t="array" ref="O129">INDEX('7층_부하량'!G3:G3000,MATCH(1,("7-DaHall 1-RPP-04"='7층_부하량'!A3:A3000)*(4='7층_부하량'!B3:B3000),0))</f>
        <v>5.55</v>
      </c>
      <c r="P129" s="149"/>
      <c r="Q129" s="149"/>
      <c r="R129" s="143" t="s">
        <v>4940</v>
      </c>
      <c r="S129" s="143" t="s">
        <v>4723</v>
      </c>
      <c r="T129" s="531" t="s">
        <v>4952</v>
      </c>
    </row>
    <row r="130" spans="1:20" ht="16.5" x14ac:dyDescent="0.15">
      <c r="A130" s="500" t="s">
        <v>4953</v>
      </c>
      <c r="B130" s="143" t="s">
        <v>4631</v>
      </c>
      <c r="C130" s="164" t="s">
        <v>4575</v>
      </c>
      <c r="D130" s="157"/>
      <c r="E130" s="157"/>
      <c r="F130" s="2656" cm="1" t="n">
        <f t="array" ref="F130">INDEX('7층_부하량'!H3:H3000,MATCH(1,("7-DaHall 1-RPP-04"='7층_부하량'!A3:A3000)*(5='7층_부하량'!B3:B3000),0))</f>
        <v>4.5600000000000005</v>
      </c>
      <c r="G130" s="157"/>
      <c r="H130" s="541" t="s">
        <v>4936</v>
      </c>
      <c r="I130" s="481" t="s">
        <v>4641</v>
      </c>
      <c r="J130" s="150" t="s">
        <v>4937</v>
      </c>
      <c r="K130" s="527" t="s">
        <v>4937</v>
      </c>
      <c r="L130" s="493" t="s">
        <v>4588</v>
      </c>
      <c r="M130" s="545" t="s">
        <v>4936</v>
      </c>
      <c r="N130" s="157"/>
      <c r="O130" s="157"/>
      <c r="P130" s="2656" cm="1" t="n">
        <f t="array" ref="P130">INDEX('7층_부하량'!H3:H3000,MATCH(1,("7-DaHall 1-RPP-04"='7층_부하량'!A3:A3000)*(6='7층_부하량'!B3:B3000),0))</f>
        <v>1.8399999999999999</v>
      </c>
      <c r="Q130" s="157"/>
      <c r="R130" s="157" t="s">
        <v>4631</v>
      </c>
      <c r="S130" s="164" t="s">
        <v>4575</v>
      </c>
      <c r="T130" s="531" t="s">
        <v>4954</v>
      </c>
    </row>
    <row r="131" spans="1:20" ht="16.5" x14ac:dyDescent="0.15">
      <c r="A131" s="509" t="s">
        <v>4955</v>
      </c>
      <c r="B131" s="143" t="s">
        <v>4631</v>
      </c>
      <c r="C131" s="164" t="s">
        <v>4575</v>
      </c>
      <c r="D131" s="2656" cm="1" t="n">
        <f t="array" ref="D131">INDEX('7층_부하량'!F3:F3000,MATCH(1,("7-DaHall 1-RPP-04"='7층_부하량'!A3:A3000)*(7='7층_부하량'!B3:B3000),0))</f>
        <v>5.52</v>
      </c>
      <c r="E131" s="157"/>
      <c r="F131" s="157"/>
      <c r="G131" s="157"/>
      <c r="H131" s="541" t="s">
        <v>4936</v>
      </c>
      <c r="I131" s="481" t="s">
        <v>4645</v>
      </c>
      <c r="J131" s="150" t="s">
        <v>4937</v>
      </c>
      <c r="K131" s="527" t="s">
        <v>4937</v>
      </c>
      <c r="L131" s="493" t="s">
        <v>4593</v>
      </c>
      <c r="M131" s="545" t="s">
        <v>4936</v>
      </c>
      <c r="N131" s="2656" cm="1" t="n">
        <f t="array" ref="N131">INDEX('7층_부하량'!F3:F3000,MATCH(1,("7-DaHall 1-RPP-04"='7층_부하량'!A3:A3000)*(8='7층_부하량'!B3:B3000),0))</f>
        <v>2.16</v>
      </c>
      <c r="O131" s="157"/>
      <c r="P131" s="157"/>
      <c r="Q131" s="157"/>
      <c r="R131" s="157" t="s">
        <v>4631</v>
      </c>
      <c r="S131" s="164" t="s">
        <v>4575</v>
      </c>
      <c r="T131" s="531" t="s">
        <v>4956</v>
      </c>
    </row>
    <row r="132" spans="1:20" ht="17.25" thickBot="1" x14ac:dyDescent="0.2">
      <c r="A132" s="514" t="s">
        <v>4957</v>
      </c>
      <c r="B132" s="166" t="s">
        <v>4631</v>
      </c>
      <c r="C132" s="184" t="s">
        <v>4575</v>
      </c>
      <c r="D132" s="157"/>
      <c r="E132" s="2656" cm="1" t="n">
        <f t="array" ref="E132">INDEX('7층_부하량'!G3:G3000,MATCH(1,("7-DaHall 1-RPP-04"='7층_부하량'!A3:A3000)*(9='7층_부하량'!B3:B3000),0))</f>
        <v>2.16</v>
      </c>
      <c r="F132" s="157"/>
      <c r="G132" s="167"/>
      <c r="H132" s="543" t="s">
        <v>4936</v>
      </c>
      <c r="I132" s="485" t="s">
        <v>4648</v>
      </c>
      <c r="J132" s="289" t="s">
        <v>4937</v>
      </c>
      <c r="K132" s="526" t="s">
        <v>4937</v>
      </c>
      <c r="L132" s="493" t="s">
        <v>4596</v>
      </c>
      <c r="M132" s="546" t="s">
        <v>4936</v>
      </c>
      <c r="N132" s="157"/>
      <c r="O132" s="2656" cm="1" t="n">
        <f t="array" ref="O132">INDEX('7층_부하량'!G3:G3000,MATCH(1,("7-DaHall 1-RPP-04"='7층_부하량'!A3:A3000)*(10='7층_부하량'!B3:B3000),0))</f>
        <v>3.01</v>
      </c>
      <c r="P132" s="157"/>
      <c r="Q132" s="167"/>
      <c r="R132" s="167" t="s">
        <v>4631</v>
      </c>
      <c r="S132" s="184" t="s">
        <v>4575</v>
      </c>
      <c r="T132" s="538" t="s">
        <v>4958</v>
      </c>
    </row>
    <row r="133" spans="1:20" ht="14.25" thickTop="1" x14ac:dyDescent="0.15">
      <c r="M133" s="504" t="s">
        <v>4713</v>
      </c>
      <c r="N133" s="128" t="n">
        <f>SUM(D128:D132,N128:N132)</f>
        <v>12.26</v>
      </c>
      <c r="O133" s="128" t="n">
        <f>SUM(E128:E132,O128:O132)</f>
        <v>15.26</v>
      </c>
      <c r="P133" s="128" t="n">
        <f>SUM(F128:F132,P128:P132)</f>
        <v>6.4</v>
      </c>
    </row>
    <row r="134" spans="1:20" ht="14.25" thickBot="1" x14ac:dyDescent="0.2"/>
    <row r="135" spans="1:20" ht="15" thickTop="1" thickBot="1" x14ac:dyDescent="0.2">
      <c r="A135" s="53" t="s">
        <v>7016</v>
      </c>
      <c r="D135" s="3660" t="s">
        <v>8984</v>
      </c>
      <c r="E135" s="3660"/>
      <c r="F135" s="3660"/>
      <c r="G135" s="3660"/>
      <c r="H135" s="495"/>
      <c r="I135" s="124"/>
      <c r="J135" s="3661" t="s">
        <v>4628</v>
      </c>
      <c r="K135" s="3662"/>
      <c r="L135" s="486"/>
      <c r="M135" s="495"/>
      <c r="N135" s="126"/>
      <c r="O135" s="126"/>
      <c r="P135" s="126"/>
      <c r="Q135" s="126"/>
      <c r="R135" s="126"/>
      <c r="S135" s="126"/>
    </row>
    <row r="136" spans="1:20" ht="15" thickTop="1" thickBot="1" x14ac:dyDescent="0.2">
      <c r="A136" s="496"/>
      <c r="B136" s="128"/>
      <c r="C136" s="128"/>
      <c r="D136" s="129"/>
      <c r="E136" s="130"/>
      <c r="F136" s="130"/>
      <c r="G136" s="130"/>
      <c r="H136" s="515"/>
      <c r="I136" s="131"/>
      <c r="J136" s="128"/>
      <c r="K136" s="516"/>
      <c r="L136" s="132"/>
      <c r="M136" s="1371" t="s">
        <v>4562</v>
      </c>
      <c r="N136" s="1368">
        <v>82.2</v>
      </c>
      <c r="O136" s="1369">
        <v>71.2</v>
      </c>
      <c r="P136" s="1370">
        <v>81.599999999999994</v>
      </c>
      <c r="Q136" s="508" t="s">
        <v>4563</v>
      </c>
      <c r="R136" s="133"/>
      <c r="S136" s="128"/>
      <c r="T136" s="528"/>
    </row>
    <row r="137" spans="1:20" ht="15" thickTop="1" thickBot="1" x14ac:dyDescent="0.2">
      <c r="A137" s="497" t="s">
        <v>4629</v>
      </c>
      <c r="B137" s="135" t="s">
        <v>4565</v>
      </c>
      <c r="C137" s="136" t="s">
        <v>4566</v>
      </c>
      <c r="D137" s="135" t="s">
        <v>4567</v>
      </c>
      <c r="E137" s="135" t="s">
        <v>4568</v>
      </c>
      <c r="F137" s="135" t="s">
        <v>4569</v>
      </c>
      <c r="G137" s="135" t="s">
        <v>4570</v>
      </c>
      <c r="H137" s="539" t="s">
        <v>4571</v>
      </c>
      <c r="I137" s="479"/>
      <c r="J137" s="138" t="s">
        <v>4572</v>
      </c>
      <c r="K137" s="517" t="s">
        <v>4572</v>
      </c>
      <c r="L137" s="479"/>
      <c r="M137" s="539" t="s">
        <v>4571</v>
      </c>
      <c r="N137" s="135" t="s">
        <v>4567</v>
      </c>
      <c r="O137" s="135" t="s">
        <v>4568</v>
      </c>
      <c r="P137" s="135" t="s">
        <v>4569</v>
      </c>
      <c r="Q137" s="135" t="s">
        <v>4570</v>
      </c>
      <c r="R137" s="135" t="s">
        <v>4565</v>
      </c>
      <c r="S137" s="136" t="s">
        <v>4566</v>
      </c>
      <c r="T137" s="529" t="s">
        <v>4629</v>
      </c>
    </row>
    <row r="138" spans="1:20" ht="17.25" thickTop="1" x14ac:dyDescent="0.15">
      <c r="A138" s="498" t="s">
        <v>7021</v>
      </c>
      <c r="B138" s="142" t="s">
        <v>4631</v>
      </c>
      <c r="C138" s="152" t="s">
        <v>4575</v>
      </c>
      <c r="D138" s="2662" cm="1" t="n">
        <f t="array" ref="D138">INDEX('7층_부하량'!F3:F3000,MATCH(1,("7-DaHall 1-PDU-03"='7층_부하량'!A3:A3000)*(1='7층_부하량'!B3:B3000),0))</f>
        <v>27.41</v>
      </c>
      <c r="E138" s="2662" cm="1" t="n">
        <f t="array" ref="E138">INDEX('7층_부하량'!G3:G3000,MATCH(1,("7-DaHall 1-PDU-03"='7층_부하량'!A3:A3000)*(1='7층_부하량'!B3:B3000),0))</f>
        <v>15.7</v>
      </c>
      <c r="F138" s="2662" cm="1" t="n">
        <f t="array" ref="F138">INDEX('7층_부하량'!H3:H3000,MATCH(1,("7-DaHall 1-PDU-03"='7층_부하량'!A3:A3000)*(1='7층_부하량'!B3:B3000),0))</f>
        <v>28.82</v>
      </c>
      <c r="G138" s="353"/>
      <c r="H138" s="540" t="s">
        <v>4960</v>
      </c>
      <c r="I138" s="480" t="s">
        <v>4633</v>
      </c>
      <c r="J138" s="145" t="s">
        <v>4961</v>
      </c>
      <c r="K138" s="518"/>
      <c r="L138" s="480" t="s">
        <v>4578</v>
      </c>
      <c r="M138" s="540" t="s">
        <v>4960</v>
      </c>
      <c r="N138" s="2662" cm="1" t="n">
        <f t="array" ref="N138">INDEX('7층_부하량'!F3:F3000,MATCH(1,("7-DaHall 1-PDU-03"='7층_부하량'!A3:A3000)*(2='7층_부하량'!B3:B3000),0))</f>
        <v>7.09</v>
      </c>
      <c r="O138" s="2662" cm="1" t="n">
        <f t="array" ref="O138">INDEX('7층_부하량'!G3:G3000,MATCH(1,("7-DaHall 1-PDU-03"='7층_부하량'!A3:A3000)*(2='7층_부하량'!B3:B3000),0))</f>
        <v>8.25</v>
      </c>
      <c r="P138" s="2662" cm="1" t="n">
        <f t="array" ref="P138">INDEX('7층_부하량'!H3:H3000,MATCH(1,("7-DaHall 1-PDU-03"='7층_부하량'!A3:A3000)*(2='7층_부하량'!B3:B3000),0))</f>
        <v>9.83</v>
      </c>
      <c r="Q138" s="353"/>
      <c r="R138" s="142" t="s">
        <v>4579</v>
      </c>
      <c r="S138" s="152" t="s">
        <v>4575</v>
      </c>
      <c r="T138" s="530" t="s">
        <v>1199</v>
      </c>
    </row>
    <row r="139" spans="1:20" ht="16.5" x14ac:dyDescent="0.15">
      <c r="A139" s="499" t="s">
        <v>7017</v>
      </c>
      <c r="B139" s="143" t="s">
        <v>4631</v>
      </c>
      <c r="C139" s="164" t="s">
        <v>4575</v>
      </c>
      <c r="D139" s="2655" cm="1" t="n">
        <f t="array" ref="D139">INDEX('7층_부하량'!F3:F3000,MATCH(1,("7-DaHall 1-PDU-03"='7층_부하량'!A3:A3000)*(3='7층_부하량'!B3:B3000),0))</f>
        <v>7.1</v>
      </c>
      <c r="E139" s="2655" cm="1" t="n">
        <f t="array" ref="E139">INDEX('7층_부하량'!G3:G3000,MATCH(1,("7-DaHall 1-PDU-03"='7층_부하량'!A3:A3000)*(3='7층_부하량'!B3:B3000),0))</f>
        <v>8.29</v>
      </c>
      <c r="F139" s="2655" cm="1" t="n">
        <f t="array" ref="F139">INDEX('7층_부하량'!H3:H3000,MATCH(1,("7-DaHall 1-PDU-03"='7층_부하량'!A3:A3000)*(3='7층_부하량'!B3:B3000),0))</f>
        <v>5.19</v>
      </c>
      <c r="G139" s="344"/>
      <c r="H139" s="541" t="s">
        <v>4960</v>
      </c>
      <c r="I139" s="481" t="s">
        <v>4638</v>
      </c>
      <c r="J139" s="150" t="s">
        <v>4961</v>
      </c>
      <c r="K139" s="519"/>
      <c r="L139" s="481" t="s">
        <v>4583</v>
      </c>
      <c r="M139" s="541" t="s">
        <v>4960</v>
      </c>
      <c r="N139" s="2655" cm="1" t="n">
        <f t="array" ref="N139">INDEX('7층_부하량'!F3:F3000,MATCH(1,("7-DaHall 1-PDU-03"='7층_부하량'!A3:A3000)*(4='7층_부하량'!B3:B3000),0))</f>
        <v>0.0</v>
      </c>
      <c r="O139" s="2663" cm="1" t="n">
        <f t="array" ref="O139">INDEX('7층_부하량'!G3:G3000,MATCH(1,("7-DaHall 1-PDU-03"='7층_부하량'!A3:A3000)*(4='7층_부하량'!B3:B3000),0))</f>
        <v>0.0</v>
      </c>
      <c r="P139" s="2663" cm="1" t="n">
        <f t="array" ref="P139">INDEX('7층_부하량'!H3:H3000,MATCH(1,("7-DaHall 1-PDU-03"='7층_부하량'!A3:A3000)*(4='7층_부하량'!B3:B3000),0))</f>
        <v>0.0</v>
      </c>
      <c r="Q139" s="149"/>
      <c r="R139" s="143" t="s">
        <v>4590</v>
      </c>
      <c r="S139" s="143" t="s">
        <v>4723</v>
      </c>
      <c r="T139" s="531"/>
    </row>
    <row r="140" spans="1:20" ht="16.5" x14ac:dyDescent="0.15">
      <c r="A140" s="500"/>
      <c r="B140" s="143" t="s">
        <v>4590</v>
      </c>
      <c r="C140" s="143" t="s">
        <v>4723</v>
      </c>
      <c r="D140" s="2656" cm="1" t="n">
        <f t="array" ref="D140">INDEX('7층_부하량'!F3:F3000,MATCH(1,("7-DaHall 1-PDU-03"='7층_부하량'!A3:A3000)*(5='7층_부하량'!B3:B3000),0))</f>
        <v>0.0</v>
      </c>
      <c r="E140" s="2656" cm="1" t="n">
        <f t="array" ref="E140">INDEX('7층_부하량'!G3:G3000,MATCH(1,("7-DaHall 1-PDU-03"='7층_부하량'!A3:A3000)*(5='7층_부하량'!B3:B3000),0))</f>
        <v>0.0</v>
      </c>
      <c r="F140" s="2656" cm="1" t="n">
        <f t="array" ref="F140">INDEX('7층_부하량'!H3:H3000,MATCH(1,("7-DaHall 1-PDU-03"='7층_부하량'!A3:A3000)*(5='7층_부하량'!B3:B3000),0))</f>
        <v>0.0</v>
      </c>
      <c r="G140" s="157"/>
      <c r="H140" s="541" t="s">
        <v>4960</v>
      </c>
      <c r="I140" s="481" t="s">
        <v>4641</v>
      </c>
      <c r="J140" s="154"/>
      <c r="K140" s="523"/>
      <c r="L140" s="488" t="s">
        <v>4588</v>
      </c>
      <c r="M140" s="541" t="s">
        <v>4960</v>
      </c>
      <c r="N140" s="2664" cm="1" t="n">
        <f t="array" ref="N140">INDEX('7층_부하량'!F3:F3000,MATCH(1,("7-DaHall 1-PDU-03"='7층_부하량'!A3:A3000)*(6='7층_부하량'!B3:B3000),0))</f>
        <v>59.06</v>
      </c>
      <c r="O140" s="2664" cm="1" t="n">
        <f t="array" ref="O140">INDEX('7층_부하량'!G3:G3000,MATCH(1,("7-DaHall 1-PDU-03"='7층_부하량'!A3:A3000)*(6='7층_부하량'!B3:B3000),0))</f>
        <v>59.71</v>
      </c>
      <c r="P140" s="2664" cm="1" t="n">
        <f t="array" ref="P140">INDEX('7층_부하량'!H3:H3000,MATCH(1,("7-DaHall 1-PDU-03"='7층_부하량'!A3:A3000)*(6='7층_부하량'!B3:B3000),0))</f>
        <v>62.09</v>
      </c>
      <c r="Q140" s="1012"/>
      <c r="R140" s="143" t="s">
        <v>4631</v>
      </c>
      <c r="S140" s="164" t="s">
        <v>4575</v>
      </c>
      <c r="T140" s="531" t="s">
        <v>4962</v>
      </c>
    </row>
    <row r="141" spans="1:20" x14ac:dyDescent="0.15">
      <c r="A141" s="509"/>
      <c r="B141" s="143" t="s">
        <v>4590</v>
      </c>
      <c r="C141" s="143" t="s">
        <v>4723</v>
      </c>
      <c r="D141" s="2656" cm="1" t="n">
        <f t="array" ref="D141">INDEX('7층_부하량'!F3:F3000,MATCH(1,("7-DaHall 1-PDU-03"='7층_부하량'!A3:A3000)*(7='7층_부하량'!B3:B3000),0))</f>
        <v>0.0</v>
      </c>
      <c r="E141" s="2656" cm="1" t="n">
        <f t="array" ref="E141">INDEX('7층_부하량'!G3:G3000,MATCH(1,("7-DaHall 1-PDU-03"='7층_부하량'!A3:A3000)*(7='7층_부하량'!B3:B3000),0))</f>
        <v>0.0</v>
      </c>
      <c r="F141" s="2656" cm="1" t="n">
        <f t="array" ref="F141">INDEX('7층_부하량'!H3:H3000,MATCH(1,("7-DaHall 1-PDU-03"='7층_부하량'!A3:A3000)*(7='7층_부하량'!B3:B3000),0))</f>
        <v>0.0</v>
      </c>
      <c r="G141" s="157"/>
      <c r="H141" s="541" t="s">
        <v>4960</v>
      </c>
      <c r="I141" s="481" t="s">
        <v>4645</v>
      </c>
      <c r="J141" s="154"/>
      <c r="K141" s="523"/>
      <c r="L141" s="488" t="s">
        <v>4593</v>
      </c>
      <c r="M141" s="541" t="s">
        <v>4960</v>
      </c>
      <c r="N141" s="2656" cm="1" t="n">
        <f t="array" ref="N141">INDEX('7층_부하량'!F3:F3000,MATCH(1,("7-DaHall 1-PDU-03"='7층_부하량'!A3:A3000)*(8='7층_부하량'!B3:B3000),0))</f>
        <v>51.81</v>
      </c>
      <c r="O141" s="2656" cm="1" t="n">
        <f t="array" ref="O141">INDEX('7층_부하량'!G3:G3000,MATCH(1,("7-DaHall 1-PDU-03"='7층_부하량'!A3:A3000)*(8='7층_부하량'!B3:B3000),0))</f>
        <v>52.37</v>
      </c>
      <c r="P141" s="2656" cm="1" t="n">
        <f t="array" ref="P141">INDEX('7층_부하량'!H3:H3000,MATCH(1,("7-DaHall 1-PDU-03"='7층_부하량'!A3:A3000)*(8='7층_부하량'!B3:B3000),0))</f>
        <v>54.75</v>
      </c>
      <c r="Q141" s="157"/>
      <c r="R141" s="157" t="s">
        <v>4590</v>
      </c>
      <c r="S141" s="143" t="s">
        <v>4723</v>
      </c>
      <c r="T141" s="531"/>
    </row>
    <row r="142" spans="1:20" ht="14.25" thickBot="1" x14ac:dyDescent="0.2">
      <c r="A142" s="502"/>
      <c r="B142" s="143" t="s">
        <v>4590</v>
      </c>
      <c r="C142" s="143" t="s">
        <v>4723</v>
      </c>
      <c r="D142" s="2656" cm="1" t="n">
        <f t="array" ref="D142">INDEX('7층_부하량'!F3:F3000,MATCH(1,("7-DaHall 1-PDU-03"='7층_부하량'!A3:A3000)*(9='7층_부하량'!B3:B3000),0))</f>
        <v>0.0</v>
      </c>
      <c r="E142" s="2656" cm="1" t="n">
        <f t="array" ref="E142">INDEX('7층_부하량'!G3:G3000,MATCH(1,("7-DaHall 1-PDU-03"='7층_부하량'!A3:A3000)*(9='7층_부하량'!B3:B3000),0))</f>
        <v>0.0</v>
      </c>
      <c r="F142" s="2656" cm="1" t="n">
        <f t="array" ref="F142">INDEX('7층_부하량'!H3:H3000,MATCH(1,("7-DaHall 1-PDU-03"='7층_부하량'!A3:A3000)*(9='7층_부하량'!B3:B3000),0))</f>
        <v>0.0</v>
      </c>
      <c r="G142" s="157"/>
      <c r="H142" s="541" t="s">
        <v>4960</v>
      </c>
      <c r="I142" s="481" t="s">
        <v>4648</v>
      </c>
      <c r="J142" s="154"/>
      <c r="K142" s="523"/>
      <c r="L142" s="488" t="s">
        <v>4596</v>
      </c>
      <c r="M142" s="541" t="s">
        <v>4960</v>
      </c>
      <c r="N142" s="2656" cm="1" t="n">
        <f t="array" ref="N142">INDEX('7층_부하량'!F3:F3000,MATCH(1,("7-DaHall 1-PDU-03"='7층_부하량'!A3:A3000)*(10='7층_부하량'!B3:B3000),0))</f>
        <v>0.0</v>
      </c>
      <c r="O142" s="2656" cm="1" t="n">
        <f t="array" ref="O142">INDEX('7층_부하량'!G3:G3000,MATCH(1,("7-DaHall 1-PDU-03"='7층_부하량'!A3:A3000)*(10='7층_부하량'!B3:B3000),0))</f>
        <v>0.0</v>
      </c>
      <c r="P142" s="2656" cm="1" t="n">
        <f t="array" ref="P142">INDEX('7층_부하량'!H3:H3000,MATCH(1,("7-DaHall 1-PDU-03"='7층_부하량'!A3:A3000)*(10='7층_부하량'!B3:B3000),0))</f>
        <v>0.0</v>
      </c>
      <c r="Q142" s="157"/>
      <c r="R142" s="157" t="s">
        <v>4590</v>
      </c>
      <c r="S142" s="143" t="s">
        <v>4723</v>
      </c>
      <c r="T142" s="535"/>
    </row>
    <row r="143" spans="1:20" ht="14.25" thickTop="1" x14ac:dyDescent="0.15">
      <c r="A143" s="498"/>
      <c r="B143" s="142" t="s">
        <v>4590</v>
      </c>
      <c r="C143" s="142" t="s">
        <v>4723</v>
      </c>
      <c r="D143" s="144"/>
      <c r="E143" s="144"/>
      <c r="F143" s="144"/>
      <c r="G143" s="144"/>
      <c r="H143" s="540" t="s">
        <v>4963</v>
      </c>
      <c r="I143" s="480" t="s">
        <v>4653</v>
      </c>
      <c r="J143" s="145"/>
      <c r="K143" s="518"/>
      <c r="L143" s="480" t="s">
        <v>4599</v>
      </c>
      <c r="M143" s="540" t="s">
        <v>4963</v>
      </c>
      <c r="N143" s="144"/>
      <c r="O143" s="144"/>
      <c r="P143" s="144"/>
      <c r="Q143" s="144"/>
      <c r="R143" s="144" t="s">
        <v>4590</v>
      </c>
      <c r="S143" s="142" t="s">
        <v>4723</v>
      </c>
      <c r="T143" s="530"/>
    </row>
    <row r="144" spans="1:20" x14ac:dyDescent="0.15">
      <c r="A144" s="499"/>
      <c r="B144" s="143" t="s">
        <v>4590</v>
      </c>
      <c r="C144" s="143" t="s">
        <v>4723</v>
      </c>
      <c r="D144" s="149"/>
      <c r="E144" s="149"/>
      <c r="F144" s="149"/>
      <c r="G144" s="149"/>
      <c r="H144" s="541" t="s">
        <v>4963</v>
      </c>
      <c r="I144" s="481" t="s">
        <v>4657</v>
      </c>
      <c r="J144" s="150"/>
      <c r="K144" s="519"/>
      <c r="L144" s="481" t="s">
        <v>4601</v>
      </c>
      <c r="M144" s="541" t="s">
        <v>4963</v>
      </c>
      <c r="N144" s="149"/>
      <c r="O144" s="149"/>
      <c r="P144" s="149"/>
      <c r="Q144" s="149"/>
      <c r="R144" s="149" t="s">
        <v>4590</v>
      </c>
      <c r="S144" s="143" t="s">
        <v>4723</v>
      </c>
      <c r="T144" s="531"/>
    </row>
    <row r="145" spans="1:20" x14ac:dyDescent="0.15">
      <c r="A145" s="500"/>
      <c r="B145" s="143" t="s">
        <v>4590</v>
      </c>
      <c r="C145" s="143" t="s">
        <v>4723</v>
      </c>
      <c r="D145" s="157"/>
      <c r="E145" s="157"/>
      <c r="F145" s="157"/>
      <c r="G145" s="157"/>
      <c r="H145" s="541" t="s">
        <v>4963</v>
      </c>
      <c r="I145" s="481" t="s">
        <v>4661</v>
      </c>
      <c r="J145" s="154"/>
      <c r="K145" s="523"/>
      <c r="L145" s="488" t="s">
        <v>4603</v>
      </c>
      <c r="M145" s="541" t="s">
        <v>4963</v>
      </c>
      <c r="N145" s="157"/>
      <c r="O145" s="157"/>
      <c r="P145" s="157"/>
      <c r="Q145" s="157"/>
      <c r="R145" s="157" t="s">
        <v>4590</v>
      </c>
      <c r="S145" s="143" t="s">
        <v>4723</v>
      </c>
      <c r="T145" s="531"/>
    </row>
    <row r="146" spans="1:20" x14ac:dyDescent="0.15">
      <c r="A146" s="509"/>
      <c r="B146" s="143" t="s">
        <v>4590</v>
      </c>
      <c r="C146" s="143" t="s">
        <v>4723</v>
      </c>
      <c r="D146" s="157"/>
      <c r="E146" s="157"/>
      <c r="F146" s="157"/>
      <c r="G146" s="157"/>
      <c r="H146" s="541" t="s">
        <v>4963</v>
      </c>
      <c r="I146" s="481" t="s">
        <v>4665</v>
      </c>
      <c r="J146" s="154"/>
      <c r="K146" s="523"/>
      <c r="L146" s="488" t="s">
        <v>4605</v>
      </c>
      <c r="M146" s="541" t="s">
        <v>4963</v>
      </c>
      <c r="N146" s="157"/>
      <c r="O146" s="157"/>
      <c r="P146" s="157"/>
      <c r="Q146" s="157"/>
      <c r="R146" s="157" t="s">
        <v>4590</v>
      </c>
      <c r="S146" s="143" t="s">
        <v>4723</v>
      </c>
      <c r="T146" s="531"/>
    </row>
    <row r="147" spans="1:20" ht="14.25" thickBot="1" x14ac:dyDescent="0.2">
      <c r="A147" s="514"/>
      <c r="B147" s="166" t="s">
        <v>4590</v>
      </c>
      <c r="C147" s="166" t="s">
        <v>4723</v>
      </c>
      <c r="D147" s="167"/>
      <c r="E147" s="167"/>
      <c r="F147" s="167"/>
      <c r="G147" s="167"/>
      <c r="H147" s="1181" t="s">
        <v>4964</v>
      </c>
      <c r="I147" s="483" t="s">
        <v>4670</v>
      </c>
      <c r="J147" s="168"/>
      <c r="K147" s="525"/>
      <c r="L147" s="491" t="s">
        <v>4609</v>
      </c>
      <c r="M147" s="1181" t="s">
        <v>4964</v>
      </c>
      <c r="N147" s="167"/>
      <c r="O147" s="167"/>
      <c r="P147" s="167"/>
      <c r="Q147" s="167"/>
      <c r="R147" s="167" t="s">
        <v>4590</v>
      </c>
      <c r="S147" s="166" t="s">
        <v>4723</v>
      </c>
      <c r="T147" s="538"/>
    </row>
    <row r="148" spans="1:20" ht="14.25" thickTop="1" x14ac:dyDescent="0.15">
      <c r="M148" s="504" t="s">
        <v>4713</v>
      </c>
      <c r="N148" s="128" t="n">
        <f>SUM(D138:D147,N138:N147)</f>
        <v>152.47</v>
      </c>
      <c r="O148" s="128" t="n">
        <f>SUM(E138:E147,O138:O147)</f>
        <v>144.32</v>
      </c>
      <c r="P148" s="128" t="n">
        <f>SUM(F138:F147,P138:P147)</f>
        <v>160.68</v>
      </c>
    </row>
    <row r="149" spans="1:20" ht="14.25" thickBot="1" x14ac:dyDescent="0.2"/>
    <row r="150" spans="1:20" ht="15" thickTop="1" thickBot="1" x14ac:dyDescent="0.2">
      <c r="A150" s="53" t="s">
        <v>7013</v>
      </c>
      <c r="D150" s="3660" t="s">
        <v>8985</v>
      </c>
      <c r="E150" s="3660"/>
      <c r="F150" s="3660"/>
      <c r="G150" s="3660"/>
      <c r="H150" s="495"/>
      <c r="I150" s="124"/>
      <c r="J150" s="3661" t="s">
        <v>4628</v>
      </c>
      <c r="K150" s="3662"/>
      <c r="L150" s="486"/>
      <c r="M150" s="495"/>
      <c r="N150" s="126"/>
      <c r="O150" s="126"/>
      <c r="P150" s="126"/>
      <c r="Q150" s="126"/>
      <c r="R150" s="126"/>
      <c r="S150" s="126"/>
    </row>
    <row r="151" spans="1:20" ht="15" thickTop="1" thickBot="1" x14ac:dyDescent="0.2">
      <c r="A151" s="496"/>
      <c r="B151" s="128"/>
      <c r="C151" s="128"/>
      <c r="D151" s="129"/>
      <c r="E151" s="130"/>
      <c r="F151" s="130"/>
      <c r="G151" s="130"/>
      <c r="H151" s="515"/>
      <c r="I151" s="131"/>
      <c r="J151" s="128"/>
      <c r="K151" s="516"/>
      <c r="L151" s="132"/>
      <c r="M151" s="1371" t="s">
        <v>4562</v>
      </c>
      <c r="N151" s="1368">
        <v>88.3</v>
      </c>
      <c r="O151" s="1369">
        <v>66</v>
      </c>
      <c r="P151" s="1370">
        <v>69.5</v>
      </c>
      <c r="Q151" s="508" t="s">
        <v>4563</v>
      </c>
      <c r="R151" s="133"/>
      <c r="S151" s="128"/>
      <c r="T151" s="528"/>
    </row>
    <row r="152" spans="1:20" ht="15" thickTop="1" thickBot="1" x14ac:dyDescent="0.2">
      <c r="A152" s="497" t="s">
        <v>4629</v>
      </c>
      <c r="B152" s="135" t="s">
        <v>4565</v>
      </c>
      <c r="C152" s="136" t="s">
        <v>4566</v>
      </c>
      <c r="D152" s="135" t="s">
        <v>4567</v>
      </c>
      <c r="E152" s="135" t="s">
        <v>4568</v>
      </c>
      <c r="F152" s="135" t="s">
        <v>4569</v>
      </c>
      <c r="G152" s="135" t="s">
        <v>4570</v>
      </c>
      <c r="H152" s="539" t="s">
        <v>4571</v>
      </c>
      <c r="I152" s="479"/>
      <c r="J152" s="138" t="s">
        <v>4572</v>
      </c>
      <c r="K152" s="517" t="s">
        <v>4572</v>
      </c>
      <c r="L152" s="479"/>
      <c r="M152" s="539" t="s">
        <v>4571</v>
      </c>
      <c r="N152" s="135" t="s">
        <v>4567</v>
      </c>
      <c r="O152" s="135" t="s">
        <v>4568</v>
      </c>
      <c r="P152" s="135" t="s">
        <v>4569</v>
      </c>
      <c r="Q152" s="135" t="s">
        <v>4570</v>
      </c>
      <c r="R152" s="135" t="s">
        <v>4565</v>
      </c>
      <c r="S152" s="136" t="s">
        <v>4566</v>
      </c>
      <c r="T152" s="529" t="s">
        <v>4629</v>
      </c>
    </row>
    <row r="153" spans="1:20" ht="17.25" thickTop="1" x14ac:dyDescent="0.15">
      <c r="A153" s="498" t="s">
        <v>4966</v>
      </c>
      <c r="B153" s="142" t="s">
        <v>4631</v>
      </c>
      <c r="C153" s="152" t="s">
        <v>4575</v>
      </c>
      <c r="D153" s="2654" cm="1" t="n">
        <f t="array" ref="D153">INDEX('7층_부하량'!F3:F3000,MATCH(1,("7-DaHall 1-PDU-04"='7층_부하량'!A3:A3000)*(1='7층_부하량'!B3:B3000),0))</f>
        <v>47.16</v>
      </c>
      <c r="E153" s="2654" cm="1" t="n">
        <f t="array" ref="E153">INDEX('7층_부하량'!G3:G3000,MATCH(1,("7-DaHall 1-PDU-04"='7층_부하량'!A3:A3000)*(1='7층_부하량'!B3:B3000),0))</f>
        <v>47.56</v>
      </c>
      <c r="F153" s="2654" cm="1" t="n">
        <f t="array" ref="F153">INDEX('7층_부하량'!H3:H3000,MATCH(1,("7-DaHall 1-PDU-04"='7층_부하량'!A3:A3000)*(1='7층_부하량'!B3:B3000),0))</f>
        <v>50.14</v>
      </c>
      <c r="G153" s="144"/>
      <c r="H153" s="540" t="s">
        <v>4967</v>
      </c>
      <c r="I153" s="480" t="s">
        <v>4633</v>
      </c>
      <c r="J153" s="145"/>
      <c r="K153" s="518" t="s">
        <v>4961</v>
      </c>
      <c r="L153" s="480" t="s">
        <v>4578</v>
      </c>
      <c r="M153" s="540" t="s">
        <v>4967</v>
      </c>
      <c r="N153" s="2662" cm="1" t="n">
        <f t="array" ref="N153">INDEX('7층_부하량'!F3:F3000,MATCH(1,("7-DaHall 1-PDU-04"='7층_부하량'!A3:A3000)*(2='7층_부하량'!B3:B3000),0))</f>
        <v>43.78</v>
      </c>
      <c r="O153" s="2662" cm="1" t="n">
        <f t="array" ref="O153">INDEX('7층_부하량'!G3:G3000,MATCH(1,("7-DaHall 1-PDU-04"='7층_부하량'!A3:A3000)*(2='7층_부하량'!B3:B3000),0))</f>
        <v>17.88</v>
      </c>
      <c r="P153" s="2662" cm="1" t="n">
        <f t="array" ref="P153">INDEX('7층_부하량'!H3:H3000,MATCH(1,("7-DaHall 1-PDU-04"='7층_부하량'!A3:A3000)*(2='7층_부하량'!B3:B3000),0))</f>
        <v>24.36</v>
      </c>
      <c r="Q153" s="352"/>
      <c r="R153" s="144" t="s">
        <v>4631</v>
      </c>
      <c r="S153" s="152" t="s">
        <v>4575</v>
      </c>
      <c r="T153" s="530" t="s">
        <v>7014</v>
      </c>
    </row>
    <row r="154" spans="1:20" ht="16.5" x14ac:dyDescent="0.15">
      <c r="A154" s="499"/>
      <c r="B154" s="143" t="s">
        <v>4590</v>
      </c>
      <c r="C154" s="143" t="s">
        <v>4723</v>
      </c>
      <c r="D154" s="2663" cm="1" t="n">
        <f t="array" ref="D154">INDEX('7층_부하량'!F3:F3000,MATCH(1,("7-DaHall 1-PDU-04"='7층_부하량'!A3:A3000)*(3='7층_부하량'!B3:B3000),0))</f>
        <v>0.0</v>
      </c>
      <c r="E154" s="2663" cm="1" t="n">
        <f t="array" ref="E154">INDEX('7층_부하량'!G3:G3000,MATCH(1,("7-DaHall 1-PDU-04"='7층_부하량'!A3:A3000)*(3='7층_부하량'!B3:B3000),0))</f>
        <v>0.0</v>
      </c>
      <c r="F154" s="2663" cm="1" t="n">
        <f t="array" ref="F154">INDEX('7층_부하량'!H3:H3000,MATCH(1,("7-DaHall 1-PDU-04"='7층_부하량'!A3:A3000)*(3='7층_부하량'!B3:B3000),0))</f>
        <v>0.0</v>
      </c>
      <c r="G154" s="149"/>
      <c r="H154" s="541" t="s">
        <v>4967</v>
      </c>
      <c r="I154" s="481" t="s">
        <v>4638</v>
      </c>
      <c r="J154" s="150" t="s">
        <v>4961</v>
      </c>
      <c r="K154" s="519" t="s">
        <v>4961</v>
      </c>
      <c r="L154" s="481" t="s">
        <v>4583</v>
      </c>
      <c r="M154" s="541" t="s">
        <v>4967</v>
      </c>
      <c r="N154" s="2663" cm="1" t="n">
        <f t="array" ref="N154">INDEX('7층_부하량'!F3:F3000,MATCH(1,("7-DaHall 1-PDU-04"='7층_부하량'!A3:A3000)*(4='7층_부하량'!B3:B3000),0))</f>
        <v>10.47</v>
      </c>
      <c r="O154" s="2663" cm="1" t="n">
        <f t="array" ref="O154">INDEX('7층_부하량'!G3:G3000,MATCH(1,("7-DaHall 1-PDU-04"='7층_부하량'!A3:A3000)*(4='7층_부하량'!B3:B3000),0))</f>
        <v>7.93</v>
      </c>
      <c r="P154" s="2655" cm="1" t="n">
        <f t="array" ref="P154">INDEX('7층_부하량'!H3:H3000,MATCH(1,("7-DaHall 1-PDU-04"='7층_부하량'!A3:A3000)*(4='7층_부하량'!B3:B3000),0))</f>
        <v>5.85</v>
      </c>
      <c r="Q154" s="344"/>
      <c r="R154" s="149" t="s">
        <v>4631</v>
      </c>
      <c r="S154" s="164" t="s">
        <v>4575</v>
      </c>
      <c r="T154" s="531" t="s">
        <v>7015</v>
      </c>
    </row>
    <row r="155" spans="1:20" x14ac:dyDescent="0.15">
      <c r="A155" s="500"/>
      <c r="B155" s="143" t="s">
        <v>4590</v>
      </c>
      <c r="C155" s="143" t="s">
        <v>4723</v>
      </c>
      <c r="D155" s="2663" cm="1" t="n">
        <f t="array" ref="D155">INDEX('7층_부하량'!F3:F3000,MATCH(1,("7-DaHall 1-PDU-04"='7층_부하량'!A3:A3000)*(5='7층_부하량'!B3:B3000),0))</f>
        <v>0.0</v>
      </c>
      <c r="E155" s="2663" cm="1" t="n">
        <f t="array" ref="E155">INDEX('7층_부하량'!G3:G3000,MATCH(1,("7-DaHall 1-PDU-04"='7층_부하량'!A3:A3000)*(5='7층_부하량'!B3:B3000),0))</f>
        <v>0.0</v>
      </c>
      <c r="F155" s="2663" cm="1" t="n">
        <f t="array" ref="F155">INDEX('7층_부하량'!H3:H3000,MATCH(1,("7-DaHall 1-PDU-04"='7층_부하량'!A3:A3000)*(5='7층_부하량'!B3:B3000),0))</f>
        <v>0.0</v>
      </c>
      <c r="G155" s="157"/>
      <c r="H155" s="541" t="s">
        <v>4967</v>
      </c>
      <c r="I155" s="481" t="s">
        <v>4641</v>
      </c>
      <c r="J155" s="150" t="s">
        <v>4961</v>
      </c>
      <c r="K155" s="523"/>
      <c r="L155" s="488" t="s">
        <v>4588</v>
      </c>
      <c r="M155" s="541" t="s">
        <v>4967</v>
      </c>
      <c r="N155" s="2656" cm="1" t="n">
        <f t="array" ref="N155">INDEX('7층_부하량'!F3:F3000,MATCH(1,("7-DaHall 1-PDU-04"='7층_부하량'!A3:A3000)*(6='7층_부하량'!B3:B3000),0))</f>
        <v>38.99</v>
      </c>
      <c r="O155" s="2656" cm="1" t="n">
        <f t="array" ref="O155">INDEX('7층_부하량'!G3:G3000,MATCH(1,("7-DaHall 1-PDU-04"='7층_부하량'!A3:A3000)*(6='7층_부하량'!B3:B3000),0))</f>
        <v>17.76</v>
      </c>
      <c r="P155" s="2656" cm="1" t="n">
        <f t="array" ref="P155">INDEX('7층_부하량'!H3:H3000,MATCH(1,("7-DaHall 1-PDU-04"='7층_부하량'!A3:A3000)*(6='7층_부하량'!B3:B3000),0))</f>
        <v>23.97</v>
      </c>
      <c r="Q155" s="157"/>
      <c r="R155" s="157" t="s">
        <v>4590</v>
      </c>
      <c r="S155" s="143" t="s">
        <v>4723</v>
      </c>
      <c r="T155" s="531"/>
    </row>
    <row r="156" spans="1:20" x14ac:dyDescent="0.15">
      <c r="A156" s="509"/>
      <c r="B156" s="143" t="s">
        <v>4590</v>
      </c>
      <c r="C156" s="143" t="s">
        <v>4723</v>
      </c>
      <c r="D156" s="2656" cm="1" t="n">
        <f t="array" ref="D156">INDEX('7층_부하량'!F3:F3000,MATCH(1,("7-DaHall 1-PDU-04"='7층_부하량'!A3:A3000)*(7='7층_부하량'!B3:B3000),0))</f>
        <v>10.51</v>
      </c>
      <c r="E156" s="2656" cm="1" t="n">
        <f t="array" ref="E156">INDEX('7층_부하량'!G3:G3000,MATCH(1,("7-DaHall 1-PDU-04"='7층_부하량'!A3:A3000)*(7='7층_부하량'!B3:B3000),0))</f>
        <v>7.83</v>
      </c>
      <c r="F156" s="2656" cm="1" t="n">
        <f t="array" ref="F156">INDEX('7층_부하량'!H3:H3000,MATCH(1,("7-DaHall 1-PDU-04"='7층_부하량'!A3:A3000)*(7='7층_부하량'!B3:B3000),0))</f>
        <v>5.84</v>
      </c>
      <c r="G156" s="157"/>
      <c r="H156" s="541" t="s">
        <v>4967</v>
      </c>
      <c r="I156" s="481" t="s">
        <v>4645</v>
      </c>
      <c r="J156" s="154"/>
      <c r="K156" s="523"/>
      <c r="L156" s="488" t="s">
        <v>4593</v>
      </c>
      <c r="M156" s="541" t="s">
        <v>4967</v>
      </c>
      <c r="N156" s="2656" cm="1" t="n">
        <f t="array" ref="N156">INDEX('7층_부하량'!F3:F3000,MATCH(1,("7-DaHall 1-PDU-04"='7층_부하량'!A3:A3000)*(8='7층_부하량'!B3:B3000),0))</f>
        <v>0.0</v>
      </c>
      <c r="O156" s="2656" cm="1" t="n">
        <f t="array" ref="O156">INDEX('7층_부하량'!G3:G3000,MATCH(1,("7-DaHall 1-PDU-04"='7층_부하량'!A3:A3000)*(8='7층_부하량'!B3:B3000),0))</f>
        <v>0.0</v>
      </c>
      <c r="P156" s="2656" cm="1" t="n">
        <f t="array" ref="P156">INDEX('7층_부하량'!H3:H3000,MATCH(1,("7-DaHall 1-PDU-04"='7층_부하량'!A3:A3000)*(8='7층_부하량'!B3:B3000),0))</f>
        <v>0.0</v>
      </c>
      <c r="Q156" s="157"/>
      <c r="R156" s="157" t="s">
        <v>4590</v>
      </c>
      <c r="S156" s="143" t="s">
        <v>4723</v>
      </c>
      <c r="T156" s="531"/>
    </row>
    <row r="157" spans="1:20" ht="14.25" thickBot="1" x14ac:dyDescent="0.2">
      <c r="A157" s="502"/>
      <c r="B157" s="143" t="s">
        <v>4590</v>
      </c>
      <c r="C157" s="143" t="s">
        <v>4723</v>
      </c>
      <c r="D157" s="2656" cm="1" t="n">
        <f t="array" ref="D157">INDEX('7층_부하량'!F3:F3000,MATCH(1,("7-DaHall 1-PDU-04"='7층_부하량'!A3:A3000)*(9='7층_부하량'!B3:B3000),0))</f>
        <v>0.0</v>
      </c>
      <c r="E157" s="2656" cm="1" t="n">
        <f t="array" ref="E157">INDEX('7층_부하량'!G3:G3000,MATCH(1,("7-DaHall 1-PDU-04"='7층_부하량'!A3:A3000)*(9='7층_부하량'!B3:B3000),0))</f>
        <v>0.0</v>
      </c>
      <c r="F157" s="2656" cm="1" t="n">
        <f t="array" ref="F157">INDEX('7층_부하량'!H3:H3000,MATCH(1,("7-DaHall 1-PDU-04"='7층_부하량'!A3:A3000)*(9='7층_부하량'!B3:B3000),0))</f>
        <v>0.0</v>
      </c>
      <c r="G157" s="157"/>
      <c r="H157" s="541" t="s">
        <v>4967</v>
      </c>
      <c r="I157" s="481" t="s">
        <v>4648</v>
      </c>
      <c r="J157" s="154"/>
      <c r="K157" s="523"/>
      <c r="L157" s="488" t="s">
        <v>4596</v>
      </c>
      <c r="M157" s="541" t="s">
        <v>4967</v>
      </c>
      <c r="N157" s="2656" cm="1" t="n">
        <f t="array" ref="N157">INDEX('7층_부하량'!F3:F3000,MATCH(1,("7-DaHall 1-PDU-04"='7층_부하량'!A3:A3000)*(10='7층_부하량'!B3:B3000),0))</f>
        <v>0.0</v>
      </c>
      <c r="O157" s="2656" cm="1" t="n">
        <f t="array" ref="O157">INDEX('7층_부하량'!G3:G3000,MATCH(1,("7-DaHall 1-PDU-04"='7층_부하량'!A3:A3000)*(10='7층_부하량'!B3:B3000),0))</f>
        <v>0.0</v>
      </c>
      <c r="P157" s="2656" cm="1" t="n">
        <f t="array" ref="P157">INDEX('7층_부하량'!H3:H3000,MATCH(1,("7-DaHall 1-PDU-04"='7층_부하량'!A3:A3000)*(10='7층_부하량'!B3:B3000),0))</f>
        <v>0.0</v>
      </c>
      <c r="Q157" s="157"/>
      <c r="R157" s="157" t="s">
        <v>4590</v>
      </c>
      <c r="S157" s="143" t="s">
        <v>4723</v>
      </c>
      <c r="T157" s="535"/>
    </row>
    <row r="158" spans="1:20" ht="14.25" thickTop="1" x14ac:dyDescent="0.15">
      <c r="A158" s="498"/>
      <c r="B158" s="142" t="s">
        <v>4590</v>
      </c>
      <c r="C158" s="142" t="s">
        <v>4723</v>
      </c>
      <c r="D158" s="144"/>
      <c r="E158" s="144"/>
      <c r="F158" s="144"/>
      <c r="G158" s="144"/>
      <c r="H158" s="540" t="s">
        <v>4963</v>
      </c>
      <c r="I158" s="480" t="s">
        <v>4653</v>
      </c>
      <c r="J158" s="145"/>
      <c r="K158" s="518"/>
      <c r="L158" s="480" t="s">
        <v>4599</v>
      </c>
      <c r="M158" s="540" t="s">
        <v>4963</v>
      </c>
      <c r="N158" s="144"/>
      <c r="O158" s="144"/>
      <c r="P158" s="144"/>
      <c r="Q158" s="144"/>
      <c r="R158" s="144" t="s">
        <v>4590</v>
      </c>
      <c r="S158" s="142" t="s">
        <v>4723</v>
      </c>
      <c r="T158" s="530"/>
    </row>
    <row r="159" spans="1:20" x14ac:dyDescent="0.15">
      <c r="A159" s="499"/>
      <c r="B159" s="143" t="s">
        <v>4590</v>
      </c>
      <c r="C159" s="143" t="s">
        <v>4723</v>
      </c>
      <c r="D159" s="149"/>
      <c r="E159" s="149"/>
      <c r="F159" s="149"/>
      <c r="G159" s="149"/>
      <c r="H159" s="541" t="s">
        <v>4963</v>
      </c>
      <c r="I159" s="481" t="s">
        <v>4657</v>
      </c>
      <c r="J159" s="150"/>
      <c r="K159" s="519"/>
      <c r="L159" s="481" t="s">
        <v>4601</v>
      </c>
      <c r="M159" s="541" t="s">
        <v>4963</v>
      </c>
      <c r="N159" s="149"/>
      <c r="O159" s="149"/>
      <c r="P159" s="149"/>
      <c r="Q159" s="149"/>
      <c r="R159" s="149" t="s">
        <v>4590</v>
      </c>
      <c r="S159" s="143" t="s">
        <v>4723</v>
      </c>
      <c r="T159" s="531"/>
    </row>
    <row r="160" spans="1:20" x14ac:dyDescent="0.15">
      <c r="A160" s="500"/>
      <c r="B160" s="143" t="s">
        <v>4590</v>
      </c>
      <c r="C160" s="143" t="s">
        <v>4723</v>
      </c>
      <c r="D160" s="157"/>
      <c r="E160" s="157"/>
      <c r="F160" s="157"/>
      <c r="G160" s="157"/>
      <c r="H160" s="541" t="s">
        <v>4963</v>
      </c>
      <c r="I160" s="481" t="s">
        <v>4661</v>
      </c>
      <c r="J160" s="154"/>
      <c r="K160" s="523"/>
      <c r="L160" s="488" t="s">
        <v>4603</v>
      </c>
      <c r="M160" s="541" t="s">
        <v>4963</v>
      </c>
      <c r="N160" s="157"/>
      <c r="O160" s="157"/>
      <c r="P160" s="157"/>
      <c r="Q160" s="157"/>
      <c r="R160" s="157" t="s">
        <v>4590</v>
      </c>
      <c r="S160" s="143" t="s">
        <v>4723</v>
      </c>
      <c r="T160" s="531"/>
    </row>
    <row r="161" spans="1:20" x14ac:dyDescent="0.15">
      <c r="A161" s="509"/>
      <c r="B161" s="143" t="s">
        <v>4590</v>
      </c>
      <c r="C161" s="143" t="s">
        <v>4723</v>
      </c>
      <c r="D161" s="157"/>
      <c r="E161" s="157"/>
      <c r="F161" s="157"/>
      <c r="G161" s="157"/>
      <c r="H161" s="541" t="s">
        <v>4963</v>
      </c>
      <c r="I161" s="481" t="s">
        <v>4665</v>
      </c>
      <c r="J161" s="154"/>
      <c r="K161" s="523"/>
      <c r="L161" s="488" t="s">
        <v>4605</v>
      </c>
      <c r="M161" s="541" t="s">
        <v>4963</v>
      </c>
      <c r="N161" s="157"/>
      <c r="O161" s="157"/>
      <c r="P161" s="157"/>
      <c r="Q161" s="157"/>
      <c r="R161" s="157" t="s">
        <v>4590</v>
      </c>
      <c r="S161" s="143" t="s">
        <v>4723</v>
      </c>
      <c r="T161" s="531"/>
    </row>
    <row r="162" spans="1:20" ht="14.25" thickBot="1" x14ac:dyDescent="0.2">
      <c r="A162" s="514"/>
      <c r="B162" s="166" t="s">
        <v>4631</v>
      </c>
      <c r="C162" s="166" t="s">
        <v>4723</v>
      </c>
      <c r="D162" s="167"/>
      <c r="E162" s="167"/>
      <c r="F162" s="167"/>
      <c r="G162" s="167"/>
      <c r="H162" s="543" t="s">
        <v>4968</v>
      </c>
      <c r="I162" s="483" t="s">
        <v>4670</v>
      </c>
      <c r="J162" s="168"/>
      <c r="K162" s="525"/>
      <c r="L162" s="491" t="s">
        <v>4609</v>
      </c>
      <c r="M162" s="543" t="s">
        <v>4968</v>
      </c>
      <c r="N162" s="167"/>
      <c r="O162" s="167"/>
      <c r="P162" s="167"/>
      <c r="Q162" s="167"/>
      <c r="R162" s="330" t="s">
        <v>4631</v>
      </c>
      <c r="S162" s="166" t="s">
        <v>4723</v>
      </c>
      <c r="T162" s="538"/>
    </row>
    <row r="163" spans="1:20" ht="17.25" thickTop="1" x14ac:dyDescent="0.15">
      <c r="A163" s="515"/>
      <c r="B163" s="133"/>
      <c r="C163" s="133"/>
      <c r="D163" s="131"/>
      <c r="E163" s="131"/>
      <c r="F163" s="131"/>
      <c r="G163" s="131"/>
      <c r="H163" s="504"/>
      <c r="I163" s="133"/>
      <c r="J163" s="172"/>
      <c r="K163" s="522"/>
      <c r="L163" s="172"/>
      <c r="M163" s="504" t="s">
        <v>4713</v>
      </c>
      <c r="N163" s="128" t="n">
        <f>SUM(D153:D162,N153:N162)</f>
        <v>150.91</v>
      </c>
      <c r="O163" s="128" t="n">
        <f>SUM(E153:E162,O153:O162)</f>
        <v>98.96</v>
      </c>
      <c r="P163" s="128" t="n">
        <f>SUM(F153:F162,P153:P162)</f>
        <v>110.16</v>
      </c>
      <c r="Q163" s="131"/>
      <c r="R163" s="131"/>
      <c r="S163" s="196"/>
      <c r="T163" s="515"/>
    </row>
    <row r="164" spans="1:20" x14ac:dyDescent="0.15">
      <c r="D164" s="128" t="s">
        <v>4969</v>
      </c>
      <c r="E164" s="128" t="s">
        <v>4970</v>
      </c>
    </row>
    <row r="165" spans="1:20" x14ac:dyDescent="0.15">
      <c r="A165" s="252" t="s">
        <v>4971</v>
      </c>
      <c r="B165" s="50" t="s">
        <v>4649</v>
      </c>
      <c r="C165" s="50" t="s">
        <v>4972</v>
      </c>
      <c r="D165" s="2306" t="n">
        <f>N173-SUM(D166:D170)</f>
        <v>447.12</v>
      </c>
      <c r="E165" s="51" t="n">
        <f t="shared" ref="E165:E171" si="0">D165/$D$171</f>
        <v>0.4101077734464572</v>
      </c>
      <c r="M165" s="511" t="s">
        <v>4973</v>
      </c>
      <c r="N165" s="128" t="n">
        <f>N26</f>
        <v>40.730000000000004</v>
      </c>
      <c r="O165" s="128" t="n">
        <f>O26</f>
        <v>38.660000000000004</v>
      </c>
      <c r="P165" s="128" t="n">
        <f>P26</f>
        <v>36.17</v>
      </c>
    </row>
    <row r="166" spans="1:20" x14ac:dyDescent="0.15">
      <c r="B166" s="50" t="s">
        <v>4974</v>
      </c>
      <c r="C166" s="50" t="s">
        <v>4975</v>
      </c>
      <c r="D166" s="2307" t="n">
        <f>SUM(D18:F18,N15:P15,N25:P25,D32:F32,D34:F37,D39:F44,D46:F48,D50:F50,N46:P46,D65:F69,D71:F76,D78:F80,D82:F82,N78:P78,N113:P113)</f>
        <v>189.94</v>
      </c>
      <c r="E166" s="51" t="n">
        <f t="shared" si="0"/>
        <v>0.17421692272414582</v>
      </c>
      <c r="M166" s="511" t="s">
        <v>4976</v>
      </c>
      <c r="N166" s="128" t="n">
        <f>N115</f>
        <v>70.38</v>
      </c>
      <c r="O166" s="128" t="n">
        <f>O115</f>
        <v>34.86000000000001</v>
      </c>
      <c r="P166" s="128" t="n">
        <f>P115</f>
        <v>32.47</v>
      </c>
    </row>
    <row r="167" spans="1:20" x14ac:dyDescent="0.15">
      <c r="B167" s="50" t="s">
        <v>4634</v>
      </c>
      <c r="C167" s="50" t="s">
        <v>4634</v>
      </c>
      <c r="D167" s="2308" t="n">
        <f>SUM(D6:F9,D12:F12,D19:F21,N9:P11,N21:P21,N34:P34,D49:F49,N45:P45,N66:P66,N77:P77,D77:F77,D81:F81,D98:F103,D112:F114,N95:P95,N97:P97,N107:P107)</f>
        <v>83.47999999999999</v>
      </c>
      <c r="E167" s="51" t="n">
        <f t="shared" si="0"/>
        <v>0.07656959412978674</v>
      </c>
      <c r="M167" s="511" t="s">
        <v>4977</v>
      </c>
      <c r="N167" s="128" t="n">
        <f>N125</f>
        <v>8.879999999999999</v>
      </c>
      <c r="O167" s="128" t="n">
        <f>O125</f>
        <v>11.899999999999999</v>
      </c>
      <c r="P167" s="128" t="n">
        <f>P125</f>
        <v>5.27</v>
      </c>
    </row>
    <row r="168" spans="1:20" x14ac:dyDescent="0.15">
      <c r="B168" s="50" t="s">
        <v>4634</v>
      </c>
      <c r="C168" s="50" t="s">
        <v>4978</v>
      </c>
      <c r="D168" s="2309" t="n">
        <f>SUM(,N140:P140,D153:F153)</f>
        <v>325.72</v>
      </c>
      <c r="E168" s="51" t="n">
        <f t="shared" si="0"/>
        <v>0.2987571657876634</v>
      </c>
      <c r="G168" s="128"/>
      <c r="M168" s="511" t="s">
        <v>4979</v>
      </c>
      <c r="N168" s="128" t="n">
        <f>N133</f>
        <v>12.26</v>
      </c>
      <c r="O168" s="128" t="n">
        <f>O133</f>
        <v>15.26</v>
      </c>
      <c r="P168" s="128" t="n">
        <f>P133</f>
        <v>6.4</v>
      </c>
    </row>
    <row r="169" spans="1:20" x14ac:dyDescent="0.15">
      <c r="B169" s="1004" t="s">
        <v>4980</v>
      </c>
      <c r="C169" s="50" t="s">
        <v>4981</v>
      </c>
      <c r="D169" s="2310" t="n">
        <f>SUM(D14:F14,N19:P20,D95:F96,N95:P95,N97:P97,N105:P106)</f>
        <v>18.82</v>
      </c>
      <c r="E169" s="51" t="n">
        <f t="shared" si="0"/>
        <v>0.017262095849575786</v>
      </c>
      <c r="M169" s="511" t="s">
        <v>4982</v>
      </c>
      <c r="N169" s="128" t="n">
        <f>N90</f>
        <v>71.36999999999999</v>
      </c>
      <c r="O169" s="128" t="n">
        <f>O90</f>
        <v>62.93000000000001</v>
      </c>
      <c r="P169" s="128" t="n">
        <f>P90</f>
        <v>72.67000000000002</v>
      </c>
    </row>
    <row r="170" spans="1:20" x14ac:dyDescent="0.15">
      <c r="B170" s="1004" t="s">
        <v>4983</v>
      </c>
      <c r="C170" s="50"/>
      <c r="D170" s="2310" t="n">
        <f>SUM(N138:P138)</f>
        <v>25.17</v>
      </c>
      <c r="E170" s="51" t="n">
        <f t="shared" si="0"/>
        <v>0.023086448062371017</v>
      </c>
      <c r="M170" s="511" t="s">
        <v>4984</v>
      </c>
      <c r="N170" s="128" t="n">
        <f>N58</f>
        <v>73.74999999999999</v>
      </c>
      <c r="O170" s="128" t="n">
        <f>O58</f>
        <v>67.44</v>
      </c>
      <c r="P170" s="128" t="n">
        <f>P58</f>
        <v>77.96000000000001</v>
      </c>
    </row>
    <row r="171" spans="1:20" x14ac:dyDescent="0.15">
      <c r="B171" s="50"/>
      <c r="C171" s="50" t="s">
        <v>4985</v>
      </c>
      <c r="D171" s="2463" t="n">
        <f>SUM(D165:D170)</f>
        <v>1090.25</v>
      </c>
      <c r="E171" s="2462" t="n">
        <f t="shared" si="0"/>
        <v>1.0</v>
      </c>
      <c r="M171" s="511" t="s">
        <v>4986</v>
      </c>
      <c r="N171" s="128" t="n">
        <f>D153+N140</f>
        <v>106.22</v>
      </c>
      <c r="O171" s="128" t="n">
        <f t="shared" ref="O171:P171" si="1">E153+O140</f>
        <v>107.27000000000001</v>
      </c>
      <c r="P171" s="128" t="n">
        <f t="shared" si="1"/>
        <v>112.23</v>
      </c>
    </row>
    <row r="172" spans="1:20" x14ac:dyDescent="0.15">
      <c r="D172" s="128"/>
      <c r="M172" s="511" t="s">
        <v>4987</v>
      </c>
      <c r="N172" s="128" t="n">
        <f>N138</f>
        <v>7.09</v>
      </c>
      <c r="O172" s="128" t="n">
        <f t="shared" ref="O172:P172" si="2">O138</f>
        <v>8.25</v>
      </c>
      <c r="P172" s="128" t="n">
        <f t="shared" si="2"/>
        <v>9.83</v>
      </c>
    </row>
    <row r="173" spans="1:20" x14ac:dyDescent="0.15">
      <c r="M173" s="511" t="s">
        <v>4988</v>
      </c>
      <c r="N173" s="2463" t="n">
        <f>SUM(N165:P172)</f>
        <v>1090.25</v>
      </c>
    </row>
    <row r="175" spans="1:20" x14ac:dyDescent="0.15">
      <c r="N175" t="n">
        <f>N173*220/1000</f>
        <v>239.855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1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3.5" x14ac:dyDescent="0.15"/>
  <cols>
    <col min="1" max="1" customWidth="true" style="511" width="18.33203125" collapsed="false"/>
    <col min="2" max="3" customWidth="true" width="6.77734375" collapsed="false"/>
    <col min="4" max="7" customWidth="true" width="7.6640625" collapsed="false"/>
    <col min="8" max="8" customWidth="true" style="511" width="9.33203125" collapsed="false"/>
    <col min="9" max="9" bestFit="true" customWidth="true" width="4.44140625" collapsed="false"/>
    <col min="10" max="10" bestFit="true" customWidth="true" width="17.5546875" collapsed="false"/>
    <col min="11" max="11" bestFit="true" customWidth="true" style="511" width="17.5546875" collapsed="false"/>
    <col min="12" max="12" bestFit="true" customWidth="true" width="4.44140625" collapsed="false"/>
    <col min="13" max="13" customWidth="true" style="511" width="9.33203125" collapsed="false"/>
    <col min="14" max="17" customWidth="true" width="7.6640625" collapsed="false"/>
    <col min="18" max="19" customWidth="true" width="6.77734375" collapsed="false"/>
    <col min="20" max="20" customWidth="true" style="511" width="18.33203125" collapsed="false"/>
  </cols>
  <sheetData>
    <row r="1" spans="1:21" x14ac:dyDescent="0.15">
      <c r="A1" s="2694" t="s">
        <v>9602</v>
      </c>
    </row>
    <row r="2" spans="1:21" ht="14.25" thickBot="1" x14ac:dyDescent="0.2">
      <c r="A2" s="495"/>
      <c r="D2" s="125"/>
      <c r="E2" s="125"/>
      <c r="F2" s="125"/>
      <c r="G2" s="125"/>
      <c r="H2" s="495"/>
      <c r="I2" s="124"/>
      <c r="J2" s="124"/>
      <c r="K2" s="495"/>
      <c r="L2" s="124"/>
      <c r="M2" s="495"/>
      <c r="N2" s="125"/>
      <c r="O2" s="125"/>
      <c r="P2" s="125"/>
      <c r="Q2" s="125"/>
      <c r="R2" s="125"/>
      <c r="S2" s="125"/>
      <c r="U2" s="2147"/>
    </row>
    <row r="3" spans="1:21" ht="15" thickTop="1" thickBot="1" x14ac:dyDescent="0.2">
      <c r="A3" s="53" t="s">
        <v>7018</v>
      </c>
      <c r="D3" s="3660" t="s">
        <v>8979</v>
      </c>
      <c r="E3" s="3660"/>
      <c r="F3" s="3660"/>
      <c r="G3" s="3660"/>
      <c r="H3" s="495"/>
      <c r="I3" s="124"/>
      <c r="J3" s="3661" t="s">
        <v>4628</v>
      </c>
      <c r="K3" s="3662"/>
      <c r="L3" s="486"/>
      <c r="M3" s="495"/>
      <c r="N3" s="126"/>
      <c r="O3" s="126"/>
      <c r="P3" s="126"/>
      <c r="Q3" s="126"/>
      <c r="R3" s="126"/>
      <c r="S3" s="126"/>
    </row>
    <row r="4" spans="1:21" ht="30" customHeight="1" thickTop="1" thickBot="1" x14ac:dyDescent="0.2">
      <c r="A4" s="496"/>
      <c r="B4" s="128"/>
      <c r="C4" s="128"/>
      <c r="D4" s="129"/>
      <c r="E4" s="130"/>
      <c r="F4" s="130"/>
      <c r="G4" s="130"/>
      <c r="H4" s="515"/>
      <c r="I4" s="131"/>
      <c r="J4" s="128"/>
      <c r="K4" s="516"/>
      <c r="L4" s="132"/>
      <c r="M4" s="1371" t="s">
        <v>4562</v>
      </c>
      <c r="N4" s="1368">
        <v>26</v>
      </c>
      <c r="O4" s="1369">
        <v>14</v>
      </c>
      <c r="P4" s="1370">
        <v>21.8</v>
      </c>
      <c r="Q4" s="508" t="s">
        <v>4563</v>
      </c>
      <c r="R4" s="133"/>
      <c r="S4" s="128"/>
      <c r="T4" s="528"/>
    </row>
    <row r="5" spans="1:21" ht="20.100000000000001" customHeight="1" thickTop="1" thickBot="1" x14ac:dyDescent="0.2">
      <c r="A5" s="497" t="s">
        <v>4629</v>
      </c>
      <c r="B5" s="135" t="s">
        <v>4565</v>
      </c>
      <c r="C5" s="136" t="s">
        <v>4566</v>
      </c>
      <c r="D5" s="135" t="s">
        <v>4567</v>
      </c>
      <c r="E5" s="135" t="s">
        <v>4568</v>
      </c>
      <c r="F5" s="135" t="s">
        <v>4569</v>
      </c>
      <c r="G5" s="135" t="s">
        <v>4570</v>
      </c>
      <c r="H5" s="539" t="s">
        <v>4571</v>
      </c>
      <c r="I5" s="479"/>
      <c r="J5" s="138" t="s">
        <v>4572</v>
      </c>
      <c r="K5" s="517" t="s">
        <v>4572</v>
      </c>
      <c r="L5" s="479"/>
      <c r="M5" s="539" t="s">
        <v>4571</v>
      </c>
      <c r="N5" s="135" t="s">
        <v>4567</v>
      </c>
      <c r="O5" s="135" t="s">
        <v>4568</v>
      </c>
      <c r="P5" s="135" t="s">
        <v>4569</v>
      </c>
      <c r="Q5" s="135" t="s">
        <v>4570</v>
      </c>
      <c r="R5" s="135" t="s">
        <v>4565</v>
      </c>
      <c r="S5" s="136" t="s">
        <v>4566</v>
      </c>
      <c r="T5" s="529" t="s">
        <v>4629</v>
      </c>
    </row>
    <row r="6" spans="1:21" ht="24.75" thickTop="1" x14ac:dyDescent="0.15">
      <c r="A6" s="498" t="s">
        <v>4630</v>
      </c>
      <c r="B6" s="142" t="s">
        <v>4631</v>
      </c>
      <c r="C6" s="152" t="s">
        <v>4575</v>
      </c>
      <c r="D6" s="2654" cm="1">
        <f t="array" ref="D6">INDEX('7층_부하량'!I3:I3000,MATCH(1,("7-DaHall 1-RPP-01"='7층_부하량'!A3:A3000)*(1='7층_부하량'!B3:B3000),0))</f>
        <v>0</v>
      </c>
      <c r="E6" s="144"/>
      <c r="F6" s="144"/>
      <c r="G6" s="144"/>
      <c r="H6" s="540" t="s">
        <v>4632</v>
      </c>
      <c r="I6" s="480" t="s">
        <v>4633</v>
      </c>
      <c r="J6" s="145" t="s">
        <v>4634</v>
      </c>
      <c r="K6" s="518"/>
      <c r="L6" s="480" t="s">
        <v>4578</v>
      </c>
      <c r="M6" s="540" t="s">
        <v>4576</v>
      </c>
      <c r="N6" s="2654" cm="1">
        <f t="array" ref="N6">INDEX('7층_부하량'!I3:I3000,MATCH(1,("7-DaHall 1-RPP-01"='7층_부하량'!A3:A3000)*(2='7층_부하량'!B3:B3000),0))</f>
        <v>0</v>
      </c>
      <c r="O6" s="144"/>
      <c r="P6" s="144"/>
      <c r="Q6" s="144"/>
      <c r="R6" s="144" t="s">
        <v>4635</v>
      </c>
      <c r="S6" s="164" t="s">
        <v>4575</v>
      </c>
      <c r="T6" s="530" t="s">
        <v>4636</v>
      </c>
    </row>
    <row r="7" spans="1:21" ht="20.100000000000001" customHeight="1" x14ac:dyDescent="0.15">
      <c r="A7" s="499" t="s">
        <v>4637</v>
      </c>
      <c r="B7" s="143" t="s">
        <v>4631</v>
      </c>
      <c r="C7" s="164" t="s">
        <v>4575</v>
      </c>
      <c r="D7" s="149"/>
      <c r="E7" s="2655" cm="1">
        <f t="array" ref="E7">INDEX('7층_부하량'!J3:J3000,MATCH(1,("7-DaHall 1-RPP-01"='7층_부하량'!A3:A3000)*(3='7층_부하량'!B3:B3000),0))</f>
        <v>0</v>
      </c>
      <c r="F7" s="149"/>
      <c r="G7" s="149"/>
      <c r="H7" s="541" t="s">
        <v>4632</v>
      </c>
      <c r="I7" s="481" t="s">
        <v>4638</v>
      </c>
      <c r="J7" s="150" t="s">
        <v>4634</v>
      </c>
      <c r="K7" s="652" t="s">
        <v>4639</v>
      </c>
      <c r="L7" s="481" t="s">
        <v>4583</v>
      </c>
      <c r="M7" s="541" t="s">
        <v>4576</v>
      </c>
      <c r="N7" s="149"/>
      <c r="O7" s="2655" cm="1">
        <f t="array" ref="O7">INDEX('7층_부하량'!J3:J3000,MATCH(1,("7-DaHall 1-RPP-01"='7층_부하량'!A3:A3000)*(4='7층_부하량'!B3:B3000),0))</f>
        <v>0</v>
      </c>
      <c r="P7" s="149"/>
      <c r="Q7" s="149"/>
      <c r="R7" s="149" t="s">
        <v>4635</v>
      </c>
      <c r="S7" s="164" t="s">
        <v>4575</v>
      </c>
      <c r="T7" s="531" t="s">
        <v>4640</v>
      </c>
    </row>
    <row r="8" spans="1:21" ht="20.100000000000001" customHeight="1" x14ac:dyDescent="0.15">
      <c r="A8" s="500" t="s">
        <v>4637</v>
      </c>
      <c r="B8" s="143" t="s">
        <v>4631</v>
      </c>
      <c r="C8" s="164" t="s">
        <v>4575</v>
      </c>
      <c r="D8" s="157"/>
      <c r="E8" s="157"/>
      <c r="F8" s="2656" cm="1">
        <f t="array" ref="F8">INDEX('7층_부하량'!K3:K3000,MATCH(1,("7-DaHall 1-RPP-01"='7층_부하량'!A3:A3000)*(5='7층_부하량'!B3:B3000),0))</f>
        <v>0</v>
      </c>
      <c r="G8" s="157"/>
      <c r="H8" s="541" t="s">
        <v>4632</v>
      </c>
      <c r="I8" s="481" t="s">
        <v>4641</v>
      </c>
      <c r="J8" s="150" t="s">
        <v>4634</v>
      </c>
      <c r="K8" s="652" t="s">
        <v>4639</v>
      </c>
      <c r="L8" s="481" t="s">
        <v>4588</v>
      </c>
      <c r="M8" s="541" t="s">
        <v>4576</v>
      </c>
      <c r="N8" s="157"/>
      <c r="O8" s="157"/>
      <c r="P8" s="2656" cm="1">
        <f t="array" ref="P8">INDEX('7층_부하량'!K3:K3000,MATCH(1,("7-DaHall 1-RPP-01"='7층_부하량'!A3:A3000)*(6='7층_부하량'!B3:B3000),0))</f>
        <v>0</v>
      </c>
      <c r="Q8" s="157"/>
      <c r="R8" s="157" t="s">
        <v>4635</v>
      </c>
      <c r="S8" s="143" t="s">
        <v>4642</v>
      </c>
      <c r="T8" s="531" t="s">
        <v>4643</v>
      </c>
    </row>
    <row r="9" spans="1:21" ht="20.100000000000001" customHeight="1" x14ac:dyDescent="0.15">
      <c r="A9" s="501" t="s">
        <v>4644</v>
      </c>
      <c r="B9" s="143" t="s">
        <v>4631</v>
      </c>
      <c r="C9" s="164" t="s">
        <v>4575</v>
      </c>
      <c r="D9" s="2656" cm="1">
        <f t="array" ref="D9">INDEX('7층_부하량'!I3:I3000,MATCH(1,("7-DaHall 1-RPP-01"='7층_부하량'!A3:A3000)*(7='7층_부하량'!B3:B3000),0))</f>
        <v>0</v>
      </c>
      <c r="E9" s="157"/>
      <c r="F9" s="157"/>
      <c r="G9" s="157"/>
      <c r="H9" s="541" t="s">
        <v>4632</v>
      </c>
      <c r="I9" s="481" t="s">
        <v>4645</v>
      </c>
      <c r="J9" s="150" t="s">
        <v>4634</v>
      </c>
      <c r="K9" s="519" t="s">
        <v>4634</v>
      </c>
      <c r="L9" s="481" t="s">
        <v>4593</v>
      </c>
      <c r="M9" s="541" t="s">
        <v>4576</v>
      </c>
      <c r="N9" s="2656" cm="1" t="n">
        <f t="array" ref="N9">INDEX('7층_부하량'!I3:I3000,MATCH(1,("7-DaHall 1-RPP-01"='7층_부하량'!A3:A3000)*(8='7층_부하량'!B3:B3000),0))</f>
        <v>2.2949706804150782</v>
      </c>
      <c r="O9" s="157"/>
      <c r="P9" s="157"/>
      <c r="Q9" s="157"/>
      <c r="R9" s="157" t="s">
        <v>4635</v>
      </c>
      <c r="S9" s="164" t="s">
        <v>4575</v>
      </c>
      <c r="T9" s="531" t="s">
        <v>4646</v>
      </c>
    </row>
    <row r="10" spans="1:21" ht="20.100000000000001" customHeight="1" x14ac:dyDescent="0.15">
      <c r="A10" s="500" t="s">
        <v>4647</v>
      </c>
      <c r="B10" s="143" t="s">
        <v>4590</v>
      </c>
      <c r="C10" s="143" t="s">
        <v>4642</v>
      </c>
      <c r="D10" s="157"/>
      <c r="E10" s="2656" cm="1" t="n">
        <f t="array" ref="E10">INDEX('7층_부하량'!J3:J3000,MATCH(1,("7-DaHall 1-RPP-01"='7층_부하량'!A3:A3000)*(9='7층_부하량'!B3:B3000),0))</f>
        <v>2.4181724246694554</v>
      </c>
      <c r="F10" s="157"/>
      <c r="G10" s="157"/>
      <c r="H10" s="541" t="s">
        <v>4632</v>
      </c>
      <c r="I10" s="481" t="s">
        <v>4648</v>
      </c>
      <c r="J10" s="150" t="s">
        <v>4649</v>
      </c>
      <c r="K10" s="519" t="s">
        <v>4634</v>
      </c>
      <c r="L10" s="481" t="s">
        <v>4596</v>
      </c>
      <c r="M10" s="541" t="s">
        <v>4597</v>
      </c>
      <c r="N10" s="157"/>
      <c r="O10" s="2656" cm="1" t="n">
        <f t="array" ref="O10">INDEX('7층_부하량'!J3:J3000,MATCH(1,("7-DaHall 1-RPP-01"='7층_부하량'!A3:A3000)*(10='7층_부하량'!B3:B3000),0))</f>
        <v>1.5543268481938066</v>
      </c>
      <c r="P10" s="157"/>
      <c r="Q10" s="157"/>
      <c r="R10" s="157" t="s">
        <v>4635</v>
      </c>
      <c r="S10" s="164" t="s">
        <v>4575</v>
      </c>
      <c r="T10" s="531" t="s">
        <v>4650</v>
      </c>
    </row>
    <row r="11" spans="1:21" ht="20.100000000000001" customHeight="1" x14ac:dyDescent="0.15">
      <c r="A11" s="500" t="s">
        <v>4651</v>
      </c>
      <c r="B11" s="143" t="s">
        <v>4631</v>
      </c>
      <c r="C11" s="164" t="s">
        <v>4652</v>
      </c>
      <c r="D11" s="157"/>
      <c r="E11" s="157"/>
      <c r="F11" s="2656" cm="1">
        <f t="array" ref="F11">INDEX('7층_부하량'!K3:K3000,MATCH(1,("7-DaHall 1-RPP-01"='7층_부하량'!A3:A3000)*(11='7층_부하량'!B3:B3000),0))</f>
        <v>0</v>
      </c>
      <c r="G11" s="157"/>
      <c r="H11" s="541" t="s">
        <v>4632</v>
      </c>
      <c r="I11" s="481" t="s">
        <v>4653</v>
      </c>
      <c r="J11" s="150" t="s">
        <v>4654</v>
      </c>
      <c r="K11" s="519" t="s">
        <v>4634</v>
      </c>
      <c r="L11" s="481" t="s">
        <v>4599</v>
      </c>
      <c r="M11" s="541" t="s">
        <v>4597</v>
      </c>
      <c r="N11" s="157"/>
      <c r="O11" s="157"/>
      <c r="P11" s="2656" cm="1" t="n">
        <f t="array" ref="P11">INDEX('7층_부하량'!K3:K3000,MATCH(1,("7-DaHall 1-RPP-01"='7층_부하량'!A3:A3000)*(12='7층_부하량'!B3:B3000),0))</f>
        <v>3.5738968881687865</v>
      </c>
      <c r="Q11" s="157"/>
      <c r="R11" s="157" t="s">
        <v>4635</v>
      </c>
      <c r="S11" s="164" t="s">
        <v>4575</v>
      </c>
      <c r="T11" s="531" t="s">
        <v>4655</v>
      </c>
    </row>
    <row r="12" spans="1:21" ht="20.100000000000001" customHeight="1" x14ac:dyDescent="0.15">
      <c r="A12" s="500" t="s">
        <v>4656</v>
      </c>
      <c r="B12" s="143" t="s">
        <v>4631</v>
      </c>
      <c r="C12" s="164" t="s">
        <v>4652</v>
      </c>
      <c r="D12" s="2656" cm="1" t="n">
        <f t="array" ref="D12">INDEX('7층_부하량'!I3:I3000,MATCH(1,("7-DaHall 1-RPP-01"='7층_부하량'!A3:A3000)*(13='7층_부하량'!B3:B3000),0))</f>
        <v>1.4136392633700205</v>
      </c>
      <c r="E12" s="157"/>
      <c r="F12" s="157"/>
      <c r="G12" s="157"/>
      <c r="H12" s="541" t="s">
        <v>4632</v>
      </c>
      <c r="I12" s="481" t="s">
        <v>4657</v>
      </c>
      <c r="J12" s="150" t="s">
        <v>4634</v>
      </c>
      <c r="K12" s="652" t="s">
        <v>4658</v>
      </c>
      <c r="L12" s="481" t="s">
        <v>4601</v>
      </c>
      <c r="M12" s="541" t="s">
        <v>4597</v>
      </c>
      <c r="N12" s="2656" cm="1" t="n">
        <f t="array" ref="N12">INDEX('7층_부하량'!I3:I3000,MATCH(1,("7-DaHall 1-RPP-01"='7층_부하량'!A3:A3000)*(14='7층_부하량'!B3:B3000),0))</f>
        <v>5.845521273869462</v>
      </c>
      <c r="O12" s="157"/>
      <c r="P12" s="157"/>
      <c r="Q12" s="157"/>
      <c r="R12" s="157" t="s">
        <v>4635</v>
      </c>
      <c r="S12" s="164" t="s">
        <v>4575</v>
      </c>
      <c r="T12" s="531" t="s">
        <v>4659</v>
      </c>
    </row>
    <row r="13" spans="1:21" ht="16.5" x14ac:dyDescent="0.15">
      <c r="A13" s="500" t="s">
        <v>4660</v>
      </c>
      <c r="B13" s="143" t="s">
        <v>4590</v>
      </c>
      <c r="C13" s="164" t="s">
        <v>4575</v>
      </c>
      <c r="D13" s="157"/>
      <c r="E13" s="2656" cm="1" t="n">
        <f t="array" ref="E13">INDEX('7층_부하량'!J3:J3000,MATCH(1,("7-DaHall 1-RPP-01"='7층_부하량'!A3:A3000)*(15='7층_부하량'!B3:B3000),0))</f>
        <v>4.093637746796053</v>
      </c>
      <c r="F13" s="157"/>
      <c r="G13" s="157"/>
      <c r="H13" s="541" t="s">
        <v>4632</v>
      </c>
      <c r="I13" s="481" t="s">
        <v>4661</v>
      </c>
      <c r="J13" s="150" t="s">
        <v>4649</v>
      </c>
      <c r="K13" s="652" t="s">
        <v>4662</v>
      </c>
      <c r="L13" s="481" t="s">
        <v>4603</v>
      </c>
      <c r="M13" s="541" t="s">
        <v>4597</v>
      </c>
      <c r="N13" s="157"/>
      <c r="O13" s="2656" cm="1" t="n">
        <f t="array" ref="O13">INDEX('7층_부하량'!J3:J3000,MATCH(1,("7-DaHall 1-RPP-01"='7층_부하량'!A3:A3000)*(16='7층_부하량'!B3:B3000),0))</f>
        <v>3.201366836015006</v>
      </c>
      <c r="P13" s="157"/>
      <c r="Q13" s="157"/>
      <c r="R13" s="157" t="s">
        <v>4635</v>
      </c>
      <c r="S13" s="164" t="s">
        <v>4575</v>
      </c>
      <c r="T13" s="531" t="s">
        <v>4663</v>
      </c>
    </row>
    <row r="14" spans="1:21" ht="16.5" x14ac:dyDescent="0.15">
      <c r="A14" s="500" t="s">
        <v>4664</v>
      </c>
      <c r="B14" s="143" t="s">
        <v>4631</v>
      </c>
      <c r="C14" s="164" t="s">
        <v>4575</v>
      </c>
      <c r="D14" s="157"/>
      <c r="E14" s="157"/>
      <c r="F14" s="2657" cm="1">
        <f t="array" ref="F14">INDEX('7층_부하량'!K3:K3000,MATCH(1,("7-DaHall 1-RPP-01"='7층_부하량'!A3:A3000)*(17='7층_부하량'!B3:B3000),0))</f>
        <v>0</v>
      </c>
      <c r="G14" s="157"/>
      <c r="H14" s="541" t="s">
        <v>4632</v>
      </c>
      <c r="I14" s="481" t="s">
        <v>4665</v>
      </c>
      <c r="J14" s="150" t="s">
        <v>4666</v>
      </c>
      <c r="K14" s="2441" t="s">
        <v>4667</v>
      </c>
      <c r="L14" s="481" t="s">
        <v>4605</v>
      </c>
      <c r="M14" s="541" t="s">
        <v>4597</v>
      </c>
      <c r="N14" s="157"/>
      <c r="O14" s="157"/>
      <c r="P14" s="2656" cm="1" t="n">
        <f t="array" ref="P14">INDEX('7층_부하량'!K3:K3000,MATCH(1,("7-DaHall 1-RPP-01"='7층_부하량'!A3:A3000)*(18='7층_부하량'!B3:B3000),0))</f>
        <v>1.4665239887575583</v>
      </c>
      <c r="Q14" s="157"/>
      <c r="R14" s="157" t="s">
        <v>4635</v>
      </c>
      <c r="S14" s="164" t="s">
        <v>4575</v>
      </c>
      <c r="T14" s="531" t="s">
        <v>4668</v>
      </c>
    </row>
    <row r="15" spans="1:21" ht="24" x14ac:dyDescent="0.15">
      <c r="A15" s="500" t="s">
        <v>4669</v>
      </c>
      <c r="B15" s="143" t="s">
        <v>4631</v>
      </c>
      <c r="C15" s="164" t="s">
        <v>4575</v>
      </c>
      <c r="D15" s="2656" cm="1" t="n">
        <f t="array" ref="D15">INDEX('7층_부하량'!I3:I3000,MATCH(1,("7-DaHall 1-RPP-01"='7층_부하량'!A3:A3000)*(19='7층_부하량'!B3:B3000),0))</f>
        <v>1.7131975900517076</v>
      </c>
      <c r="E15" s="157"/>
      <c r="F15" s="157"/>
      <c r="G15" s="157"/>
      <c r="H15" s="541" t="s">
        <v>4632</v>
      </c>
      <c r="I15" s="481" t="s">
        <v>4670</v>
      </c>
      <c r="J15" s="653" t="s">
        <v>4671</v>
      </c>
      <c r="K15" s="519" t="s">
        <v>4649</v>
      </c>
      <c r="L15" s="481" t="s">
        <v>4609</v>
      </c>
      <c r="M15" s="541" t="s">
        <v>4597</v>
      </c>
      <c r="N15" s="2656" cm="1" t="n">
        <f t="array" ref="N15">INDEX('7층_부하량'!I3:I3000,MATCH(1,("7-DaHall 1-RPP-01"='7층_부하량'!A3:A3000)*(20='7층_부하량'!B3:B3000),0))</f>
        <v>1.4646921370999189</v>
      </c>
      <c r="O15" s="157"/>
      <c r="P15" s="157"/>
      <c r="Q15" s="157"/>
      <c r="R15" s="157" t="s">
        <v>4635</v>
      </c>
      <c r="S15" s="164" t="s">
        <v>4575</v>
      </c>
      <c r="T15" s="531" t="s">
        <v>4672</v>
      </c>
    </row>
    <row r="16" spans="1:21" ht="20.100000000000001" customHeight="1" x14ac:dyDescent="0.15">
      <c r="A16" s="500" t="s">
        <v>4673</v>
      </c>
      <c r="B16" s="143" t="s">
        <v>4590</v>
      </c>
      <c r="C16" s="143" t="s">
        <v>4642</v>
      </c>
      <c r="D16" s="157"/>
      <c r="E16" s="2656" cm="1">
        <f t="array" ref="E16">INDEX('7층_부하량'!J3:J3000,MATCH(1,("7-DaHall 1-RPP-01"='7층_부하량'!A3:A3000)*(21='7층_부하량'!B3:B3000),0))</f>
        <v>0</v>
      </c>
      <c r="F16" s="157"/>
      <c r="G16" s="157"/>
      <c r="H16" s="541" t="s">
        <v>4632</v>
      </c>
      <c r="I16" s="481" t="s">
        <v>4674</v>
      </c>
      <c r="J16" s="150"/>
      <c r="K16" s="519" t="s">
        <v>4675</v>
      </c>
      <c r="L16" s="481" t="s">
        <v>4613</v>
      </c>
      <c r="M16" s="541" t="s">
        <v>4597</v>
      </c>
      <c r="N16" s="157"/>
      <c r="O16" s="2656" cm="1">
        <f t="array" ref="O16">INDEX('7층_부하량'!J3:J3000,MATCH(1,("7-DaHall 1-RPP-01"='7층_부하량'!A3:A3000)*(22='7층_부하량'!B3:B3000),0))</f>
        <v>0</v>
      </c>
      <c r="P16" s="157"/>
      <c r="Q16" s="157"/>
      <c r="R16" s="157" t="s">
        <v>4635</v>
      </c>
      <c r="S16" s="164" t="s">
        <v>4575</v>
      </c>
      <c r="T16" s="531" t="s">
        <v>4676</v>
      </c>
    </row>
    <row r="17" spans="1:21" ht="20.100000000000001" customHeight="1" x14ac:dyDescent="0.15">
      <c r="A17" s="500" t="s">
        <v>4677</v>
      </c>
      <c r="B17" s="143" t="s">
        <v>4631</v>
      </c>
      <c r="C17" s="164" t="s">
        <v>4575</v>
      </c>
      <c r="D17" s="157"/>
      <c r="E17" s="157"/>
      <c r="F17" s="2656" cm="1" t="n">
        <f t="array" ref="F17">INDEX('7층_부하량'!K3:K3000,MATCH(1,("7-DaHall 1-RPP-01"='7층_부하량'!A3:A3000)*(23='7층_부하량'!B3:B3000),0))</f>
        <v>1.4197899476262887</v>
      </c>
      <c r="G17" s="157"/>
      <c r="H17" s="541" t="s">
        <v>4632</v>
      </c>
      <c r="I17" s="481" t="s">
        <v>4678</v>
      </c>
      <c r="J17" s="654" t="s">
        <v>4679</v>
      </c>
      <c r="K17" s="519" t="s">
        <v>4675</v>
      </c>
      <c r="L17" s="481" t="s">
        <v>4680</v>
      </c>
      <c r="M17" s="541" t="s">
        <v>4597</v>
      </c>
      <c r="N17" s="157"/>
      <c r="O17" s="157"/>
      <c r="P17" s="2656" cm="1" t="n">
        <f t="array" ref="P17">INDEX('7층_부하량'!K3:K3000,MATCH(1,("7-DaHall 1-RPP-01"='7층_부하량'!A3:A3000)*(24='7층_부하량'!B3:B3000),0))</f>
        <v>2.134386411753344</v>
      </c>
      <c r="Q17" s="157"/>
      <c r="R17" s="157" t="s">
        <v>4635</v>
      </c>
      <c r="S17" s="164" t="s">
        <v>4575</v>
      </c>
      <c r="T17" s="531" t="s">
        <v>4681</v>
      </c>
    </row>
    <row r="18" spans="1:21" ht="24" x14ac:dyDescent="0.15">
      <c r="A18" s="502" t="s">
        <v>4682</v>
      </c>
      <c r="B18" s="143" t="s">
        <v>4631</v>
      </c>
      <c r="C18" s="164" t="s">
        <v>4575</v>
      </c>
      <c r="D18" s="2656" cm="1" t="n">
        <f t="array" ref="D18">INDEX('7층_부하량'!I3:I3000,MATCH(1,("7-DaHall 1-RPP-01"='7층_부하량'!A3:A3000)*(25='7층_부하량'!B3:B3000),0))</f>
        <v>1.5434871791960851</v>
      </c>
      <c r="E18" s="157"/>
      <c r="F18" s="157"/>
      <c r="G18" s="157"/>
      <c r="H18" s="541" t="s">
        <v>4632</v>
      </c>
      <c r="I18" s="481" t="s">
        <v>4683</v>
      </c>
      <c r="J18" s="150" t="s">
        <v>4649</v>
      </c>
      <c r="K18" s="655" t="s">
        <v>4684</v>
      </c>
      <c r="L18" s="481" t="s">
        <v>4685</v>
      </c>
      <c r="M18" s="541" t="s">
        <v>4597</v>
      </c>
      <c r="N18" s="2656" cm="1" t="n">
        <f t="array" ref="N18">INDEX('7층_부하량'!I3:I3000,MATCH(1,("7-DaHall 1-RPP-01"='7층_부하량'!A3:A3000)*(26='7층_부하량'!B3:B3000),0))</f>
        <v>2.1369531227674723</v>
      </c>
      <c r="O18" s="157"/>
      <c r="P18" s="157"/>
      <c r="Q18" s="157"/>
      <c r="R18" s="157" t="s">
        <v>4635</v>
      </c>
      <c r="S18" s="164" t="s">
        <v>4575</v>
      </c>
      <c r="T18" s="531" t="s">
        <v>4686</v>
      </c>
    </row>
    <row r="19" spans="1:21" ht="20.100000000000001" customHeight="1" x14ac:dyDescent="0.15">
      <c r="A19" s="500" t="s">
        <v>4687</v>
      </c>
      <c r="B19" s="143" t="s">
        <v>4631</v>
      </c>
      <c r="C19" s="164" t="s">
        <v>4575</v>
      </c>
      <c r="D19" s="157"/>
      <c r="E19" s="2656" cm="1" t="n">
        <f t="array" ref="E19">INDEX('7층_부하량'!J3:J3000,MATCH(1,("7-DaHall 1-RPP-01"='7층_부하량'!A3:A3000)*(27='7층_부하량'!B3:B3000),0))</f>
        <v>3.838658392298918</v>
      </c>
      <c r="F19" s="157"/>
      <c r="G19" s="157"/>
      <c r="H19" s="541" t="s">
        <v>4632</v>
      </c>
      <c r="I19" s="481" t="s">
        <v>4688</v>
      </c>
      <c r="J19" s="150" t="s">
        <v>4634</v>
      </c>
      <c r="K19" s="519" t="s">
        <v>4666</v>
      </c>
      <c r="L19" s="481" t="s">
        <v>4689</v>
      </c>
      <c r="M19" s="541" t="s">
        <v>4597</v>
      </c>
      <c r="N19" s="157"/>
      <c r="O19" s="2656" cm="1" t="n">
        <f t="array" ref="O19">INDEX('7층_부하량'!J3:J3000,MATCH(1,("7-DaHall 1-RPP-01"='7층_부하량'!A3:A3000)*(28='7층_부하량'!B3:B3000),0))</f>
        <v>1.8009421539281132</v>
      </c>
      <c r="P19" s="157"/>
      <c r="Q19" s="157"/>
      <c r="R19" s="157" t="s">
        <v>4635</v>
      </c>
      <c r="S19" s="164" t="s">
        <v>4575</v>
      </c>
      <c r="T19" s="531" t="s">
        <v>1229</v>
      </c>
    </row>
    <row r="20" spans="1:21" ht="20.100000000000001" customHeight="1" x14ac:dyDescent="0.15">
      <c r="A20" s="501" t="s">
        <v>4690</v>
      </c>
      <c r="B20" s="156" t="s">
        <v>4631</v>
      </c>
      <c r="C20" s="189" t="s">
        <v>4575</v>
      </c>
      <c r="D20" s="179"/>
      <c r="E20" s="179"/>
      <c r="F20" s="2658" cm="1" t="n">
        <f t="array" ref="F20">INDEX('7층_부하량'!K3:K3000,MATCH(1,("7-DaHall 1-RPP-01"='7층_부하량'!A3:A3000)*(29='7층_부하량'!B3:B3000),0))</f>
        <v>3.7843492903132017</v>
      </c>
      <c r="G20" s="179"/>
      <c r="H20" s="542" t="s">
        <v>4632</v>
      </c>
      <c r="I20" s="482" t="s">
        <v>4691</v>
      </c>
      <c r="J20" s="193" t="s">
        <v>4634</v>
      </c>
      <c r="K20" s="520" t="s">
        <v>4666</v>
      </c>
      <c r="L20" s="482" t="s">
        <v>4692</v>
      </c>
      <c r="M20" s="542" t="s">
        <v>4597</v>
      </c>
      <c r="N20" s="179"/>
      <c r="O20" s="179"/>
      <c r="P20" s="2658" cm="1" t="n">
        <f t="array" ref="P20">INDEX('7층_부하량'!K3:K3000,MATCH(1,("7-DaHall 1-RPP-01"='7층_부하량'!A3:A3000)*(30='7층_부하량'!B3:B3000),0))</f>
        <v>3.863153655586968</v>
      </c>
      <c r="Q20" s="179"/>
      <c r="R20" s="179" t="s">
        <v>4635</v>
      </c>
      <c r="S20" s="189" t="s">
        <v>4575</v>
      </c>
      <c r="T20" s="532" t="s">
        <v>1235</v>
      </c>
    </row>
    <row r="21" spans="1:21" ht="20.100000000000001" customHeight="1" x14ac:dyDescent="0.15">
      <c r="A21" s="107" t="s">
        <v>4637</v>
      </c>
      <c r="B21" s="143" t="s">
        <v>4631</v>
      </c>
      <c r="C21" s="164" t="s">
        <v>4575</v>
      </c>
      <c r="D21" s="2656" cm="1" t="n">
        <f t="array" ref="D21">INDEX('7층_부하량'!I3:I3000,MATCH(1,("7-DaHall 1-RPP-01"='7층_부하량'!A3:A3000)*(31='7층_부하량'!B3:B3000),0))</f>
        <v>5.607147499079067</v>
      </c>
      <c r="E21" s="157"/>
      <c r="F21" s="157"/>
      <c r="G21" s="157"/>
      <c r="H21" s="541" t="s">
        <v>4632</v>
      </c>
      <c r="I21" s="481" t="s">
        <v>4693</v>
      </c>
      <c r="J21" s="150" t="s">
        <v>4634</v>
      </c>
      <c r="K21" s="519" t="s">
        <v>4634</v>
      </c>
      <c r="L21" s="481" t="s">
        <v>4694</v>
      </c>
      <c r="M21" s="541" t="s">
        <v>4597</v>
      </c>
      <c r="N21" s="2656" cm="1">
        <f t="array" ref="N21">INDEX('7층_부하량'!I3:I3000,MATCH(1,("7-DaHall 1-RPP-01"='7층_부하량'!A3:A3000)*(32='7층_부하량'!B3:B3000),0))</f>
        <v>0</v>
      </c>
      <c r="O21" s="157"/>
      <c r="P21" s="157"/>
      <c r="Q21" s="157"/>
      <c r="R21" s="157" t="s">
        <v>4635</v>
      </c>
      <c r="S21" s="164" t="s">
        <v>4575</v>
      </c>
      <c r="T21" s="712" t="s">
        <v>4695</v>
      </c>
    </row>
    <row r="22" spans="1:21" ht="16.5" x14ac:dyDescent="0.15">
      <c r="A22" s="500" t="s">
        <v>4696</v>
      </c>
      <c r="B22" s="143" t="s">
        <v>4631</v>
      </c>
      <c r="C22" s="164" t="s">
        <v>4575</v>
      </c>
      <c r="D22" s="157"/>
      <c r="E22" s="2656" cm="1">
        <f t="array" ref="E22">INDEX('7층_부하량'!J3:J3000,MATCH(1,("7-DaHall 1-RPP-01"='7층_부하량'!A3:A3000)*(33='7층_부하량'!B3:B3000),0))</f>
        <v>0</v>
      </c>
      <c r="F22" s="157"/>
      <c r="G22" s="157"/>
      <c r="H22" s="541" t="s">
        <v>4632</v>
      </c>
      <c r="I22" s="481" t="s">
        <v>4697</v>
      </c>
      <c r="J22" s="150" t="s">
        <v>4675</v>
      </c>
      <c r="K22" s="519" t="s">
        <v>4654</v>
      </c>
      <c r="L22" s="481" t="s">
        <v>4698</v>
      </c>
      <c r="M22" s="541" t="s">
        <v>4597</v>
      </c>
      <c r="N22" s="157"/>
      <c r="O22" s="2656" cm="1" t="n">
        <f t="array" ref="O22">INDEX('7층_부하량'!J3:J3000,MATCH(1,("7-DaHall 1-RPP-01"='7층_부하량'!A3:A3000)*(34='7층_부하량'!B3:B3000),0))</f>
        <v>1.4248216040418846</v>
      </c>
      <c r="P22" s="157"/>
      <c r="Q22" s="157"/>
      <c r="R22" s="157" t="s">
        <v>4635</v>
      </c>
      <c r="S22" s="143" t="s">
        <v>4584</v>
      </c>
      <c r="T22" s="531" t="s">
        <v>4699</v>
      </c>
    </row>
    <row r="23" spans="1:21" ht="16.5" x14ac:dyDescent="0.15">
      <c r="A23" s="500" t="s">
        <v>4700</v>
      </c>
      <c r="B23" s="143" t="s">
        <v>4631</v>
      </c>
      <c r="C23" s="164" t="s">
        <v>4575</v>
      </c>
      <c r="D23" s="157"/>
      <c r="E23" s="157"/>
      <c r="F23" s="2656" cm="1" t="n">
        <f t="array" ref="F23">INDEX('7층_부하량'!K3:K3000,MATCH(1,("7-DaHall 1-RPP-01"='7층_부하량'!A3:A3000)*(35='7층_부하량'!B3:B3000),0))</f>
        <v>4.058873225742741</v>
      </c>
      <c r="G23" s="157"/>
      <c r="H23" s="541" t="s">
        <v>4632</v>
      </c>
      <c r="I23" s="481" t="s">
        <v>4701</v>
      </c>
      <c r="J23" s="150"/>
      <c r="K23" s="652" t="s">
        <v>4702</v>
      </c>
      <c r="L23" s="481" t="s">
        <v>4703</v>
      </c>
      <c r="M23" s="541" t="s">
        <v>4597</v>
      </c>
      <c r="N23" s="157"/>
      <c r="O23" s="157"/>
      <c r="P23" s="2656" cm="1" t="n">
        <f t="array" ref="P23">INDEX('7층_부하량'!K3:K3000,MATCH(1,("7-DaHall 1-RPP-01"='7층_부하량'!A3:A3000)*(36='7층_부하량'!B3:B3000),0))</f>
        <v>3.4251792844173434</v>
      </c>
      <c r="Q23" s="157"/>
      <c r="R23" s="157" t="s">
        <v>4635</v>
      </c>
      <c r="S23" s="164" t="s">
        <v>4575</v>
      </c>
      <c r="T23" s="531" t="s">
        <v>4704</v>
      </c>
    </row>
    <row r="24" spans="1:21" ht="16.5" x14ac:dyDescent="0.15">
      <c r="A24" s="500" t="s">
        <v>4705</v>
      </c>
      <c r="B24" s="143" t="s">
        <v>4631</v>
      </c>
      <c r="C24" s="164" t="s">
        <v>4575</v>
      </c>
      <c r="D24" s="2656" cm="1" t="n">
        <f t="array" ref="D24">INDEX('7층_부하량'!I3:I3000,MATCH(1,("7-DaHall 1-RPP-01"='7층_부하량'!A3:A3000)*(37='7층_부하량'!B3:B3000),0))</f>
        <v>4.639033273214255</v>
      </c>
      <c r="E24" s="157"/>
      <c r="F24" s="157"/>
      <c r="G24" s="157"/>
      <c r="H24" s="541" t="s">
        <v>4632</v>
      </c>
      <c r="I24" s="481" t="s">
        <v>4706</v>
      </c>
      <c r="J24" s="653" t="s">
        <v>4679</v>
      </c>
      <c r="K24" s="519" t="s">
        <v>4654</v>
      </c>
      <c r="L24" s="481" t="s">
        <v>4707</v>
      </c>
      <c r="M24" s="541" t="s">
        <v>4597</v>
      </c>
      <c r="N24" s="2656" cm="1" t="n">
        <f t="array" ref="N24">INDEX('7층_부하량'!I3:I3000,MATCH(1,("7-DaHall 1-RPP-01"='7층_부하량'!A3:A3000)*(38='7층_부하량'!B3:B3000),0))</f>
        <v>2.4541570758661657</v>
      </c>
      <c r="O24" s="157"/>
      <c r="P24" s="157"/>
      <c r="Q24" s="157"/>
      <c r="R24" s="157" t="s">
        <v>4635</v>
      </c>
      <c r="S24" s="164" t="s">
        <v>4575</v>
      </c>
      <c r="T24" s="531" t="s">
        <v>4708</v>
      </c>
    </row>
    <row r="25" spans="1:21" ht="24.75" thickBot="1" x14ac:dyDescent="0.2">
      <c r="A25" s="503" t="s">
        <v>4709</v>
      </c>
      <c r="B25" s="166" t="s">
        <v>4631</v>
      </c>
      <c r="C25" s="184" t="s">
        <v>4575</v>
      </c>
      <c r="D25" s="167"/>
      <c r="E25" s="2659" cm="1" t="n">
        <f t="array" ref="E25">INDEX('7층_부하량'!J3:J3000,MATCH(1,("7-DaHall 1-RPP-01"='7층_부하량'!A3:A3000)*(39='7층_부하량'!B3:B3000),0))</f>
        <v>2.083290157007782</v>
      </c>
      <c r="F25" s="167"/>
      <c r="G25" s="167"/>
      <c r="H25" s="543" t="s">
        <v>4632</v>
      </c>
      <c r="I25" s="483" t="s">
        <v>4710</v>
      </c>
      <c r="J25" s="194"/>
      <c r="K25" s="521" t="s">
        <v>4649</v>
      </c>
      <c r="L25" s="483" t="s">
        <v>4711</v>
      </c>
      <c r="M25" s="543" t="s">
        <v>4597</v>
      </c>
      <c r="N25" s="167"/>
      <c r="O25" s="2659" cm="1" t="n">
        <f t="array" ref="O25">INDEX('7층_부하량'!J3:J3000,MATCH(1,("7-DaHall 1-RPP-01"='7층_부하량'!A3:A3000)*(40='7층_부하량'!B3:B3000),0))</f>
        <v>4.831709353141136</v>
      </c>
      <c r="P25" s="167"/>
      <c r="Q25" s="167"/>
      <c r="R25" s="167" t="s">
        <v>4635</v>
      </c>
      <c r="S25" s="184" t="s">
        <v>4575</v>
      </c>
      <c r="T25" s="533" t="s">
        <v>4712</v>
      </c>
    </row>
    <row r="26" spans="1:21" ht="17.25" thickTop="1" x14ac:dyDescent="0.15">
      <c r="A26" s="504"/>
      <c r="B26" s="133"/>
      <c r="C26" s="133"/>
      <c r="D26" s="131"/>
      <c r="E26" s="131"/>
      <c r="F26" s="131"/>
      <c r="G26" s="131"/>
      <c r="H26" s="504"/>
      <c r="I26" s="133"/>
      <c r="J26" s="172"/>
      <c r="K26" s="522"/>
      <c r="L26" s="172"/>
      <c r="M26" s="504" t="s">
        <v>4713</v>
      </c>
      <c r="N26" s="131" t="n">
        <f>SUM(D6:D25,N6:N25)</f>
        <v>29.112799094929233</v>
      </c>
      <c r="O26" s="131" t="n">
        <f>SUM(E6:E25,O6:O25)</f>
        <v>25.246925516092155</v>
      </c>
      <c r="P26" s="131" t="n">
        <f>SUM(F6:F25,P6:P25)</f>
        <v>23.726152692366227</v>
      </c>
      <c r="Q26" s="131"/>
      <c r="R26" s="131"/>
      <c r="S26" s="196"/>
      <c r="T26" s="515"/>
    </row>
    <row r="27" spans="1:21" ht="16.5" x14ac:dyDescent="0.15">
      <c r="A27" s="504"/>
      <c r="B27" s="133"/>
      <c r="C27" s="133"/>
      <c r="D27" s="131"/>
      <c r="E27" s="131"/>
      <c r="F27" s="131"/>
      <c r="G27" s="131"/>
      <c r="H27" s="504"/>
      <c r="I27" s="133"/>
      <c r="J27" s="172"/>
      <c r="K27" s="522"/>
      <c r="L27" s="172"/>
      <c r="M27" s="504"/>
      <c r="N27" s="131"/>
      <c r="O27" s="131"/>
      <c r="P27" s="131"/>
      <c r="Q27" s="131"/>
      <c r="R27" s="131"/>
      <c r="S27" s="196"/>
      <c r="T27" s="515"/>
    </row>
    <row r="28" spans="1:21" ht="20.100000000000001" customHeight="1" thickBot="1" x14ac:dyDescent="0.2">
      <c r="A28" s="505" t="s">
        <v>7019</v>
      </c>
      <c r="B28" s="128"/>
      <c r="C28" s="128"/>
      <c r="D28" s="3660" t="s">
        <v>8980</v>
      </c>
      <c r="E28" s="3660"/>
      <c r="F28" s="3660"/>
      <c r="G28" s="3660"/>
      <c r="H28" s="504"/>
      <c r="I28" s="133"/>
      <c r="J28" s="3663" t="s">
        <v>4715</v>
      </c>
      <c r="K28" s="3664"/>
      <c r="L28" s="487"/>
      <c r="M28" s="504"/>
      <c r="N28" s="173"/>
      <c r="O28" s="173"/>
      <c r="P28" s="173"/>
      <c r="Q28" s="173"/>
      <c r="R28" s="173"/>
      <c r="S28" s="173"/>
      <c r="T28" s="508"/>
    </row>
    <row r="29" spans="1:21" ht="20.100000000000001" customHeight="1" thickTop="1" thickBot="1" x14ac:dyDescent="0.2">
      <c r="A29" s="496"/>
      <c r="B29" s="128"/>
      <c r="C29" s="128"/>
      <c r="D29" s="129"/>
      <c r="E29" s="130"/>
      <c r="F29" s="130"/>
      <c r="G29" s="130"/>
      <c r="H29" s="515"/>
      <c r="I29" s="131"/>
      <c r="J29" s="128"/>
      <c r="K29" s="516"/>
      <c r="L29" s="132"/>
      <c r="M29" s="1371" t="s">
        <v>4562</v>
      </c>
      <c r="N29" s="1368">
        <v>30.2</v>
      </c>
      <c r="O29" s="1369">
        <v>45.2</v>
      </c>
      <c r="P29" s="1370">
        <v>46.3</v>
      </c>
      <c r="Q29" s="508" t="s">
        <v>4563</v>
      </c>
      <c r="R29" s="133"/>
      <c r="S29" s="128"/>
      <c r="T29" s="528"/>
    </row>
    <row r="30" spans="1:21" ht="20.100000000000001" customHeight="1" thickTop="1" thickBot="1" x14ac:dyDescent="0.2">
      <c r="A30" s="497" t="s">
        <v>4629</v>
      </c>
      <c r="B30" s="135" t="s">
        <v>4565</v>
      </c>
      <c r="C30" s="136" t="s">
        <v>4566</v>
      </c>
      <c r="D30" s="135" t="s">
        <v>4567</v>
      </c>
      <c r="E30" s="135" t="s">
        <v>4568</v>
      </c>
      <c r="F30" s="135" t="s">
        <v>4569</v>
      </c>
      <c r="G30" s="135" t="s">
        <v>4570</v>
      </c>
      <c r="H30" s="539" t="s">
        <v>4571</v>
      </c>
      <c r="I30" s="479"/>
      <c r="J30" s="138" t="s">
        <v>4572</v>
      </c>
      <c r="K30" s="517" t="s">
        <v>4572</v>
      </c>
      <c r="L30" s="479"/>
      <c r="M30" s="539" t="s">
        <v>4571</v>
      </c>
      <c r="N30" s="135" t="s">
        <v>4567</v>
      </c>
      <c r="O30" s="135" t="s">
        <v>4568</v>
      </c>
      <c r="P30" s="135" t="s">
        <v>4569</v>
      </c>
      <c r="Q30" s="135" t="s">
        <v>4570</v>
      </c>
      <c r="R30" s="135" t="s">
        <v>4565</v>
      </c>
      <c r="S30" s="136" t="s">
        <v>4566</v>
      </c>
      <c r="T30" s="529" t="s">
        <v>4629</v>
      </c>
    </row>
    <row r="31" spans="1:21" ht="20.100000000000001" customHeight="1" thickTop="1" x14ac:dyDescent="0.15">
      <c r="A31" s="498" t="s">
        <v>4716</v>
      </c>
      <c r="B31" s="142" t="s">
        <v>4631</v>
      </c>
      <c r="C31" s="152" t="s">
        <v>4575</v>
      </c>
      <c r="D31" s="144"/>
      <c r="E31" s="2654" cm="1">
        <f t="array" ref="E31">INDEX('7층_부하량'!J3:J3000,MATCH(1,("7-DaHall 1-PDU-02"='7층_부하량'!A3:A3000)*(1='7층_부하량'!B3:B3000),0))</f>
        <v>0</v>
      </c>
      <c r="F31" s="144"/>
      <c r="G31" s="144"/>
      <c r="H31" s="540" t="s">
        <v>4576</v>
      </c>
      <c r="I31" s="480" t="s">
        <v>4633</v>
      </c>
      <c r="J31" s="145" t="s">
        <v>4675</v>
      </c>
      <c r="K31" s="518" t="s">
        <v>4717</v>
      </c>
      <c r="L31" s="480" t="s">
        <v>4578</v>
      </c>
      <c r="M31" s="540" t="s">
        <v>4576</v>
      </c>
      <c r="N31" s="144"/>
      <c r="O31" s="2654" cm="1" t="n">
        <f t="array" ref="O31">INDEX('7층_부하량'!J3:J3000,MATCH(1,("7-DaHall 1-PDU-02"='7층_부하량'!A3:A3000)*(2='7층_부하량'!B3:B3000),0))</f>
        <v>5.48280176137085</v>
      </c>
      <c r="P31" s="144"/>
      <c r="Q31" s="144"/>
      <c r="R31" s="144" t="s">
        <v>4631</v>
      </c>
      <c r="S31" s="152" t="s">
        <v>4575</v>
      </c>
      <c r="T31" s="534" t="s">
        <v>4718</v>
      </c>
      <c r="U31" t="s">
        <v>4719</v>
      </c>
    </row>
    <row r="32" spans="1:21" ht="20.100000000000001" customHeight="1" x14ac:dyDescent="0.15">
      <c r="A32" s="499" t="s">
        <v>4720</v>
      </c>
      <c r="B32" s="156" t="s">
        <v>4631</v>
      </c>
      <c r="C32" s="189" t="s">
        <v>4575</v>
      </c>
      <c r="D32" s="346"/>
      <c r="E32" s="346"/>
      <c r="F32" s="2660" cm="1" t="n">
        <f t="array" ref="F32">INDEX('7층_부하량'!K3:K3000,MATCH(1,("7-DaHall 1-PDU-02"='7층_부하량'!A3:A3000)*(3='7층_부하량'!B3:B3000),0))</f>
        <v>5.5321671800230545</v>
      </c>
      <c r="G32" s="346"/>
      <c r="H32" s="542" t="s">
        <v>4576</v>
      </c>
      <c r="I32" s="482" t="s">
        <v>4638</v>
      </c>
      <c r="J32" s="653" t="s">
        <v>4721</v>
      </c>
      <c r="K32" s="519"/>
      <c r="L32" s="481" t="s">
        <v>4583</v>
      </c>
      <c r="M32" s="541" t="s">
        <v>4576</v>
      </c>
      <c r="N32" s="149"/>
      <c r="O32" s="149"/>
      <c r="P32" s="2655" cm="1" t="n">
        <f t="array" ref="P32">INDEX('7층_부하량'!K3:K3000,MATCH(1,("7-DaHall 1-PDU-02"='7층_부하량'!A3:A3000)*(4='7층_부하량'!B3:B3000),0))</f>
        <v>5.37887089283527</v>
      </c>
      <c r="Q32" s="149"/>
      <c r="R32" s="149" t="s">
        <v>4631</v>
      </c>
      <c r="S32" s="164" t="s">
        <v>4575</v>
      </c>
      <c r="T32" s="531" t="s">
        <v>4722</v>
      </c>
    </row>
    <row r="33" spans="1:20" ht="20.100000000000001" customHeight="1" x14ac:dyDescent="0.15">
      <c r="A33" s="500"/>
      <c r="B33" s="143" t="s">
        <v>4590</v>
      </c>
      <c r="C33" s="143" t="s">
        <v>4723</v>
      </c>
      <c r="D33" s="2656" cm="1" t="n">
        <f t="array" ref="D33">INDEX('7층_부하량'!I3:I3000,MATCH(1,("7-DaHall 1-PDU-02"='7층_부하량'!A3:A3000)*(5='7층_부하량'!B3:B3000),0))</f>
        <v>5.540082027053855</v>
      </c>
      <c r="E33" s="157"/>
      <c r="F33" s="157"/>
      <c r="G33" s="157"/>
      <c r="H33" s="541" t="s">
        <v>4576</v>
      </c>
      <c r="I33" s="481" t="s">
        <v>4641</v>
      </c>
      <c r="J33" s="154"/>
      <c r="K33" s="519" t="s">
        <v>4724</v>
      </c>
      <c r="L33" s="481" t="s">
        <v>4588</v>
      </c>
      <c r="M33" s="541" t="s">
        <v>4576</v>
      </c>
      <c r="N33" s="2656" cm="1" t="n">
        <f t="array" ref="N33">INDEX('7층_부하량'!I3:I3000,MATCH(1,("7-DaHall 1-PDU-02"='7층_부하량'!A3:A3000)*(6='7층_부하량'!B3:B3000),0))</f>
        <v>5.323417586329633</v>
      </c>
      <c r="O33" s="157"/>
      <c r="P33" s="157"/>
      <c r="Q33" s="157"/>
      <c r="R33" s="157" t="s">
        <v>4631</v>
      </c>
      <c r="S33" s="164" t="s">
        <v>4575</v>
      </c>
      <c r="T33" s="531" t="s">
        <v>4725</v>
      </c>
    </row>
    <row r="34" spans="1:20" ht="20.100000000000001" customHeight="1" x14ac:dyDescent="0.15">
      <c r="A34" s="501" t="s">
        <v>4726</v>
      </c>
      <c r="B34" s="157" t="s">
        <v>4631</v>
      </c>
      <c r="C34" s="164" t="s">
        <v>4575</v>
      </c>
      <c r="D34" s="157"/>
      <c r="E34" s="2656" cm="1" t="n">
        <f t="array" ref="E34">INDEX('7층_부하량'!J3:J3000,MATCH(1,("7-DaHall 1-PDU-02"='7층_부하량'!A3:A3000)*(7='7층_부하량'!B3:B3000),0))</f>
        <v>5.645051225700976</v>
      </c>
      <c r="F34" s="157"/>
      <c r="G34" s="157"/>
      <c r="H34" s="541" t="s">
        <v>4576</v>
      </c>
      <c r="I34" s="481" t="s">
        <v>4645</v>
      </c>
      <c r="J34" s="154"/>
      <c r="K34" s="523" t="s">
        <v>4727</v>
      </c>
      <c r="L34" s="488" t="s">
        <v>4593</v>
      </c>
      <c r="M34" s="541" t="s">
        <v>4576</v>
      </c>
      <c r="N34" s="157"/>
      <c r="O34" s="2656" cm="1" t="n">
        <f t="array" ref="O34">INDEX('7층_부하량'!J3:J3000,MATCH(1,("7-DaHall 1-PDU-02"='7층_부하량'!A3:A3000)*(8='7층_부하량'!B3:B3000),0))</f>
        <v>1.0109599606626485</v>
      </c>
      <c r="P34" s="157"/>
      <c r="Q34" s="157"/>
      <c r="R34" s="157" t="s">
        <v>4631</v>
      </c>
      <c r="S34" s="283" t="s">
        <v>4575</v>
      </c>
      <c r="T34" s="531" t="s">
        <v>4728</v>
      </c>
    </row>
    <row r="35" spans="1:20" ht="20.100000000000001" customHeight="1" x14ac:dyDescent="0.15">
      <c r="A35" s="500" t="s">
        <v>4729</v>
      </c>
      <c r="B35" s="157" t="s">
        <v>4631</v>
      </c>
      <c r="C35" s="283" t="s">
        <v>4575</v>
      </c>
      <c r="D35" s="157"/>
      <c r="E35" s="157"/>
      <c r="F35" s="2656" cm="1" t="n">
        <f t="array" ref="F35">INDEX('7층_부하량'!K3:K3000,MATCH(1,("7-DaHall 1-PDU-02"='7층_부하량'!A3:A3000)*(9='7층_부하량'!B3:B3000),0))</f>
        <v>5.14516207259493</v>
      </c>
      <c r="G35" s="157"/>
      <c r="H35" s="541" t="s">
        <v>4576</v>
      </c>
      <c r="I35" s="481" t="s">
        <v>4648</v>
      </c>
      <c r="J35" s="154"/>
      <c r="K35" s="523"/>
      <c r="L35" s="488" t="s">
        <v>4596</v>
      </c>
      <c r="M35" s="541" t="s">
        <v>4597</v>
      </c>
      <c r="N35" s="157"/>
      <c r="O35" s="157"/>
      <c r="P35" s="2656" cm="1" t="n">
        <f t="array" ref="P35">INDEX('7층_부하량'!K3:K3000,MATCH(1,("7-DaHall 1-PDU-02"='7층_부하량'!A3:A3000)*(10='7층_부하량'!B3:B3000),0))</f>
        <v>4.361800553596836</v>
      </c>
      <c r="Q35" s="157"/>
      <c r="R35" s="157" t="s">
        <v>4631</v>
      </c>
      <c r="S35" s="283" t="s">
        <v>4575</v>
      </c>
      <c r="T35" s="531" t="s">
        <v>4730</v>
      </c>
    </row>
    <row r="36" spans="1:20" ht="20.100000000000001" customHeight="1" x14ac:dyDescent="0.15">
      <c r="A36" s="713" t="s">
        <v>4731</v>
      </c>
      <c r="B36" s="157" t="s">
        <v>4631</v>
      </c>
      <c r="C36" s="164" t="s">
        <v>4575</v>
      </c>
      <c r="D36" s="2656" cm="1" t="n">
        <f t="array" ref="D36">INDEX('7층_부하량'!I3:I3000,MATCH(1,("7-DaHall 1-PDU-02"='7층_부하량'!A3:A3000)*(11='7층_부하량'!B3:B3000),0))</f>
        <v>5.427523487211216</v>
      </c>
      <c r="E36" s="157"/>
      <c r="F36" s="157"/>
      <c r="G36" s="157"/>
      <c r="H36" s="541" t="s">
        <v>4576</v>
      </c>
      <c r="I36" s="481" t="s">
        <v>4653</v>
      </c>
      <c r="J36" s="154"/>
      <c r="K36" s="656" t="s">
        <v>4679</v>
      </c>
      <c r="L36" s="488" t="s">
        <v>4599</v>
      </c>
      <c r="M36" s="541" t="s">
        <v>4597</v>
      </c>
      <c r="N36" s="2656" cm="1" t="n">
        <f t="array" ref="N36">INDEX('7층_부하량'!I3:I3000,MATCH(1,("7-DaHall 1-PDU-02"='7층_부하량'!A3:A3000)*(12='7층_부하량'!B3:B3000),0))</f>
        <v>2.677312114399676</v>
      </c>
      <c r="O36" s="157"/>
      <c r="P36" s="157"/>
      <c r="Q36" s="157"/>
      <c r="R36" s="157" t="s">
        <v>4631</v>
      </c>
      <c r="S36" s="283" t="s">
        <v>4575</v>
      </c>
      <c r="T36" s="531" t="s">
        <v>4732</v>
      </c>
    </row>
    <row r="37" spans="1:20" ht="24" x14ac:dyDescent="0.15">
      <c r="A37" s="714" t="s">
        <v>4733</v>
      </c>
      <c r="B37" s="157" t="s">
        <v>4631</v>
      </c>
      <c r="C37" s="283" t="s">
        <v>4575</v>
      </c>
      <c r="D37" s="157"/>
      <c r="E37" s="2656" cm="1" t="n">
        <f t="array" ref="E37">INDEX('7층_부하량'!J3:J3000,MATCH(1,("7-DaHall 1-PDU-02"='7층_부하량'!A3:A3000)*(13='7층_부하량'!B3:B3000),0))</f>
        <v>4.692340245787883</v>
      </c>
      <c r="F37" s="157"/>
      <c r="G37" s="157"/>
      <c r="H37" s="541" t="s">
        <v>4597</v>
      </c>
      <c r="I37" s="481" t="s">
        <v>4657</v>
      </c>
      <c r="J37" s="154"/>
      <c r="K37" s="523" t="s">
        <v>4734</v>
      </c>
      <c r="L37" s="488" t="s">
        <v>4601</v>
      </c>
      <c r="M37" s="541" t="s">
        <v>4597</v>
      </c>
      <c r="N37" s="157"/>
      <c r="O37" s="2656" cm="1" t="n">
        <f t="array" ref="O37">INDEX('7층_부하량'!J3:J3000,MATCH(1,("7-DaHall 1-PDU-02"='7층_부하량'!A3:A3000)*(14='7층_부하량'!B3:B3000),0))</f>
        <v>3.219577070437216</v>
      </c>
      <c r="P37" s="157"/>
      <c r="Q37" s="157"/>
      <c r="R37" s="157" t="s">
        <v>4631</v>
      </c>
      <c r="S37" s="283" t="s">
        <v>4575</v>
      </c>
      <c r="T37" s="531" t="s">
        <v>4735</v>
      </c>
    </row>
    <row r="38" spans="1:20" ht="24" x14ac:dyDescent="0.15">
      <c r="A38" s="500" t="s">
        <v>4736</v>
      </c>
      <c r="B38" s="157" t="s">
        <v>4631</v>
      </c>
      <c r="C38" s="283" t="s">
        <v>4575</v>
      </c>
      <c r="D38" s="157"/>
      <c r="E38" s="157"/>
      <c r="F38" s="2656" cm="1" t="n">
        <f t="array" ref="F38">INDEX('7층_부하량'!K3:K3000,MATCH(1,("7-DaHall 1-PDU-02"='7층_부하량'!A3:A3000)*(15='7층_부하량'!B3:B3000),0))</f>
        <v>1.1918898085915388</v>
      </c>
      <c r="G38" s="157"/>
      <c r="H38" s="541" t="s">
        <v>4597</v>
      </c>
      <c r="I38" s="481" t="s">
        <v>4661</v>
      </c>
      <c r="J38" s="154" t="s">
        <v>4737</v>
      </c>
      <c r="K38" s="523" t="s">
        <v>4734</v>
      </c>
      <c r="L38" s="488" t="s">
        <v>4603</v>
      </c>
      <c r="M38" s="541" t="s">
        <v>4597</v>
      </c>
      <c r="N38" s="157"/>
      <c r="O38" s="157"/>
      <c r="P38" s="2656" cm="1" t="n">
        <f t="array" ref="P38">INDEX('7층_부하량'!K3:K3000,MATCH(1,("7-DaHall 1-PDU-02"='7층_부하량'!A3:A3000)*(16='7층_부하량'!B3:B3000),0))</f>
        <v>3.0964540289736746</v>
      </c>
      <c r="Q38" s="157"/>
      <c r="R38" s="157" t="s">
        <v>4631</v>
      </c>
      <c r="S38" s="283" t="s">
        <v>4575</v>
      </c>
      <c r="T38" s="531" t="s">
        <v>4738</v>
      </c>
    </row>
    <row r="39" spans="1:20" ht="20.100000000000001" customHeight="1" x14ac:dyDescent="0.15">
      <c r="A39" s="500" t="s">
        <v>4739</v>
      </c>
      <c r="B39" s="157" t="s">
        <v>4631</v>
      </c>
      <c r="C39" s="164" t="s">
        <v>4575</v>
      </c>
      <c r="D39" s="2656" cm="1" t="n">
        <f t="array" ref="D39">INDEX('7층_부하량'!I3:I3000,MATCH(1,("7-DaHall 1-PDU-02"='7층_부하량'!A3:A3000)*(17='7층_부하량'!B3:B3000),0))</f>
        <v>4.288680204436017</v>
      </c>
      <c r="E39" s="157"/>
      <c r="F39" s="157"/>
      <c r="G39" s="157"/>
      <c r="H39" s="541" t="s">
        <v>4597</v>
      </c>
      <c r="I39" s="481" t="s">
        <v>4665</v>
      </c>
      <c r="J39" s="154"/>
      <c r="K39" s="1225" t="s">
        <v>4740</v>
      </c>
      <c r="L39" s="488" t="s">
        <v>4605</v>
      </c>
      <c r="M39" s="541" t="s">
        <v>4597</v>
      </c>
      <c r="N39" s="2656" cm="1" t="n">
        <f t="array" ref="N39">INDEX('7층_부하량'!I3:I3000,MATCH(1,("7-DaHall 1-PDU-02"='7층_부하량'!A3:A3000)*(18='7층_부하량'!B3:B3000),0))</f>
        <v>2.646656845602416</v>
      </c>
      <c r="O39" s="157"/>
      <c r="P39" s="157"/>
      <c r="Q39" s="157"/>
      <c r="R39" s="157" t="s">
        <v>4631</v>
      </c>
      <c r="S39" s="164" t="s">
        <v>4575</v>
      </c>
      <c r="T39" s="1227" t="s">
        <v>4741</v>
      </c>
    </row>
    <row r="40" spans="1:20" ht="20.100000000000001" customHeight="1" x14ac:dyDescent="0.15">
      <c r="A40" s="500" t="s">
        <v>4742</v>
      </c>
      <c r="B40" s="157" t="s">
        <v>4631</v>
      </c>
      <c r="C40" s="283" t="s">
        <v>4575</v>
      </c>
      <c r="D40" s="157"/>
      <c r="E40" s="2656" cm="1" t="n">
        <f t="array" ref="E40">INDEX('7층_부하량'!J3:J3000,MATCH(1,("7-DaHall 1-PDU-02"='7층_부하량'!A3:A3000)*(19='7층_부하량'!B3:B3000),0))</f>
        <v>8.604769380759699</v>
      </c>
      <c r="F40" s="157"/>
      <c r="G40" s="157"/>
      <c r="H40" s="541" t="s">
        <v>4597</v>
      </c>
      <c r="I40" s="481" t="s">
        <v>4670</v>
      </c>
      <c r="J40" s="154"/>
      <c r="K40" s="1225" t="s">
        <v>4743</v>
      </c>
      <c r="L40" s="488" t="s">
        <v>4609</v>
      </c>
      <c r="M40" s="541" t="s">
        <v>4597</v>
      </c>
      <c r="N40" s="157"/>
      <c r="O40" s="2656" cm="1" t="n">
        <f t="array" ref="O40">INDEX('7층_부하량'!J3:J3000,MATCH(1,("7-DaHall 1-PDU-02"='7층_부하량'!A3:A3000)*(20='7층_부하량'!B3:B3000),0))</f>
        <v>1.9609136692230669</v>
      </c>
      <c r="P40" s="157"/>
      <c r="Q40" s="157"/>
      <c r="R40" s="157" t="s">
        <v>4631</v>
      </c>
      <c r="S40" s="283" t="s">
        <v>4575</v>
      </c>
      <c r="T40" s="1227" t="s">
        <v>4744</v>
      </c>
    </row>
    <row r="41" spans="1:20" ht="20.100000000000001" customHeight="1" x14ac:dyDescent="0.15">
      <c r="A41" s="500" t="s">
        <v>4745</v>
      </c>
      <c r="B41" s="157" t="s">
        <v>4631</v>
      </c>
      <c r="C41" s="283" t="s">
        <v>4575</v>
      </c>
      <c r="D41" s="157"/>
      <c r="E41" s="157"/>
      <c r="F41" s="2656" cm="1" t="n">
        <f t="array" ref="F41">INDEX('7층_부하량'!K3:K3000,MATCH(1,("7-DaHall 1-PDU-02"='7층_부하량'!A3:A3000)*(21='7층_부하량'!B3:B3000),0))</f>
        <v>4.031293740106393</v>
      </c>
      <c r="G41" s="157"/>
      <c r="H41" s="541" t="s">
        <v>4597</v>
      </c>
      <c r="I41" s="481" t="s">
        <v>4674</v>
      </c>
      <c r="J41" s="154"/>
      <c r="K41" s="1225" t="s">
        <v>4746</v>
      </c>
      <c r="L41" s="488" t="s">
        <v>4613</v>
      </c>
      <c r="M41" s="541" t="s">
        <v>4597</v>
      </c>
      <c r="N41" s="157"/>
      <c r="O41" s="157"/>
      <c r="P41" s="2656" cm="1" t="n">
        <f t="array" ref="P41">INDEX('7층_부하량'!K3:K3000,MATCH(1,("7-DaHall 1-PDU-02"='7층_부하량'!A3:A3000)*(22='7층_부하량'!B3:B3000),0))</f>
        <v>1.9177739815594608</v>
      </c>
      <c r="Q41" s="157"/>
      <c r="R41" s="157" t="s">
        <v>4631</v>
      </c>
      <c r="S41" s="283" t="s">
        <v>4575</v>
      </c>
      <c r="T41" s="1227" t="s">
        <v>4747</v>
      </c>
    </row>
    <row r="42" spans="1:20" ht="20.100000000000001" customHeight="1" x14ac:dyDescent="0.15">
      <c r="A42" s="500" t="s">
        <v>4748</v>
      </c>
      <c r="B42" s="157" t="s">
        <v>4631</v>
      </c>
      <c r="C42" s="283" t="s">
        <v>4575</v>
      </c>
      <c r="D42" s="2656" cm="1" t="n">
        <f t="array" ref="D42">INDEX('7층_부하량'!I3:I3000,MATCH(1,("7-DaHall 1-PDU-02"='7층_부하량'!A3:A3000)*(23='7층_부하량'!B3:B3000),0))</f>
        <v>2.623828546722674</v>
      </c>
      <c r="E42" s="157"/>
      <c r="F42" s="157"/>
      <c r="G42" s="157"/>
      <c r="H42" s="541" t="s">
        <v>4597</v>
      </c>
      <c r="I42" s="481" t="s">
        <v>4678</v>
      </c>
      <c r="J42" s="154"/>
      <c r="K42" s="1225" t="s">
        <v>4749</v>
      </c>
      <c r="L42" s="488" t="s">
        <v>4680</v>
      </c>
      <c r="M42" s="541" t="s">
        <v>4597</v>
      </c>
      <c r="N42" s="2656" cm="1" t="n">
        <f t="array" ref="N42">INDEX('7층_부하량'!I3:I3000,MATCH(1,("7-DaHall 1-PDU-02"='7층_부하량'!A3:A3000)*(24='7층_부하량'!B3:B3000),0))</f>
        <v>2.2106990843434486</v>
      </c>
      <c r="O42" s="157"/>
      <c r="P42" s="157"/>
      <c r="Q42" s="157"/>
      <c r="R42" s="157" t="s">
        <v>4631</v>
      </c>
      <c r="S42" s="283" t="s">
        <v>4575</v>
      </c>
      <c r="T42" s="1227" t="s">
        <v>4750</v>
      </c>
    </row>
    <row r="43" spans="1:20" ht="20.100000000000001" customHeight="1" x14ac:dyDescent="0.15">
      <c r="A43" s="500" t="s">
        <v>4751</v>
      </c>
      <c r="B43" s="157" t="s">
        <v>4631</v>
      </c>
      <c r="C43" s="283" t="s">
        <v>4575</v>
      </c>
      <c r="D43" s="157"/>
      <c r="E43" s="2656" cm="1" t="n">
        <f t="array" ref="E43">INDEX('7층_부하량'!J3:J3000,MATCH(1,("7-DaHall 1-PDU-02"='7층_부하량'!A3:A3000)*(25='7층_부하량'!B3:B3000),0))</f>
        <v>2.0639808639304387</v>
      </c>
      <c r="F43" s="157"/>
      <c r="G43" s="157"/>
      <c r="H43" s="541" t="s">
        <v>4597</v>
      </c>
      <c r="I43" s="481" t="s">
        <v>4683</v>
      </c>
      <c r="J43" s="154"/>
      <c r="K43" s="1225" t="s">
        <v>4752</v>
      </c>
      <c r="L43" s="488" t="s">
        <v>4685</v>
      </c>
      <c r="M43" s="541" t="s">
        <v>4597</v>
      </c>
      <c r="N43" s="157"/>
      <c r="O43" s="2656" cm="1" t="n">
        <f t="array" ref="O43">INDEX('7층_부하량'!J3:J3000,MATCH(1,("7-DaHall 1-PDU-02"='7층_부하량'!A3:A3000)*(26='7층_부하량'!B3:B3000),0))</f>
        <v>3.043373083280092</v>
      </c>
      <c r="P43" s="157"/>
      <c r="Q43" s="157"/>
      <c r="R43" s="157" t="s">
        <v>4631</v>
      </c>
      <c r="S43" s="283" t="s">
        <v>4575</v>
      </c>
      <c r="T43" s="1227" t="s">
        <v>4753</v>
      </c>
    </row>
    <row r="44" spans="1:20" ht="20.100000000000001" customHeight="1" thickBot="1" x14ac:dyDescent="0.2">
      <c r="A44" s="506" t="s">
        <v>4754</v>
      </c>
      <c r="B44" s="177" t="s">
        <v>4631</v>
      </c>
      <c r="C44" s="476" t="s">
        <v>4575</v>
      </c>
      <c r="D44" s="177"/>
      <c r="E44" s="177"/>
      <c r="F44" s="2661" cm="1" t="n">
        <f t="array" ref="F44">INDEX('7층_부하량'!K3:K3000,MATCH(1,("7-DaHall 1-PDU-02"='7층_부하량'!A3:A3000)*(27='7층_부하량'!B3:B3000),0))</f>
        <v>3.106611115487092</v>
      </c>
      <c r="G44" s="177"/>
      <c r="H44" s="544" t="s">
        <v>4597</v>
      </c>
      <c r="I44" s="484" t="s">
        <v>4688</v>
      </c>
      <c r="J44" s="178"/>
      <c r="K44" s="1226" t="s">
        <v>4755</v>
      </c>
      <c r="L44" s="489" t="s">
        <v>4689</v>
      </c>
      <c r="M44" s="544" t="s">
        <v>4597</v>
      </c>
      <c r="N44" s="177"/>
      <c r="O44" s="177"/>
      <c r="P44" s="2661" cm="1" t="n">
        <f t="array" ref="P44">INDEX('7층_부하량'!K3:K3000,MATCH(1,("7-DaHall 1-PDU-02"='7층_부하량'!A3:A3000)*(28='7층_부하량'!B3:B3000),0))</f>
        <v>5.662090203987628</v>
      </c>
      <c r="Q44" s="177"/>
      <c r="R44" s="177" t="s">
        <v>4631</v>
      </c>
      <c r="S44" s="476" t="s">
        <v>4575</v>
      </c>
      <c r="T44" s="1228" t="s">
        <v>4756</v>
      </c>
    </row>
    <row r="45" spans="1:20" ht="20.100000000000001" customHeight="1" thickTop="1" x14ac:dyDescent="0.15">
      <c r="A45" s="501" t="s">
        <v>4757</v>
      </c>
      <c r="B45" s="157" t="s">
        <v>4631</v>
      </c>
      <c r="C45" s="2439" t="s">
        <v>4575</v>
      </c>
      <c r="D45" s="2656" cm="1" t="n">
        <f t="array" ref="D45">INDEX('7층_부하량'!I3:I3000,MATCH(1,("7-DaHall 1-PDU-02"='7층_부하량'!A3:A3000)*(29='7층_부하량'!B3:B3000),0))</f>
        <v>1.8172282026872306</v>
      </c>
      <c r="E45" s="179"/>
      <c r="F45" s="179"/>
      <c r="G45" s="179"/>
      <c r="H45" s="542" t="s">
        <v>4597</v>
      </c>
      <c r="I45" s="482" t="s">
        <v>4691</v>
      </c>
      <c r="J45" s="2440" t="s">
        <v>4667</v>
      </c>
      <c r="K45" s="524" t="s">
        <v>4758</v>
      </c>
      <c r="L45" s="490" t="s">
        <v>4692</v>
      </c>
      <c r="M45" s="542" t="s">
        <v>4597</v>
      </c>
      <c r="N45" s="2656" cm="1" t="n">
        <f t="array" ref="N45">INDEX('7층_부하량'!I3:I3000,MATCH(1,("7-DaHall 1-PDU-02"='7층_부하량'!A3:A3000)*(30='7층_부하량'!B3:B3000),0))</f>
        <v>0.5586005772034726</v>
      </c>
      <c r="O45" s="179"/>
      <c r="P45" s="179"/>
      <c r="Q45" s="179"/>
      <c r="R45" s="157" t="s">
        <v>4631</v>
      </c>
      <c r="S45" s="283" t="s">
        <v>4575</v>
      </c>
      <c r="T45" s="1378" t="s">
        <v>4759</v>
      </c>
    </row>
    <row r="46" spans="1:20" ht="20.100000000000001" customHeight="1" x14ac:dyDescent="0.15">
      <c r="A46" s="502" t="s">
        <v>4760</v>
      </c>
      <c r="B46" s="157" t="s">
        <v>4631</v>
      </c>
      <c r="C46" s="283" t="s">
        <v>4575</v>
      </c>
      <c r="D46" s="157"/>
      <c r="E46" s="2656" cm="1" t="n">
        <f t="array" ref="E46">INDEX('7층_부하량'!J3:J3000,MATCH(1,("7-DaHall 1-PDU-02"='7층_부하량'!A3:A3000)*(31='7층_부하량'!B3:B3000),0))</f>
        <v>3.247059909651155</v>
      </c>
      <c r="F46" s="157"/>
      <c r="G46" s="157"/>
      <c r="H46" s="541" t="s">
        <v>4597</v>
      </c>
      <c r="I46" s="481" t="s">
        <v>4693</v>
      </c>
      <c r="J46" s="657" t="s">
        <v>4761</v>
      </c>
      <c r="K46" s="523" t="s">
        <v>4762</v>
      </c>
      <c r="L46" s="488" t="s">
        <v>4694</v>
      </c>
      <c r="M46" s="541" t="s">
        <v>4597</v>
      </c>
      <c r="N46" s="157"/>
      <c r="O46" s="2656" cm="1" t="n">
        <f t="array" ref="O46">INDEX('7층_부하량'!J3:J3000,MATCH(1,("7-DaHall 1-PDU-02"='7층_부하량'!A3:A3000)*(32='7층_부하량'!B3:B3000),0))</f>
        <v>2.1670946093726235</v>
      </c>
      <c r="P46" s="157"/>
      <c r="Q46" s="157"/>
      <c r="R46" s="157" t="s">
        <v>4631</v>
      </c>
      <c r="S46" s="283" t="s">
        <v>4575</v>
      </c>
      <c r="T46" s="531" t="s">
        <v>4763</v>
      </c>
    </row>
    <row r="47" spans="1:20" ht="20.100000000000001" customHeight="1" x14ac:dyDescent="0.15">
      <c r="A47" s="500" t="s">
        <v>4764</v>
      </c>
      <c r="B47" s="157" t="s">
        <v>4765</v>
      </c>
      <c r="C47" s="283" t="s">
        <v>4575</v>
      </c>
      <c r="D47" s="157"/>
      <c r="E47" s="157"/>
      <c r="F47" s="2656" cm="1" t="n">
        <f t="array" ref="F47">INDEX('7층_부하량'!K3:K3000,MATCH(1,("7-DaHall 1-PDU-02"='7층_부하량'!A3:A3000)*(33='7층_부하량'!B3:B3000),0))</f>
        <v>8.142526174883903</v>
      </c>
      <c r="G47" s="157"/>
      <c r="H47" s="541" t="s">
        <v>4597</v>
      </c>
      <c r="I47" s="481" t="s">
        <v>4697</v>
      </c>
      <c r="J47" s="657" t="s">
        <v>4761</v>
      </c>
      <c r="K47" s="1399" t="s">
        <v>4766</v>
      </c>
      <c r="L47" s="488" t="s">
        <v>4698</v>
      </c>
      <c r="M47" s="541" t="s">
        <v>4597</v>
      </c>
      <c r="N47" s="157"/>
      <c r="O47" s="157"/>
      <c r="P47" s="2656" cm="1" t="n">
        <f t="array" ref="P47">INDEX('7층_부하량'!K3:K3000,MATCH(1,("7-DaHall 1-PDU-02"='7층_부하량'!A3:A3000)*(34='7층_부하량'!B3:B3000),0))</f>
        <v>2.8910744098567793</v>
      </c>
      <c r="Q47" s="157"/>
      <c r="R47" s="157" t="s">
        <v>4631</v>
      </c>
      <c r="S47" s="283" t="s">
        <v>4575</v>
      </c>
      <c r="T47" s="531" t="s">
        <v>4767</v>
      </c>
    </row>
    <row r="48" spans="1:20" ht="20.100000000000001" customHeight="1" x14ac:dyDescent="0.15">
      <c r="A48" s="500" t="s">
        <v>4768</v>
      </c>
      <c r="B48" s="157" t="s">
        <v>4765</v>
      </c>
      <c r="C48" s="283" t="s">
        <v>4575</v>
      </c>
      <c r="D48" s="2656" cm="1" t="n">
        <f t="array" ref="D48">INDEX('7층_부하량'!I3:I3000,MATCH(1,("7-DaHall 1-PDU-02"='7층_부하량'!A3:A3000)*(35='7층_부하량'!B3:B3000),0))</f>
        <v>5.843931921689665</v>
      </c>
      <c r="E48" s="157"/>
      <c r="F48" s="157"/>
      <c r="G48" s="157"/>
      <c r="H48" s="541" t="s">
        <v>4597</v>
      </c>
      <c r="I48" s="481" t="s">
        <v>4701</v>
      </c>
      <c r="J48" s="657" t="s">
        <v>4761</v>
      </c>
      <c r="K48" s="523"/>
      <c r="L48" s="488" t="s">
        <v>4703</v>
      </c>
      <c r="M48" s="541" t="s">
        <v>4597</v>
      </c>
      <c r="N48" s="2656" cm="1" t="n">
        <f t="array" ref="N48">INDEX('7층_부하량'!I3:I3000,MATCH(1,("7-DaHall 1-PDU-02"='7층_부하량'!A3:A3000)*(36='7층_부하량'!B3:B3000),0))</f>
        <v>1.645091779744772</v>
      </c>
      <c r="O48" s="157"/>
      <c r="P48" s="157"/>
      <c r="Q48" s="157"/>
      <c r="R48" s="157" t="s">
        <v>4631</v>
      </c>
      <c r="S48" s="283" t="s">
        <v>4575</v>
      </c>
      <c r="T48" s="531" t="s">
        <v>4769</v>
      </c>
    </row>
    <row r="49" spans="1:21" ht="20.100000000000001" customHeight="1" x14ac:dyDescent="0.15">
      <c r="A49" s="502" t="s">
        <v>4770</v>
      </c>
      <c r="B49" s="157" t="s">
        <v>4765</v>
      </c>
      <c r="C49" s="283" t="s">
        <v>4575</v>
      </c>
      <c r="D49" s="157"/>
      <c r="E49" s="2656" cm="1" t="n">
        <f t="array" ref="E49">INDEX('7층_부하량'!J3:J3000,MATCH(1,("7-DaHall 1-PDU-02"='7층_부하량'!A3:A3000)*(37='7층_부하량'!B3:B3000),0))</f>
        <v>1.237209680569701</v>
      </c>
      <c r="F49" s="157"/>
      <c r="G49" s="157"/>
      <c r="H49" s="541" t="s">
        <v>4597</v>
      </c>
      <c r="I49" s="481" t="s">
        <v>4706</v>
      </c>
      <c r="J49" s="154"/>
      <c r="K49" s="523"/>
      <c r="L49" s="488" t="s">
        <v>4707</v>
      </c>
      <c r="M49" s="541" t="s">
        <v>4597</v>
      </c>
      <c r="N49" s="157"/>
      <c r="O49" s="2656" cm="1" t="n">
        <f t="array" ref="O49">INDEX('7층_부하량'!J3:J3000,MATCH(1,("7-DaHall 1-PDU-02"='7층_부하량'!A3:A3000)*(38='7층_부하량'!B3:B3000),0))</f>
        <v>3.521365430818389</v>
      </c>
      <c r="P49" s="157"/>
      <c r="Q49" s="157"/>
      <c r="R49" s="157" t="s">
        <v>4631</v>
      </c>
      <c r="S49" s="283" t="s">
        <v>4575</v>
      </c>
      <c r="T49" s="531" t="s">
        <v>4771</v>
      </c>
    </row>
    <row r="50" spans="1:21" ht="20.100000000000001" customHeight="1" x14ac:dyDescent="0.15">
      <c r="A50" s="500" t="s">
        <v>4772</v>
      </c>
      <c r="B50" s="157" t="s">
        <v>4765</v>
      </c>
      <c r="C50" s="283" t="s">
        <v>4575</v>
      </c>
      <c r="D50" s="157"/>
      <c r="E50" s="157"/>
      <c r="F50" s="2656" cm="1" t="n">
        <f t="array" ref="F50">INDEX('7층_부하량'!K3:K3000,MATCH(1,("7-DaHall 1-PDU-02"='7층_부하량'!A3:A3000)*(39='7층_부하량'!B3:B3000),0))</f>
        <v>1.933699706231524</v>
      </c>
      <c r="G50" s="157"/>
      <c r="H50" s="541" t="s">
        <v>4597</v>
      </c>
      <c r="I50" s="481" t="s">
        <v>4710</v>
      </c>
      <c r="J50" s="154"/>
      <c r="K50" s="523"/>
      <c r="L50" s="488" t="s">
        <v>4711</v>
      </c>
      <c r="M50" s="541" t="s">
        <v>4597</v>
      </c>
      <c r="N50" s="157"/>
      <c r="O50" s="157"/>
      <c r="P50" s="2656" cm="1" t="n">
        <f t="array" ref="P50">INDEX('7층_부하량'!K3:K3000,MATCH(1,("7-DaHall 1-PDU-02"='7층_부하량'!A3:A3000)*(40='7층_부하량'!B3:B3000),0))</f>
        <v>3.097088929113518</v>
      </c>
      <c r="Q50" s="157"/>
      <c r="R50" s="157" t="s">
        <v>4631</v>
      </c>
      <c r="S50" s="283" t="s">
        <v>4575</v>
      </c>
      <c r="T50" s="531" t="s">
        <v>4773</v>
      </c>
    </row>
    <row r="51" spans="1:21" ht="20.100000000000001" customHeight="1" x14ac:dyDescent="0.15">
      <c r="A51" s="500" t="s">
        <v>4774</v>
      </c>
      <c r="B51" s="157" t="s">
        <v>4765</v>
      </c>
      <c r="C51" s="283" t="s">
        <v>4575</v>
      </c>
      <c r="D51" s="2656" cm="1" t="n">
        <f t="array" ref="D51">INDEX('7층_부하량'!I3:I3000,MATCH(1,("7-DaHall 1-PDU-02"='7층_부하량'!A3:A3000)*(41='7층_부하량'!B3:B3000),0))</f>
        <v>5.4581717910553</v>
      </c>
      <c r="E51" s="157"/>
      <c r="F51" s="157"/>
      <c r="G51" s="157"/>
      <c r="H51" s="541" t="s">
        <v>4597</v>
      </c>
      <c r="I51" s="481" t="s">
        <v>4775</v>
      </c>
      <c r="J51" s="154" t="s">
        <v>1684</v>
      </c>
      <c r="K51" s="523"/>
      <c r="L51" s="488" t="s">
        <v>4776</v>
      </c>
      <c r="M51" s="541" t="s">
        <v>4597</v>
      </c>
      <c r="N51" s="2656" cm="1" t="n">
        <f t="array" ref="N51">INDEX('7층_부하량'!I3:I3000,MATCH(1,("7-DaHall 1-PDU-02"='7층_부하량'!A3:A3000)*(42='7층_부하량'!B3:B3000),0))</f>
        <v>3.9345923951322033</v>
      </c>
      <c r="O51" s="157"/>
      <c r="P51" s="157"/>
      <c r="Q51" s="157"/>
      <c r="R51" s="157" t="s">
        <v>4765</v>
      </c>
      <c r="S51" s="283" t="s">
        <v>4575</v>
      </c>
      <c r="T51" s="531" t="s">
        <v>4777</v>
      </c>
    </row>
    <row r="52" spans="1:21" ht="20.100000000000001" customHeight="1" x14ac:dyDescent="0.15">
      <c r="A52" s="500"/>
      <c r="B52" s="143" t="s">
        <v>4590</v>
      </c>
      <c r="C52" s="143" t="s">
        <v>4723</v>
      </c>
      <c r="D52" s="157"/>
      <c r="E52" s="2656" cm="1" t="n">
        <f t="array" ref="E52">INDEX('7층_부하량'!J3:J3000,MATCH(1,("7-DaHall 1-PDU-02"='7층_부하량'!A3:A3000)*(43='7층_부하량'!B3:B3000),0))</f>
        <v>1.7773756510544736</v>
      </c>
      <c r="F52" s="157"/>
      <c r="G52" s="157"/>
      <c r="H52" s="541" t="s">
        <v>4597</v>
      </c>
      <c r="I52" s="481" t="s">
        <v>4778</v>
      </c>
      <c r="J52" s="154"/>
      <c r="K52" s="523" t="s">
        <v>4779</v>
      </c>
      <c r="L52" s="488" t="s">
        <v>4780</v>
      </c>
      <c r="M52" s="541" t="s">
        <v>4597</v>
      </c>
      <c r="N52" s="157"/>
      <c r="O52" s="2656" cm="1" t="n">
        <f t="array" ref="O52">INDEX('7층_부하량'!J3:J3000,MATCH(1,("7-DaHall 1-PDU-02"='7층_부하량'!A3:A3000)*(44='7층_부하량'!B3:B3000),0))</f>
        <v>1.8154135039449526</v>
      </c>
      <c r="P52" s="157"/>
      <c r="Q52" s="157"/>
      <c r="R52" s="157" t="s">
        <v>4765</v>
      </c>
      <c r="S52" s="283" t="s">
        <v>4575</v>
      </c>
      <c r="T52" s="531" t="s">
        <v>813</v>
      </c>
      <c r="U52" s="2320" t="s">
        <v>4781</v>
      </c>
    </row>
    <row r="53" spans="1:21" ht="20.100000000000001" customHeight="1" x14ac:dyDescent="0.15">
      <c r="A53" s="500"/>
      <c r="B53" s="143" t="s">
        <v>4590</v>
      </c>
      <c r="C53" s="143" t="s">
        <v>4723</v>
      </c>
      <c r="D53" s="157"/>
      <c r="E53" s="157"/>
      <c r="F53" s="2656" cm="1">
        <f t="array" ref="F53">INDEX('7층_부하량'!K3:K3000,MATCH(1,("7-DaHall 1-PDU-02"='7층_부하량'!A3:A3000)*(45='7층_부하량'!B3:B3000),0))</f>
        <v>0</v>
      </c>
      <c r="G53" s="157"/>
      <c r="H53" s="541" t="s">
        <v>4597</v>
      </c>
      <c r="I53" s="481" t="s">
        <v>4782</v>
      </c>
      <c r="J53" s="154"/>
      <c r="K53" s="523" t="s">
        <v>4717</v>
      </c>
      <c r="L53" s="488" t="s">
        <v>4783</v>
      </c>
      <c r="M53" s="541" t="s">
        <v>4597</v>
      </c>
      <c r="N53" s="157"/>
      <c r="O53" s="157"/>
      <c r="P53" s="2656" cm="1" t="n">
        <f t="array" ref="P53">INDEX('7층_부하량'!K3:K3000,MATCH(1,("7-DaHall 1-PDU-02"='7층_부하량'!A3:A3000)*(46='7층_부하량'!B3:B3000),0))</f>
        <v>3.6164773632526095</v>
      </c>
      <c r="Q53" s="157"/>
      <c r="R53" s="157" t="s">
        <v>4765</v>
      </c>
      <c r="S53" s="283" t="s">
        <v>4575</v>
      </c>
      <c r="T53" s="531" t="s">
        <v>826</v>
      </c>
      <c r="U53" t="s">
        <v>4784</v>
      </c>
    </row>
    <row r="54" spans="1:21" ht="20.100000000000001" customHeight="1" x14ac:dyDescent="0.15">
      <c r="A54" s="500"/>
      <c r="B54" s="143" t="s">
        <v>4590</v>
      </c>
      <c r="C54" s="143" t="s">
        <v>4723</v>
      </c>
      <c r="D54" s="2656" cm="1" t="n">
        <f t="array" ref="D54">INDEX('7층_부하량'!I3:I3000,MATCH(1,("7-DaHall 1-PDU-02"='7층_부하량'!A3:A3000)*(47='7층_부하량'!B3:B3000),0))</f>
        <v>2.7991504908527483</v>
      </c>
      <c r="E54" s="157"/>
      <c r="F54" s="157"/>
      <c r="G54" s="157"/>
      <c r="H54" s="541" t="s">
        <v>4597</v>
      </c>
      <c r="I54" s="481" t="s">
        <v>4785</v>
      </c>
      <c r="J54" s="154"/>
      <c r="K54" s="523"/>
      <c r="L54" s="488" t="s">
        <v>4786</v>
      </c>
      <c r="M54" s="541" t="s">
        <v>4597</v>
      </c>
      <c r="N54" s="2656" cm="1" t="n">
        <f t="array" ref="N54">INDEX('7층_부하량'!I3:I3000,MATCH(1,("7-DaHall 1-PDU-02"='7층_부하량'!A3:A3000)*(48='7층_부하량'!B3:B3000),0))</f>
        <v>2.451338560346663</v>
      </c>
      <c r="O54" s="157"/>
      <c r="P54" s="157"/>
      <c r="Q54" s="157"/>
      <c r="R54" s="157" t="s">
        <v>4590</v>
      </c>
      <c r="S54" s="143" t="s">
        <v>4642</v>
      </c>
      <c r="T54" s="531"/>
    </row>
    <row r="55" spans="1:21" ht="27.75" customHeight="1" x14ac:dyDescent="0.15">
      <c r="A55" s="2336" t="s">
        <v>1195</v>
      </c>
      <c r="B55" s="157" t="s">
        <v>4579</v>
      </c>
      <c r="C55" s="283" t="s">
        <v>4575</v>
      </c>
      <c r="D55" s="157"/>
      <c r="E55" s="2656" cm="1" t="n">
        <f t="array" ref="E55">INDEX('7층_부하량'!J3:J3000,MATCH(1,("7-DaHall 1-PDU-02"='7층_부하량'!A3:A3000)*(49='7층_부하량'!B3:B3000),0))</f>
        <v>1.0809544928812485</v>
      </c>
      <c r="F55" s="157"/>
      <c r="G55" s="157"/>
      <c r="H55" s="541" t="s">
        <v>4597</v>
      </c>
      <c r="I55" s="481" t="s">
        <v>4787</v>
      </c>
      <c r="J55" s="2337" t="s">
        <v>4788</v>
      </c>
      <c r="K55" s="523"/>
      <c r="L55" s="488" t="s">
        <v>4789</v>
      </c>
      <c r="M55" s="541" t="s">
        <v>4597</v>
      </c>
      <c r="N55" s="157"/>
      <c r="O55" s="2655" cm="1" t="n">
        <f t="array" ref="O55">INDEX('7층_부하량'!J3:J3000,MATCH(1,("7-DaHall 1-PDU-02"='7층_부하량'!A3:A3000)*(50='7층_부하량'!B3:B3000),0))</f>
        <v>3.4264977843281623</v>
      </c>
      <c r="P55" s="157"/>
      <c r="Q55" s="157"/>
      <c r="R55" s="157" t="s">
        <v>4631</v>
      </c>
      <c r="S55" s="283" t="s">
        <v>4575</v>
      </c>
      <c r="T55" s="531" t="s">
        <v>4790</v>
      </c>
    </row>
    <row r="56" spans="1:21" ht="28.5" customHeight="1" x14ac:dyDescent="0.15">
      <c r="A56" s="2336" t="s">
        <v>1197</v>
      </c>
      <c r="B56" s="157" t="s">
        <v>4579</v>
      </c>
      <c r="C56" s="283" t="s">
        <v>4575</v>
      </c>
      <c r="D56" s="157"/>
      <c r="E56" s="157"/>
      <c r="F56" s="2656" cm="1" t="n">
        <f t="array" ref="F56">INDEX('7층_부하량'!K3:K3000,MATCH(1,("7-DaHall 1-PDU-02"='7층_부하량'!A3:A3000)*(51='7층_부하량'!B3:B3000),0))</f>
        <v>0.8105199592165466</v>
      </c>
      <c r="G56" s="157"/>
      <c r="H56" s="541" t="s">
        <v>4597</v>
      </c>
      <c r="I56" s="481" t="s">
        <v>4791</v>
      </c>
      <c r="J56" s="2337" t="s">
        <v>4792</v>
      </c>
      <c r="K56" s="523"/>
      <c r="L56" s="488" t="s">
        <v>4793</v>
      </c>
      <c r="M56" s="541" t="s">
        <v>4597</v>
      </c>
      <c r="N56" s="157"/>
      <c r="O56" s="157"/>
      <c r="P56" s="2655" cm="1" t="n">
        <f t="array" ref="P56">INDEX('7층_부하량'!K3:K3000,MATCH(1,("7-DaHall 1-PDU-02"='7층_부하량'!A3:A3000)*(52='7층_부하량'!B3:B3000),0))</f>
        <v>3.2825619797644436</v>
      </c>
      <c r="Q56" s="157"/>
      <c r="R56" s="157" t="s">
        <v>4631</v>
      </c>
      <c r="S56" s="283" t="s">
        <v>4575</v>
      </c>
      <c r="T56" s="531" t="s">
        <v>4794</v>
      </c>
    </row>
    <row r="57" spans="1:21" ht="20.100000000000001" customHeight="1" thickBot="1" x14ac:dyDescent="0.2">
      <c r="A57" s="507" t="s">
        <v>4795</v>
      </c>
      <c r="B57" s="166" t="s">
        <v>4631</v>
      </c>
      <c r="C57" s="184" t="s">
        <v>4575</v>
      </c>
      <c r="D57" s="2659" cm="1" t="n">
        <f t="array" ref="D57">INDEX('7층_부하량'!I3:I3000,MATCH(1,("7-DaHall 1-PDU-02"='7층_부하량'!A3:A3000)*(53='7층_부하량'!B3:B3000),0))</f>
        <v>0.22465841830820377</v>
      </c>
      <c r="E57" s="167"/>
      <c r="F57" s="167"/>
      <c r="G57" s="167"/>
      <c r="H57" s="543" t="s">
        <v>4597</v>
      </c>
      <c r="I57" s="483" t="s">
        <v>4796</v>
      </c>
      <c r="J57" s="168" t="s">
        <v>4679</v>
      </c>
      <c r="K57" s="525"/>
      <c r="L57" s="491" t="s">
        <v>4797</v>
      </c>
      <c r="M57" s="543" t="s">
        <v>4597</v>
      </c>
      <c r="N57" s="2659" cm="1">
        <f t="array" ref="N57">INDEX('7층_부하량'!I3:I3000,MATCH(1,("7-DaHall 1-PDU-02"='7층_부하량'!A3:A3000)*(54='7층_부하량'!B3:B3000),0))</f>
        <v>0</v>
      </c>
      <c r="O57" s="167"/>
      <c r="P57" s="167"/>
      <c r="Q57" s="167"/>
      <c r="R57" s="166" t="s">
        <v>4631</v>
      </c>
      <c r="S57" s="184" t="s">
        <v>4575</v>
      </c>
      <c r="T57" s="533" t="s">
        <v>4798</v>
      </c>
    </row>
    <row r="58" spans="1:21" ht="20.100000000000001" customHeight="1" thickTop="1" x14ac:dyDescent="0.15">
      <c r="A58" s="504"/>
      <c r="B58" s="133"/>
      <c r="C58" s="133"/>
      <c r="D58" s="131"/>
      <c r="E58" s="131"/>
      <c r="F58" s="131"/>
      <c r="G58" s="131"/>
      <c r="H58" s="504"/>
      <c r="I58" s="133"/>
      <c r="J58" s="172"/>
      <c r="K58" s="522"/>
      <c r="L58" s="172"/>
      <c r="M58" s="504" t="s">
        <v>4713</v>
      </c>
      <c r="N58" s="131" t="n">
        <f>SUM(D31:D57,N31:N57)</f>
        <v>55.47096403311919</v>
      </c>
      <c r="O58" s="131" t="n">
        <f>SUM(E31:E57,O31:O57)</f>
        <v>53.996738323773585</v>
      </c>
      <c r="P58" s="131" t="n">
        <f>SUM(P31:P57,F31:F57)</f>
        <v>63.1980621000752</v>
      </c>
      <c r="Q58" s="131" t="n">
        <f>SUM(Q31:Q57,Y31:Y57)</f>
        <v>0.0</v>
      </c>
      <c r="R58" s="128"/>
      <c r="S58" s="128"/>
      <c r="T58" s="515"/>
    </row>
    <row r="59" spans="1:21" ht="20.100000000000001" customHeight="1" x14ac:dyDescent="0.15">
      <c r="A59" s="508"/>
      <c r="B59" s="128"/>
      <c r="C59" s="128"/>
      <c r="D59" s="128"/>
      <c r="E59" s="128"/>
      <c r="F59" s="128"/>
      <c r="G59" s="128"/>
      <c r="H59" s="508"/>
      <c r="I59" s="128"/>
      <c r="J59" s="128"/>
      <c r="K59" s="508"/>
      <c r="L59" s="128"/>
      <c r="M59" s="508"/>
      <c r="N59" s="128"/>
      <c r="O59" s="128"/>
      <c r="P59" s="128"/>
      <c r="Q59" s="128"/>
      <c r="R59" s="128"/>
      <c r="S59" s="128"/>
      <c r="T59" s="508"/>
    </row>
    <row r="60" spans="1:21" ht="20.100000000000001" customHeight="1" thickBot="1" x14ac:dyDescent="0.2">
      <c r="A60" s="505" t="s">
        <v>7020</v>
      </c>
      <c r="B60" s="128"/>
      <c r="C60" s="128"/>
      <c r="D60" s="3660" t="s">
        <v>8981</v>
      </c>
      <c r="E60" s="3660"/>
      <c r="F60" s="3660"/>
      <c r="G60" s="3660"/>
      <c r="H60" s="504"/>
      <c r="I60" s="133"/>
      <c r="J60" s="3663" t="s">
        <v>4715</v>
      </c>
      <c r="K60" s="3664"/>
      <c r="L60" s="487"/>
      <c r="M60" s="504"/>
      <c r="N60" s="173"/>
      <c r="O60" s="173"/>
      <c r="P60" s="173"/>
      <c r="Q60" s="173"/>
      <c r="R60" s="173"/>
      <c r="S60" s="173"/>
      <c r="T60" s="508"/>
    </row>
    <row r="61" spans="1:21" ht="20.100000000000001" customHeight="1" thickTop="1" thickBot="1" x14ac:dyDescent="0.2">
      <c r="A61" s="496"/>
      <c r="B61" s="128"/>
      <c r="C61" s="128"/>
      <c r="D61" s="129"/>
      <c r="E61" s="130"/>
      <c r="F61" s="130"/>
      <c r="G61" s="130"/>
      <c r="H61" s="515"/>
      <c r="I61" s="131"/>
      <c r="J61" s="128"/>
      <c r="K61" s="516"/>
      <c r="L61" s="132"/>
      <c r="M61" s="1371" t="s">
        <v>4562</v>
      </c>
      <c r="N61" s="1368">
        <v>33.4</v>
      </c>
      <c r="O61" s="1369">
        <v>43.4</v>
      </c>
      <c r="P61" s="1370">
        <v>40.1</v>
      </c>
      <c r="Q61" s="508" t="s">
        <v>4563</v>
      </c>
      <c r="R61" s="133"/>
      <c r="S61" s="128"/>
      <c r="T61" s="528"/>
    </row>
    <row r="62" spans="1:21" ht="20.100000000000001" customHeight="1" thickTop="1" thickBot="1" x14ac:dyDescent="0.2">
      <c r="A62" s="497" t="s">
        <v>4629</v>
      </c>
      <c r="B62" s="135" t="s">
        <v>4565</v>
      </c>
      <c r="C62" s="136" t="s">
        <v>4566</v>
      </c>
      <c r="D62" s="135" t="s">
        <v>4567</v>
      </c>
      <c r="E62" s="135" t="s">
        <v>4568</v>
      </c>
      <c r="F62" s="135" t="s">
        <v>4569</v>
      </c>
      <c r="G62" s="135" t="s">
        <v>4570</v>
      </c>
      <c r="H62" s="539" t="s">
        <v>4571</v>
      </c>
      <c r="I62" s="479"/>
      <c r="J62" s="138" t="s">
        <v>4572</v>
      </c>
      <c r="K62" s="517" t="s">
        <v>4572</v>
      </c>
      <c r="L62" s="479"/>
      <c r="M62" s="539" t="s">
        <v>4571</v>
      </c>
      <c r="N62" s="135" t="s">
        <v>4567</v>
      </c>
      <c r="O62" s="135" t="s">
        <v>4568</v>
      </c>
      <c r="P62" s="135" t="s">
        <v>4569</v>
      </c>
      <c r="Q62" s="135" t="s">
        <v>4570</v>
      </c>
      <c r="R62" s="135" t="s">
        <v>4565</v>
      </c>
      <c r="S62" s="136" t="s">
        <v>4566</v>
      </c>
      <c r="T62" s="529" t="s">
        <v>4629</v>
      </c>
    </row>
    <row r="63" spans="1:21" ht="17.25" thickTop="1" x14ac:dyDescent="0.15">
      <c r="A63" s="498" t="s">
        <v>4800</v>
      </c>
      <c r="B63" s="142" t="s">
        <v>4631</v>
      </c>
      <c r="C63" s="152" t="s">
        <v>4575</v>
      </c>
      <c r="D63" s="144"/>
      <c r="E63" s="2654" cm="1">
        <f t="array" ref="E63">INDEX('7층_부하량'!J3:J3000,MATCH(1,("7-DaHall 1-PDU-01"='7층_부하량'!A3:A3000)*(1='7층_부하량'!B3:B3000),0))</f>
        <v>0</v>
      </c>
      <c r="F63" s="144"/>
      <c r="G63" s="144"/>
      <c r="H63" s="540" t="s">
        <v>4576</v>
      </c>
      <c r="I63" s="480" t="s">
        <v>4633</v>
      </c>
      <c r="J63" s="145" t="s">
        <v>4675</v>
      </c>
      <c r="K63" s="523" t="s">
        <v>4779</v>
      </c>
      <c r="L63" s="480" t="s">
        <v>4578</v>
      </c>
      <c r="M63" s="540" t="s">
        <v>4576</v>
      </c>
      <c r="N63" s="144"/>
      <c r="O63" s="2654" cm="1" t="n">
        <f t="array" ref="O63">INDEX('7층_부하량'!J3:J3000,MATCH(1,("7-DaHall 1-PDU-01"='7층_부하량'!A3:A3000)*(2='7층_부하량'!B3:B3000),0))</f>
        <v>2.2573828959206983</v>
      </c>
      <c r="P63" s="144"/>
      <c r="Q63" s="144"/>
      <c r="R63" s="144" t="s">
        <v>4631</v>
      </c>
      <c r="S63" s="152" t="s">
        <v>4575</v>
      </c>
      <c r="T63" s="534" t="s">
        <v>4801</v>
      </c>
      <c r="U63" t="s">
        <v>4784</v>
      </c>
    </row>
    <row r="64" spans="1:21" ht="16.5" x14ac:dyDescent="0.15">
      <c r="A64" s="499" t="s">
        <v>4802</v>
      </c>
      <c r="B64" s="143" t="s">
        <v>4631</v>
      </c>
      <c r="C64" s="164" t="s">
        <v>4575</v>
      </c>
      <c r="D64" s="346"/>
      <c r="E64" s="346"/>
      <c r="F64" s="2660" cm="1" t="n">
        <f t="array" ref="F64">INDEX('7층_부하량'!K3:K3000,MATCH(1,("7-DaHall 1-PDU-01"='7층_부하량'!A3:A3000)*(3='7층_부하량'!B3:B3000),0))</f>
        <v>2.953976344624284</v>
      </c>
      <c r="G64" s="149"/>
      <c r="H64" s="541" t="s">
        <v>4576</v>
      </c>
      <c r="I64" s="481" t="s">
        <v>4638</v>
      </c>
      <c r="J64" s="653" t="s">
        <v>4803</v>
      </c>
      <c r="K64" s="519"/>
      <c r="L64" s="481" t="s">
        <v>4583</v>
      </c>
      <c r="M64" s="541" t="s">
        <v>4576</v>
      </c>
      <c r="N64" s="149"/>
      <c r="O64" s="149"/>
      <c r="P64" s="2655" cm="1" t="n">
        <f t="array" ref="P64">INDEX('7층_부하량'!K3:K3000,MATCH(1,("7-DaHall 1-PDU-01"='7층_부하량'!A3:A3000)*(4='7층_부하량'!B3:B3000),0))</f>
        <v>5.6083028034889395</v>
      </c>
      <c r="Q64" s="149"/>
      <c r="R64" s="149" t="s">
        <v>4631</v>
      </c>
      <c r="S64" s="164" t="s">
        <v>4575</v>
      </c>
      <c r="T64" s="531" t="s">
        <v>4804</v>
      </c>
    </row>
    <row r="65" spans="1:20" ht="16.5" x14ac:dyDescent="0.15">
      <c r="A65" s="500" t="s">
        <v>4805</v>
      </c>
      <c r="B65" s="143" t="s">
        <v>4631</v>
      </c>
      <c r="C65" s="164" t="s">
        <v>4575</v>
      </c>
      <c r="D65" s="2656" cm="1" t="n">
        <f t="array" ref="D65">INDEX('7층_부하량'!I3:I3000,MATCH(1,("7-DaHall 1-PDU-01"='7층_부하량'!A3:A3000)*(5='7층_부하량'!B3:B3000),0))</f>
        <v>5.229691015797499</v>
      </c>
      <c r="E65" s="157"/>
      <c r="F65" s="157"/>
      <c r="G65" s="157"/>
      <c r="H65" s="541" t="s">
        <v>4576</v>
      </c>
      <c r="I65" s="481" t="s">
        <v>4641</v>
      </c>
      <c r="J65" s="654" t="s">
        <v>4806</v>
      </c>
      <c r="K65" s="519" t="s">
        <v>4724</v>
      </c>
      <c r="L65" s="481" t="s">
        <v>4588</v>
      </c>
      <c r="M65" s="541" t="s">
        <v>4576</v>
      </c>
      <c r="N65" s="2656" cm="1" t="n">
        <f t="array" ref="N65">INDEX('7층_부하량'!I3:I3000,MATCH(1,("7-DaHall 1-PDU-01"='7층_부하량'!A3:A3000)*(6='7층_부하량'!B3:B3000),0))</f>
        <v>6.377899941102089</v>
      </c>
      <c r="O65" s="157"/>
      <c r="P65" s="157"/>
      <c r="Q65" s="157"/>
      <c r="R65" s="157" t="s">
        <v>4631</v>
      </c>
      <c r="S65" s="164" t="s">
        <v>4575</v>
      </c>
      <c r="T65" s="531" t="s">
        <v>4807</v>
      </c>
    </row>
    <row r="66" spans="1:20" ht="16.5" x14ac:dyDescent="0.15">
      <c r="A66" s="501" t="s">
        <v>4808</v>
      </c>
      <c r="B66" s="143" t="s">
        <v>4631</v>
      </c>
      <c r="C66" s="164" t="s">
        <v>4575</v>
      </c>
      <c r="D66" s="157"/>
      <c r="E66" s="2656" cm="1" t="n">
        <f t="array" ref="E66">INDEX('7층_부하량'!J3:J3000,MATCH(1,("7-DaHall 1-PDU-01"='7층_부하량'!A3:A3000)*(7='7층_부하량'!B3:B3000),0))</f>
        <v>6.09835927588217</v>
      </c>
      <c r="F66" s="157"/>
      <c r="G66" s="157"/>
      <c r="H66" s="541" t="s">
        <v>4576</v>
      </c>
      <c r="I66" s="481" t="s">
        <v>4645</v>
      </c>
      <c r="J66" s="154"/>
      <c r="K66" s="523"/>
      <c r="L66" s="488" t="s">
        <v>4593</v>
      </c>
      <c r="M66" s="541" t="s">
        <v>4576</v>
      </c>
      <c r="N66" s="157"/>
      <c r="O66" s="2656" cm="1" t="n">
        <f t="array" ref="O66">INDEX('7층_부하량'!J3:J3000,MATCH(1,("7-DaHall 1-PDU-01"='7층_부하량'!A3:A3000)*(8='7층_부하량'!B3:B3000),0))</f>
        <v>1.6519201727634416</v>
      </c>
      <c r="P66" s="157"/>
      <c r="Q66" s="157"/>
      <c r="R66" s="157" t="s">
        <v>4631</v>
      </c>
      <c r="S66" s="283" t="s">
        <v>4575</v>
      </c>
      <c r="T66" s="531" t="s">
        <v>4809</v>
      </c>
    </row>
    <row r="67" spans="1:20" ht="16.5" x14ac:dyDescent="0.15">
      <c r="A67" s="501" t="s">
        <v>4810</v>
      </c>
      <c r="B67" s="143" t="s">
        <v>4631</v>
      </c>
      <c r="C67" s="164" t="s">
        <v>4575</v>
      </c>
      <c r="D67" s="157"/>
      <c r="E67" s="157"/>
      <c r="F67" s="2656" cm="1" t="n">
        <f t="array" ref="F67">INDEX('7층_부하량'!K3:K3000,MATCH(1,("7-DaHall 1-PDU-01"='7층_부하량'!A3:A3000)*(9='7층_부하량'!B3:B3000),0))</f>
        <v>5.62840174408912</v>
      </c>
      <c r="G67" s="157"/>
      <c r="H67" s="541" t="s">
        <v>4576</v>
      </c>
      <c r="I67" s="481" t="s">
        <v>4648</v>
      </c>
      <c r="J67" s="154"/>
      <c r="K67" s="523"/>
      <c r="L67" s="488" t="s">
        <v>4596</v>
      </c>
      <c r="M67" s="541" t="s">
        <v>4597</v>
      </c>
      <c r="N67" s="157"/>
      <c r="O67" s="157"/>
      <c r="P67" s="2656" cm="1" t="n">
        <f t="array" ref="P67">INDEX('7층_부하량'!K3:K3000,MATCH(1,("7-DaHall 1-PDU-01"='7층_부하량'!A3:A3000)*(10='7층_부하량'!B3:B3000),0))</f>
        <v>2.8401858146185406</v>
      </c>
      <c r="Q67" s="157"/>
      <c r="R67" s="157" t="s">
        <v>4631</v>
      </c>
      <c r="S67" s="283" t="s">
        <v>4575</v>
      </c>
      <c r="T67" s="531" t="s">
        <v>4811</v>
      </c>
    </row>
    <row r="68" spans="1:20" ht="16.5" x14ac:dyDescent="0.15">
      <c r="A68" s="713" t="s">
        <v>4812</v>
      </c>
      <c r="B68" s="157" t="s">
        <v>4631</v>
      </c>
      <c r="C68" s="164" t="s">
        <v>4575</v>
      </c>
      <c r="D68" s="2656" cm="1" t="n">
        <f t="array" ref="D68">INDEX('7층_부하량'!I3:I3000,MATCH(1,("7-DaHall 1-PDU-01"='7층_부하량'!A3:A3000)*(11='7층_부하량'!B3:B3000),0))</f>
        <v>6.333575182567163</v>
      </c>
      <c r="E68" s="157"/>
      <c r="F68" s="157"/>
      <c r="G68" s="157"/>
      <c r="H68" s="541" t="s">
        <v>4576</v>
      </c>
      <c r="I68" s="481" t="s">
        <v>4653</v>
      </c>
      <c r="J68" s="654" t="s">
        <v>4806</v>
      </c>
      <c r="K68" s="656" t="s">
        <v>4679</v>
      </c>
      <c r="L68" s="488" t="s">
        <v>4599</v>
      </c>
      <c r="M68" s="541" t="s">
        <v>4597</v>
      </c>
      <c r="N68" s="2656" cm="1" t="n">
        <f t="array" ref="N68">INDEX('7층_부하량'!I3:I3000,MATCH(1,("7-DaHall 1-PDU-01"='7층_부하량'!A3:A3000)*(12='7층_부하량'!B3:B3000),0))</f>
        <v>2.0298583151388403</v>
      </c>
      <c r="O68" s="157"/>
      <c r="P68" s="157"/>
      <c r="Q68" s="157"/>
      <c r="R68" s="157" t="s">
        <v>4631</v>
      </c>
      <c r="S68" s="283" t="s">
        <v>4575</v>
      </c>
      <c r="T68" s="531" t="s">
        <v>4813</v>
      </c>
    </row>
    <row r="69" spans="1:20" ht="24" x14ac:dyDescent="0.15">
      <c r="A69" s="714" t="s">
        <v>4814</v>
      </c>
      <c r="B69" s="157" t="s">
        <v>4631</v>
      </c>
      <c r="C69" s="283" t="s">
        <v>4575</v>
      </c>
      <c r="D69" s="157"/>
      <c r="E69" s="2656" cm="1" t="n">
        <f t="array" ref="E69">INDEX('7층_부하량'!J3:J3000,MATCH(1,("7-DaHall 1-PDU-01"='7층_부하량'!A3:A3000)*(13='7층_부하량'!B3:B3000),0))</f>
        <v>5.752867340856349</v>
      </c>
      <c r="F69" s="157"/>
      <c r="G69" s="157"/>
      <c r="H69" s="541" t="s">
        <v>4597</v>
      </c>
      <c r="I69" s="481" t="s">
        <v>4657</v>
      </c>
      <c r="J69" s="654" t="s">
        <v>4806</v>
      </c>
      <c r="K69" s="523" t="s">
        <v>4734</v>
      </c>
      <c r="L69" s="488" t="s">
        <v>4601</v>
      </c>
      <c r="M69" s="541" t="s">
        <v>4597</v>
      </c>
      <c r="N69" s="157"/>
      <c r="O69" s="2656" cm="1" t="n">
        <f t="array" ref="O69">INDEX('7층_부하량'!J3:J3000,MATCH(1,("7-DaHall 1-PDU-01"='7층_부하량'!A3:A3000)*(14='7층_부하량'!B3:B3000),0))</f>
        <v>4.089178681175843</v>
      </c>
      <c r="P69" s="157"/>
      <c r="Q69" s="157"/>
      <c r="R69" s="157" t="s">
        <v>4631</v>
      </c>
      <c r="S69" s="283" t="s">
        <v>4575</v>
      </c>
      <c r="T69" s="531" t="s">
        <v>4735</v>
      </c>
    </row>
    <row r="70" spans="1:20" ht="24" x14ac:dyDescent="0.15">
      <c r="A70" s="500" t="s">
        <v>4815</v>
      </c>
      <c r="B70" s="157" t="s">
        <v>4631</v>
      </c>
      <c r="C70" s="283" t="s">
        <v>4575</v>
      </c>
      <c r="D70" s="157"/>
      <c r="E70" s="157"/>
      <c r="F70" s="2656" cm="1" t="n">
        <f t="array" ref="F70">INDEX('7층_부하량'!K3:K3000,MATCH(1,("7-DaHall 1-PDU-01"='7층_부하량'!A3:A3000)*(15='7층_부하량'!B3:B3000),0))</f>
        <v>0.7121960424198318</v>
      </c>
      <c r="G70" s="157"/>
      <c r="H70" s="541" t="s">
        <v>4597</v>
      </c>
      <c r="I70" s="481" t="s">
        <v>4661</v>
      </c>
      <c r="J70" s="154" t="s">
        <v>4737</v>
      </c>
      <c r="K70" s="523" t="s">
        <v>4734</v>
      </c>
      <c r="L70" s="488" t="s">
        <v>4603</v>
      </c>
      <c r="M70" s="541" t="s">
        <v>4597</v>
      </c>
      <c r="N70" s="157"/>
      <c r="O70" s="157"/>
      <c r="P70" s="2656" cm="1" t="n">
        <f t="array" ref="P70">INDEX('7층_부하량'!K3:K3000,MATCH(1,("7-DaHall 1-PDU-01"='7층_부하량'!A3:A3000)*(16='7층_부하량'!B3:B3000),0))</f>
        <v>2.7079420132022562</v>
      </c>
      <c r="Q70" s="157"/>
      <c r="R70" s="157" t="s">
        <v>4631</v>
      </c>
      <c r="S70" s="283" t="s">
        <v>4575</v>
      </c>
      <c r="T70" s="531" t="s">
        <v>4738</v>
      </c>
    </row>
    <row r="71" spans="1:20" ht="24" x14ac:dyDescent="0.15">
      <c r="A71" s="500" t="s">
        <v>4816</v>
      </c>
      <c r="B71" s="157" t="s">
        <v>4631</v>
      </c>
      <c r="C71" s="283" t="s">
        <v>4575</v>
      </c>
      <c r="D71" s="2656" cm="1" t="n">
        <f t="array" ref="D71">INDEX('7층_부하량'!I3:I3000,MATCH(1,("7-DaHall 1-PDU-01"='7층_부하량'!A3:A3000)*(17='7층_부하량'!B3:B3000),0))</f>
        <v>3.9791247554867604</v>
      </c>
      <c r="E71" s="157"/>
      <c r="F71" s="157"/>
      <c r="G71" s="157"/>
      <c r="H71" s="541" t="s">
        <v>4597</v>
      </c>
      <c r="I71" s="481" t="s">
        <v>4665</v>
      </c>
      <c r="J71" s="154" t="s">
        <v>4721</v>
      </c>
      <c r="K71" s="1225" t="s">
        <v>4740</v>
      </c>
      <c r="L71" s="488" t="s">
        <v>4605</v>
      </c>
      <c r="M71" s="541" t="s">
        <v>4597</v>
      </c>
      <c r="N71" s="2656" cm="1" t="n">
        <f t="array" ref="N71">INDEX('7층_부하량'!I3:I3000,MATCH(1,("7-DaHall 1-PDU-01"='7층_부하량'!A3:A3000)*(18='7층_부하량'!B3:B3000),0))</f>
        <v>2.7001348231436015</v>
      </c>
      <c r="O71" s="157"/>
      <c r="P71" s="157"/>
      <c r="Q71" s="157"/>
      <c r="R71" s="157" t="s">
        <v>4631</v>
      </c>
      <c r="S71" s="164" t="s">
        <v>4575</v>
      </c>
      <c r="T71" s="1227" t="s">
        <v>4817</v>
      </c>
    </row>
    <row r="72" spans="1:20" ht="24" x14ac:dyDescent="0.15">
      <c r="A72" s="500" t="s">
        <v>4818</v>
      </c>
      <c r="B72" s="157" t="s">
        <v>4631</v>
      </c>
      <c r="C72" s="283" t="s">
        <v>4575</v>
      </c>
      <c r="D72" s="157"/>
      <c r="E72" s="2656" cm="1" t="n">
        <f t="array" ref="E72">INDEX('7층_부하량'!J3:J3000,MATCH(1,("7-DaHall 1-PDU-01"='7층_부하량'!A3:A3000)*(19='7층_부하량'!B3:B3000),0))</f>
        <v>3.819517716284986</v>
      </c>
      <c r="F72" s="157"/>
      <c r="G72" s="157"/>
      <c r="H72" s="541" t="s">
        <v>4597</v>
      </c>
      <c r="I72" s="481" t="s">
        <v>4670</v>
      </c>
      <c r="J72" s="154" t="s">
        <v>4721</v>
      </c>
      <c r="K72" s="1225" t="s">
        <v>4743</v>
      </c>
      <c r="L72" s="488" t="s">
        <v>4609</v>
      </c>
      <c r="M72" s="541" t="s">
        <v>4597</v>
      </c>
      <c r="N72" s="157"/>
      <c r="O72" s="2656" cm="1" t="n">
        <f t="array" ref="O72">INDEX('7층_부하량'!J3:J3000,MATCH(1,("7-DaHall 1-PDU-01"='7층_부하량'!A3:A3000)*(20='7층_부하량'!B3:B3000),0))</f>
        <v>1.718442751446797</v>
      </c>
      <c r="P72" s="157"/>
      <c r="Q72" s="157"/>
      <c r="R72" s="157" t="s">
        <v>4631</v>
      </c>
      <c r="S72" s="283" t="s">
        <v>4575</v>
      </c>
      <c r="T72" s="1227" t="s">
        <v>4819</v>
      </c>
    </row>
    <row r="73" spans="1:20" ht="24" x14ac:dyDescent="0.15">
      <c r="A73" s="500" t="s">
        <v>4820</v>
      </c>
      <c r="B73" s="157" t="s">
        <v>4631</v>
      </c>
      <c r="C73" s="283" t="s">
        <v>4575</v>
      </c>
      <c r="D73" s="157"/>
      <c r="E73" s="157"/>
      <c r="F73" s="2656" cm="1" t="n">
        <f t="array" ref="F73">INDEX('7층_부하량'!K3:K3000,MATCH(1,("7-DaHall 1-PDU-01"='7층_부하량'!A3:A3000)*(21='7층_부하량'!B3:B3000),0))</f>
        <v>3.461950600602198</v>
      </c>
      <c r="G73" s="157"/>
      <c r="H73" s="541" t="s">
        <v>4597</v>
      </c>
      <c r="I73" s="481" t="s">
        <v>4674</v>
      </c>
      <c r="J73" s="154" t="s">
        <v>4721</v>
      </c>
      <c r="K73" s="1225" t="s">
        <v>4746</v>
      </c>
      <c r="L73" s="488" t="s">
        <v>4613</v>
      </c>
      <c r="M73" s="541" t="s">
        <v>4597</v>
      </c>
      <c r="N73" s="157"/>
      <c r="O73" s="157"/>
      <c r="P73" s="2656" cm="1" t="n">
        <f t="array" ref="P73">INDEX('7층_부하량'!K3:K3000,MATCH(1,("7-DaHall 1-PDU-01"='7층_부하량'!A3:A3000)*(22='7층_부하량'!B3:B3000),0))</f>
        <v>1.6897335492524912</v>
      </c>
      <c r="Q73" s="157"/>
      <c r="R73" s="157" t="s">
        <v>4631</v>
      </c>
      <c r="S73" s="283" t="s">
        <v>4575</v>
      </c>
      <c r="T73" s="1227" t="s">
        <v>4821</v>
      </c>
    </row>
    <row r="74" spans="1:20" ht="24" x14ac:dyDescent="0.15">
      <c r="A74" s="500" t="s">
        <v>4822</v>
      </c>
      <c r="B74" s="157" t="s">
        <v>4631</v>
      </c>
      <c r="C74" s="283" t="s">
        <v>4575</v>
      </c>
      <c r="D74" s="2656" cm="1" t="n">
        <f t="array" ref="D74">INDEX('7층_부하량'!I3:I3000,MATCH(1,("7-DaHall 1-PDU-01"='7층_부하량'!A3:A3000)*(23='7층_부하량'!B3:B3000),0))</f>
        <v>1.8627944028324999</v>
      </c>
      <c r="E74" s="157"/>
      <c r="F74" s="157"/>
      <c r="G74" s="157"/>
      <c r="H74" s="541" t="s">
        <v>4597</v>
      </c>
      <c r="I74" s="481" t="s">
        <v>4678</v>
      </c>
      <c r="J74" s="154" t="s">
        <v>4721</v>
      </c>
      <c r="K74" s="1225" t="s">
        <v>4749</v>
      </c>
      <c r="L74" s="488" t="s">
        <v>4680</v>
      </c>
      <c r="M74" s="541" t="s">
        <v>4597</v>
      </c>
      <c r="N74" s="2656" cm="1" t="n">
        <f t="array" ref="N74">INDEX('7층_부하량'!I3:I3000,MATCH(1,("7-DaHall 1-PDU-01"='7층_부하량'!A3:A3000)*(24='7층_부하량'!B3:B3000),0))</f>
        <v>2.650012601318398</v>
      </c>
      <c r="O74" s="157"/>
      <c r="P74" s="157"/>
      <c r="Q74" s="157"/>
      <c r="R74" s="157" t="s">
        <v>4631</v>
      </c>
      <c r="S74" s="283" t="s">
        <v>4575</v>
      </c>
      <c r="T74" s="1227" t="s">
        <v>4823</v>
      </c>
    </row>
    <row r="75" spans="1:20" ht="24" x14ac:dyDescent="0.15">
      <c r="A75" s="500" t="s">
        <v>4824</v>
      </c>
      <c r="B75" s="157" t="s">
        <v>4631</v>
      </c>
      <c r="C75" s="283" t="s">
        <v>4575</v>
      </c>
      <c r="D75" s="157"/>
      <c r="E75" s="2656" cm="1" t="n">
        <f t="array" ref="E75">INDEX('7층_부하량'!J3:J3000,MATCH(1,("7-DaHall 1-PDU-01"='7층_부하량'!A3:A3000)*(25='7층_부하량'!B3:B3000),0))</f>
        <v>1.9762325377804615</v>
      </c>
      <c r="F75" s="157"/>
      <c r="G75" s="157"/>
      <c r="H75" s="541" t="s">
        <v>4597</v>
      </c>
      <c r="I75" s="481" t="s">
        <v>4683</v>
      </c>
      <c r="J75" s="654" t="s">
        <v>4806</v>
      </c>
      <c r="K75" s="1225" t="s">
        <v>4752</v>
      </c>
      <c r="L75" s="488" t="s">
        <v>4685</v>
      </c>
      <c r="M75" s="541" t="s">
        <v>4597</v>
      </c>
      <c r="N75" s="157"/>
      <c r="O75" s="2656" cm="1" t="n">
        <f t="array" ref="O75">INDEX('7층_부하량'!J3:J3000,MATCH(1,("7-DaHall 1-PDU-01"='7층_부하량'!A3:A3000)*(26='7층_부하량'!B3:B3000),0))</f>
        <v>3.3292442939519797</v>
      </c>
      <c r="P75" s="157"/>
      <c r="Q75" s="157"/>
      <c r="R75" s="157" t="s">
        <v>4631</v>
      </c>
      <c r="S75" s="283" t="s">
        <v>4575</v>
      </c>
      <c r="T75" s="1227" t="s">
        <v>4825</v>
      </c>
    </row>
    <row r="76" spans="1:20" ht="24.75" thickBot="1" x14ac:dyDescent="0.2">
      <c r="A76" s="506" t="s">
        <v>4826</v>
      </c>
      <c r="B76" s="177" t="s">
        <v>4631</v>
      </c>
      <c r="C76" s="476" t="s">
        <v>4575</v>
      </c>
      <c r="D76" s="177"/>
      <c r="E76" s="177"/>
      <c r="F76" s="2661" cm="1" t="n">
        <f t="array" ref="F76">INDEX('7층_부하량'!K3:K3000,MATCH(1,("7-DaHall 1-PDU-01"='7층_부하량'!A3:A3000)*(27='7층_부하량'!B3:B3000),0))</f>
        <v>3.212252815220905</v>
      </c>
      <c r="G76" s="177"/>
      <c r="H76" s="544" t="s">
        <v>4597</v>
      </c>
      <c r="I76" s="484" t="s">
        <v>4688</v>
      </c>
      <c r="J76" s="178" t="s">
        <v>4721</v>
      </c>
      <c r="K76" s="1226" t="s">
        <v>4755</v>
      </c>
      <c r="L76" s="489" t="s">
        <v>4689</v>
      </c>
      <c r="M76" s="544" t="s">
        <v>4597</v>
      </c>
      <c r="N76" s="177"/>
      <c r="O76" s="177"/>
      <c r="P76" s="2661" cm="1" t="n">
        <f t="array" ref="P76">INDEX('7층_부하량'!K3:K3000,MATCH(1,("7-DaHall 1-PDU-01"='7층_부하량'!A3:A3000)*(28='7층_부하량'!B3:B3000),0))</f>
        <v>5.4263676211081995</v>
      </c>
      <c r="Q76" s="177"/>
      <c r="R76" s="177" t="s">
        <v>4631</v>
      </c>
      <c r="S76" s="476" t="s">
        <v>4575</v>
      </c>
      <c r="T76" s="1228" t="s">
        <v>4827</v>
      </c>
    </row>
    <row r="77" spans="1:20" ht="21.75" thickTop="1" x14ac:dyDescent="0.15">
      <c r="A77" s="501" t="s">
        <v>4828</v>
      </c>
      <c r="B77" s="142" t="s">
        <v>4631</v>
      </c>
      <c r="C77" s="152" t="s">
        <v>4575</v>
      </c>
      <c r="D77" s="2656" cm="1" t="n">
        <f t="array" ref="D77">INDEX('7층_부하량'!I3:I3000,MATCH(1,("7-DaHall 1-PDU-01"='7층_부하량'!A3:A3000)*(29='7층_부하량'!B3:B3000),0))</f>
        <v>0.1275434329395414</v>
      </c>
      <c r="E77" s="179"/>
      <c r="F77" s="179"/>
      <c r="G77" s="179"/>
      <c r="H77" s="542" t="s">
        <v>4597</v>
      </c>
      <c r="I77" s="482" t="s">
        <v>4691</v>
      </c>
      <c r="J77" s="180" t="s">
        <v>4829</v>
      </c>
      <c r="K77" s="524" t="s">
        <v>4758</v>
      </c>
      <c r="L77" s="490" t="s">
        <v>4692</v>
      </c>
      <c r="M77" s="542" t="s">
        <v>4597</v>
      </c>
      <c r="N77" s="2656" cm="1" t="n">
        <f t="array" ref="N77">INDEX('7층_부하량'!I3:I3000,MATCH(1,("7-DaHall 1-PDU-01"='7층_부하량'!A3:A3000)*(30='7층_부하량'!B3:B3000),0))</f>
        <v>0.34145795691452385</v>
      </c>
      <c r="O77" s="179"/>
      <c r="P77" s="179"/>
      <c r="Q77" s="179"/>
      <c r="R77" s="157" t="s">
        <v>4631</v>
      </c>
      <c r="S77" s="283" t="s">
        <v>4575</v>
      </c>
      <c r="T77" s="1378" t="s">
        <v>4830</v>
      </c>
    </row>
    <row r="78" spans="1:20" ht="24" x14ac:dyDescent="0.15">
      <c r="A78" s="502" t="s">
        <v>4831</v>
      </c>
      <c r="B78" s="157" t="s">
        <v>4631</v>
      </c>
      <c r="C78" s="283" t="s">
        <v>4575</v>
      </c>
      <c r="D78" s="157"/>
      <c r="E78" s="2656" cm="1" t="n">
        <f t="array" ref="E78">INDEX('7층_부하량'!J3:J3000,MATCH(1,("7-DaHall 1-PDU-01"='7층_부하량'!A3:A3000)*(31='7층_부하량'!B3:B3000),0))</f>
        <v>3.9830399989329144</v>
      </c>
      <c r="F78" s="157"/>
      <c r="G78" s="157"/>
      <c r="H78" s="541" t="s">
        <v>4597</v>
      </c>
      <c r="I78" s="481" t="s">
        <v>4693</v>
      </c>
      <c r="J78" s="657" t="s">
        <v>4761</v>
      </c>
      <c r="K78" s="523" t="s">
        <v>4762</v>
      </c>
      <c r="L78" s="488" t="s">
        <v>4694</v>
      </c>
      <c r="M78" s="541" t="s">
        <v>4597</v>
      </c>
      <c r="N78" s="157"/>
      <c r="O78" s="2656" cm="1" t="n">
        <f t="array" ref="O78">INDEX('7층_부하량'!J3:J3000,MATCH(1,("7-DaHall 1-PDU-01"='7층_부하량'!A3:A3000)*(32='7층_부하량'!B3:B3000),0))</f>
        <v>2.205046651723998</v>
      </c>
      <c r="P78" s="157"/>
      <c r="Q78" s="157"/>
      <c r="R78" s="157" t="s">
        <v>4631</v>
      </c>
      <c r="S78" s="283" t="s">
        <v>4575</v>
      </c>
      <c r="T78" s="531" t="s">
        <v>4832</v>
      </c>
    </row>
    <row r="79" spans="1:20" ht="24" x14ac:dyDescent="0.15">
      <c r="A79" s="500" t="s">
        <v>4833</v>
      </c>
      <c r="B79" s="157" t="s">
        <v>4631</v>
      </c>
      <c r="C79" s="283" t="s">
        <v>4575</v>
      </c>
      <c r="D79" s="157"/>
      <c r="E79" s="157"/>
      <c r="F79" s="2656" cm="1" t="n">
        <f t="array" ref="F79">INDEX('7층_부하량'!K3:K3000,MATCH(1,("7-DaHall 1-PDU-01"='7층_부하량'!A3:A3000)*(33='7층_부하량'!B3:B3000),0))</f>
        <v>8.403934860980502</v>
      </c>
      <c r="G79" s="157"/>
      <c r="H79" s="541" t="s">
        <v>4597</v>
      </c>
      <c r="I79" s="481" t="s">
        <v>4697</v>
      </c>
      <c r="J79" s="657" t="s">
        <v>4761</v>
      </c>
      <c r="K79" s="1399" t="s">
        <v>4766</v>
      </c>
      <c r="L79" s="488" t="s">
        <v>4698</v>
      </c>
      <c r="M79" s="541" t="s">
        <v>4597</v>
      </c>
      <c r="N79" s="157"/>
      <c r="O79" s="157"/>
      <c r="P79" s="2656" cm="1" t="n">
        <f t="array" ref="P79">INDEX('7층_부하량'!K3:K3000,MATCH(1,("7-DaHall 1-PDU-01"='7층_부하량'!A3:A3000)*(34='7층_부하량'!B3:B3000),0))</f>
        <v>4.028678952474461</v>
      </c>
      <c r="Q79" s="157"/>
      <c r="R79" s="157" t="s">
        <v>4631</v>
      </c>
      <c r="S79" s="283" t="s">
        <v>4575</v>
      </c>
      <c r="T79" s="531" t="s">
        <v>4834</v>
      </c>
    </row>
    <row r="80" spans="1:20" ht="16.5" x14ac:dyDescent="0.15">
      <c r="A80" s="500" t="s">
        <v>4835</v>
      </c>
      <c r="B80" s="157" t="s">
        <v>4631</v>
      </c>
      <c r="C80" s="283" t="s">
        <v>4575</v>
      </c>
      <c r="D80" s="2656" cm="1" t="n">
        <f t="array" ref="D80">INDEX('7층_부하량'!I3:I3000,MATCH(1,("7-DaHall 1-PDU-01"='7층_부하량'!A3:A3000)*(35='7층_부하량'!B3:B3000),0))</f>
        <v>5.912690611785123</v>
      </c>
      <c r="E80" s="157"/>
      <c r="F80" s="157"/>
      <c r="G80" s="157"/>
      <c r="H80" s="541" t="s">
        <v>4597</v>
      </c>
      <c r="I80" s="481" t="s">
        <v>4701</v>
      </c>
      <c r="J80" s="657" t="s">
        <v>4761</v>
      </c>
      <c r="K80" s="523"/>
      <c r="L80" s="488" t="s">
        <v>4703</v>
      </c>
      <c r="M80" s="541" t="s">
        <v>4597</v>
      </c>
      <c r="N80" s="2656" cm="1" t="n">
        <f t="array" ref="N80">INDEX('7층_부하량'!I3:I3000,MATCH(1,("7-DaHall 1-PDU-01"='7층_부하량'!A3:A3000)*(36='7층_부하량'!B3:B3000),0))</f>
        <v>1.6549319905541042</v>
      </c>
      <c r="O80" s="157"/>
      <c r="P80" s="157"/>
      <c r="Q80" s="157"/>
      <c r="R80" s="157" t="s">
        <v>4631</v>
      </c>
      <c r="S80" s="283" t="s">
        <v>4575</v>
      </c>
      <c r="T80" s="531" t="s">
        <v>4836</v>
      </c>
    </row>
    <row r="81" spans="1:21" ht="24" x14ac:dyDescent="0.15">
      <c r="A81" s="502" t="s">
        <v>4837</v>
      </c>
      <c r="B81" s="157" t="s">
        <v>4631</v>
      </c>
      <c r="C81" s="283" t="s">
        <v>4575</v>
      </c>
      <c r="D81" s="157"/>
      <c r="E81" s="2656" cm="1" t="n">
        <f t="array" ref="E81">INDEX('7층_부하량'!J3:J3000,MATCH(1,("7-DaHall 1-PDU-01"='7층_부하량'!A3:A3000)*(37='7층_부하량'!B3:B3000),0))</f>
        <v>1.7537656867671527</v>
      </c>
      <c r="F81" s="157"/>
      <c r="G81" s="157"/>
      <c r="H81" s="541" t="s">
        <v>4597</v>
      </c>
      <c r="I81" s="481" t="s">
        <v>4706</v>
      </c>
      <c r="J81" s="658"/>
      <c r="K81" s="523"/>
      <c r="L81" s="488" t="s">
        <v>4707</v>
      </c>
      <c r="M81" s="541" t="s">
        <v>4597</v>
      </c>
      <c r="N81" s="157"/>
      <c r="O81" s="2656" cm="1" t="n">
        <f t="array" ref="O81">INDEX('7층_부하량'!J3:J3000,MATCH(1,("7-DaHall 1-PDU-01"='7층_부하량'!A3:A3000)*(38='7층_부하량'!B3:B3000),0))</f>
        <v>2.606591865245277</v>
      </c>
      <c r="P81" s="157"/>
      <c r="Q81" s="157"/>
      <c r="R81" s="157" t="s">
        <v>4631</v>
      </c>
      <c r="S81" s="283" t="s">
        <v>4575</v>
      </c>
      <c r="T81" s="531" t="s">
        <v>4838</v>
      </c>
    </row>
    <row r="82" spans="1:21" ht="16.5" x14ac:dyDescent="0.15">
      <c r="A82" s="500" t="s">
        <v>4839</v>
      </c>
      <c r="B82" s="157" t="s">
        <v>4765</v>
      </c>
      <c r="C82" s="283" t="s">
        <v>4575</v>
      </c>
      <c r="D82" s="157"/>
      <c r="E82" s="157"/>
      <c r="F82" s="2656" cm="1" t="n">
        <f t="array" ref="F82">INDEX('7층_부하량'!K3:K3000,MATCH(1,("7-DaHall 1-PDU-01"='7층_부하량'!A3:A3000)*(39='7층_부하량'!B3:B3000),0))</f>
        <v>1.3576262984997185</v>
      </c>
      <c r="G82" s="157"/>
      <c r="H82" s="541" t="s">
        <v>4597</v>
      </c>
      <c r="I82" s="481" t="s">
        <v>4710</v>
      </c>
      <c r="J82" s="154"/>
      <c r="K82" s="523"/>
      <c r="L82" s="488" t="s">
        <v>4711</v>
      </c>
      <c r="M82" s="541" t="s">
        <v>4597</v>
      </c>
      <c r="N82" s="157"/>
      <c r="O82" s="157"/>
      <c r="P82" s="2656" cm="1" t="n">
        <f t="array" ref="P82">INDEX('7층_부하량'!K3:K3000,MATCH(1,("7-DaHall 1-PDU-01"='7층_부하량'!A3:A3000)*(40='7층_부하량'!B3:B3000),0))</f>
        <v>3.3337404242877358</v>
      </c>
      <c r="Q82" s="157"/>
      <c r="R82" s="157" t="s">
        <v>4631</v>
      </c>
      <c r="S82" s="283" t="s">
        <v>4575</v>
      </c>
      <c r="T82" s="531" t="s">
        <v>4840</v>
      </c>
    </row>
    <row r="83" spans="1:21" ht="16.5" x14ac:dyDescent="0.15">
      <c r="A83" s="500" t="s">
        <v>4841</v>
      </c>
      <c r="B83" s="157" t="s">
        <v>4579</v>
      </c>
      <c r="C83" s="283" t="s">
        <v>4575</v>
      </c>
      <c r="D83" s="2656" cm="1" t="n">
        <f t="array" ref="D83">INDEX('7층_부하량'!I3:I3000,MATCH(1,("7-DaHall 1-PDU-01"='7층_부하량'!A3:A3000)*(41='7층_부하량'!B3:B3000),0))</f>
        <v>1.9029177931972705</v>
      </c>
      <c r="E83" s="157"/>
      <c r="F83" s="157"/>
      <c r="G83" s="157"/>
      <c r="H83" s="541" t="s">
        <v>4597</v>
      </c>
      <c r="I83" s="481" t="s">
        <v>4842</v>
      </c>
      <c r="J83" s="154" t="s">
        <v>1684</v>
      </c>
      <c r="K83" s="523"/>
      <c r="L83" s="488" t="s">
        <v>4843</v>
      </c>
      <c r="M83" s="541" t="s">
        <v>4597</v>
      </c>
      <c r="N83" s="2656" cm="1" t="n">
        <f t="array" ref="N83">INDEX('7층_부하량'!I3:I3000,MATCH(1,("7-DaHall 1-PDU-01"='7층_부하량'!A3:A3000)*(42='7층_부하량'!B3:B3000),0))</f>
        <v>2.890650972517606</v>
      </c>
      <c r="O83" s="157"/>
      <c r="P83" s="157"/>
      <c r="Q83" s="157"/>
      <c r="R83" s="157" t="s">
        <v>4765</v>
      </c>
      <c r="S83" s="283" t="s">
        <v>4575</v>
      </c>
      <c r="T83" s="531" t="s">
        <v>4844</v>
      </c>
    </row>
    <row r="84" spans="1:21" ht="16.5" x14ac:dyDescent="0.15">
      <c r="A84" s="500"/>
      <c r="B84" s="143" t="s">
        <v>4590</v>
      </c>
      <c r="C84" s="143" t="s">
        <v>4723</v>
      </c>
      <c r="D84" s="157"/>
      <c r="E84" s="2656" cm="1" t="n">
        <f t="array" ref="E84">INDEX('7층_부하량'!J3:J3000,MATCH(1,("7-DaHall 1-PDU-01"='7층_부하량'!A3:A3000)*(43='7층_부하량'!B3:B3000),0))</f>
        <v>1.9770969098151492</v>
      </c>
      <c r="F84" s="157"/>
      <c r="G84" s="157"/>
      <c r="H84" s="541" t="s">
        <v>4597</v>
      </c>
      <c r="I84" s="481" t="s">
        <v>4845</v>
      </c>
      <c r="J84" s="154"/>
      <c r="K84" s="523" t="s">
        <v>4779</v>
      </c>
      <c r="L84" s="488" t="s">
        <v>4846</v>
      </c>
      <c r="M84" s="541" t="s">
        <v>4597</v>
      </c>
      <c r="N84" s="157"/>
      <c r="O84" s="2656" cm="1" t="n">
        <f t="array" ref="O84">INDEX('7층_부하량'!J3:J3000,MATCH(1,("7-DaHall 1-PDU-01"='7층_부하량'!A3:A3000)*(44='7층_부하량'!B3:B3000),0))</f>
        <v>5.6326362169227595</v>
      </c>
      <c r="P84" s="157"/>
      <c r="Q84" s="157"/>
      <c r="R84" s="157" t="s">
        <v>4765</v>
      </c>
      <c r="S84" s="283" t="s">
        <v>4575</v>
      </c>
      <c r="T84" s="531" t="s">
        <v>813</v>
      </c>
      <c r="U84" s="2320" t="s">
        <v>4781</v>
      </c>
    </row>
    <row r="85" spans="1:21" ht="16.5" x14ac:dyDescent="0.15">
      <c r="A85" s="500"/>
      <c r="B85" s="143" t="s">
        <v>4590</v>
      </c>
      <c r="C85" s="143" t="s">
        <v>4723</v>
      </c>
      <c r="D85" s="157"/>
      <c r="E85" s="157"/>
      <c r="F85" s="2656" cm="1">
        <f t="array" ref="F85">INDEX('7층_부하량'!K3:K3000,MATCH(1,("7-DaHall 1-PDU-01"='7층_부하량'!A3:A3000)*(45='7층_부하량'!B3:B3000),0))</f>
        <v>0</v>
      </c>
      <c r="G85" s="157"/>
      <c r="H85" s="541" t="s">
        <v>4597</v>
      </c>
      <c r="I85" s="481" t="s">
        <v>4847</v>
      </c>
      <c r="J85" s="154"/>
      <c r="K85" s="523" t="s">
        <v>4779</v>
      </c>
      <c r="L85" s="488" t="s">
        <v>4848</v>
      </c>
      <c r="M85" s="541" t="s">
        <v>4597</v>
      </c>
      <c r="N85" s="157"/>
      <c r="O85" s="157"/>
      <c r="P85" s="2656" cm="1" t="n">
        <f t="array" ref="P85">INDEX('7층_부하량'!K3:K3000,MATCH(1,("7-DaHall 1-PDU-01"='7층_부하량'!A3:A3000)*(46='7층_부하량'!B3:B3000),0))</f>
        <v>2.6241049710955835</v>
      </c>
      <c r="Q85" s="157"/>
      <c r="R85" s="157" t="s">
        <v>4765</v>
      </c>
      <c r="S85" s="283" t="s">
        <v>4575</v>
      </c>
      <c r="T85" s="531" t="s">
        <v>826</v>
      </c>
      <c r="U85" t="s">
        <v>4784</v>
      </c>
    </row>
    <row r="86" spans="1:21" x14ac:dyDescent="0.15">
      <c r="A86" s="500"/>
      <c r="B86" s="143" t="s">
        <v>4590</v>
      </c>
      <c r="C86" s="143" t="s">
        <v>4723</v>
      </c>
      <c r="D86" s="2656" cm="1" t="n">
        <f t="array" ref="D86">INDEX('7층_부하량'!I3:I3000,MATCH(1,("7-DaHall 1-PDU-01"='7층_부하량'!A3:A3000)*(47='7층_부하량'!B3:B3000),0))</f>
        <v>3.1056217416066425</v>
      </c>
      <c r="E86" s="157"/>
      <c r="F86" s="157"/>
      <c r="G86" s="157"/>
      <c r="H86" s="541" t="s">
        <v>4597</v>
      </c>
      <c r="I86" s="481" t="s">
        <v>4849</v>
      </c>
      <c r="J86" s="154"/>
      <c r="K86" s="523"/>
      <c r="L86" s="488" t="s">
        <v>4850</v>
      </c>
      <c r="M86" s="541" t="s">
        <v>4597</v>
      </c>
      <c r="N86" s="2656" cm="1" t="n">
        <f t="array" ref="N86">INDEX('7층_부하량'!I3:I3000,MATCH(1,("7-DaHall 1-PDU-01"='7층_부하량'!A3:A3000)*(48='7층_부하량'!B3:B3000),0))</f>
        <v>2.0632905081866024</v>
      </c>
      <c r="O86" s="157"/>
      <c r="P86" s="157"/>
      <c r="Q86" s="157"/>
      <c r="R86" s="157" t="s">
        <v>4590</v>
      </c>
      <c r="S86" s="143" t="s">
        <v>4642</v>
      </c>
      <c r="T86" s="531"/>
    </row>
    <row r="87" spans="1:21" x14ac:dyDescent="0.15">
      <c r="A87" s="500"/>
      <c r="B87" s="143" t="s">
        <v>4590</v>
      </c>
      <c r="C87" s="143" t="s">
        <v>4723</v>
      </c>
      <c r="D87" s="157"/>
      <c r="E87" s="2656" cm="1" t="n">
        <f t="array" ref="E87">INDEX('7층_부하량'!J3:J3000,MATCH(1,("7-DaHall 1-PDU-01"='7층_부하량'!A3:A3000)*(49='7층_부하량'!B3:B3000),0))</f>
        <v>5.436304934694739</v>
      </c>
      <c r="F87" s="157"/>
      <c r="G87" s="157"/>
      <c r="H87" s="541" t="s">
        <v>4597</v>
      </c>
      <c r="I87" s="481" t="s">
        <v>4851</v>
      </c>
      <c r="J87" s="154"/>
      <c r="K87" s="523"/>
      <c r="L87" s="488" t="s">
        <v>4852</v>
      </c>
      <c r="M87" s="541" t="s">
        <v>4597</v>
      </c>
      <c r="N87" s="157"/>
      <c r="O87" s="2655" cm="1">
        <f t="array" ref="O87">INDEX('7층_부하량'!J3:J3000,MATCH(1,("7-DaHall 1-PDU-01"='7층_부하량'!A3:A3000)*(50='7층_부하량'!B3:B3000),0))</f>
        <v>0</v>
      </c>
      <c r="P87" s="157"/>
      <c r="Q87" s="157"/>
      <c r="R87" s="157" t="s">
        <v>4590</v>
      </c>
      <c r="S87" s="143" t="s">
        <v>4642</v>
      </c>
      <c r="T87" s="531"/>
    </row>
    <row r="88" spans="1:21" ht="16.5" x14ac:dyDescent="0.15">
      <c r="A88" s="500"/>
      <c r="B88" s="143" t="s">
        <v>4590</v>
      </c>
      <c r="C88" s="143" t="s">
        <v>4723</v>
      </c>
      <c r="D88" s="157"/>
      <c r="E88" s="157"/>
      <c r="F88" s="2656" cm="1" t="n">
        <f t="array" ref="F88">INDEX('7층_부하량'!K3:K3000,MATCH(1,("7-DaHall 1-PDU-01"='7층_부하량'!A3:A3000)*(51='7층_부하량'!B3:B3000),0))</f>
        <v>1.6246028108723218</v>
      </c>
      <c r="G88" s="157"/>
      <c r="H88" s="541" t="s">
        <v>4597</v>
      </c>
      <c r="I88" s="481" t="s">
        <v>4853</v>
      </c>
      <c r="J88" s="154"/>
      <c r="K88" s="523"/>
      <c r="L88" s="488" t="s">
        <v>4854</v>
      </c>
      <c r="M88" s="541" t="s">
        <v>4597</v>
      </c>
      <c r="N88" s="157"/>
      <c r="O88" s="157"/>
      <c r="P88" s="2655" cm="1" t="n">
        <f t="array" ref="P88">INDEX('7층_부하량'!K3:K3000,MATCH(1,("7-DaHall 1-PDU-01"='7층_부하량'!A3:A3000)*(52='7층_부하량'!B3:B3000),0))</f>
        <v>0.008613240418118466</v>
      </c>
      <c r="Q88" s="157"/>
      <c r="R88" s="157" t="s">
        <v>4631</v>
      </c>
      <c r="S88" s="164" t="s">
        <v>4575</v>
      </c>
      <c r="T88" s="531" t="s">
        <v>4855</v>
      </c>
    </row>
    <row r="89" spans="1:21" ht="17.25" thickBot="1" x14ac:dyDescent="0.2">
      <c r="A89" s="507"/>
      <c r="B89" s="166" t="s">
        <v>4590</v>
      </c>
      <c r="C89" s="166" t="s">
        <v>4642</v>
      </c>
      <c r="D89" s="2659" cm="1">
        <f t="array" ref="D89">INDEX('7층_부하량'!I3:I3000,MATCH(1,("7-DaHall 1-PDU-01"='7층_부하량'!A3:A3000)*(53='7층_부하량'!B3:B3000),0))</f>
        <v>0</v>
      </c>
      <c r="E89" s="167"/>
      <c r="F89" s="167"/>
      <c r="G89" s="167"/>
      <c r="H89" s="543" t="s">
        <v>4597</v>
      </c>
      <c r="I89" s="483" t="s">
        <v>4856</v>
      </c>
      <c r="J89" s="168"/>
      <c r="K89" s="526" t="s">
        <v>4724</v>
      </c>
      <c r="L89" s="492" t="s">
        <v>4857</v>
      </c>
      <c r="M89" s="543" t="s">
        <v>4597</v>
      </c>
      <c r="N89" s="2659" cm="1" t="n">
        <f t="array" ref="N89">INDEX('7층_부하량'!I3:I3000,MATCH(1,("7-DaHall 1-PDU-01"='7층_부하량'!A3:A3000)*(54='7층_부하량'!B3:B3000),0))</f>
        <v>0.34023973111971734</v>
      </c>
      <c r="O89" s="167"/>
      <c r="P89" s="167"/>
      <c r="Q89" s="167"/>
      <c r="R89" s="166" t="s">
        <v>4631</v>
      </c>
      <c r="S89" s="184" t="s">
        <v>4575</v>
      </c>
      <c r="T89" s="533" t="s">
        <v>4858</v>
      </c>
    </row>
    <row r="90" spans="1:21" ht="14.25" thickTop="1" x14ac:dyDescent="0.15">
      <c r="A90" s="504"/>
      <c r="B90" s="133"/>
      <c r="C90" s="133"/>
      <c r="D90" s="131"/>
      <c r="E90" s="131"/>
      <c r="F90" s="131"/>
      <c r="G90" s="131"/>
      <c r="H90" s="508"/>
      <c r="I90" s="128"/>
      <c r="J90" s="128"/>
      <c r="K90" s="508"/>
      <c r="L90" s="128"/>
      <c r="M90" s="504" t="s">
        <v>4713</v>
      </c>
      <c r="N90" s="131" t="n">
        <f>SUM(D63:D89,N63:N89)</f>
        <v>49.50243577620799</v>
      </c>
      <c r="O90" s="131" t="n">
        <f>SUM(E63:E89,O63:O89)</f>
        <v>54.28762793016472</v>
      </c>
      <c r="P90" s="131" t="n">
        <f>SUM(F63:F89,P63:P89)</f>
        <v>55.622610907255215</v>
      </c>
      <c r="Q90" s="131" t="n">
        <f>SUM(Q63:Q89,Y63:Y89)</f>
        <v>0.0</v>
      </c>
      <c r="R90" s="128"/>
      <c r="S90" s="128"/>
      <c r="T90" s="508"/>
    </row>
    <row r="91" spans="1:21" ht="14.25" thickBot="1" x14ac:dyDescent="0.2">
      <c r="A91" s="508"/>
      <c r="B91" s="128"/>
      <c r="C91" s="128"/>
      <c r="D91" s="128"/>
      <c r="E91" s="128"/>
      <c r="F91" s="128"/>
      <c r="G91" s="128"/>
      <c r="H91" s="508"/>
      <c r="I91" s="128"/>
      <c r="J91" s="128"/>
      <c r="K91" s="508"/>
      <c r="L91" s="128"/>
      <c r="M91" s="508"/>
      <c r="N91" s="128"/>
      <c r="O91" s="128"/>
      <c r="P91" s="128"/>
      <c r="Q91" s="128"/>
      <c r="R91" s="128"/>
      <c r="S91" s="128"/>
      <c r="T91" s="508"/>
    </row>
    <row r="92" spans="1:21" ht="15" thickTop="1" thickBot="1" x14ac:dyDescent="0.2">
      <c r="A92" s="53" t="s">
        <v>7014</v>
      </c>
      <c r="D92" s="3660" t="s">
        <v>8982</v>
      </c>
      <c r="E92" s="3660"/>
      <c r="F92" s="3660"/>
      <c r="G92" s="3660"/>
      <c r="H92" s="495"/>
      <c r="I92" s="124"/>
      <c r="J92" s="3661" t="s">
        <v>4628</v>
      </c>
      <c r="K92" s="3662"/>
      <c r="L92" s="486"/>
      <c r="M92" s="495"/>
      <c r="N92" s="126"/>
      <c r="O92" s="126"/>
      <c r="P92" s="126"/>
      <c r="Q92" s="126"/>
      <c r="R92" s="126"/>
      <c r="S92" s="126"/>
    </row>
    <row r="93" spans="1:21" ht="15" thickTop="1" thickBot="1" x14ac:dyDescent="0.2">
      <c r="A93" s="496"/>
      <c r="B93" s="128"/>
      <c r="C93" s="128"/>
      <c r="D93" s="129"/>
      <c r="E93" s="130"/>
      <c r="F93" s="130"/>
      <c r="G93" s="130"/>
      <c r="H93" s="515"/>
      <c r="I93" s="131"/>
      <c r="J93" s="128"/>
      <c r="K93" s="516"/>
      <c r="L93" s="132"/>
      <c r="M93" s="1371" t="s">
        <v>4562</v>
      </c>
      <c r="N93" s="1368">
        <v>39</v>
      </c>
      <c r="O93" s="1369">
        <v>12.5</v>
      </c>
      <c r="P93" s="1370">
        <v>20.5</v>
      </c>
      <c r="Q93" s="508" t="s">
        <v>4563</v>
      </c>
      <c r="R93" s="133"/>
      <c r="S93" s="128"/>
      <c r="T93" s="528"/>
    </row>
    <row r="94" spans="1:21" ht="15" thickTop="1" thickBot="1" x14ac:dyDescent="0.2">
      <c r="A94" s="497" t="s">
        <v>4629</v>
      </c>
      <c r="B94" s="135" t="s">
        <v>4565</v>
      </c>
      <c r="C94" s="136" t="s">
        <v>4566</v>
      </c>
      <c r="D94" s="135" t="s">
        <v>4567</v>
      </c>
      <c r="E94" s="135" t="s">
        <v>4568</v>
      </c>
      <c r="F94" s="135" t="s">
        <v>4569</v>
      </c>
      <c r="G94" s="135" t="s">
        <v>4570</v>
      </c>
      <c r="H94" s="539" t="s">
        <v>4571</v>
      </c>
      <c r="I94" s="479" t="s">
        <v>4860</v>
      </c>
      <c r="J94" s="138" t="s">
        <v>4572</v>
      </c>
      <c r="K94" s="517" t="s">
        <v>4572</v>
      </c>
      <c r="L94" s="479" t="s">
        <v>4861</v>
      </c>
      <c r="M94" s="539" t="s">
        <v>4571</v>
      </c>
      <c r="N94" s="135" t="s">
        <v>4567</v>
      </c>
      <c r="O94" s="135" t="s">
        <v>4568</v>
      </c>
      <c r="P94" s="135" t="s">
        <v>4569</v>
      </c>
      <c r="Q94" s="135" t="s">
        <v>4570</v>
      </c>
      <c r="R94" s="135" t="s">
        <v>4565</v>
      </c>
      <c r="S94" s="136" t="s">
        <v>4566</v>
      </c>
      <c r="T94" s="529" t="s">
        <v>4629</v>
      </c>
    </row>
    <row r="95" spans="1:21" ht="17.25" thickTop="1" x14ac:dyDescent="0.15">
      <c r="A95" s="498" t="s">
        <v>4862</v>
      </c>
      <c r="B95" s="142" t="s">
        <v>4631</v>
      </c>
      <c r="C95" s="152" t="s">
        <v>4575</v>
      </c>
      <c r="D95" s="2654" cm="1">
        <f t="array" ref="D95">INDEX('7층_부하량'!I3:I3000,MATCH(1,("7-DaHall 1-RPP-02"='7층_부하량'!A3:A3000)*(1='7층_부하량'!B3:B3000),0))</f>
        <v>0</v>
      </c>
      <c r="E95" s="144"/>
      <c r="F95" s="144"/>
      <c r="G95" s="144"/>
      <c r="H95" s="540" t="s">
        <v>4632</v>
      </c>
      <c r="I95" s="480" t="s">
        <v>4577</v>
      </c>
      <c r="J95" s="145" t="s">
        <v>4666</v>
      </c>
      <c r="K95" s="518" t="s">
        <v>4666</v>
      </c>
      <c r="L95" s="480" t="s">
        <v>4863</v>
      </c>
      <c r="M95" s="540" t="s">
        <v>4576</v>
      </c>
      <c r="N95" s="2654" cm="1" t="n">
        <f t="array" ref="N95">INDEX('7층_부하량'!I3:I3000,MATCH(1,("7-DaHall 1-RPP-02"='7층_부하량'!A3:A3000)*(2='7층_부하량'!B3:B3000),0))</f>
        <v>1.6102757685242006</v>
      </c>
      <c r="O95" s="144"/>
      <c r="P95" s="144"/>
      <c r="Q95" s="144"/>
      <c r="R95" s="144" t="s">
        <v>4631</v>
      </c>
      <c r="S95" s="152" t="s">
        <v>4575</v>
      </c>
      <c r="T95" s="530" t="s">
        <v>4864</v>
      </c>
    </row>
    <row r="96" spans="1:21" ht="16.5" x14ac:dyDescent="0.15">
      <c r="A96" s="499" t="s">
        <v>4637</v>
      </c>
      <c r="B96" s="143" t="s">
        <v>4631</v>
      </c>
      <c r="C96" s="164" t="s">
        <v>4575</v>
      </c>
      <c r="D96" s="149"/>
      <c r="E96" s="2655" cm="1" t="n">
        <f t="array" ref="E96">INDEX('7층_부하량'!J3:J3000,MATCH(1,("7-DaHall 1-RPP-02"='7층_부하량'!A3:A3000)*(3='7층_부하량'!B3:B3000),0))</f>
        <v>0.5363968700457246</v>
      </c>
      <c r="F96" s="149"/>
      <c r="G96" s="149"/>
      <c r="H96" s="541" t="s">
        <v>4632</v>
      </c>
      <c r="I96" s="481" t="s">
        <v>4582</v>
      </c>
      <c r="J96" s="150" t="s">
        <v>4666</v>
      </c>
      <c r="K96" s="519"/>
      <c r="L96" s="481" t="s">
        <v>4865</v>
      </c>
      <c r="M96" s="541" t="s">
        <v>4576</v>
      </c>
      <c r="N96" s="149"/>
      <c r="O96" s="2655" cm="1" t="n">
        <f t="array" ref="O96">INDEX('7층_부하량'!J3:J3000,MATCH(1,("7-DaHall 1-RPP-02"='7층_부하량'!A3:A3000)*(4='7층_부하량'!B3:B3000),0))</f>
        <v>1.0466685539778096</v>
      </c>
      <c r="P96" s="149"/>
      <c r="Q96" s="149"/>
      <c r="R96" s="149" t="s">
        <v>4590</v>
      </c>
      <c r="S96" s="143" t="s">
        <v>4642</v>
      </c>
      <c r="T96" s="531" t="s">
        <v>4866</v>
      </c>
    </row>
    <row r="97" spans="1:20" ht="16.5" x14ac:dyDescent="0.15">
      <c r="A97" s="500" t="s">
        <v>4867</v>
      </c>
      <c r="B97" s="143" t="s">
        <v>4631</v>
      </c>
      <c r="C97" s="143" t="s">
        <v>4723</v>
      </c>
      <c r="D97" s="157"/>
      <c r="E97" s="157"/>
      <c r="F97" s="2656" cm="1" t="n">
        <f t="array" ref="F97">INDEX('7층_부하량'!K3:K3000,MATCH(1,("7-DaHall 1-RPP-02"='7층_부하량'!A3:A3000)*(5='7층_부하량'!B3:B3000),0))</f>
        <v>1.1637225781623517</v>
      </c>
      <c r="G97" s="157"/>
      <c r="H97" s="541" t="s">
        <v>4632</v>
      </c>
      <c r="I97" s="481" t="s">
        <v>4587</v>
      </c>
      <c r="J97" s="150" t="s">
        <v>4634</v>
      </c>
      <c r="K97" s="519" t="s">
        <v>4634</v>
      </c>
      <c r="L97" s="481" t="s">
        <v>4868</v>
      </c>
      <c r="M97" s="541" t="s">
        <v>4576</v>
      </c>
      <c r="N97" s="157"/>
      <c r="O97" s="157"/>
      <c r="P97" s="2656" cm="1">
        <f t="array" ref="P97">INDEX('7층_부하량'!K3:K3000,MATCH(1,("7-DaHall 1-RPP-02"='7층_부하량'!A3:A3000)*(6='7층_부하량'!B3:B3000),0))</f>
        <v>0</v>
      </c>
      <c r="Q97" s="157"/>
      <c r="R97" s="157" t="s">
        <v>4631</v>
      </c>
      <c r="S97" s="164" t="s">
        <v>4575</v>
      </c>
      <c r="T97" s="531" t="s">
        <v>4869</v>
      </c>
    </row>
    <row r="98" spans="1:20" ht="24" x14ac:dyDescent="0.15">
      <c r="A98" s="509" t="s">
        <v>4870</v>
      </c>
      <c r="B98" s="143" t="s">
        <v>4631</v>
      </c>
      <c r="C98" s="164" t="s">
        <v>4575</v>
      </c>
      <c r="D98" s="2656" cm="1" t="n">
        <f t="array" ref="D98">INDEX('7층_부하량'!I3:I3000,MATCH(1,("7-DaHall 1-RPP-02"='7층_부하량'!A3:A3000)*(7='7층_부하량'!B3:B3000),0))</f>
        <v>1.443375104705771</v>
      </c>
      <c r="E98" s="157"/>
      <c r="F98" s="157"/>
      <c r="G98" s="157"/>
      <c r="H98" s="541" t="s">
        <v>4632</v>
      </c>
      <c r="I98" s="481" t="s">
        <v>4592</v>
      </c>
      <c r="J98" s="150" t="s">
        <v>4634</v>
      </c>
      <c r="K98" s="652" t="s">
        <v>4675</v>
      </c>
      <c r="L98" s="481" t="s">
        <v>4871</v>
      </c>
      <c r="M98" s="541" t="s">
        <v>4576</v>
      </c>
      <c r="N98" s="2656" cm="1" t="n">
        <f t="array" ref="N98">INDEX('7층_부하량'!I3:I3000,MATCH(1,("7-DaHall 1-RPP-02"='7층_부하량'!A3:A3000)*(8='7층_부하량'!B3:B3000),0))</f>
        <v>3.7722089296112253</v>
      </c>
      <c r="O98" s="157"/>
      <c r="P98" s="157"/>
      <c r="Q98" s="157"/>
      <c r="R98" s="157" t="s">
        <v>4631</v>
      </c>
      <c r="S98" s="164" t="s">
        <v>4575</v>
      </c>
      <c r="T98" s="531" t="s">
        <v>4872</v>
      </c>
    </row>
    <row r="99" spans="1:20" ht="16.5" x14ac:dyDescent="0.15">
      <c r="A99" s="502" t="s">
        <v>4809</v>
      </c>
      <c r="B99" s="143" t="s">
        <v>4631</v>
      </c>
      <c r="C99" s="164" t="s">
        <v>4575</v>
      </c>
      <c r="D99" s="157"/>
      <c r="E99" s="2656" cm="1" t="n">
        <f t="array" ref="E99">INDEX('7층_부하량'!J3:J3000,MATCH(1,("7-DaHall 1-RPP-02"='7층_부하량'!A3:A3000)*(9='7층_부하량'!B3:B3000),0))</f>
        <v>1.4677948534172658</v>
      </c>
      <c r="F99" s="157"/>
      <c r="G99" s="157"/>
      <c r="H99" s="541" t="s">
        <v>4632</v>
      </c>
      <c r="I99" s="481" t="s">
        <v>4595</v>
      </c>
      <c r="J99" s="150" t="s">
        <v>4634</v>
      </c>
      <c r="K99" s="652" t="s">
        <v>4873</v>
      </c>
      <c r="L99" s="481" t="s">
        <v>4874</v>
      </c>
      <c r="M99" s="541" t="s">
        <v>4597</v>
      </c>
      <c r="N99" s="157"/>
      <c r="O99" s="2656" cm="1" t="n">
        <f t="array" ref="O99">INDEX('7층_부하량'!J3:J3000,MATCH(1,("7-DaHall 1-RPP-02"='7층_부하량'!A3:A3000)*(10='7층_부하량'!B3:B3000),0))</f>
        <v>0.6539499893488577</v>
      </c>
      <c r="P99" s="157"/>
      <c r="Q99" s="157"/>
      <c r="R99" s="157" t="s">
        <v>4631</v>
      </c>
      <c r="S99" s="164" t="s">
        <v>4575</v>
      </c>
      <c r="T99" s="535" t="s">
        <v>4875</v>
      </c>
    </row>
    <row r="100" spans="1:20" ht="16.5" x14ac:dyDescent="0.15">
      <c r="A100" s="500" t="s">
        <v>1217</v>
      </c>
      <c r="B100" s="143" t="s">
        <v>4631</v>
      </c>
      <c r="C100" s="164" t="s">
        <v>4575</v>
      </c>
      <c r="D100" s="157"/>
      <c r="E100" s="157"/>
      <c r="F100" s="2656" cm="1">
        <f t="array" ref="F100">INDEX('7층_부하량'!K3:K3000,MATCH(1,("7-DaHall 1-RPP-02"='7층_부하량'!A3:A3000)*(11='7층_부하량'!B3:B3000),0))</f>
        <v>0</v>
      </c>
      <c r="G100" s="157"/>
      <c r="H100" s="541" t="s">
        <v>4632</v>
      </c>
      <c r="I100" s="481" t="s">
        <v>4598</v>
      </c>
      <c r="J100" s="150" t="s">
        <v>4634</v>
      </c>
      <c r="K100" s="652" t="s">
        <v>4675</v>
      </c>
      <c r="L100" s="481" t="s">
        <v>4876</v>
      </c>
      <c r="M100" s="541" t="s">
        <v>4597</v>
      </c>
      <c r="N100" s="157"/>
      <c r="O100" s="157"/>
      <c r="P100" s="2656" cm="1" t="n">
        <f t="array" ref="P100">INDEX('7층_부하량'!K3:K3000,MATCH(1,("7-DaHall 1-RPP-02"='7층_부하량'!A3:A3000)*(12='7층_부하량'!B3:B3000),0))</f>
        <v>4.34439038353314</v>
      </c>
      <c r="Q100" s="157"/>
      <c r="R100" s="157" t="s">
        <v>4631</v>
      </c>
      <c r="S100" s="164" t="s">
        <v>4575</v>
      </c>
      <c r="T100" s="536" t="s">
        <v>4877</v>
      </c>
    </row>
    <row r="101" spans="1:20" ht="16.5" x14ac:dyDescent="0.15">
      <c r="A101" s="500" t="s">
        <v>4878</v>
      </c>
      <c r="B101" s="143" t="s">
        <v>4631</v>
      </c>
      <c r="C101" s="164" t="s">
        <v>4575</v>
      </c>
      <c r="D101" s="2656" cm="1" t="n">
        <f t="array" ref="D101">INDEX('7층_부하량'!I3:I3000,MATCH(1,("7-DaHall 1-RPP-02"='7층_부하량'!A3:A3000)*(13='7층_부하량'!B3:B3000),0))</f>
        <v>2.775163637283658</v>
      </c>
      <c r="E101" s="157"/>
      <c r="F101" s="157"/>
      <c r="G101" s="157"/>
      <c r="H101" s="541" t="s">
        <v>4632</v>
      </c>
      <c r="I101" s="481" t="s">
        <v>4600</v>
      </c>
      <c r="J101" s="150" t="s">
        <v>4634</v>
      </c>
      <c r="K101" s="519" t="s">
        <v>4879</v>
      </c>
      <c r="L101" s="481" t="s">
        <v>4880</v>
      </c>
      <c r="M101" s="541" t="s">
        <v>4597</v>
      </c>
      <c r="N101" s="2656" cm="1" t="n">
        <f t="array" ref="N101">INDEX('7층_부하량'!I3:I3000,MATCH(1,("7-DaHall 1-RPP-02"='7층_부하량'!A3:A3000)*(14='7층_부하량'!B3:B3000),0))</f>
        <v>12.910776404191562</v>
      </c>
      <c r="O101" s="157"/>
      <c r="P101" s="157"/>
      <c r="Q101" s="157"/>
      <c r="R101" s="157" t="s">
        <v>4631</v>
      </c>
      <c r="S101" s="164" t="s">
        <v>4575</v>
      </c>
      <c r="T101" s="535" t="s">
        <v>4881</v>
      </c>
    </row>
    <row r="102" spans="1:20" ht="16.5" x14ac:dyDescent="0.15">
      <c r="A102" s="500" t="s">
        <v>4882</v>
      </c>
      <c r="B102" s="143" t="s">
        <v>4631</v>
      </c>
      <c r="C102" s="164" t="s">
        <v>4575</v>
      </c>
      <c r="D102" s="157"/>
      <c r="E102" s="2656" cm="1" t="n">
        <f t="array" ref="E102">INDEX('7층_부하량'!J3:J3000,MATCH(1,("7-DaHall 1-RPP-02"='7층_부하량'!A3:A3000)*(15='7층_부하량'!B3:B3000),0))</f>
        <v>1.723402733589854</v>
      </c>
      <c r="F102" s="157"/>
      <c r="G102" s="157"/>
      <c r="H102" s="541" t="s">
        <v>4632</v>
      </c>
      <c r="I102" s="481" t="s">
        <v>4602</v>
      </c>
      <c r="J102" s="150" t="s">
        <v>4634</v>
      </c>
      <c r="K102" s="519" t="s">
        <v>4724</v>
      </c>
      <c r="L102" s="481" t="s">
        <v>4883</v>
      </c>
      <c r="M102" s="541" t="s">
        <v>4597</v>
      </c>
      <c r="N102" s="157"/>
      <c r="O102" s="2656" cm="1">
        <f t="array" ref="O102">INDEX('7층_부하량'!J3:J3000,MATCH(1,("7-DaHall 1-RPP-02"='7층_부하량'!A3:A3000)*(16='7층_부하량'!B3:B3000),0))</f>
        <v>0</v>
      </c>
      <c r="P102" s="157"/>
      <c r="Q102" s="157"/>
      <c r="R102" s="157" t="s">
        <v>4631</v>
      </c>
      <c r="S102" s="164" t="s">
        <v>4575</v>
      </c>
      <c r="T102" s="535" t="s">
        <v>4884</v>
      </c>
    </row>
    <row r="103" spans="1:20" ht="16.5" x14ac:dyDescent="0.15">
      <c r="A103" s="500" t="s">
        <v>4885</v>
      </c>
      <c r="B103" s="143" t="s">
        <v>4631</v>
      </c>
      <c r="C103" s="164" t="s">
        <v>4575</v>
      </c>
      <c r="D103" s="157"/>
      <c r="E103" s="157"/>
      <c r="F103" s="2656" cm="1" t="n">
        <f t="array" ref="F103">INDEX('7층_부하량'!K3:K3000,MATCH(1,("7-DaHall 1-RPP-02"='7층_부하량'!A3:A3000)*(17='7층_부하량'!B3:B3000),0))</f>
        <v>3.1282912346973086</v>
      </c>
      <c r="G103" s="157"/>
      <c r="H103" s="541" t="s">
        <v>4632</v>
      </c>
      <c r="I103" s="481" t="s">
        <v>4604</v>
      </c>
      <c r="J103" s="150" t="s">
        <v>4634</v>
      </c>
      <c r="K103" s="652" t="s">
        <v>4679</v>
      </c>
      <c r="L103" s="481" t="s">
        <v>4886</v>
      </c>
      <c r="M103" s="541" t="s">
        <v>4597</v>
      </c>
      <c r="N103" s="157"/>
      <c r="O103" s="157"/>
      <c r="P103" s="2656" cm="1" t="n">
        <f t="array" ref="P103">INDEX('7층_부하량'!K3:K3000,MATCH(1,("7-DaHall 1-RPP-02"='7층_부하량'!A3:A3000)*(18='7층_부하량'!B3:B3000),0))</f>
        <v>2.4131155053669886</v>
      </c>
      <c r="Q103" s="157"/>
      <c r="R103" s="157" t="s">
        <v>4631</v>
      </c>
      <c r="S103" s="164" t="s">
        <v>4575</v>
      </c>
      <c r="T103" s="535" t="s">
        <v>4887</v>
      </c>
    </row>
    <row r="104" spans="1:20" ht="16.5" x14ac:dyDescent="0.15">
      <c r="A104" s="502" t="s">
        <v>4888</v>
      </c>
      <c r="B104" s="143" t="s">
        <v>4631</v>
      </c>
      <c r="C104" s="164" t="s">
        <v>4575</v>
      </c>
      <c r="D104" s="2656" cm="1" t="n">
        <f t="array" ref="D104">INDEX('7층_부하량'!I3:I3000,MATCH(1,("7-DaHall 1-RPP-02"='7층_부하량'!A3:A3000)*(19='7층_부하량'!B3:B3000),0))</f>
        <v>5.570125684455628</v>
      </c>
      <c r="E104" s="157"/>
      <c r="F104" s="157"/>
      <c r="G104" s="157"/>
      <c r="H104" s="541" t="s">
        <v>4632</v>
      </c>
      <c r="I104" s="481" t="s">
        <v>4608</v>
      </c>
      <c r="J104" s="150"/>
      <c r="K104" s="655" t="s">
        <v>4684</v>
      </c>
      <c r="L104" s="481" t="s">
        <v>4889</v>
      </c>
      <c r="M104" s="541" t="s">
        <v>4597</v>
      </c>
      <c r="N104" s="2656" cm="1" t="n">
        <f t="array" ref="N104">INDEX('7층_부하량'!I3:I3000,MATCH(1,("7-DaHall 1-RPP-02"='7층_부하량'!A3:A3000)*(20='7층_부하량'!B3:B3000),0))</f>
        <v>2.751520018292492</v>
      </c>
      <c r="O104" s="157"/>
      <c r="P104" s="157"/>
      <c r="Q104" s="157"/>
      <c r="R104" s="157" t="s">
        <v>4631</v>
      </c>
      <c r="S104" s="164" t="s">
        <v>4575</v>
      </c>
      <c r="T104" s="535" t="s">
        <v>4890</v>
      </c>
    </row>
    <row r="105" spans="1:20" ht="16.5" x14ac:dyDescent="0.15">
      <c r="A105" s="502" t="s">
        <v>4891</v>
      </c>
      <c r="B105" s="143" t="s">
        <v>4590</v>
      </c>
      <c r="C105" s="143" t="s">
        <v>4723</v>
      </c>
      <c r="D105" s="157"/>
      <c r="E105" s="2656" cm="1" t="n">
        <f t="array" ref="E105">INDEX('7층_부하량'!J3:J3000,MATCH(1,("7-DaHall 1-RPP-02"='7층_부하량'!A3:A3000)*(21='7층_부하량'!B3:B3000),0))</f>
        <v>1.5627876124230238</v>
      </c>
      <c r="F105" s="157"/>
      <c r="G105" s="157"/>
      <c r="H105" s="541" t="s">
        <v>4632</v>
      </c>
      <c r="I105" s="481" t="s">
        <v>4612</v>
      </c>
      <c r="J105" s="150" t="s">
        <v>4892</v>
      </c>
      <c r="K105" s="519" t="s">
        <v>4666</v>
      </c>
      <c r="L105" s="481" t="s">
        <v>4893</v>
      </c>
      <c r="M105" s="541" t="s">
        <v>4597</v>
      </c>
      <c r="N105" s="157"/>
      <c r="O105" s="2656" cm="1">
        <f t="array" ref="O105">INDEX('7층_부하량'!J3:J3000,MATCH(1,("7-DaHall 1-RPP-02"='7층_부하량'!A3:A3000)*(22='7층_부하량'!B3:B3000),0))</f>
        <v>0</v>
      </c>
      <c r="P105" s="157"/>
      <c r="Q105" s="157"/>
      <c r="R105" s="157" t="s">
        <v>4631</v>
      </c>
      <c r="S105" s="164" t="s">
        <v>4575</v>
      </c>
      <c r="T105" s="536" t="s">
        <v>4894</v>
      </c>
    </row>
    <row r="106" spans="1:20" ht="16.5" x14ac:dyDescent="0.15">
      <c r="A106" s="502" t="s">
        <v>4895</v>
      </c>
      <c r="B106" s="143" t="s">
        <v>4631</v>
      </c>
      <c r="C106" s="164" t="s">
        <v>4575</v>
      </c>
      <c r="D106" s="157"/>
      <c r="E106" s="157"/>
      <c r="F106" s="2656" cm="1">
        <f t="array" ref="F106">INDEX('7층_부하량'!K3:K3000,MATCH(1,("7-DaHall 1-RPP-02"='7층_부하량'!A3:A3000)*(23='7층_부하량'!B3:B3000),0))</f>
        <v>0</v>
      </c>
      <c r="G106" s="157"/>
      <c r="H106" s="541" t="s">
        <v>4632</v>
      </c>
      <c r="I106" s="481" t="s">
        <v>4896</v>
      </c>
      <c r="J106" s="150"/>
      <c r="K106" s="519" t="s">
        <v>4666</v>
      </c>
      <c r="L106" s="481" t="s">
        <v>4897</v>
      </c>
      <c r="M106" s="541" t="s">
        <v>4597</v>
      </c>
      <c r="N106" s="157"/>
      <c r="O106" s="157"/>
      <c r="P106" s="2656" cm="1" t="n">
        <f t="array" ref="P106">INDEX('7층_부하량'!K3:K3000,MATCH(1,("7-DaHall 1-RPP-02"='7층_부하량'!A3:A3000)*(24='7층_부하량'!B3:B3000),0))</f>
        <v>2.5931829783365976</v>
      </c>
      <c r="Q106" s="157"/>
      <c r="R106" s="157" t="s">
        <v>4631</v>
      </c>
      <c r="S106" s="164" t="s">
        <v>4575</v>
      </c>
      <c r="T106" s="535" t="s">
        <v>4898</v>
      </c>
    </row>
    <row r="107" spans="1:20" ht="16.5" x14ac:dyDescent="0.15">
      <c r="A107" s="502" t="s">
        <v>4899</v>
      </c>
      <c r="B107" s="143" t="s">
        <v>4631</v>
      </c>
      <c r="C107" s="164" t="s">
        <v>4575</v>
      </c>
      <c r="D107" s="2656" cm="1" t="n">
        <f t="array" ref="D107">INDEX('7층_부하량'!I3:I3000,MATCH(1,("7-DaHall 1-RPP-02"='7층_부하량'!A3:A3000)*(25='7층_부하량'!B3:B3000),0))</f>
        <v>0.6262461791832815</v>
      </c>
      <c r="E107" s="157"/>
      <c r="F107" s="157"/>
      <c r="G107" s="157"/>
      <c r="H107" s="541" t="s">
        <v>4632</v>
      </c>
      <c r="I107" s="481" t="s">
        <v>4900</v>
      </c>
      <c r="J107" s="150"/>
      <c r="K107" s="519" t="s">
        <v>4634</v>
      </c>
      <c r="L107" s="481" t="s">
        <v>4901</v>
      </c>
      <c r="M107" s="541" t="s">
        <v>4597</v>
      </c>
      <c r="N107" s="2656" cm="1" t="n">
        <f t="array" ref="N107">INDEX('7층_부하량'!I3:I3000,MATCH(1,("7-DaHall 1-RPP-02"='7층_부하량'!A3:A3000)*(26='7층_부하량'!B3:B3000),0))</f>
        <v>1.203442232453935</v>
      </c>
      <c r="O107" s="157"/>
      <c r="P107" s="157"/>
      <c r="Q107" s="157"/>
      <c r="R107" s="157" t="s">
        <v>4631</v>
      </c>
      <c r="S107" s="164" t="s">
        <v>4575</v>
      </c>
      <c r="T107" s="531" t="s">
        <v>4902</v>
      </c>
    </row>
    <row r="108" spans="1:20" ht="16.5" x14ac:dyDescent="0.15">
      <c r="A108" s="500" t="s">
        <v>4903</v>
      </c>
      <c r="B108" s="143" t="s">
        <v>4631</v>
      </c>
      <c r="C108" s="164" t="s">
        <v>4575</v>
      </c>
      <c r="D108" s="157"/>
      <c r="E108" s="2656" cm="1" t="n">
        <f t="array" ref="E108">INDEX('7층_부하량'!J3:J3000,MATCH(1,("7-DaHall 1-RPP-02"='7층_부하량'!A3:A3000)*(27='7층_부하량'!B3:B3000),0))</f>
        <v>7.338864031761542</v>
      </c>
      <c r="F108" s="157"/>
      <c r="G108" s="157"/>
      <c r="H108" s="541" t="s">
        <v>4632</v>
      </c>
      <c r="I108" s="481" t="s">
        <v>4904</v>
      </c>
      <c r="J108" s="653" t="s">
        <v>4905</v>
      </c>
      <c r="K108" s="519" t="s">
        <v>4654</v>
      </c>
      <c r="L108" s="481" t="s">
        <v>4906</v>
      </c>
      <c r="M108" s="541" t="s">
        <v>4597</v>
      </c>
      <c r="N108" s="157"/>
      <c r="O108" s="2656" cm="1">
        <f t="array" ref="O108">INDEX('7층_부하량'!J3:J3000,MATCH(1,("7-DaHall 1-RPP-02"='7층_부하량'!A3:A3000)*(28='7층_부하량'!B3:B3000),0))</f>
        <v>0</v>
      </c>
      <c r="P108" s="157"/>
      <c r="Q108" s="157"/>
      <c r="R108" s="157" t="s">
        <v>4631</v>
      </c>
      <c r="S108" s="143" t="s">
        <v>4723</v>
      </c>
      <c r="T108" s="531" t="s">
        <v>4907</v>
      </c>
    </row>
    <row r="109" spans="1:20" ht="16.5" x14ac:dyDescent="0.15">
      <c r="A109" s="501" t="s">
        <v>4908</v>
      </c>
      <c r="B109" s="156" t="s">
        <v>4631</v>
      </c>
      <c r="C109" s="189" t="s">
        <v>4575</v>
      </c>
      <c r="D109" s="179"/>
      <c r="E109" s="179"/>
      <c r="F109" s="2658" cm="1">
        <f t="array" ref="F109">INDEX('7층_부하량'!K3:K3000,MATCH(1,("7-DaHall 1-RPP-02"='7층_부하량'!A3:A3000)*(29='7층_부하량'!B3:B3000),0))</f>
        <v>0</v>
      </c>
      <c r="G109" s="179"/>
      <c r="H109" s="542" t="s">
        <v>4632</v>
      </c>
      <c r="I109" s="482" t="s">
        <v>4909</v>
      </c>
      <c r="J109" s="193" t="s">
        <v>4724</v>
      </c>
      <c r="K109" s="659" t="s">
        <v>4910</v>
      </c>
      <c r="L109" s="482" t="s">
        <v>4911</v>
      </c>
      <c r="M109" s="542" t="s">
        <v>4597</v>
      </c>
      <c r="N109" s="179"/>
      <c r="O109" s="179"/>
      <c r="P109" s="2658" cm="1" t="n">
        <f t="array" ref="P109">INDEX('7층_부하량'!K3:K3000,MATCH(1,("7-DaHall 1-RPP-02"='7층_부하량'!A3:A3000)*(30='7층_부하량'!B3:B3000),0))</f>
        <v>1.8933451515539381</v>
      </c>
      <c r="Q109" s="179"/>
      <c r="R109" s="179" t="s">
        <v>4631</v>
      </c>
      <c r="S109" s="189" t="s">
        <v>4575</v>
      </c>
      <c r="T109" s="531" t="s">
        <v>4912</v>
      </c>
    </row>
    <row r="110" spans="1:20" ht="24" x14ac:dyDescent="0.15">
      <c r="A110" s="510" t="s">
        <v>4913</v>
      </c>
      <c r="B110" s="143" t="s">
        <v>4590</v>
      </c>
      <c r="C110" s="143" t="s">
        <v>4723</v>
      </c>
      <c r="D110" s="2656" cm="1">
        <f t="array" ref="D110">INDEX('7층_부하량'!I3:I3000,MATCH(1,("7-DaHall 1-RPP-02"='7층_부하량'!A3:A3000)*(31='7층_부하량'!B3:B3000),0))</f>
        <v>0</v>
      </c>
      <c r="E110" s="157"/>
      <c r="F110" s="157"/>
      <c r="G110" s="157"/>
      <c r="H110" s="541" t="s">
        <v>4632</v>
      </c>
      <c r="I110" s="481" t="s">
        <v>4914</v>
      </c>
      <c r="J110" s="150" t="s">
        <v>4649</v>
      </c>
      <c r="K110" s="519" t="s">
        <v>4654</v>
      </c>
      <c r="L110" s="481" t="s">
        <v>4915</v>
      </c>
      <c r="M110" s="541" t="s">
        <v>4597</v>
      </c>
      <c r="N110" s="2656" cm="1" t="n">
        <f t="array" ref="N110">INDEX('7층_부하량'!I3:I3000,MATCH(1,("7-DaHall 1-RPP-02"='7층_부하량'!A3:A3000)*(32='7층_부하량'!B3:B3000),0))</f>
        <v>3.269571551876825</v>
      </c>
      <c r="O110" s="157"/>
      <c r="P110" s="157"/>
      <c r="Q110" s="157"/>
      <c r="R110" s="157" t="s">
        <v>4631</v>
      </c>
      <c r="S110" s="164" t="s">
        <v>4575</v>
      </c>
      <c r="T110" s="531" t="s">
        <v>4916</v>
      </c>
    </row>
    <row r="111" spans="1:20" ht="16.5" x14ac:dyDescent="0.15">
      <c r="A111" s="500" t="s">
        <v>4917</v>
      </c>
      <c r="B111" s="143" t="s">
        <v>4590</v>
      </c>
      <c r="C111" s="143" t="s">
        <v>4723</v>
      </c>
      <c r="D111" s="157"/>
      <c r="E111" s="2656" cm="1" t="n">
        <f t="array" ref="E111">INDEX('7층_부하량'!J3:J3000,MATCH(1,("7-DaHall 1-RPP-02"='7층_부하량'!A3:A3000)*(33='7층_부하량'!B3:B3000),0))</f>
        <v>0.4378621765222254</v>
      </c>
      <c r="F111" s="157"/>
      <c r="G111" s="157"/>
      <c r="H111" s="541" t="s">
        <v>4632</v>
      </c>
      <c r="I111" s="481" t="s">
        <v>4918</v>
      </c>
      <c r="J111" s="150" t="s">
        <v>4649</v>
      </c>
      <c r="K111" s="519"/>
      <c r="L111" s="481" t="s">
        <v>4919</v>
      </c>
      <c r="M111" s="541" t="s">
        <v>4597</v>
      </c>
      <c r="N111" s="157"/>
      <c r="O111" s="2656" cm="1">
        <f t="array" ref="O111">INDEX('7층_부하량'!J3:J3000,MATCH(1,("7-DaHall 1-RPP-02"='7층_부하량'!A3:A3000)*(34='7층_부하량'!B3:B3000),0))</f>
        <v>0</v>
      </c>
      <c r="P111" s="157"/>
      <c r="Q111" s="157"/>
      <c r="R111" s="157" t="s">
        <v>4631</v>
      </c>
      <c r="S111" s="164" t="s">
        <v>4575</v>
      </c>
      <c r="T111" s="532" t="s">
        <v>4920</v>
      </c>
    </row>
    <row r="112" spans="1:20" ht="16.5" x14ac:dyDescent="0.15">
      <c r="A112" s="500" t="s">
        <v>4921</v>
      </c>
      <c r="B112" s="143" t="s">
        <v>4631</v>
      </c>
      <c r="C112" s="164" t="s">
        <v>4575</v>
      </c>
      <c r="D112" s="157"/>
      <c r="E112" s="157"/>
      <c r="F112" s="2656" cm="1" t="n">
        <f t="array" ref="F112">INDEX('7층_부하량'!K3:K3000,MATCH(1,("7-DaHall 1-RPP-02"='7층_부하량'!A3:A3000)*(35='7층_부하량'!B3:B3000),0))</f>
        <v>2.4571087337953235</v>
      </c>
      <c r="G112" s="157"/>
      <c r="H112" s="541" t="s">
        <v>4632</v>
      </c>
      <c r="I112" s="481" t="s">
        <v>4922</v>
      </c>
      <c r="J112" s="150" t="s">
        <v>4634</v>
      </c>
      <c r="K112" s="519" t="s">
        <v>4923</v>
      </c>
      <c r="L112" s="481" t="s">
        <v>4924</v>
      </c>
      <c r="M112" s="541" t="s">
        <v>4597</v>
      </c>
      <c r="N112" s="157"/>
      <c r="O112" s="157"/>
      <c r="P112" s="2656" cm="1" t="n">
        <f t="array" ref="P112">INDEX('7층_부하량'!K3:K3000,MATCH(1,("7-DaHall 1-RPP-02"='7층_부하량'!A3:A3000)*(36='7층_부하량'!B3:B3000),0))</f>
        <v>6.617112174375461</v>
      </c>
      <c r="Q112" s="157"/>
      <c r="R112" s="157" t="s">
        <v>4631</v>
      </c>
      <c r="S112" s="164" t="s">
        <v>4575</v>
      </c>
      <c r="T112" s="531" t="s">
        <v>4925</v>
      </c>
    </row>
    <row r="113" spans="1:20" ht="16.5" x14ac:dyDescent="0.15">
      <c r="A113" s="500" t="s">
        <v>4926</v>
      </c>
      <c r="B113" s="143" t="s">
        <v>4631</v>
      </c>
      <c r="C113" s="164" t="s">
        <v>4575</v>
      </c>
      <c r="D113" s="2656" cm="1" t="n">
        <f t="array" ref="D113">INDEX('7층_부하량'!I3:I3000,MATCH(1,("7-DaHall 1-RPP-02"='7층_부하량'!A3:A3000)*(37='7층_부하량'!B3:B3000),0))</f>
        <v>5.87170014728235</v>
      </c>
      <c r="E113" s="157"/>
      <c r="F113" s="157"/>
      <c r="G113" s="157"/>
      <c r="H113" s="541" t="s">
        <v>4632</v>
      </c>
      <c r="I113" s="481" t="s">
        <v>4927</v>
      </c>
      <c r="J113" s="150" t="s">
        <v>4634</v>
      </c>
      <c r="K113" s="519" t="s">
        <v>4649</v>
      </c>
      <c r="L113" s="481" t="s">
        <v>4928</v>
      </c>
      <c r="M113" s="541" t="s">
        <v>4597</v>
      </c>
      <c r="N113" s="2656" cm="1" t="n">
        <f t="array" ref="N113">INDEX('7층_부하량'!I3:I3000,MATCH(1,("7-DaHall 1-RPP-02"='7층_부하량'!A3:A3000)*(38='7층_부하량'!B3:B3000),0))</f>
        <v>5.399545932396266</v>
      </c>
      <c r="O113" s="157"/>
      <c r="P113" s="157"/>
      <c r="Q113" s="157"/>
      <c r="R113" s="157" t="s">
        <v>4631</v>
      </c>
      <c r="S113" s="164" t="s">
        <v>4575</v>
      </c>
      <c r="T113" s="531" t="s">
        <v>4929</v>
      </c>
    </row>
    <row r="114" spans="1:20" ht="17.25" thickBot="1" x14ac:dyDescent="0.2">
      <c r="A114" s="503" t="s">
        <v>4930</v>
      </c>
      <c r="B114" s="166" t="s">
        <v>4631</v>
      </c>
      <c r="C114" s="184" t="s">
        <v>4575</v>
      </c>
      <c r="D114" s="167"/>
      <c r="E114" s="2659" cm="1" t="n">
        <f t="array" ref="E114">INDEX('7층_부하량'!J3:J3000,MATCH(1,("7-DaHall 1-RPP-02"='7층_부하량'!A3:A3000)*(39='7층_부하량'!B3:B3000),0))</f>
        <v>3.1210592427596078</v>
      </c>
      <c r="F114" s="167"/>
      <c r="G114" s="167"/>
      <c r="H114" s="543" t="s">
        <v>4632</v>
      </c>
      <c r="I114" s="483" t="s">
        <v>4931</v>
      </c>
      <c r="J114" s="194" t="s">
        <v>4634</v>
      </c>
      <c r="K114" s="521"/>
      <c r="L114" s="483" t="s">
        <v>4932</v>
      </c>
      <c r="M114" s="543" t="s">
        <v>4597</v>
      </c>
      <c r="N114" s="167"/>
      <c r="O114" s="2659" cm="1">
        <f t="array" ref="O114">INDEX('7층_부하량'!J3:J3000,MATCH(1,("7-DaHall 1-RPP-02"='7층_부하량'!A3:A3000)*(40='7층_부하량'!B3:B3000),0))</f>
        <v>0</v>
      </c>
      <c r="P114" s="167"/>
      <c r="Q114" s="167"/>
      <c r="R114" s="167" t="s">
        <v>4631</v>
      </c>
      <c r="S114" s="184" t="s">
        <v>4575</v>
      </c>
      <c r="T114" s="533" t="s">
        <v>4933</v>
      </c>
    </row>
    <row r="115" spans="1:20" ht="14.25" thickTop="1" x14ac:dyDescent="0.15">
      <c r="A115" s="504"/>
      <c r="B115" s="133"/>
      <c r="C115" s="133"/>
      <c r="D115" s="131"/>
      <c r="E115" s="131"/>
      <c r="F115" s="131"/>
      <c r="G115" s="131"/>
      <c r="M115" s="504" t="s">
        <v>4713</v>
      </c>
      <c r="N115" s="128" t="n">
        <f>SUM(D95:D114,N95:N114)</f>
        <v>47.20395159025719</v>
      </c>
      <c r="O115" s="128" t="n">
        <f>SUM(E95:E114,O95:O114)</f>
        <v>17.88878606384591</v>
      </c>
      <c r="P115" s="128" t="n">
        <f>SUM(F95:F114,P95:P114)</f>
        <v>24.61026873982111</v>
      </c>
    </row>
    <row r="116" spans="1:20" ht="14.25" thickBot="1" x14ac:dyDescent="0.2"/>
    <row r="117" spans="1:20" ht="15" thickTop="1" thickBot="1" x14ac:dyDescent="0.2">
      <c r="A117" s="53" t="s">
        <v>7017</v>
      </c>
      <c r="D117" s="3660" t="s">
        <v>8983</v>
      </c>
      <c r="E117" s="3660"/>
      <c r="F117" s="3660"/>
      <c r="G117" s="3660"/>
      <c r="H117" s="495"/>
      <c r="I117" s="124"/>
      <c r="J117" s="3661" t="s">
        <v>4934</v>
      </c>
      <c r="K117" s="3662"/>
      <c r="L117" s="486"/>
      <c r="M117" s="495"/>
      <c r="N117" s="126"/>
      <c r="O117" s="126"/>
      <c r="P117" s="126"/>
      <c r="Q117" s="126"/>
      <c r="R117" s="126"/>
      <c r="S117" s="126"/>
    </row>
    <row r="118" spans="1:20" ht="15" thickTop="1" thickBot="1" x14ac:dyDescent="0.2">
      <c r="A118" s="496"/>
      <c r="B118" s="128"/>
      <c r="C118" s="128"/>
      <c r="D118" s="129"/>
      <c r="E118" s="130"/>
      <c r="F118" s="130"/>
      <c r="G118" s="130"/>
      <c r="H118" s="515"/>
      <c r="I118" s="131"/>
      <c r="J118" s="128"/>
      <c r="K118" s="516"/>
      <c r="L118" s="132"/>
      <c r="M118" s="1371" t="s">
        <v>4562</v>
      </c>
      <c r="N118" s="1368">
        <v>6.8</v>
      </c>
      <c r="O118" s="1369">
        <v>8</v>
      </c>
      <c r="P118" s="1370">
        <v>5</v>
      </c>
      <c r="Q118" s="508" t="s">
        <v>4563</v>
      </c>
      <c r="R118" s="133"/>
      <c r="S118" s="128"/>
      <c r="T118" s="528"/>
    </row>
    <row r="119" spans="1:20" ht="15" thickTop="1" thickBot="1" x14ac:dyDescent="0.2">
      <c r="A119" s="497" t="s">
        <v>4629</v>
      </c>
      <c r="B119" s="135" t="s">
        <v>4565</v>
      </c>
      <c r="C119" s="136" t="s">
        <v>4566</v>
      </c>
      <c r="D119" s="135" t="s">
        <v>4567</v>
      </c>
      <c r="E119" s="135" t="s">
        <v>4568</v>
      </c>
      <c r="F119" s="135" t="s">
        <v>4569</v>
      </c>
      <c r="G119" s="135" t="s">
        <v>4570</v>
      </c>
      <c r="H119" s="539" t="s">
        <v>4571</v>
      </c>
      <c r="I119" s="479"/>
      <c r="J119" s="138" t="s">
        <v>4572</v>
      </c>
      <c r="K119" s="517" t="s">
        <v>4572</v>
      </c>
      <c r="L119" s="479"/>
      <c r="M119" s="539" t="s">
        <v>4571</v>
      </c>
      <c r="N119" s="135" t="s">
        <v>4567</v>
      </c>
      <c r="O119" s="135" t="s">
        <v>4568</v>
      </c>
      <c r="P119" s="135" t="s">
        <v>4569</v>
      </c>
      <c r="Q119" s="135" t="s">
        <v>4570</v>
      </c>
      <c r="R119" s="135" t="s">
        <v>4565</v>
      </c>
      <c r="S119" s="136" t="s">
        <v>4566</v>
      </c>
      <c r="T119" s="529" t="s">
        <v>4629</v>
      </c>
    </row>
    <row r="120" spans="1:20" ht="17.25" thickTop="1" x14ac:dyDescent="0.15">
      <c r="A120" s="498" t="s">
        <v>4935</v>
      </c>
      <c r="B120" s="142" t="s">
        <v>4631</v>
      </c>
      <c r="C120" s="152" t="s">
        <v>4575</v>
      </c>
      <c r="D120" s="2654" cm="1" t="n">
        <f t="array" ref="D120">INDEX('7층_부하량'!I3:I3000,MATCH(1,("7-DaHall 1-RPP-03"='7층_부하량'!A3:A3000)*(1='7층_부하량'!B3:B3000),0))</f>
        <v>1.1790352656846237</v>
      </c>
      <c r="E120" s="144"/>
      <c r="F120" s="144"/>
      <c r="G120" s="144"/>
      <c r="H120" s="540" t="s">
        <v>4936</v>
      </c>
      <c r="I120" s="482" t="s">
        <v>4633</v>
      </c>
      <c r="J120" s="150" t="s">
        <v>4937</v>
      </c>
      <c r="K120" s="518" t="s">
        <v>4724</v>
      </c>
      <c r="L120" s="480" t="s">
        <v>4578</v>
      </c>
      <c r="M120" s="540" t="s">
        <v>4936</v>
      </c>
      <c r="N120" s="2654" cm="1" t="n">
        <f t="array" ref="N120">INDEX('7층_부하량'!I3:I3000,MATCH(1,("7-DaHall 1-RPP-03"='7층_부하량'!A3:A3000)*(2='7층_부하량'!B3:B3000),0))</f>
        <v>1.323645614963699</v>
      </c>
      <c r="O120" s="144"/>
      <c r="P120" s="144"/>
      <c r="Q120" s="144"/>
      <c r="R120" s="144" t="s">
        <v>4631</v>
      </c>
      <c r="S120" s="152" t="s">
        <v>4575</v>
      </c>
      <c r="T120" s="530" t="s">
        <v>4938</v>
      </c>
    </row>
    <row r="121" spans="1:20" ht="16.5" x14ac:dyDescent="0.15">
      <c r="A121" s="499" t="s">
        <v>4939</v>
      </c>
      <c r="B121" s="143" t="s">
        <v>4631</v>
      </c>
      <c r="C121" s="164" t="s">
        <v>4575</v>
      </c>
      <c r="D121" s="149"/>
      <c r="E121" s="2655" cm="1" t="n">
        <f t="array" ref="E121">INDEX('7층_부하량'!J3:J3000,MATCH(1,("7-DaHall 1-RPP-03"='7층_부하량'!A3:A3000)*(3='7층_부하량'!B3:B3000),0))</f>
        <v>2.9106361147806235</v>
      </c>
      <c r="F121" s="149"/>
      <c r="G121" s="149"/>
      <c r="H121" s="541" t="s">
        <v>4936</v>
      </c>
      <c r="I121" s="481" t="s">
        <v>4638</v>
      </c>
      <c r="J121" s="150" t="s">
        <v>4937</v>
      </c>
      <c r="K121" s="519" t="s">
        <v>4724</v>
      </c>
      <c r="L121" s="481" t="s">
        <v>4583</v>
      </c>
      <c r="M121" s="541" t="s">
        <v>4936</v>
      </c>
      <c r="N121" s="149"/>
      <c r="O121" s="2655" cm="1" t="n">
        <f t="array" ref="O121">INDEX('7층_부하량'!J3:J3000,MATCH(1,("7-DaHall 1-RPP-03"='7층_부하량'!A3:A3000)*(4='7층_부하량'!B3:B3000),0))</f>
        <v>1.9265584514611558</v>
      </c>
      <c r="P121" s="149"/>
      <c r="Q121" s="149"/>
      <c r="R121" s="143" t="s">
        <v>4940</v>
      </c>
      <c r="S121" s="143" t="s">
        <v>4723</v>
      </c>
      <c r="T121" s="531" t="s">
        <v>4941</v>
      </c>
    </row>
    <row r="122" spans="1:20" ht="16.5" x14ac:dyDescent="0.15">
      <c r="A122" s="500" t="s">
        <v>4942</v>
      </c>
      <c r="B122" s="143" t="s">
        <v>4631</v>
      </c>
      <c r="C122" s="164" t="s">
        <v>4575</v>
      </c>
      <c r="D122" s="157"/>
      <c r="E122" s="157"/>
      <c r="F122" s="2656" cm="1" t="n">
        <f t="array" ref="F122">INDEX('7층_부하량'!K3:K3000,MATCH(1,("7-DaHall 1-RPP-03"='7층_부하량'!A3:A3000)*(5='7층_부하량'!B3:B3000),0))</f>
        <v>3.3003710379336364</v>
      </c>
      <c r="G122" s="157"/>
      <c r="H122" s="541" t="s">
        <v>4936</v>
      </c>
      <c r="I122" s="481" t="s">
        <v>4641</v>
      </c>
      <c r="J122" s="150" t="s">
        <v>4937</v>
      </c>
      <c r="K122" s="527" t="s">
        <v>4937</v>
      </c>
      <c r="L122" s="493" t="s">
        <v>4588</v>
      </c>
      <c r="M122" s="545" t="s">
        <v>4936</v>
      </c>
      <c r="N122" s="157"/>
      <c r="O122" s="157"/>
      <c r="P122" s="2656" cm="1" t="n">
        <f t="array" ref="P122">INDEX('7층_부하량'!K3:K3000,MATCH(1,("7-DaHall 1-RPP-03"='7층_부하량'!A3:A3000)*(6='7층_부하량'!B3:B3000),0))</f>
        <v>1.5083026156086656</v>
      </c>
      <c r="Q122" s="157"/>
      <c r="R122" s="157" t="s">
        <v>4631</v>
      </c>
      <c r="S122" s="164" t="s">
        <v>4575</v>
      </c>
      <c r="T122" s="531" t="s">
        <v>4943</v>
      </c>
    </row>
    <row r="123" spans="1:20" ht="16.5" x14ac:dyDescent="0.15">
      <c r="A123" s="509" t="s">
        <v>4944</v>
      </c>
      <c r="B123" s="143" t="s">
        <v>4631</v>
      </c>
      <c r="C123" s="164" t="s">
        <v>4575</v>
      </c>
      <c r="D123" s="2656" cm="1" t="n">
        <f t="array" ref="D123">INDEX('7층_부하량'!I3:I3000,MATCH(1,("7-DaHall 1-RPP-03"='7층_부하량'!A3:A3000)*(7='7층_부하량'!B3:B3000),0))</f>
        <v>2.4370190676533103</v>
      </c>
      <c r="E123" s="157"/>
      <c r="F123" s="157"/>
      <c r="G123" s="157"/>
      <c r="H123" s="541" t="s">
        <v>4936</v>
      </c>
      <c r="I123" s="481" t="s">
        <v>4645</v>
      </c>
      <c r="J123" s="150" t="s">
        <v>4937</v>
      </c>
      <c r="K123" s="527" t="s">
        <v>4937</v>
      </c>
      <c r="L123" s="493" t="s">
        <v>4593</v>
      </c>
      <c r="M123" s="545" t="s">
        <v>4936</v>
      </c>
      <c r="N123" s="2656" cm="1" t="n">
        <f t="array" ref="N123">INDEX('7층_부하량'!I3:I3000,MATCH(1,("7-DaHall 1-RPP-03"='7층_부하량'!A3:A3000)*(8='7층_부하량'!B3:B3000),0))</f>
        <v>1.960770126643782</v>
      </c>
      <c r="O123" s="157"/>
      <c r="P123" s="157"/>
      <c r="Q123" s="157"/>
      <c r="R123" s="157" t="s">
        <v>4631</v>
      </c>
      <c r="S123" s="164" t="s">
        <v>4575</v>
      </c>
      <c r="T123" s="531" t="s">
        <v>4945</v>
      </c>
    </row>
    <row r="124" spans="1:20" ht="16.5" x14ac:dyDescent="0.15">
      <c r="A124" s="502" t="s">
        <v>4946</v>
      </c>
      <c r="B124" s="143" t="s">
        <v>4631</v>
      </c>
      <c r="C124" s="164" t="s">
        <v>4575</v>
      </c>
      <c r="D124" s="157"/>
      <c r="E124" s="2656" cm="1" t="n">
        <f t="array" ref="E124">INDEX('7층_부하량'!J3:J3000,MATCH(1,("7-DaHall 1-RPP-03"='7층_부하량'!A3:A3000)*(9='7층_부하량'!B3:B3000),0))</f>
        <v>2.6297433817909015</v>
      </c>
      <c r="F124" s="157"/>
      <c r="G124" s="157"/>
      <c r="H124" s="541" t="s">
        <v>4936</v>
      </c>
      <c r="I124" s="481" t="s">
        <v>4648</v>
      </c>
      <c r="J124" s="150" t="s">
        <v>4937</v>
      </c>
      <c r="K124" s="527" t="s">
        <v>4937</v>
      </c>
      <c r="L124" s="493" t="s">
        <v>4596</v>
      </c>
      <c r="M124" s="545" t="s">
        <v>4936</v>
      </c>
      <c r="N124" s="157"/>
      <c r="O124" s="2656" cm="1" t="n">
        <f t="array" ref="O124">INDEX('7층_부하량'!J3:J3000,MATCH(1,("7-DaHall 1-RPP-03"='7층_부하량'!A3:A3000)*(10='7층_부하량'!B3:B3000),0))</f>
        <v>2.617761012045332</v>
      </c>
      <c r="P124" s="157"/>
      <c r="Q124" s="157"/>
      <c r="R124" s="157" t="s">
        <v>4631</v>
      </c>
      <c r="S124" s="164" t="s">
        <v>4575</v>
      </c>
      <c r="T124" s="535" t="s">
        <v>4947</v>
      </c>
    </row>
    <row r="125" spans="1:20" ht="16.5" x14ac:dyDescent="0.15">
      <c r="A125" s="512"/>
      <c r="B125" s="133"/>
      <c r="C125" s="196"/>
      <c r="D125" s="131"/>
      <c r="E125" s="131"/>
      <c r="F125" s="131"/>
      <c r="G125" s="131"/>
      <c r="H125" s="504"/>
      <c r="I125" s="133"/>
      <c r="J125" s="172"/>
      <c r="K125" s="522"/>
      <c r="L125" s="172"/>
      <c r="M125" s="504" t="s">
        <v>4713</v>
      </c>
      <c r="N125" s="131" t="n">
        <f>SUM(D120:D124,N120:N124)</f>
        <v>6.9004700749454155</v>
      </c>
      <c r="O125" s="131" t="n">
        <f>SUM(E120:E124,O120:O124)</f>
        <v>10.084698960078013</v>
      </c>
      <c r="P125" s="131" t="n">
        <f>SUM(F120:F124,P120:P124)</f>
        <v>4.808673653542302</v>
      </c>
      <c r="Q125" s="131"/>
      <c r="R125" s="131"/>
      <c r="S125" s="196"/>
      <c r="T125" s="537"/>
    </row>
    <row r="126" spans="1:20" ht="17.25" thickBot="1" x14ac:dyDescent="0.2">
      <c r="A126" s="2551" t="s">
        <v>7015</v>
      </c>
      <c r="B126" s="133"/>
      <c r="C126" s="196"/>
      <c r="D126" s="3660" t="s">
        <v>8986</v>
      </c>
      <c r="E126" s="3660"/>
      <c r="F126" s="3660"/>
      <c r="G126" s="3660"/>
      <c r="H126" s="504"/>
      <c r="I126" s="133"/>
      <c r="J126" s="172"/>
      <c r="K126" s="522"/>
      <c r="L126" s="172"/>
      <c r="M126" s="504"/>
      <c r="N126" s="131"/>
      <c r="O126" s="131"/>
      <c r="P126" s="131"/>
      <c r="Q126" s="131"/>
      <c r="R126" s="131"/>
      <c r="S126" s="196"/>
      <c r="T126" s="537"/>
    </row>
    <row r="127" spans="1:20" ht="15" thickTop="1" thickBot="1" x14ac:dyDescent="0.2">
      <c r="A127" s="513"/>
      <c r="F127" s="124"/>
      <c r="H127" s="495" t="s">
        <v>4948</v>
      </c>
      <c r="I127" s="124"/>
      <c r="J127" s="3661" t="s">
        <v>4934</v>
      </c>
      <c r="K127" s="3662"/>
      <c r="L127" s="486"/>
      <c r="M127" s="1371" t="s">
        <v>4562</v>
      </c>
      <c r="N127" s="1368">
        <v>8.6</v>
      </c>
      <c r="O127" s="1369">
        <v>7.6</v>
      </c>
      <c r="P127" s="1370">
        <v>5.7</v>
      </c>
      <c r="Q127" s="508" t="s">
        <v>4563</v>
      </c>
      <c r="R127" s="133"/>
      <c r="S127" s="128"/>
      <c r="T127" s="528"/>
    </row>
    <row r="128" spans="1:20" ht="17.25" thickTop="1" x14ac:dyDescent="0.15">
      <c r="A128" s="498" t="s">
        <v>4949</v>
      </c>
      <c r="B128" s="142" t="s">
        <v>4631</v>
      </c>
      <c r="C128" s="152" t="s">
        <v>4575</v>
      </c>
      <c r="D128" s="2654" cm="1" t="n">
        <f t="array" ref="D128">INDEX('7층_부하량'!I3:I3000,MATCH(1,("7-DaHall 1-RPP-04"='7층_부하량'!A3:A3000)*(1='7층_부하량'!B3:B3000),0))</f>
        <v>1.1785727278286666</v>
      </c>
      <c r="E128" s="144"/>
      <c r="F128" s="144"/>
      <c r="G128" s="144"/>
      <c r="H128" s="540" t="s">
        <v>4936</v>
      </c>
      <c r="I128" s="482" t="s">
        <v>4633</v>
      </c>
      <c r="J128" s="150" t="s">
        <v>4937</v>
      </c>
      <c r="K128" s="518" t="s">
        <v>4724</v>
      </c>
      <c r="L128" s="480" t="s">
        <v>4578</v>
      </c>
      <c r="M128" s="540" t="s">
        <v>4936</v>
      </c>
      <c r="N128" s="2654" cm="1" t="n">
        <f t="array" ref="N128">INDEX('7층_부하량'!I3:I3000,MATCH(1,("7-DaHall 1-RPP-04"='7층_부하량'!A3:A3000)*(2='7층_부하량'!B3:B3000),0))</f>
        <v>2.005375025760743</v>
      </c>
      <c r="O128" s="144"/>
      <c r="P128" s="144"/>
      <c r="Q128" s="144"/>
      <c r="R128" s="144" t="s">
        <v>4631</v>
      </c>
      <c r="S128" s="152" t="s">
        <v>4575</v>
      </c>
      <c r="T128" s="530" t="s">
        <v>4950</v>
      </c>
    </row>
    <row r="129" spans="1:20" ht="16.5" x14ac:dyDescent="0.15">
      <c r="A129" s="499" t="s">
        <v>4951</v>
      </c>
      <c r="B129" s="143" t="s">
        <v>4631</v>
      </c>
      <c r="C129" s="164" t="s">
        <v>4575</v>
      </c>
      <c r="D129" s="149"/>
      <c r="E129" s="2655" cm="1" t="n">
        <f t="array" ref="E129">INDEX('7층_부하량'!J3:J3000,MATCH(1,("7-DaHall 1-RPP-04"='7층_부하량'!A3:A3000)*(3='7층_부하량'!B3:B3000),0))</f>
        <v>3.5632002218974472</v>
      </c>
      <c r="F129" s="149"/>
      <c r="G129" s="149"/>
      <c r="H129" s="541" t="s">
        <v>4936</v>
      </c>
      <c r="I129" s="481" t="s">
        <v>4638</v>
      </c>
      <c r="J129" s="150" t="s">
        <v>4937</v>
      </c>
      <c r="K129" s="519" t="s">
        <v>4724</v>
      </c>
      <c r="L129" s="481" t="s">
        <v>4583</v>
      </c>
      <c r="M129" s="541" t="s">
        <v>4936</v>
      </c>
      <c r="N129" s="149"/>
      <c r="O129" s="2655" cm="1" t="n">
        <f t="array" ref="O129">INDEX('7층_부하량'!J3:J3000,MATCH(1,("7-DaHall 1-RPP-04"='7층_부하량'!A3:A3000)*(4='7층_부하량'!B3:B3000),0))</f>
        <v>4.394286885347024</v>
      </c>
      <c r="P129" s="149"/>
      <c r="Q129" s="149"/>
      <c r="R129" s="143" t="s">
        <v>4940</v>
      </c>
      <c r="S129" s="143" t="s">
        <v>4723</v>
      </c>
      <c r="T129" s="531" t="s">
        <v>4952</v>
      </c>
    </row>
    <row r="130" spans="1:20" ht="16.5" x14ac:dyDescent="0.15">
      <c r="A130" s="500" t="s">
        <v>4953</v>
      </c>
      <c r="B130" s="143" t="s">
        <v>4631</v>
      </c>
      <c r="C130" s="164" t="s">
        <v>4575</v>
      </c>
      <c r="D130" s="157"/>
      <c r="E130" s="157"/>
      <c r="F130" s="2656" cm="1" t="n">
        <f t="array" ref="F130">INDEX('7층_부하량'!K3:K3000,MATCH(1,("7-DaHall 1-RPP-04"='7층_부하량'!A3:A3000)*(5='7층_부하량'!B3:B3000),0))</f>
        <v>3.928157676721628</v>
      </c>
      <c r="G130" s="157"/>
      <c r="H130" s="541" t="s">
        <v>4936</v>
      </c>
      <c r="I130" s="481" t="s">
        <v>4641</v>
      </c>
      <c r="J130" s="150" t="s">
        <v>4937</v>
      </c>
      <c r="K130" s="527" t="s">
        <v>4937</v>
      </c>
      <c r="L130" s="493" t="s">
        <v>4588</v>
      </c>
      <c r="M130" s="545" t="s">
        <v>4936</v>
      </c>
      <c r="N130" s="157"/>
      <c r="O130" s="157"/>
      <c r="P130" s="2656" cm="1" t="n">
        <f t="array" ref="P130">INDEX('7층_부하량'!K3:K3000,MATCH(1,("7-DaHall 1-RPP-04"='7층_부하량'!A3:A3000)*(6='7층_부하량'!B3:B3000),0))</f>
        <v>1.3511910226834962</v>
      </c>
      <c r="Q130" s="157"/>
      <c r="R130" s="157" t="s">
        <v>4631</v>
      </c>
      <c r="S130" s="164" t="s">
        <v>4575</v>
      </c>
      <c r="T130" s="531" t="s">
        <v>4954</v>
      </c>
    </row>
    <row r="131" spans="1:20" ht="16.5" x14ac:dyDescent="0.15">
      <c r="A131" s="509" t="s">
        <v>4955</v>
      </c>
      <c r="B131" s="143" t="s">
        <v>4631</v>
      </c>
      <c r="C131" s="164" t="s">
        <v>4575</v>
      </c>
      <c r="D131" s="2656" cm="1" t="n">
        <f t="array" ref="D131">INDEX('7층_부하량'!I3:I3000,MATCH(1,("7-DaHall 1-RPP-04"='7층_부하량'!A3:A3000)*(7='7층_부하량'!B3:B3000),0))</f>
        <v>4.0821092948290545</v>
      </c>
      <c r="E131" s="157"/>
      <c r="F131" s="157"/>
      <c r="G131" s="157"/>
      <c r="H131" s="541" t="s">
        <v>4936</v>
      </c>
      <c r="I131" s="481" t="s">
        <v>4645</v>
      </c>
      <c r="J131" s="150" t="s">
        <v>4937</v>
      </c>
      <c r="K131" s="527" t="s">
        <v>4937</v>
      </c>
      <c r="L131" s="493" t="s">
        <v>4593</v>
      </c>
      <c r="M131" s="545" t="s">
        <v>4936</v>
      </c>
      <c r="N131" s="2656" cm="1" t="n">
        <f t="array" ref="N131">INDEX('7층_부하량'!I3:I3000,MATCH(1,("7-DaHall 1-RPP-04"='7층_부하량'!A3:A3000)*(8='7층_부하량'!B3:B3000),0))</f>
        <v>1.8589862345497523</v>
      </c>
      <c r="O131" s="157"/>
      <c r="P131" s="157"/>
      <c r="Q131" s="157"/>
      <c r="R131" s="157" t="s">
        <v>4631</v>
      </c>
      <c r="S131" s="164" t="s">
        <v>4575</v>
      </c>
      <c r="T131" s="531" t="s">
        <v>4956</v>
      </c>
    </row>
    <row r="132" spans="1:20" ht="17.25" thickBot="1" x14ac:dyDescent="0.2">
      <c r="A132" s="514" t="s">
        <v>4957</v>
      </c>
      <c r="B132" s="166" t="s">
        <v>4631</v>
      </c>
      <c r="C132" s="184" t="s">
        <v>4575</v>
      </c>
      <c r="D132" s="157"/>
      <c r="E132" s="2656" cm="1" t="n">
        <f t="array" ref="E132">INDEX('7층_부하량'!J3:J3000,MATCH(1,("7-DaHall 1-RPP-04"='7층_부하량'!A3:A3000)*(9='7층_부하량'!B3:B3000),0))</f>
        <v>1.710184587210173</v>
      </c>
      <c r="F132" s="157"/>
      <c r="G132" s="167"/>
      <c r="H132" s="543" t="s">
        <v>4936</v>
      </c>
      <c r="I132" s="485" t="s">
        <v>4648</v>
      </c>
      <c r="J132" s="289" t="s">
        <v>4937</v>
      </c>
      <c r="K132" s="526" t="s">
        <v>4937</v>
      </c>
      <c r="L132" s="493" t="s">
        <v>4596</v>
      </c>
      <c r="M132" s="546" t="s">
        <v>4936</v>
      </c>
      <c r="N132" s="157"/>
      <c r="O132" s="2656" cm="1" t="n">
        <f t="array" ref="O132">INDEX('7층_부하량'!J3:J3000,MATCH(1,("7-DaHall 1-RPP-04"='7층_부하량'!A3:A3000)*(10='7층_부하량'!B3:B3000),0))</f>
        <v>2.8469456107003355</v>
      </c>
      <c r="P132" s="157"/>
      <c r="Q132" s="167"/>
      <c r="R132" s="167" t="s">
        <v>4631</v>
      </c>
      <c r="S132" s="184" t="s">
        <v>4575</v>
      </c>
      <c r="T132" s="538" t="s">
        <v>4958</v>
      </c>
    </row>
    <row r="133" spans="1:20" ht="14.25" thickTop="1" x14ac:dyDescent="0.15">
      <c r="M133" s="504" t="s">
        <v>4713</v>
      </c>
      <c r="N133" s="128" t="n">
        <f>SUM(D128:D132,N128:N132)</f>
        <v>9.125043282968216</v>
      </c>
      <c r="O133" s="128" t="n">
        <f>SUM(E128:E132,O128:O132)</f>
        <v>12.514617305154978</v>
      </c>
      <c r="P133" s="128" t="n">
        <f>SUM(F128:F132,P128:P132)</f>
        <v>5.279348699405125</v>
      </c>
    </row>
    <row r="134" spans="1:20" ht="14.25" thickBot="1" x14ac:dyDescent="0.2"/>
    <row r="135" spans="1:20" ht="15" thickTop="1" thickBot="1" x14ac:dyDescent="0.2">
      <c r="A135" s="53" t="s">
        <v>7016</v>
      </c>
      <c r="D135" s="3660" t="s">
        <v>8984</v>
      </c>
      <c r="E135" s="3660"/>
      <c r="F135" s="3660"/>
      <c r="G135" s="3660"/>
      <c r="H135" s="495"/>
      <c r="I135" s="124"/>
      <c r="J135" s="3661" t="s">
        <v>4628</v>
      </c>
      <c r="K135" s="3662"/>
      <c r="L135" s="486"/>
      <c r="M135" s="495"/>
      <c r="N135" s="126"/>
      <c r="O135" s="126"/>
      <c r="P135" s="126"/>
      <c r="Q135" s="126"/>
      <c r="R135" s="126"/>
      <c r="S135" s="126"/>
    </row>
    <row r="136" spans="1:20" ht="15" thickTop="1" thickBot="1" x14ac:dyDescent="0.2">
      <c r="A136" s="496"/>
      <c r="B136" s="128"/>
      <c r="C136" s="128"/>
      <c r="D136" s="129"/>
      <c r="E136" s="130"/>
      <c r="F136" s="130"/>
      <c r="G136" s="130"/>
      <c r="H136" s="515"/>
      <c r="I136" s="131"/>
      <c r="J136" s="128"/>
      <c r="K136" s="516"/>
      <c r="L136" s="132"/>
      <c r="M136" s="1371" t="s">
        <v>4562</v>
      </c>
      <c r="N136" s="1368">
        <v>82.2</v>
      </c>
      <c r="O136" s="1369">
        <v>71.2</v>
      </c>
      <c r="P136" s="1370">
        <v>81.599999999999994</v>
      </c>
      <c r="Q136" s="508" t="s">
        <v>4563</v>
      </c>
      <c r="R136" s="133"/>
      <c r="S136" s="128"/>
      <c r="T136" s="528"/>
    </row>
    <row r="137" spans="1:20" ht="15" thickTop="1" thickBot="1" x14ac:dyDescent="0.2">
      <c r="A137" s="497" t="s">
        <v>4629</v>
      </c>
      <c r="B137" s="135" t="s">
        <v>4565</v>
      </c>
      <c r="C137" s="136" t="s">
        <v>4566</v>
      </c>
      <c r="D137" s="135" t="s">
        <v>4567</v>
      </c>
      <c r="E137" s="135" t="s">
        <v>4568</v>
      </c>
      <c r="F137" s="135" t="s">
        <v>4569</v>
      </c>
      <c r="G137" s="135" t="s">
        <v>4570</v>
      </c>
      <c r="H137" s="539" t="s">
        <v>4571</v>
      </c>
      <c r="I137" s="479"/>
      <c r="J137" s="138" t="s">
        <v>4572</v>
      </c>
      <c r="K137" s="517" t="s">
        <v>4572</v>
      </c>
      <c r="L137" s="479"/>
      <c r="M137" s="539" t="s">
        <v>4571</v>
      </c>
      <c r="N137" s="135" t="s">
        <v>4567</v>
      </c>
      <c r="O137" s="135" t="s">
        <v>4568</v>
      </c>
      <c r="P137" s="135" t="s">
        <v>4569</v>
      </c>
      <c r="Q137" s="135" t="s">
        <v>4570</v>
      </c>
      <c r="R137" s="135" t="s">
        <v>4565</v>
      </c>
      <c r="S137" s="136" t="s">
        <v>4566</v>
      </c>
      <c r="T137" s="529" t="s">
        <v>4629</v>
      </c>
    </row>
    <row r="138" spans="1:20" ht="17.25" thickTop="1" x14ac:dyDescent="0.15">
      <c r="A138" s="498" t="s">
        <v>7021</v>
      </c>
      <c r="B138" s="142" t="s">
        <v>4631</v>
      </c>
      <c r="C138" s="152" t="s">
        <v>4575</v>
      </c>
      <c r="D138" s="2662" cm="1" t="n">
        <f t="array" ref="D138">INDEX('7층_부하량'!I3:I3000,MATCH(1,("7-DaHall 1-PDU-03"='7층_부하량'!A3:A3000)*(1='7층_부하량'!B3:B3000),0))</f>
        <v>25.373480597749207</v>
      </c>
      <c r="E138" s="2662" cm="1" t="n">
        <f t="array" ref="E138">INDEX('7층_부하량'!J3:J3000,MATCH(1,("7-DaHall 1-PDU-03"='7층_부하량'!A3:A3000)*(1='7층_부하량'!B3:B3000),0))</f>
        <v>12.993558355869643</v>
      </c>
      <c r="F138" s="2662" cm="1" t="n">
        <f t="array" ref="F138">INDEX('7층_부하량'!K3:K3000,MATCH(1,("7-DaHall 1-PDU-03"='7층_부하량'!A3:A3000)*(1='7층_부하량'!B3:B3000),0))</f>
        <v>19.069896783968442</v>
      </c>
      <c r="G138" s="353"/>
      <c r="H138" s="540" t="s">
        <v>4960</v>
      </c>
      <c r="I138" s="480" t="s">
        <v>4633</v>
      </c>
      <c r="J138" s="145" t="s">
        <v>4961</v>
      </c>
      <c r="K138" s="518"/>
      <c r="L138" s="480" t="s">
        <v>4578</v>
      </c>
      <c r="M138" s="540" t="s">
        <v>4960</v>
      </c>
      <c r="N138" s="2662" cm="1" t="n">
        <f t="array" ref="N138">INDEX('7층_부하량'!I3:I3000,MATCH(1,("7-DaHall 1-PDU-03"='7층_부하량'!A3:A3000)*(2='7층_부하량'!B3:B3000),0))</f>
        <v>3.57305372916841</v>
      </c>
      <c r="O138" s="2662" cm="1" t="n">
        <f t="array" ref="O138">INDEX('7층_부하량'!J3:J3000,MATCH(1,("7-DaHall 1-PDU-03"='7층_부하량'!A3:A3000)*(2='7층_부하량'!B3:B3000),0))</f>
        <v>3.5363443426254184</v>
      </c>
      <c r="P138" s="2662" cm="1" t="n">
        <f t="array" ref="P138">INDEX('7층_부하량'!K3:K3000,MATCH(1,("7-DaHall 1-PDU-03"='7층_부하량'!A3:A3000)*(2='7층_부하량'!B3:B3000),0))</f>
        <v>7.697679495312405</v>
      </c>
      <c r="Q138" s="353"/>
      <c r="R138" s="142" t="s">
        <v>4579</v>
      </c>
      <c r="S138" s="152" t="s">
        <v>4575</v>
      </c>
      <c r="T138" s="530" t="s">
        <v>1199</v>
      </c>
    </row>
    <row r="139" spans="1:20" ht="16.5" x14ac:dyDescent="0.15">
      <c r="A139" s="499" t="s">
        <v>7017</v>
      </c>
      <c r="B139" s="143" t="s">
        <v>4631</v>
      </c>
      <c r="C139" s="164" t="s">
        <v>4575</v>
      </c>
      <c r="D139" s="2655" cm="1" t="n">
        <f t="array" ref="D139">INDEX('7층_부하량'!I3:I3000,MATCH(1,("7-DaHall 1-PDU-03"='7층_부하량'!A3:A3000)*(3='7층_부하량'!B3:B3000),0))</f>
        <v>6.437742996383868</v>
      </c>
      <c r="E139" s="2655" cm="1" t="n">
        <f t="array" ref="E139">INDEX('7층_부하량'!J3:J3000,MATCH(1,("7-DaHall 1-PDU-03"='7층_부하량'!A3:A3000)*(3='7층_부하량'!B3:B3000),0))</f>
        <v>7.811424053174664</v>
      </c>
      <c r="F139" s="2655" cm="1" t="n">
        <f t="array" ref="F139">INDEX('7층_부하량'!K3:K3000,MATCH(1,("7-DaHall 1-PDU-03"='7층_부하량'!A3:A3000)*(3='7층_부하량'!B3:B3000),0))</f>
        <v>4.8931603476522145</v>
      </c>
      <c r="G139" s="344"/>
      <c r="H139" s="541" t="s">
        <v>4960</v>
      </c>
      <c r="I139" s="481" t="s">
        <v>4638</v>
      </c>
      <c r="J139" s="150" t="s">
        <v>4961</v>
      </c>
      <c r="K139" s="519"/>
      <c r="L139" s="481" t="s">
        <v>4583</v>
      </c>
      <c r="M139" s="541" t="s">
        <v>4960</v>
      </c>
      <c r="N139" s="2655" cm="1">
        <f t="array" ref="N139">INDEX('7층_부하량'!I3:I3000,MATCH(1,("7-DaHall 1-PDU-03"='7층_부하량'!A3:A3000)*(4='7층_부하량'!B3:B3000),0))</f>
        <v>0</v>
      </c>
      <c r="O139" s="2663" cm="1">
        <f t="array" ref="O139">INDEX('7층_부하량'!J3:J3000,MATCH(1,("7-DaHall 1-PDU-03"='7층_부하량'!A3:A3000)*(4='7층_부하량'!B3:B3000),0))</f>
        <v>0</v>
      </c>
      <c r="P139" s="2663" cm="1">
        <f t="array" ref="P139">INDEX('7층_부하량'!K3:K3000,MATCH(1,("7-DaHall 1-PDU-03"='7층_부하량'!A3:A3000)*(4='7층_부하량'!B3:B3000),0))</f>
        <v>0</v>
      </c>
      <c r="Q139" s="149"/>
      <c r="R139" s="143" t="s">
        <v>4590</v>
      </c>
      <c r="S139" s="143" t="s">
        <v>4723</v>
      </c>
      <c r="T139" s="531"/>
    </row>
    <row r="140" spans="1:20" ht="16.5" x14ac:dyDescent="0.15">
      <c r="A140" s="500"/>
      <c r="B140" s="143" t="s">
        <v>4590</v>
      </c>
      <c r="C140" s="143" t="s">
        <v>4723</v>
      </c>
      <c r="D140" s="2656" cm="1">
        <f t="array" ref="D140">INDEX('7층_부하량'!I3:I3000,MATCH(1,("7-DaHall 1-PDU-03"='7층_부하량'!A3:A3000)*(5='7층_부하량'!B3:B3000),0))</f>
        <v>0</v>
      </c>
      <c r="E140" s="2656" cm="1">
        <f t="array" ref="E140">INDEX('7층_부하량'!J3:J3000,MATCH(1,("7-DaHall 1-PDU-03"='7층_부하량'!A3:A3000)*(5='7층_부하량'!B3:B3000),0))</f>
        <v>0</v>
      </c>
      <c r="F140" s="2656" cm="1">
        <f t="array" ref="F140">INDEX('7층_부하량'!K3:K3000,MATCH(1,("7-DaHall 1-PDU-03"='7층_부하량'!A3:A3000)*(5='7층_부하량'!B3:B3000),0))</f>
        <v>0</v>
      </c>
      <c r="G140" s="157"/>
      <c r="H140" s="541" t="s">
        <v>4960</v>
      </c>
      <c r="I140" s="481" t="s">
        <v>4641</v>
      </c>
      <c r="J140" s="154"/>
      <c r="K140" s="523"/>
      <c r="L140" s="488" t="s">
        <v>4588</v>
      </c>
      <c r="M140" s="541" t="s">
        <v>4960</v>
      </c>
      <c r="N140" s="2664" cm="1" t="n">
        <f t="array" ref="N140">INDEX('7층_부하량'!I3:I3000,MATCH(1,("7-DaHall 1-PDU-03"='7층_부하량'!A3:A3000)*(6='7층_부하량'!B3:B3000),0))</f>
        <v>42.41256753451686</v>
      </c>
      <c r="O140" s="2664" cm="1" t="n">
        <f t="array" ref="O140">INDEX('7층_부하량'!J3:J3000,MATCH(1,("7-DaHall 1-PDU-03"='7층_부하량'!A3:A3000)*(6='7층_부하량'!B3:B3000),0))</f>
        <v>42.80759371692138</v>
      </c>
      <c r="P140" s="2664" cm="1" t="n">
        <f t="array" ref="P140">INDEX('7층_부하량'!K3:K3000,MATCH(1,("7-DaHall 1-PDU-03"='7층_부하량'!A3:A3000)*(6='7층_부하량'!B3:B3000),0))</f>
        <v>45.910486656280824</v>
      </c>
      <c r="Q140" s="1012"/>
      <c r="R140" s="143" t="s">
        <v>4631</v>
      </c>
      <c r="S140" s="164" t="s">
        <v>4575</v>
      </c>
      <c r="T140" s="531" t="s">
        <v>4962</v>
      </c>
    </row>
    <row r="141" spans="1:20" x14ac:dyDescent="0.15">
      <c r="A141" s="509"/>
      <c r="B141" s="143" t="s">
        <v>4590</v>
      </c>
      <c r="C141" s="143" t="s">
        <v>4723</v>
      </c>
      <c r="D141" s="2656" cm="1">
        <f t="array" ref="D141">INDEX('7층_부하량'!I3:I3000,MATCH(1,("7-DaHall 1-PDU-03"='7층_부하량'!A3:A3000)*(7='7층_부하량'!B3:B3000),0))</f>
        <v>0</v>
      </c>
      <c r="E141" s="2656" cm="1">
        <f t="array" ref="E141">INDEX('7층_부하량'!J3:J3000,MATCH(1,("7-DaHall 1-PDU-03"='7층_부하량'!A3:A3000)*(7='7층_부하량'!B3:B3000),0))</f>
        <v>0</v>
      </c>
      <c r="F141" s="2656" cm="1">
        <f t="array" ref="F141">INDEX('7층_부하량'!K3:K3000,MATCH(1,("7-DaHall 1-PDU-03"='7층_부하량'!A3:A3000)*(7='7층_부하량'!B3:B3000),0))</f>
        <v>0</v>
      </c>
      <c r="G141" s="157"/>
      <c r="H141" s="541" t="s">
        <v>4960</v>
      </c>
      <c r="I141" s="481" t="s">
        <v>4645</v>
      </c>
      <c r="J141" s="154"/>
      <c r="K141" s="523"/>
      <c r="L141" s="488" t="s">
        <v>4593</v>
      </c>
      <c r="M141" s="541" t="s">
        <v>4960</v>
      </c>
      <c r="N141" s="2656" cm="1" t="n">
        <f t="array" ref="N141">INDEX('7층_부하량'!I3:I3000,MATCH(1,("7-DaHall 1-PDU-03"='7층_부하량'!A3:A3000)*(8='7층_부하량'!B3:B3000),0))</f>
        <v>48.18977131026899</v>
      </c>
      <c r="O141" s="2656" cm="1" t="n">
        <f t="array" ref="O141">INDEX('7층_부하량'!J3:J3000,MATCH(1,("7-DaHall 1-PDU-03"='7층_부하량'!A3:A3000)*(8='7층_부하량'!B3:B3000),0))</f>
        <v>48.75653159295416</v>
      </c>
      <c r="P141" s="2656" cm="1" t="n">
        <f t="array" ref="P141">INDEX('7층_부하량'!K3:K3000,MATCH(1,("7-DaHall 1-PDU-03"='7층_부하량'!A3:A3000)*(8='7층_부하량'!B3:B3000),0))</f>
        <v>50.92724030831345</v>
      </c>
      <c r="Q141" s="157"/>
      <c r="R141" s="157" t="s">
        <v>4590</v>
      </c>
      <c r="S141" s="143" t="s">
        <v>4723</v>
      </c>
      <c r="T141" s="531"/>
    </row>
    <row r="142" spans="1:20" ht="14.25" thickBot="1" x14ac:dyDescent="0.2">
      <c r="A142" s="502"/>
      <c r="B142" s="143" t="s">
        <v>4590</v>
      </c>
      <c r="C142" s="143" t="s">
        <v>4723</v>
      </c>
      <c r="D142" s="2656" cm="1">
        <f t="array" ref="D142">INDEX('7층_부하량'!I3:I3000,MATCH(1,("7-DaHall 1-PDU-03"='7층_부하량'!A3:A3000)*(9='7층_부하량'!B3:B3000),0))</f>
        <v>0</v>
      </c>
      <c r="E142" s="2656" cm="1">
        <f t="array" ref="E142">INDEX('7층_부하량'!J3:J3000,MATCH(1,("7-DaHall 1-PDU-03"='7층_부하량'!A3:A3000)*(9='7층_부하량'!B3:B3000),0))</f>
        <v>0</v>
      </c>
      <c r="F142" s="2656" cm="1">
        <f t="array" ref="F142">INDEX('7층_부하량'!K3:K3000,MATCH(1,("7-DaHall 1-PDU-03"='7층_부하량'!A3:A3000)*(9='7층_부하량'!B3:B3000),0))</f>
        <v>0</v>
      </c>
      <c r="G142" s="157"/>
      <c r="H142" s="541" t="s">
        <v>4960</v>
      </c>
      <c r="I142" s="481" t="s">
        <v>4648</v>
      </c>
      <c r="J142" s="154"/>
      <c r="K142" s="523"/>
      <c r="L142" s="488" t="s">
        <v>4596</v>
      </c>
      <c r="M142" s="541" t="s">
        <v>4960</v>
      </c>
      <c r="N142" s="2656" cm="1">
        <f t="array" ref="N142">INDEX('7층_부하량'!I3:I3000,MATCH(1,("7-DaHall 1-PDU-03"='7층_부하량'!A3:A3000)*(10='7층_부하량'!B3:B3000),0))</f>
        <v>0</v>
      </c>
      <c r="O142" s="2656" cm="1">
        <f t="array" ref="O142">INDEX('7층_부하량'!J3:J3000,MATCH(1,("7-DaHall 1-PDU-03"='7층_부하량'!A3:A3000)*(10='7층_부하량'!B3:B3000),0))</f>
        <v>0</v>
      </c>
      <c r="P142" s="2656" cm="1">
        <f t="array" ref="P142">INDEX('7층_부하량'!K3:K3000,MATCH(1,("7-DaHall 1-PDU-03"='7층_부하량'!A3:A3000)*(10='7층_부하량'!B3:B3000),0))</f>
        <v>0</v>
      </c>
      <c r="Q142" s="157"/>
      <c r="R142" s="157" t="s">
        <v>4590</v>
      </c>
      <c r="S142" s="143" t="s">
        <v>4723</v>
      </c>
      <c r="T142" s="535"/>
    </row>
    <row r="143" spans="1:20" ht="14.25" thickTop="1" x14ac:dyDescent="0.15">
      <c r="A143" s="498"/>
      <c r="B143" s="142" t="s">
        <v>4590</v>
      </c>
      <c r="C143" s="142" t="s">
        <v>4723</v>
      </c>
      <c r="D143" s="144"/>
      <c r="E143" s="144"/>
      <c r="F143" s="144"/>
      <c r="G143" s="144"/>
      <c r="H143" s="540" t="s">
        <v>4963</v>
      </c>
      <c r="I143" s="480" t="s">
        <v>4653</v>
      </c>
      <c r="J143" s="145"/>
      <c r="K143" s="518"/>
      <c r="L143" s="480" t="s">
        <v>4599</v>
      </c>
      <c r="M143" s="540" t="s">
        <v>4963</v>
      </c>
      <c r="N143" s="144"/>
      <c r="O143" s="144"/>
      <c r="P143" s="144"/>
      <c r="Q143" s="144"/>
      <c r="R143" s="144" t="s">
        <v>4590</v>
      </c>
      <c r="S143" s="142" t="s">
        <v>4723</v>
      </c>
      <c r="T143" s="530"/>
    </row>
    <row r="144" spans="1:20" x14ac:dyDescent="0.15">
      <c r="A144" s="499"/>
      <c r="B144" s="143" t="s">
        <v>4590</v>
      </c>
      <c r="C144" s="143" t="s">
        <v>4723</v>
      </c>
      <c r="D144" s="149"/>
      <c r="E144" s="149"/>
      <c r="F144" s="149"/>
      <c r="G144" s="149"/>
      <c r="H144" s="541" t="s">
        <v>4963</v>
      </c>
      <c r="I144" s="481" t="s">
        <v>4657</v>
      </c>
      <c r="J144" s="150"/>
      <c r="K144" s="519"/>
      <c r="L144" s="481" t="s">
        <v>4601</v>
      </c>
      <c r="M144" s="541" t="s">
        <v>4963</v>
      </c>
      <c r="N144" s="149"/>
      <c r="O144" s="149"/>
      <c r="P144" s="149"/>
      <c r="Q144" s="149"/>
      <c r="R144" s="149" t="s">
        <v>4590</v>
      </c>
      <c r="S144" s="143" t="s">
        <v>4723</v>
      </c>
      <c r="T144" s="531"/>
    </row>
    <row r="145" spans="1:20" x14ac:dyDescent="0.15">
      <c r="A145" s="500"/>
      <c r="B145" s="143" t="s">
        <v>4590</v>
      </c>
      <c r="C145" s="143" t="s">
        <v>4723</v>
      </c>
      <c r="D145" s="157"/>
      <c r="E145" s="157"/>
      <c r="F145" s="157"/>
      <c r="G145" s="157"/>
      <c r="H145" s="541" t="s">
        <v>4963</v>
      </c>
      <c r="I145" s="481" t="s">
        <v>4661</v>
      </c>
      <c r="J145" s="154"/>
      <c r="K145" s="523"/>
      <c r="L145" s="488" t="s">
        <v>4603</v>
      </c>
      <c r="M145" s="541" t="s">
        <v>4963</v>
      </c>
      <c r="N145" s="157"/>
      <c r="O145" s="157"/>
      <c r="P145" s="157"/>
      <c r="Q145" s="157"/>
      <c r="R145" s="157" t="s">
        <v>4590</v>
      </c>
      <c r="S145" s="143" t="s">
        <v>4723</v>
      </c>
      <c r="T145" s="531"/>
    </row>
    <row r="146" spans="1:20" x14ac:dyDescent="0.15">
      <c r="A146" s="509"/>
      <c r="B146" s="143" t="s">
        <v>4590</v>
      </c>
      <c r="C146" s="143" t="s">
        <v>4723</v>
      </c>
      <c r="D146" s="157"/>
      <c r="E146" s="157"/>
      <c r="F146" s="157"/>
      <c r="G146" s="157"/>
      <c r="H146" s="541" t="s">
        <v>4963</v>
      </c>
      <c r="I146" s="481" t="s">
        <v>4665</v>
      </c>
      <c r="J146" s="154"/>
      <c r="K146" s="523"/>
      <c r="L146" s="488" t="s">
        <v>4605</v>
      </c>
      <c r="M146" s="541" t="s">
        <v>4963</v>
      </c>
      <c r="N146" s="157"/>
      <c r="O146" s="157"/>
      <c r="P146" s="157"/>
      <c r="Q146" s="157"/>
      <c r="R146" s="157" t="s">
        <v>4590</v>
      </c>
      <c r="S146" s="143" t="s">
        <v>4723</v>
      </c>
      <c r="T146" s="531"/>
    </row>
    <row r="147" spans="1:20" ht="14.25" thickBot="1" x14ac:dyDescent="0.2">
      <c r="A147" s="514"/>
      <c r="B147" s="166" t="s">
        <v>4590</v>
      </c>
      <c r="C147" s="166" t="s">
        <v>4723</v>
      </c>
      <c r="D147" s="167"/>
      <c r="E147" s="167"/>
      <c r="F147" s="167"/>
      <c r="G147" s="167"/>
      <c r="H147" s="1181" t="s">
        <v>4964</v>
      </c>
      <c r="I147" s="483" t="s">
        <v>4670</v>
      </c>
      <c r="J147" s="168"/>
      <c r="K147" s="525"/>
      <c r="L147" s="491" t="s">
        <v>4609</v>
      </c>
      <c r="M147" s="1181" t="s">
        <v>4964</v>
      </c>
      <c r="N147" s="167"/>
      <c r="O147" s="167"/>
      <c r="P147" s="167"/>
      <c r="Q147" s="167"/>
      <c r="R147" s="167" t="s">
        <v>4590</v>
      </c>
      <c r="S147" s="166" t="s">
        <v>4723</v>
      </c>
      <c r="T147" s="538"/>
    </row>
    <row r="148" spans="1:20" ht="14.25" thickTop="1" x14ac:dyDescent="0.15">
      <c r="M148" s="504" t="s">
        <v>4713</v>
      </c>
      <c r="N148" s="128" t="n">
        <f>SUM(D138:D147,N138:N147)</f>
        <v>125.98661616808732</v>
      </c>
      <c r="O148" s="128" t="n">
        <f>SUM(E138:E147,O138:O147)</f>
        <v>115.90545206154528</v>
      </c>
      <c r="P148" s="128" t="n">
        <f>SUM(F138:F147,P138:P147)</f>
        <v>128.49846359152735</v>
      </c>
    </row>
    <row r="149" spans="1:20" ht="14.25" thickBot="1" x14ac:dyDescent="0.2"/>
    <row r="150" spans="1:20" ht="15" thickTop="1" thickBot="1" x14ac:dyDescent="0.2">
      <c r="A150" s="53" t="s">
        <v>7013</v>
      </c>
      <c r="D150" s="3660" t="s">
        <v>8985</v>
      </c>
      <c r="E150" s="3660"/>
      <c r="F150" s="3660"/>
      <c r="G150" s="3660"/>
      <c r="H150" s="495"/>
      <c r="I150" s="124"/>
      <c r="J150" s="3661" t="s">
        <v>4628</v>
      </c>
      <c r="K150" s="3662"/>
      <c r="L150" s="486"/>
      <c r="M150" s="495"/>
      <c r="N150" s="126"/>
      <c r="O150" s="126"/>
      <c r="P150" s="126"/>
      <c r="Q150" s="126"/>
      <c r="R150" s="126"/>
      <c r="S150" s="126"/>
    </row>
    <row r="151" spans="1:20" ht="15" thickTop="1" thickBot="1" x14ac:dyDescent="0.2">
      <c r="A151" s="496"/>
      <c r="B151" s="128"/>
      <c r="C151" s="128"/>
      <c r="D151" s="129"/>
      <c r="E151" s="130"/>
      <c r="F151" s="130"/>
      <c r="G151" s="130"/>
      <c r="H151" s="515"/>
      <c r="I151" s="131"/>
      <c r="J151" s="128"/>
      <c r="K151" s="516"/>
      <c r="L151" s="132"/>
      <c r="M151" s="1371" t="s">
        <v>4562</v>
      </c>
      <c r="N151" s="1368">
        <v>88.3</v>
      </c>
      <c r="O151" s="1369">
        <v>66</v>
      </c>
      <c r="P151" s="1370">
        <v>69.5</v>
      </c>
      <c r="Q151" s="508" t="s">
        <v>4563</v>
      </c>
      <c r="R151" s="133"/>
      <c r="S151" s="128"/>
      <c r="T151" s="528"/>
    </row>
    <row r="152" spans="1:20" ht="15" thickTop="1" thickBot="1" x14ac:dyDescent="0.2">
      <c r="A152" s="497" t="s">
        <v>4629</v>
      </c>
      <c r="B152" s="135" t="s">
        <v>4565</v>
      </c>
      <c r="C152" s="136" t="s">
        <v>4566</v>
      </c>
      <c r="D152" s="135" t="s">
        <v>4567</v>
      </c>
      <c r="E152" s="135" t="s">
        <v>4568</v>
      </c>
      <c r="F152" s="135" t="s">
        <v>4569</v>
      </c>
      <c r="G152" s="135" t="s">
        <v>4570</v>
      </c>
      <c r="H152" s="539" t="s">
        <v>4571</v>
      </c>
      <c r="I152" s="479"/>
      <c r="J152" s="138" t="s">
        <v>4572</v>
      </c>
      <c r="K152" s="517" t="s">
        <v>4572</v>
      </c>
      <c r="L152" s="479"/>
      <c r="M152" s="539" t="s">
        <v>4571</v>
      </c>
      <c r="N152" s="135" t="s">
        <v>4567</v>
      </c>
      <c r="O152" s="135" t="s">
        <v>4568</v>
      </c>
      <c r="P152" s="135" t="s">
        <v>4569</v>
      </c>
      <c r="Q152" s="135" t="s">
        <v>4570</v>
      </c>
      <c r="R152" s="135" t="s">
        <v>4565</v>
      </c>
      <c r="S152" s="136" t="s">
        <v>4566</v>
      </c>
      <c r="T152" s="529" t="s">
        <v>4629</v>
      </c>
    </row>
    <row r="153" spans="1:20" ht="17.25" thickTop="1" x14ac:dyDescent="0.15">
      <c r="A153" s="498" t="s">
        <v>4966</v>
      </c>
      <c r="B153" s="142" t="s">
        <v>4631</v>
      </c>
      <c r="C153" s="152" t="s">
        <v>4575</v>
      </c>
      <c r="D153" s="2654" cm="1" t="n">
        <f t="array" ref="D153">INDEX('7층_부하량'!I3:I3000,MATCH(1,("7-DaHall 1-PDU-04"='7층_부하량'!A3:A3000)*(1='7층_부하량'!B3:B3000),0))</f>
        <v>45.97113878856954</v>
      </c>
      <c r="E153" s="2654" cm="1" t="n">
        <f t="array" ref="E153">INDEX('7층_부하량'!J3:J3000,MATCH(1,("7-DaHall 1-PDU-04"='7층_부하량'!A3:A3000)*(1='7층_부하량'!B3:B3000),0))</f>
        <v>46.848268053911646</v>
      </c>
      <c r="F153" s="2654" cm="1" t="n">
        <f t="array" ref="F153">INDEX('7층_부하량'!K3:K3000,MATCH(1,("7-DaHall 1-PDU-04"='7층_부하량'!A3:A3000)*(1='7층_부하량'!B3:B3000),0))</f>
        <v>49.389854961936415</v>
      </c>
      <c r="G153" s="144"/>
      <c r="H153" s="540" t="s">
        <v>4967</v>
      </c>
      <c r="I153" s="480" t="s">
        <v>4633</v>
      </c>
      <c r="J153" s="145"/>
      <c r="K153" s="518" t="s">
        <v>4961</v>
      </c>
      <c r="L153" s="480" t="s">
        <v>4578</v>
      </c>
      <c r="M153" s="540" t="s">
        <v>4967</v>
      </c>
      <c r="N153" s="2662" cm="1" t="n">
        <f t="array" ref="N153">INDEX('7층_부하량'!I3:I3000,MATCH(1,("7-DaHall 1-PDU-04"='7층_부하량'!A3:A3000)*(2='7층_부하량'!B3:B3000),0))</f>
        <v>39.36550065745911</v>
      </c>
      <c r="O153" s="2662" cm="1" t="n">
        <f t="array" ref="O153">INDEX('7층_부하량'!J3:J3000,MATCH(1,("7-DaHall 1-PDU-04"='7층_부하량'!A3:A3000)*(2='7층_부하량'!B3:B3000),0))</f>
        <v>11.436265099543746</v>
      </c>
      <c r="P153" s="2662" cm="1" t="n">
        <f t="array" ref="P153">INDEX('7층_부하량'!K3:K3000,MATCH(1,("7-DaHall 1-PDU-04"='7층_부하량'!A3:A3000)*(2='7층_부하량'!B3:B3000),0))</f>
        <v>20.38176617904148</v>
      </c>
      <c r="Q153" s="352"/>
      <c r="R153" s="144" t="s">
        <v>4631</v>
      </c>
      <c r="S153" s="152" t="s">
        <v>4575</v>
      </c>
      <c r="T153" s="530" t="s">
        <v>7014</v>
      </c>
    </row>
    <row r="154" spans="1:20" ht="16.5" x14ac:dyDescent="0.15">
      <c r="A154" s="499"/>
      <c r="B154" s="143" t="s">
        <v>4590</v>
      </c>
      <c r="C154" s="143" t="s">
        <v>4723</v>
      </c>
      <c r="D154" s="2663" cm="1">
        <f t="array" ref="D154">INDEX('7층_부하량'!I3:I3000,MATCH(1,("7-DaHall 1-PDU-04"='7층_부하량'!A3:A3000)*(3='7층_부하량'!B3:B3000),0))</f>
        <v>0</v>
      </c>
      <c r="E154" s="2663" cm="1">
        <f t="array" ref="E154">INDEX('7층_부하량'!J3:J3000,MATCH(1,("7-DaHall 1-PDU-04"='7층_부하량'!A3:A3000)*(3='7층_부하량'!B3:B3000),0))</f>
        <v>0</v>
      </c>
      <c r="F154" s="2663" cm="1">
        <f t="array" ref="F154">INDEX('7층_부하량'!K3:K3000,MATCH(1,("7-DaHall 1-PDU-04"='7층_부하량'!A3:A3000)*(3='7층_부하량'!B3:B3000),0))</f>
        <v>0</v>
      </c>
      <c r="G154" s="149"/>
      <c r="H154" s="541" t="s">
        <v>4967</v>
      </c>
      <c r="I154" s="481" t="s">
        <v>4638</v>
      </c>
      <c r="J154" s="150" t="s">
        <v>4961</v>
      </c>
      <c r="K154" s="519" t="s">
        <v>4961</v>
      </c>
      <c r="L154" s="481" t="s">
        <v>4583</v>
      </c>
      <c r="M154" s="541" t="s">
        <v>4967</v>
      </c>
      <c r="N154" s="2663" cm="1" t="n">
        <f t="array" ref="N154">INDEX('7층_부하량'!I3:I3000,MATCH(1,("7-DaHall 1-PDU-04"='7층_부하량'!A3:A3000)*(4='7층_부하량'!B3:B3000),0))</f>
        <v>8.753887679823467</v>
      </c>
      <c r="O154" s="2663" cm="1" t="n">
        <f t="array" ref="O154">INDEX('7층_부하량'!J3:J3000,MATCH(1,("7-DaHall 1-PDU-04"='7층_부하량'!A3:A3000)*(4='7층_부하량'!B3:B3000),0))</f>
        <v>7.458921598665397</v>
      </c>
      <c r="P154" s="2655" cm="1" t="n">
        <f t="array" ref="P154">INDEX('7층_부하량'!K3:K3000,MATCH(1,("7-DaHall 1-PDU-04"='7층_부하량'!A3:A3000)*(4='7층_부하량'!B3:B3000),0))</f>
        <v>5.527630102258118</v>
      </c>
      <c r="Q154" s="344"/>
      <c r="R154" s="149" t="s">
        <v>4631</v>
      </c>
      <c r="S154" s="164" t="s">
        <v>4575</v>
      </c>
      <c r="T154" s="531" t="s">
        <v>7015</v>
      </c>
    </row>
    <row r="155" spans="1:20" x14ac:dyDescent="0.15">
      <c r="A155" s="500"/>
      <c r="B155" s="143" t="s">
        <v>4590</v>
      </c>
      <c r="C155" s="143" t="s">
        <v>4723</v>
      </c>
      <c r="D155" s="2663" cm="1">
        <f t="array" ref="D155">INDEX('7층_부하량'!I3:I3000,MATCH(1,("7-DaHall 1-PDU-04"='7층_부하량'!A3:A3000)*(5='7층_부하량'!B3:B3000),0))</f>
        <v>0</v>
      </c>
      <c r="E155" s="2663" cm="1">
        <f t="array" ref="E155">INDEX('7층_부하량'!J3:J3000,MATCH(1,("7-DaHall 1-PDU-04"='7층_부하량'!A3:A3000)*(5='7층_부하량'!B3:B3000),0))</f>
        <v>0</v>
      </c>
      <c r="F155" s="2663" cm="1">
        <f t="array" ref="F155">INDEX('7층_부하량'!K3:K3000,MATCH(1,("7-DaHall 1-PDU-04"='7층_부하량'!A3:A3000)*(5='7층_부하량'!B3:B3000),0))</f>
        <v>0</v>
      </c>
      <c r="G155" s="157"/>
      <c r="H155" s="541" t="s">
        <v>4967</v>
      </c>
      <c r="I155" s="481" t="s">
        <v>4641</v>
      </c>
      <c r="J155" s="150" t="s">
        <v>4961</v>
      </c>
      <c r="K155" s="523"/>
      <c r="L155" s="488" t="s">
        <v>4588</v>
      </c>
      <c r="M155" s="541" t="s">
        <v>4967</v>
      </c>
      <c r="N155" s="2656" cm="1" t="n">
        <f t="array" ref="N155">INDEX('7층_부하량'!I3:I3000,MATCH(1,("7-DaHall 1-PDU-04"='7층_부하량'!A3:A3000)*(6='7층_부하량'!B3:B3000),0))</f>
        <v>34.84276137026436</v>
      </c>
      <c r="O155" s="2656" cm="1" t="n">
        <f t="array" ref="O155">INDEX('7층_부하량'!J3:J3000,MATCH(1,("7-DaHall 1-PDU-04"='7층_부하량'!A3:A3000)*(6='7층_부하량'!B3:B3000),0))</f>
        <v>11.181670472151277</v>
      </c>
      <c r="P155" s="2656" cm="1" t="n">
        <f t="array" ref="P155">INDEX('7층_부하량'!K3:K3000,MATCH(1,("7-DaHall 1-PDU-04"='7층_부하량'!A3:A3000)*(6='7층_부하량'!B3:B3000),0))</f>
        <v>19.518178118344114</v>
      </c>
      <c r="Q155" s="157"/>
      <c r="R155" s="157" t="s">
        <v>4590</v>
      </c>
      <c r="S155" s="143" t="s">
        <v>4723</v>
      </c>
      <c r="T155" s="531"/>
    </row>
    <row r="156" spans="1:20" x14ac:dyDescent="0.15">
      <c r="A156" s="509"/>
      <c r="B156" s="143" t="s">
        <v>4590</v>
      </c>
      <c r="C156" s="143" t="s">
        <v>4723</v>
      </c>
      <c r="D156" s="2656" cm="1" t="n">
        <f t="array" ref="D156">INDEX('7층_부하량'!I3:I3000,MATCH(1,("7-DaHall 1-PDU-04"='7층_부하량'!A3:A3000)*(7='7층_부하량'!B3:B3000),0))</f>
        <v>8.9521153863126</v>
      </c>
      <c r="E156" s="2656" cm="1" t="n">
        <f t="array" ref="E156">INDEX('7층_부하량'!J3:J3000,MATCH(1,("7-DaHall 1-PDU-04"='7층_부하량'!A3:A3000)*(7='7층_부하량'!B3:B3000),0))</f>
        <v>7.163642104996708</v>
      </c>
      <c r="F156" s="2656" cm="1" t="n">
        <f t="array" ref="F156">INDEX('7층_부하량'!K3:K3000,MATCH(1,("7-DaHall 1-PDU-04"='7층_부하량'!A3:A3000)*(7='7층_부하량'!B3:B3000),0))</f>
        <v>5.409077442539615</v>
      </c>
      <c r="G156" s="157"/>
      <c r="H156" s="541" t="s">
        <v>4967</v>
      </c>
      <c r="I156" s="481" t="s">
        <v>4645</v>
      </c>
      <c r="J156" s="154"/>
      <c r="K156" s="523"/>
      <c r="L156" s="488" t="s">
        <v>4593</v>
      </c>
      <c r="M156" s="541" t="s">
        <v>4967</v>
      </c>
      <c r="N156" s="2656" cm="1">
        <f t="array" ref="N156">INDEX('7층_부하량'!I3:I3000,MATCH(1,("7-DaHall 1-PDU-04"='7층_부하량'!A3:A3000)*(8='7층_부하량'!B3:B3000),0))</f>
        <v>0</v>
      </c>
      <c r="O156" s="2656" cm="1">
        <f t="array" ref="O156">INDEX('7층_부하량'!J3:J3000,MATCH(1,("7-DaHall 1-PDU-04"='7층_부하량'!A3:A3000)*(8='7층_부하량'!B3:B3000),0))</f>
        <v>0</v>
      </c>
      <c r="P156" s="2656" cm="1">
        <f t="array" ref="P156">INDEX('7층_부하량'!K3:K3000,MATCH(1,("7-DaHall 1-PDU-04"='7층_부하량'!A3:A3000)*(8='7층_부하량'!B3:B3000),0))</f>
        <v>0</v>
      </c>
      <c r="Q156" s="157"/>
      <c r="R156" s="157" t="s">
        <v>4590</v>
      </c>
      <c r="S156" s="143" t="s">
        <v>4723</v>
      </c>
      <c r="T156" s="531"/>
    </row>
    <row r="157" spans="1:20" ht="14.25" thickBot="1" x14ac:dyDescent="0.2">
      <c r="A157" s="502"/>
      <c r="B157" s="143" t="s">
        <v>4590</v>
      </c>
      <c r="C157" s="143" t="s">
        <v>4723</v>
      </c>
      <c r="D157" s="2656" cm="1">
        <f t="array" ref="D157">INDEX('7층_부하량'!I3:I3000,MATCH(1,("7-DaHall 1-PDU-04"='7층_부하량'!A3:A3000)*(9='7층_부하량'!B3:B3000),0))</f>
        <v>0</v>
      </c>
      <c r="E157" s="2656" cm="1">
        <f t="array" ref="E157">INDEX('7층_부하량'!J3:J3000,MATCH(1,("7-DaHall 1-PDU-04"='7층_부하량'!A3:A3000)*(9='7층_부하량'!B3:B3000),0))</f>
        <v>0</v>
      </c>
      <c r="F157" s="2656" cm="1">
        <f t="array" ref="F157">INDEX('7층_부하량'!K3:K3000,MATCH(1,("7-DaHall 1-PDU-04"='7층_부하량'!A3:A3000)*(9='7층_부하량'!B3:B3000),0))</f>
        <v>0</v>
      </c>
      <c r="G157" s="157"/>
      <c r="H157" s="541" t="s">
        <v>4967</v>
      </c>
      <c r="I157" s="481" t="s">
        <v>4648</v>
      </c>
      <c r="J157" s="154"/>
      <c r="K157" s="523"/>
      <c r="L157" s="488" t="s">
        <v>4596</v>
      </c>
      <c r="M157" s="541" t="s">
        <v>4967</v>
      </c>
      <c r="N157" s="2656" cm="1">
        <f t="array" ref="N157">INDEX('7층_부하량'!I3:I3000,MATCH(1,("7-DaHall 1-PDU-04"='7층_부하량'!A3:A3000)*(10='7층_부하량'!B3:B3000),0))</f>
        <v>0</v>
      </c>
      <c r="O157" s="2656" cm="1">
        <f t="array" ref="O157">INDEX('7층_부하량'!J3:J3000,MATCH(1,("7-DaHall 1-PDU-04"='7층_부하량'!A3:A3000)*(10='7층_부하량'!B3:B3000),0))</f>
        <v>0</v>
      </c>
      <c r="P157" s="2656" cm="1">
        <f t="array" ref="P157">INDEX('7층_부하량'!K3:K3000,MATCH(1,("7-DaHall 1-PDU-04"='7층_부하량'!A3:A3000)*(10='7층_부하량'!B3:B3000),0))</f>
        <v>0</v>
      </c>
      <c r="Q157" s="157"/>
      <c r="R157" s="157" t="s">
        <v>4590</v>
      </c>
      <c r="S157" s="143" t="s">
        <v>4723</v>
      </c>
      <c r="T157" s="535"/>
    </row>
    <row r="158" spans="1:20" ht="14.25" thickTop="1" x14ac:dyDescent="0.15">
      <c r="A158" s="498"/>
      <c r="B158" s="142" t="s">
        <v>4590</v>
      </c>
      <c r="C158" s="142" t="s">
        <v>4723</v>
      </c>
      <c r="D158" s="144"/>
      <c r="E158" s="144"/>
      <c r="F158" s="144"/>
      <c r="G158" s="144"/>
      <c r="H158" s="540" t="s">
        <v>4963</v>
      </c>
      <c r="I158" s="480" t="s">
        <v>4653</v>
      </c>
      <c r="J158" s="145"/>
      <c r="K158" s="518"/>
      <c r="L158" s="480" t="s">
        <v>4599</v>
      </c>
      <c r="M158" s="540" t="s">
        <v>4963</v>
      </c>
      <c r="N158" s="144"/>
      <c r="O158" s="144"/>
      <c r="P158" s="144"/>
      <c r="Q158" s="144"/>
      <c r="R158" s="144" t="s">
        <v>4590</v>
      </c>
      <c r="S158" s="142" t="s">
        <v>4723</v>
      </c>
      <c r="T158" s="530"/>
    </row>
    <row r="159" spans="1:20" x14ac:dyDescent="0.15">
      <c r="A159" s="499"/>
      <c r="B159" s="143" t="s">
        <v>4590</v>
      </c>
      <c r="C159" s="143" t="s">
        <v>4723</v>
      </c>
      <c r="D159" s="149"/>
      <c r="E159" s="149"/>
      <c r="F159" s="149"/>
      <c r="G159" s="149"/>
      <c r="H159" s="541" t="s">
        <v>4963</v>
      </c>
      <c r="I159" s="481" t="s">
        <v>4657</v>
      </c>
      <c r="J159" s="150"/>
      <c r="K159" s="519"/>
      <c r="L159" s="481" t="s">
        <v>4601</v>
      </c>
      <c r="M159" s="541" t="s">
        <v>4963</v>
      </c>
      <c r="N159" s="149"/>
      <c r="O159" s="149"/>
      <c r="P159" s="149"/>
      <c r="Q159" s="149"/>
      <c r="R159" s="149" t="s">
        <v>4590</v>
      </c>
      <c r="S159" s="143" t="s">
        <v>4723</v>
      </c>
      <c r="T159" s="531"/>
    </row>
    <row r="160" spans="1:20" x14ac:dyDescent="0.15">
      <c r="A160" s="500"/>
      <c r="B160" s="143" t="s">
        <v>4590</v>
      </c>
      <c r="C160" s="143" t="s">
        <v>4723</v>
      </c>
      <c r="D160" s="157"/>
      <c r="E160" s="157"/>
      <c r="F160" s="157"/>
      <c r="G160" s="157"/>
      <c r="H160" s="541" t="s">
        <v>4963</v>
      </c>
      <c r="I160" s="481" t="s">
        <v>4661</v>
      </c>
      <c r="J160" s="154"/>
      <c r="K160" s="523"/>
      <c r="L160" s="488" t="s">
        <v>4603</v>
      </c>
      <c r="M160" s="541" t="s">
        <v>4963</v>
      </c>
      <c r="N160" s="157"/>
      <c r="O160" s="157"/>
      <c r="P160" s="157"/>
      <c r="Q160" s="157"/>
      <c r="R160" s="157" t="s">
        <v>4590</v>
      </c>
      <c r="S160" s="143" t="s">
        <v>4723</v>
      </c>
      <c r="T160" s="531"/>
    </row>
    <row r="161" spans="1:20" x14ac:dyDescent="0.15">
      <c r="A161" s="509"/>
      <c r="B161" s="143" t="s">
        <v>4590</v>
      </c>
      <c r="C161" s="143" t="s">
        <v>4723</v>
      </c>
      <c r="D161" s="157"/>
      <c r="E161" s="157"/>
      <c r="F161" s="157"/>
      <c r="G161" s="157"/>
      <c r="H161" s="541" t="s">
        <v>4963</v>
      </c>
      <c r="I161" s="481" t="s">
        <v>4665</v>
      </c>
      <c r="J161" s="154"/>
      <c r="K161" s="523"/>
      <c r="L161" s="488" t="s">
        <v>4605</v>
      </c>
      <c r="M161" s="541" t="s">
        <v>4963</v>
      </c>
      <c r="N161" s="157"/>
      <c r="O161" s="157"/>
      <c r="P161" s="157"/>
      <c r="Q161" s="157"/>
      <c r="R161" s="157" t="s">
        <v>4590</v>
      </c>
      <c r="S161" s="143" t="s">
        <v>4723</v>
      </c>
      <c r="T161" s="531"/>
    </row>
    <row r="162" spans="1:20" ht="14.25" thickBot="1" x14ac:dyDescent="0.2">
      <c r="A162" s="514"/>
      <c r="B162" s="166" t="s">
        <v>4631</v>
      </c>
      <c r="C162" s="166" t="s">
        <v>4723</v>
      </c>
      <c r="D162" s="167"/>
      <c r="E162" s="167"/>
      <c r="F162" s="167"/>
      <c r="G162" s="167"/>
      <c r="H162" s="543" t="s">
        <v>4968</v>
      </c>
      <c r="I162" s="483" t="s">
        <v>4670</v>
      </c>
      <c r="J162" s="168"/>
      <c r="K162" s="525"/>
      <c r="L162" s="491" t="s">
        <v>4609</v>
      </c>
      <c r="M162" s="543" t="s">
        <v>4968</v>
      </c>
      <c r="N162" s="167"/>
      <c r="O162" s="167"/>
      <c r="P162" s="167"/>
      <c r="Q162" s="167"/>
      <c r="R162" s="330" t="s">
        <v>4631</v>
      </c>
      <c r="S162" s="166" t="s">
        <v>4723</v>
      </c>
      <c r="T162" s="538"/>
    </row>
    <row r="163" spans="1:20" ht="17.25" thickTop="1" x14ac:dyDescent="0.15">
      <c r="A163" s="515"/>
      <c r="B163" s="133"/>
      <c r="C163" s="133"/>
      <c r="D163" s="131"/>
      <c r="E163" s="131"/>
      <c r="F163" s="131"/>
      <c r="G163" s="131"/>
      <c r="H163" s="504"/>
      <c r="I163" s="133"/>
      <c r="J163" s="172"/>
      <c r="K163" s="522"/>
      <c r="L163" s="172"/>
      <c r="M163" s="504" t="s">
        <v>4713</v>
      </c>
      <c r="N163" s="128" t="n">
        <f>SUM(D153:D162,N153:N162)</f>
        <v>137.88540388242907</v>
      </c>
      <c r="O163" s="128" t="n">
        <f>SUM(E153:E162,O153:O162)</f>
        <v>84.08876732926878</v>
      </c>
      <c r="P163" s="128" t="n">
        <f>SUM(F153:F162,P153:P162)</f>
        <v>100.22650680411974</v>
      </c>
      <c r="Q163" s="131"/>
      <c r="R163" s="131"/>
      <c r="S163" s="196"/>
      <c r="T163" s="515"/>
    </row>
    <row r="164" spans="1:20" x14ac:dyDescent="0.15">
      <c r="D164" s="128" t="s">
        <v>4969</v>
      </c>
      <c r="E164" s="128" t="s">
        <v>4970</v>
      </c>
    </row>
    <row r="165" spans="1:20" x14ac:dyDescent="0.15">
      <c r="A165" s="252" t="s">
        <v>4971</v>
      </c>
      <c r="B165" s="50" t="s">
        <v>4649</v>
      </c>
      <c r="C165" s="50" t="s">
        <v>4972</v>
      </c>
      <c r="D165" s="2306" t="n">
        <f>N173-SUM(D166:D170)</f>
        <v>329.67390250366634</v>
      </c>
      <c r="E165" s="51" t="n">
        <f t="shared" ref="E165:E171" si="0">D165/$D$171</f>
        <v>0.39400406424777673</v>
      </c>
      <c r="M165" s="511" t="s">
        <v>4973</v>
      </c>
      <c r="N165" s="128" t="n">
        <f>N26</f>
        <v>29.112799094929233</v>
      </c>
      <c r="O165" s="128" t="n">
        <f>O26</f>
        <v>25.246925516092155</v>
      </c>
      <c r="P165" s="128" t="n">
        <f>P26</f>
        <v>23.726152692366227</v>
      </c>
    </row>
    <row r="166" spans="1:20" x14ac:dyDescent="0.15">
      <c r="B166" s="50" t="s">
        <v>4974</v>
      </c>
      <c r="C166" s="50" t="s">
        <v>4975</v>
      </c>
      <c r="D166" s="2307" t="n">
        <f>SUM(D18:F18,N15:P15,N25:P25,D32:F32,D34:F37,D39:F44,D46:F48,D50:F50,N46:P46,D65:F69,D71:F76,D78:F80,D82:F82,N78:P78,N113:P113)</f>
        <v>154.95226079574505</v>
      </c>
      <c r="E166" s="51" t="n">
        <f t="shared" si="0"/>
        <v>0.18518851523961932</v>
      </c>
      <c r="M166" s="511" t="s">
        <v>4976</v>
      </c>
      <c r="N166" s="128" t="n">
        <f>N115</f>
        <v>47.20395159025719</v>
      </c>
      <c r="O166" s="128" t="n">
        <f>O115</f>
        <v>17.88878606384591</v>
      </c>
      <c r="P166" s="128" t="n">
        <f>P115</f>
        <v>24.61026873982111</v>
      </c>
    </row>
    <row r="167" spans="1:20" x14ac:dyDescent="0.15">
      <c r="B167" s="50" t="s">
        <v>4634</v>
      </c>
      <c r="C167" s="50" t="s">
        <v>4634</v>
      </c>
      <c r="D167" s="2308" t="n">
        <f>SUM(D6:F9,D12:F12,D19:F21,N9:P11,N21:P21,N34:P34,D49:F49,N45:P45,N66:P66,N77:P77,D77:F77,D81:F81,D98:F103,D112:F114,N95:P95,N97:P97,N107:P107)</f>
        <v>53.55006001816865</v>
      </c>
      <c r="E167" s="51" t="n">
        <f t="shared" si="0"/>
        <v>0.06399942830669218</v>
      </c>
      <c r="M167" s="511" t="s">
        <v>4977</v>
      </c>
      <c r="N167" s="128" t="n">
        <f>N125</f>
        <v>6.9004700749454155</v>
      </c>
      <c r="O167" s="128" t="n">
        <f>O125</f>
        <v>10.084698960078013</v>
      </c>
      <c r="P167" s="128" t="n">
        <f>P125</f>
        <v>4.808673653542302</v>
      </c>
    </row>
    <row r="168" spans="1:20" x14ac:dyDescent="0.15">
      <c r="B168" s="50" t="s">
        <v>4634</v>
      </c>
      <c r="C168" s="50" t="s">
        <v>4978</v>
      </c>
      <c r="D168" s="2309" t="n">
        <f>SUM(,N140:P140,D153:F153)</f>
        <v>273.33990971213666</v>
      </c>
      <c r="E168" s="51" t="n">
        <f t="shared" si="0"/>
        <v>0.32667746682346044</v>
      </c>
      <c r="G168" s="128"/>
      <c r="M168" s="511" t="s">
        <v>4979</v>
      </c>
      <c r="N168" s="128" t="n">
        <f>N133</f>
        <v>9.125043282968216</v>
      </c>
      <c r="O168" s="128" t="n">
        <f>O133</f>
        <v>12.514617305154978</v>
      </c>
      <c r="P168" s="128" t="n">
        <f>P133</f>
        <v>5.279348699405125</v>
      </c>
    </row>
    <row r="169" spans="1:20" x14ac:dyDescent="0.15">
      <c r="B169" s="1004" t="s">
        <v>4980</v>
      </c>
      <c r="C169" s="50" t="s">
        <v>4981</v>
      </c>
      <c r="D169" s="2310" t="n">
        <f>SUM(D14:F14,N19:P20,D95:F96,N95:P95,N97:P97,N105:P106)</f>
        <v>10.403951426421603</v>
      </c>
      <c r="E169" s="51" t="n">
        <f t="shared" si="0"/>
        <v>0.012434102654519273</v>
      </c>
      <c r="M169" s="511" t="s">
        <v>4982</v>
      </c>
      <c r="N169" s="128" t="n">
        <f>N90</f>
        <v>49.50243577620799</v>
      </c>
      <c r="O169" s="128" t="n">
        <f>O90</f>
        <v>54.28762793016472</v>
      </c>
      <c r="P169" s="128" t="n">
        <f>P90</f>
        <v>55.622610907255215</v>
      </c>
    </row>
    <row r="170" spans="1:20" x14ac:dyDescent="0.15">
      <c r="B170" s="1004" t="s">
        <v>4983</v>
      </c>
      <c r="C170" s="50"/>
      <c r="D170" s="2310" t="n">
        <f>SUM(N138:P138)</f>
        <v>14.807077567106234</v>
      </c>
      <c r="E170" s="51" t="n">
        <f t="shared" si="0"/>
        <v>0.017696422727932058</v>
      </c>
      <c r="M170" s="511" t="s">
        <v>4984</v>
      </c>
      <c r="N170" s="128" t="n">
        <f>N58</f>
        <v>55.47096403311919</v>
      </c>
      <c r="O170" s="128" t="n">
        <f>O58</f>
        <v>53.996738323773585</v>
      </c>
      <c r="P170" s="128" t="n">
        <f>P58</f>
        <v>63.1980621000752</v>
      </c>
    </row>
    <row r="171" spans="1:20" x14ac:dyDescent="0.15">
      <c r="B171" s="50"/>
      <c r="C171" s="50" t="s">
        <v>4985</v>
      </c>
      <c r="D171" s="2463" t="n">
        <f>SUM(D165:D170)</f>
        <v>836.7271620232445</v>
      </c>
      <c r="E171" s="2462" t="n">
        <f t="shared" si="0"/>
        <v>1.0</v>
      </c>
      <c r="M171" s="511" t="s">
        <v>4986</v>
      </c>
      <c r="N171" s="128" t="n">
        <f>D153+N140</f>
        <v>88.3837063230864</v>
      </c>
      <c r="O171" s="128" t="n">
        <f t="shared" ref="O171:P171" si="1">E153+O140</f>
        <v>89.65586177083303</v>
      </c>
      <c r="P171" s="128" t="n">
        <f t="shared" si="1"/>
        <v>95.30034161821723</v>
      </c>
    </row>
    <row r="172" spans="1:20" x14ac:dyDescent="0.15">
      <c r="D172" s="128"/>
      <c r="M172" s="511" t="s">
        <v>4987</v>
      </c>
      <c r="N172" s="128" t="n">
        <f>N138</f>
        <v>3.57305372916841</v>
      </c>
      <c r="O172" s="128" t="n">
        <f t="shared" ref="O172:P172" si="2">O138</f>
        <v>3.5363443426254184</v>
      </c>
      <c r="P172" s="128" t="n">
        <f t="shared" si="2"/>
        <v>7.697679495312405</v>
      </c>
    </row>
    <row r="173" spans="1:20" x14ac:dyDescent="0.15">
      <c r="M173" s="511" t="s">
        <v>4988</v>
      </c>
      <c r="N173" s="2463" t="n">
        <f>SUM(N165:P172)</f>
        <v>836.7271620232445</v>
      </c>
    </row>
    <row r="175" spans="1:20" x14ac:dyDescent="0.15">
      <c r="N175" t="n">
        <f>N173*220/1000</f>
        <v>184.0799756451138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1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8671875" defaultRowHeight="13.5" x14ac:dyDescent="0.15"/>
  <cols>
    <col min="1" max="1" bestFit="true" customWidth="true" width="20.44140625" collapsed="false"/>
    <col min="2" max="2" customWidth="true" width="27.88671875" collapsed="false"/>
    <col min="3" max="4" bestFit="true" customWidth="true" style="2653" width="21.33203125" collapsed="false"/>
    <col min="5" max="16384" style="2653" width="8.88671875" collapsed="false"/>
  </cols>
  <sheetData>
    <row r="1" spans="1:2" x14ac:dyDescent="0.15">
      <c r="A1" s="3657" t="s">
        <v>7967</v>
      </c>
      <c r="B1" s="3657" t="s">
        <v>8923</v>
      </c>
    </row>
    <row r="2" spans="1:2" x14ac:dyDescent="0.15">
      <c r="A2" s="3657"/>
      <c r="B2" s="3657"/>
    </row>
    <row r="3" spans="1:2" x14ac:dyDescent="0.15">
      <c r="A3" s="2652" t="s">
        <v>7961</v>
      </c>
      <c r="B3" s="2651" t="s">
        <v>8925</v>
      </c>
    </row>
    <row r="4" spans="1:2" x14ac:dyDescent="0.15">
      <c r="A4" t="s">
        <v>8688</v>
      </c>
      <c r="B4" s="2651" t="s">
        <v>8926</v>
      </c>
    </row>
    <row r="5" spans="1:2" x14ac:dyDescent="0.15">
      <c r="A5" t="s">
        <v>8689</v>
      </c>
      <c r="B5" s="2651" t="s">
        <v>8927</v>
      </c>
    </row>
    <row r="6" spans="1:2" x14ac:dyDescent="0.15">
      <c r="A6" t="s">
        <v>8690</v>
      </c>
      <c r="B6" s="2651" t="s">
        <v>8928</v>
      </c>
    </row>
    <row r="7" spans="1:2" x14ac:dyDescent="0.15">
      <c r="A7" t="s">
        <v>8691</v>
      </c>
      <c r="B7" s="2651" t="s">
        <v>8929</v>
      </c>
    </row>
    <row r="8" spans="1:2" x14ac:dyDescent="0.15">
      <c r="A8" t="s">
        <v>8692</v>
      </c>
      <c r="B8" s="2651" t="s">
        <v>8930</v>
      </c>
    </row>
    <row r="9" spans="1:2" x14ac:dyDescent="0.15">
      <c r="A9" t="s">
        <v>8693</v>
      </c>
      <c r="B9" s="2651" t="s">
        <v>8931</v>
      </c>
    </row>
    <row r="10" spans="1:2" x14ac:dyDescent="0.15">
      <c r="A10" t="s">
        <v>8694</v>
      </c>
      <c r="B10" s="2651" t="s">
        <v>8932</v>
      </c>
    </row>
    <row r="11" spans="1:2" x14ac:dyDescent="0.15">
      <c r="A11" t="s">
        <v>8695</v>
      </c>
      <c r="B11" s="2651" t="s">
        <v>8933</v>
      </c>
    </row>
    <row r="12" spans="1:2" x14ac:dyDescent="0.15">
      <c r="A12" t="s">
        <v>8696</v>
      </c>
      <c r="B12" s="2651" t="s">
        <v>8934</v>
      </c>
    </row>
    <row r="13" spans="1:2" x14ac:dyDescent="0.15">
      <c r="A13" t="s">
        <v>8697</v>
      </c>
      <c r="B13" s="2651" t="s">
        <v>8935</v>
      </c>
    </row>
    <row r="14" spans="1:2" x14ac:dyDescent="0.15">
      <c r="A14" t="s">
        <v>8698</v>
      </c>
      <c r="B14" s="2651" t="s">
        <v>8936</v>
      </c>
    </row>
    <row r="15" spans="1:2" x14ac:dyDescent="0.15">
      <c r="A15" t="s">
        <v>8699</v>
      </c>
      <c r="B15" s="2651" t="s">
        <v>8937</v>
      </c>
    </row>
    <row r="16" spans="1:2" x14ac:dyDescent="0.15">
      <c r="A16" t="s">
        <v>8700</v>
      </c>
      <c r="B16" s="2651" t="s">
        <v>8938</v>
      </c>
    </row>
    <row r="17" spans="1:2" x14ac:dyDescent="0.15">
      <c r="A17" t="s">
        <v>8701</v>
      </c>
      <c r="B17" s="2651" t="s">
        <v>8939</v>
      </c>
    </row>
    <row r="18" spans="1:2" x14ac:dyDescent="0.15">
      <c r="A18" t="s">
        <v>8702</v>
      </c>
      <c r="B18" s="2651" t="s">
        <v>8940</v>
      </c>
    </row>
    <row r="19" spans="1:2" x14ac:dyDescent="0.15">
      <c r="A19" t="s">
        <v>8703</v>
      </c>
      <c r="B19" s="2651" t="s">
        <v>8941</v>
      </c>
    </row>
    <row r="20" spans="1:2" x14ac:dyDescent="0.15">
      <c r="A20" t="s">
        <v>8704</v>
      </c>
      <c r="B20" s="2651" t="s">
        <v>8942</v>
      </c>
    </row>
    <row r="21" spans="1:2" x14ac:dyDescent="0.15">
      <c r="A21" t="s">
        <v>8705</v>
      </c>
      <c r="B21" s="2651" t="s">
        <v>8943</v>
      </c>
    </row>
    <row r="22" spans="1:2" x14ac:dyDescent="0.15">
      <c r="A22" t="s">
        <v>8706</v>
      </c>
      <c r="B22" s="2651" t="s">
        <v>8944</v>
      </c>
    </row>
    <row r="23" spans="1:2" x14ac:dyDescent="0.15">
      <c r="A23" t="s">
        <v>8707</v>
      </c>
      <c r="B23" s="2651" t="s">
        <v>8945</v>
      </c>
    </row>
    <row r="24" spans="1:2" x14ac:dyDescent="0.15">
      <c r="A24" t="s">
        <v>8708</v>
      </c>
      <c r="B24" s="2651" t="s">
        <v>8946</v>
      </c>
    </row>
    <row r="25" spans="1:2" x14ac:dyDescent="0.15">
      <c r="A25" t="s">
        <v>8709</v>
      </c>
      <c r="B25" s="2651" t="s">
        <v>8947</v>
      </c>
    </row>
    <row r="26" spans="1:2" x14ac:dyDescent="0.15">
      <c r="A26" t="s">
        <v>8710</v>
      </c>
      <c r="B26" s="2651" t="s">
        <v>8948</v>
      </c>
    </row>
    <row r="27" spans="1:2" x14ac:dyDescent="0.15">
      <c r="A27" t="s">
        <v>8711</v>
      </c>
      <c r="B27" s="2651" t="s">
        <v>8949</v>
      </c>
    </row>
    <row r="28" spans="1:2" x14ac:dyDescent="0.15">
      <c r="A28" t="s">
        <v>8712</v>
      </c>
      <c r="B28" s="2651" t="s">
        <v>8950</v>
      </c>
    </row>
    <row r="29" spans="1:2" x14ac:dyDescent="0.15">
      <c r="A29" t="s">
        <v>8713</v>
      </c>
      <c r="B29" s="2651" t="s">
        <v>8951</v>
      </c>
    </row>
    <row r="30" spans="1:2" x14ac:dyDescent="0.15">
      <c r="A30" t="s">
        <v>8714</v>
      </c>
      <c r="B30" s="2651" t="s">
        <v>8952</v>
      </c>
    </row>
    <row r="31" spans="1:2" x14ac:dyDescent="0.15">
      <c r="A31" t="s">
        <v>8715</v>
      </c>
      <c r="B31" s="2651" t="s">
        <v>8953</v>
      </c>
    </row>
    <row r="32" spans="1:2" x14ac:dyDescent="0.15">
      <c r="A32" t="s">
        <v>8716</v>
      </c>
      <c r="B32" s="2651" t="s">
        <v>8954</v>
      </c>
    </row>
    <row r="33" spans="1:2" x14ac:dyDescent="0.15">
      <c r="A33" t="s">
        <v>8717</v>
      </c>
      <c r="B33" s="2651" t="s">
        <v>8955</v>
      </c>
    </row>
    <row r="34" spans="1:2" x14ac:dyDescent="0.15">
      <c r="A34" t="s">
        <v>8718</v>
      </c>
      <c r="B34" s="2651" t="s">
        <v>8956</v>
      </c>
    </row>
    <row r="35" spans="1:2" x14ac:dyDescent="0.15">
      <c r="A35" t="s">
        <v>8719</v>
      </c>
      <c r="B35" s="2651" t="s">
        <v>8957</v>
      </c>
    </row>
    <row r="36" spans="1:2" x14ac:dyDescent="0.15">
      <c r="A36" t="s">
        <v>8720</v>
      </c>
      <c r="B36" s="2651" t="s">
        <v>8958</v>
      </c>
    </row>
    <row r="37" spans="1:2" x14ac:dyDescent="0.15">
      <c r="A37" t="s">
        <v>8721</v>
      </c>
      <c r="B37" s="2651" t="s">
        <v>8959</v>
      </c>
    </row>
    <row r="38" spans="1:2" x14ac:dyDescent="0.15">
      <c r="A38" t="s">
        <v>8722</v>
      </c>
      <c r="B38" s="2651" t="s">
        <v>8960</v>
      </c>
    </row>
    <row r="39" spans="1:2" x14ac:dyDescent="0.15">
      <c r="A39" t="s">
        <v>8723</v>
      </c>
      <c r="B39" s="2651" t="s">
        <v>8961</v>
      </c>
    </row>
    <row r="40" spans="1:2" x14ac:dyDescent="0.15">
      <c r="A40" t="s">
        <v>8724</v>
      </c>
      <c r="B40" s="2651" t="s">
        <v>8962</v>
      </c>
    </row>
    <row r="41" spans="1:2" x14ac:dyDescent="0.15">
      <c r="A41" t="s">
        <v>8725</v>
      </c>
      <c r="B41" s="2651" t="s">
        <v>8963</v>
      </c>
    </row>
    <row r="42" spans="1:2" x14ac:dyDescent="0.15">
      <c r="A42" t="s">
        <v>8726</v>
      </c>
      <c r="B42" s="2651" t="s">
        <v>8964</v>
      </c>
    </row>
    <row r="43" spans="1:2" x14ac:dyDescent="0.15">
      <c r="A43" t="s">
        <v>8727</v>
      </c>
      <c r="B43" s="2651" t="s">
        <v>8965</v>
      </c>
    </row>
    <row r="44" spans="1:2" x14ac:dyDescent="0.15">
      <c r="A44" t="s">
        <v>8728</v>
      </c>
      <c r="B44" s="2651" t="s">
        <v>8966</v>
      </c>
    </row>
    <row r="45" spans="1:2" x14ac:dyDescent="0.15">
      <c r="A45" t="s">
        <v>8729</v>
      </c>
      <c r="B45" s="2651" t="s">
        <v>8967</v>
      </c>
    </row>
    <row r="46" spans="1:2" x14ac:dyDescent="0.15">
      <c r="A46" t="s">
        <v>8730</v>
      </c>
      <c r="B46" s="2651" t="s">
        <v>8968</v>
      </c>
    </row>
    <row r="47" spans="1:2" x14ac:dyDescent="0.15">
      <c r="A47" t="s">
        <v>8731</v>
      </c>
      <c r="B47" s="2651" t="s">
        <v>8969</v>
      </c>
    </row>
    <row r="48" spans="1:2" x14ac:dyDescent="0.15">
      <c r="A48" t="s">
        <v>8732</v>
      </c>
      <c r="B48" s="2651" t="s">
        <v>8970</v>
      </c>
    </row>
    <row r="49" spans="1:2" x14ac:dyDescent="0.15">
      <c r="A49" t="s">
        <v>8733</v>
      </c>
      <c r="B49" s="2651" t="s">
        <v>8971</v>
      </c>
    </row>
    <row r="50" spans="1:2" x14ac:dyDescent="0.15">
      <c r="A50" t="s">
        <v>8734</v>
      </c>
      <c r="B50" s="2651" t="s">
        <v>8972</v>
      </c>
    </row>
    <row r="51" spans="1:2" x14ac:dyDescent="0.15">
      <c r="A51" t="s">
        <v>8735</v>
      </c>
      <c r="B51" s="2651" t="s">
        <v>8973</v>
      </c>
    </row>
    <row r="52" spans="1:2" x14ac:dyDescent="0.15">
      <c r="A52" t="s">
        <v>8736</v>
      </c>
      <c r="B52" s="2651" t="s">
        <v>8974</v>
      </c>
    </row>
    <row r="53" spans="1:2" x14ac:dyDescent="0.15">
      <c r="A53" t="s">
        <v>8737</v>
      </c>
      <c r="B53" s="2651" t="s">
        <v>8975</v>
      </c>
    </row>
    <row r="54" spans="1:2" x14ac:dyDescent="0.15">
      <c r="A54" t="s">
        <v>8738</v>
      </c>
      <c r="B54" s="2651" t="s">
        <v>8976</v>
      </c>
    </row>
    <row r="55" spans="1:2" x14ac:dyDescent="0.15">
      <c r="A55" t="s">
        <v>8739</v>
      </c>
      <c r="B55" s="2651" t="s">
        <v>8977</v>
      </c>
    </row>
    <row r="56" spans="1:2" x14ac:dyDescent="0.15">
      <c r="A56" t="s">
        <v>8740</v>
      </c>
      <c r="B56" s="2651" t="s">
        <v>8978</v>
      </c>
    </row>
    <row r="57" spans="1:2" x14ac:dyDescent="0.15">
      <c r="A57" s="2652" t="s">
        <v>8741</v>
      </c>
      <c r="B57" s="2651" t="s">
        <v>8924</v>
      </c>
    </row>
    <row r="58" spans="1:2" x14ac:dyDescent="0.15">
      <c r="A58" t="s">
        <v>8742</v>
      </c>
      <c r="B58" s="2651" t="s">
        <v>8926</v>
      </c>
    </row>
    <row r="59" spans="1:2" x14ac:dyDescent="0.15">
      <c r="A59" t="s">
        <v>8743</v>
      </c>
      <c r="B59" s="2651" t="s">
        <v>8927</v>
      </c>
    </row>
    <row r="60" spans="1:2" x14ac:dyDescent="0.15">
      <c r="A60" t="s">
        <v>8744</v>
      </c>
      <c r="B60" s="2651" t="s">
        <v>8928</v>
      </c>
    </row>
    <row r="61" spans="1:2" x14ac:dyDescent="0.15">
      <c r="A61" t="s">
        <v>8745</v>
      </c>
      <c r="B61" s="2651" t="s">
        <v>8929</v>
      </c>
    </row>
    <row r="62" spans="1:2" x14ac:dyDescent="0.15">
      <c r="A62" t="s">
        <v>8746</v>
      </c>
      <c r="B62" s="2651" t="s">
        <v>8930</v>
      </c>
    </row>
    <row r="63" spans="1:2" x14ac:dyDescent="0.15">
      <c r="A63" t="s">
        <v>8747</v>
      </c>
      <c r="B63" s="2651" t="s">
        <v>8931</v>
      </c>
    </row>
    <row r="64" spans="1:2" x14ac:dyDescent="0.15">
      <c r="A64" t="s">
        <v>8748</v>
      </c>
      <c r="B64" s="2651" t="s">
        <v>8932</v>
      </c>
    </row>
    <row r="65" spans="1:2" x14ac:dyDescent="0.15">
      <c r="A65" t="s">
        <v>8749</v>
      </c>
      <c r="B65" s="2651" t="s">
        <v>8933</v>
      </c>
    </row>
    <row r="66" spans="1:2" x14ac:dyDescent="0.15">
      <c r="A66" t="s">
        <v>8750</v>
      </c>
      <c r="B66" s="2651" t="s">
        <v>8934</v>
      </c>
    </row>
    <row r="67" spans="1:2" x14ac:dyDescent="0.15">
      <c r="A67" t="s">
        <v>8751</v>
      </c>
      <c r="B67" s="2651" t="s">
        <v>8935</v>
      </c>
    </row>
    <row r="68" spans="1:2" x14ac:dyDescent="0.15">
      <c r="A68" t="s">
        <v>8752</v>
      </c>
      <c r="B68" s="2651" t="s">
        <v>8936</v>
      </c>
    </row>
    <row r="69" spans="1:2" x14ac:dyDescent="0.15">
      <c r="A69" t="s">
        <v>8753</v>
      </c>
      <c r="B69" s="2651" t="s">
        <v>8937</v>
      </c>
    </row>
    <row r="70" spans="1:2" x14ac:dyDescent="0.15">
      <c r="A70" t="s">
        <v>8754</v>
      </c>
      <c r="B70" s="2651" t="s">
        <v>8938</v>
      </c>
    </row>
    <row r="71" spans="1:2" x14ac:dyDescent="0.15">
      <c r="A71" t="s">
        <v>8755</v>
      </c>
      <c r="B71" s="2651" t="s">
        <v>8939</v>
      </c>
    </row>
    <row r="72" spans="1:2" x14ac:dyDescent="0.15">
      <c r="A72" t="s">
        <v>8756</v>
      </c>
      <c r="B72" s="2651" t="s">
        <v>8940</v>
      </c>
    </row>
    <row r="73" spans="1:2" x14ac:dyDescent="0.15">
      <c r="A73" t="s">
        <v>8757</v>
      </c>
      <c r="B73" s="2651" t="s">
        <v>8941</v>
      </c>
    </row>
    <row r="74" spans="1:2" x14ac:dyDescent="0.15">
      <c r="A74" t="s">
        <v>8758</v>
      </c>
      <c r="B74" s="2651" t="s">
        <v>8942</v>
      </c>
    </row>
    <row r="75" spans="1:2" x14ac:dyDescent="0.15">
      <c r="A75" t="s">
        <v>8759</v>
      </c>
      <c r="B75" s="2651" t="s">
        <v>8943</v>
      </c>
    </row>
    <row r="76" spans="1:2" x14ac:dyDescent="0.15">
      <c r="A76" t="s">
        <v>8760</v>
      </c>
      <c r="B76" s="2651" t="s">
        <v>8944</v>
      </c>
    </row>
    <row r="77" spans="1:2" x14ac:dyDescent="0.15">
      <c r="A77" t="s">
        <v>8761</v>
      </c>
      <c r="B77" s="2651" t="s">
        <v>8945</v>
      </c>
    </row>
    <row r="78" spans="1:2" x14ac:dyDescent="0.15">
      <c r="A78" t="s">
        <v>8762</v>
      </c>
      <c r="B78" s="2651" t="s">
        <v>8946</v>
      </c>
    </row>
    <row r="79" spans="1:2" x14ac:dyDescent="0.15">
      <c r="A79" t="s">
        <v>8763</v>
      </c>
      <c r="B79" s="2651" t="s">
        <v>8947</v>
      </c>
    </row>
    <row r="80" spans="1:2" x14ac:dyDescent="0.15">
      <c r="A80" t="s">
        <v>8764</v>
      </c>
      <c r="B80" s="2651" t="s">
        <v>8948</v>
      </c>
    </row>
    <row r="81" spans="1:2" x14ac:dyDescent="0.15">
      <c r="A81" t="s">
        <v>8765</v>
      </c>
      <c r="B81" s="2651" t="s">
        <v>8949</v>
      </c>
    </row>
    <row r="82" spans="1:2" x14ac:dyDescent="0.15">
      <c r="A82" t="s">
        <v>8766</v>
      </c>
      <c r="B82" s="2651" t="s">
        <v>8950</v>
      </c>
    </row>
    <row r="83" spans="1:2" x14ac:dyDescent="0.15">
      <c r="A83" t="s">
        <v>8767</v>
      </c>
      <c r="B83" s="2651" t="s">
        <v>8951</v>
      </c>
    </row>
    <row r="84" spans="1:2" x14ac:dyDescent="0.15">
      <c r="A84" t="s">
        <v>8768</v>
      </c>
      <c r="B84" s="2651" t="s">
        <v>8952</v>
      </c>
    </row>
    <row r="85" spans="1:2" x14ac:dyDescent="0.15">
      <c r="A85" t="s">
        <v>8769</v>
      </c>
      <c r="B85" s="2651" t="s">
        <v>8953</v>
      </c>
    </row>
    <row r="86" spans="1:2" x14ac:dyDescent="0.15">
      <c r="A86" t="s">
        <v>8770</v>
      </c>
      <c r="B86" s="2651" t="s">
        <v>8954</v>
      </c>
    </row>
    <row r="87" spans="1:2" x14ac:dyDescent="0.15">
      <c r="A87" t="s">
        <v>8771</v>
      </c>
      <c r="B87" s="2651" t="s">
        <v>8955</v>
      </c>
    </row>
    <row r="88" spans="1:2" x14ac:dyDescent="0.15">
      <c r="A88" t="s">
        <v>8772</v>
      </c>
      <c r="B88" s="2651" t="s">
        <v>8956</v>
      </c>
    </row>
    <row r="89" spans="1:2" x14ac:dyDescent="0.15">
      <c r="A89" t="s">
        <v>8773</v>
      </c>
      <c r="B89" s="2651" t="s">
        <v>8957</v>
      </c>
    </row>
    <row r="90" spans="1:2" x14ac:dyDescent="0.15">
      <c r="A90" t="s">
        <v>8774</v>
      </c>
      <c r="B90" s="2651" t="s">
        <v>8958</v>
      </c>
    </row>
    <row r="91" spans="1:2" x14ac:dyDescent="0.15">
      <c r="A91" t="s">
        <v>8775</v>
      </c>
      <c r="B91" s="2651" t="s">
        <v>8959</v>
      </c>
    </row>
    <row r="92" spans="1:2" x14ac:dyDescent="0.15">
      <c r="A92" t="s">
        <v>8776</v>
      </c>
      <c r="B92" s="2651" t="s">
        <v>8960</v>
      </c>
    </row>
    <row r="93" spans="1:2" x14ac:dyDescent="0.15">
      <c r="A93" t="s">
        <v>8777</v>
      </c>
      <c r="B93" s="2651" t="s">
        <v>8961</v>
      </c>
    </row>
    <row r="94" spans="1:2" x14ac:dyDescent="0.15">
      <c r="A94" t="s">
        <v>8778</v>
      </c>
      <c r="B94" s="2651" t="s">
        <v>8962</v>
      </c>
    </row>
    <row r="95" spans="1:2" x14ac:dyDescent="0.15">
      <c r="A95" t="s">
        <v>8779</v>
      </c>
      <c r="B95" s="2651" t="s">
        <v>8963</v>
      </c>
    </row>
    <row r="96" spans="1:2" x14ac:dyDescent="0.15">
      <c r="A96" t="s">
        <v>8780</v>
      </c>
      <c r="B96" s="2651" t="s">
        <v>8964</v>
      </c>
    </row>
    <row r="97" spans="1:4" x14ac:dyDescent="0.15">
      <c r="A97" t="s">
        <v>8781</v>
      </c>
      <c r="B97" s="2651" t="s">
        <v>8965</v>
      </c>
    </row>
    <row r="98" spans="1:4" x14ac:dyDescent="0.15">
      <c r="A98" t="s">
        <v>8782</v>
      </c>
      <c r="B98" s="2651" t="s">
        <v>8966</v>
      </c>
    </row>
    <row r="99" spans="1:4" x14ac:dyDescent="0.15">
      <c r="A99" t="s">
        <v>8783</v>
      </c>
      <c r="B99" s="2651" t="s">
        <v>8967</v>
      </c>
    </row>
    <row r="100" spans="1:4" x14ac:dyDescent="0.15">
      <c r="A100" t="s">
        <v>8784</v>
      </c>
      <c r="B100" s="2651" t="s">
        <v>8968</v>
      </c>
    </row>
    <row r="101" spans="1:4" x14ac:dyDescent="0.15">
      <c r="A101" t="s">
        <v>8785</v>
      </c>
      <c r="B101" s="2651" t="s">
        <v>8969</v>
      </c>
    </row>
    <row r="102" spans="1:4" x14ac:dyDescent="0.15">
      <c r="A102" t="s">
        <v>8786</v>
      </c>
      <c r="B102" s="2651" t="s">
        <v>8970</v>
      </c>
    </row>
    <row r="103" spans="1:4" x14ac:dyDescent="0.15">
      <c r="A103" t="s">
        <v>8787</v>
      </c>
      <c r="B103" s="2651" t="s">
        <v>8971</v>
      </c>
    </row>
    <row r="104" spans="1:4" x14ac:dyDescent="0.15">
      <c r="A104" t="s">
        <v>8788</v>
      </c>
      <c r="B104" s="2651" t="s">
        <v>8972</v>
      </c>
    </row>
    <row r="105" spans="1:4" x14ac:dyDescent="0.15">
      <c r="A105" t="s">
        <v>8789</v>
      </c>
      <c r="B105" s="2651" t="s">
        <v>8973</v>
      </c>
    </row>
    <row r="106" spans="1:4" x14ac:dyDescent="0.15">
      <c r="A106" t="s">
        <v>8790</v>
      </c>
      <c r="B106" s="2651" t="s">
        <v>8974</v>
      </c>
    </row>
    <row r="107" spans="1:4" x14ac:dyDescent="0.15">
      <c r="A107" t="s">
        <v>8791</v>
      </c>
      <c r="B107" s="2651" t="s">
        <v>8975</v>
      </c>
    </row>
    <row r="108" spans="1:4" x14ac:dyDescent="0.15">
      <c r="A108" t="s">
        <v>8792</v>
      </c>
      <c r="B108" s="2651" t="s">
        <v>8976</v>
      </c>
    </row>
    <row r="109" spans="1:4" x14ac:dyDescent="0.15">
      <c r="A109" t="s">
        <v>8793</v>
      </c>
      <c r="B109" s="2651" t="s">
        <v>8977</v>
      </c>
    </row>
    <row r="110" spans="1:4" x14ac:dyDescent="0.15">
      <c r="A110" t="s">
        <v>8794</v>
      </c>
      <c r="B110" s="2651" t="s">
        <v>8978</v>
      </c>
    </row>
    <row r="111" spans="1:4" x14ac:dyDescent="0.15">
      <c r="A111" s="2652" t="s">
        <v>8795</v>
      </c>
      <c r="B111" s="2651" t="s">
        <v>9048</v>
      </c>
      <c r="C111" s="2675" t="s">
        <v>9050</v>
      </c>
      <c r="D111" s="2675" t="s">
        <v>9052</v>
      </c>
    </row>
    <row r="112" spans="1:4" x14ac:dyDescent="0.15">
      <c r="A112" t="s">
        <v>8796</v>
      </c>
      <c r="B112" s="2651" t="s">
        <v>9053</v>
      </c>
      <c r="C112" s="2651" t="s">
        <v>9062</v>
      </c>
      <c r="D112" s="2651" t="s">
        <v>9071</v>
      </c>
    </row>
    <row r="113" spans="1:4" x14ac:dyDescent="0.15">
      <c r="A113" t="s">
        <v>8797</v>
      </c>
      <c r="B113" s="2651" t="s">
        <v>9054</v>
      </c>
      <c r="C113" s="2651" t="s">
        <v>9063</v>
      </c>
      <c r="D113" s="2651" t="s">
        <v>9072</v>
      </c>
    </row>
    <row r="114" spans="1:4" x14ac:dyDescent="0.15">
      <c r="A114" t="s">
        <v>8798</v>
      </c>
      <c r="B114" s="2651" t="s">
        <v>9055</v>
      </c>
      <c r="C114" s="2651" t="s">
        <v>9064</v>
      </c>
      <c r="D114" s="2651" t="s">
        <v>9073</v>
      </c>
    </row>
    <row r="115" spans="1:4" x14ac:dyDescent="0.15">
      <c r="A115" t="s">
        <v>8799</v>
      </c>
      <c r="B115" s="2651" t="s">
        <v>9056</v>
      </c>
      <c r="C115" s="2651" t="s">
        <v>9065</v>
      </c>
      <c r="D115" s="2651" t="s">
        <v>9074</v>
      </c>
    </row>
    <row r="116" spans="1:4" x14ac:dyDescent="0.15">
      <c r="A116" t="s">
        <v>8800</v>
      </c>
      <c r="B116" s="2651" t="s">
        <v>9057</v>
      </c>
      <c r="C116" s="2651" t="s">
        <v>9066</v>
      </c>
      <c r="D116" s="2651" t="s">
        <v>9075</v>
      </c>
    </row>
    <row r="117" spans="1:4" x14ac:dyDescent="0.15">
      <c r="A117" t="s">
        <v>8801</v>
      </c>
      <c r="B117" s="2651" t="s">
        <v>9058</v>
      </c>
      <c r="C117" s="2651" t="s">
        <v>9067</v>
      </c>
      <c r="D117" s="2651" t="s">
        <v>9076</v>
      </c>
    </row>
    <row r="118" spans="1:4" x14ac:dyDescent="0.15">
      <c r="A118" t="s">
        <v>8802</v>
      </c>
      <c r="B118" s="2651" t="s">
        <v>9059</v>
      </c>
      <c r="C118" s="2651" t="s">
        <v>9068</v>
      </c>
      <c r="D118" s="2651" t="s">
        <v>9077</v>
      </c>
    </row>
    <row r="119" spans="1:4" x14ac:dyDescent="0.15">
      <c r="A119" t="s">
        <v>8803</v>
      </c>
      <c r="B119" s="2651" t="s">
        <v>9060</v>
      </c>
      <c r="C119" s="2651" t="s">
        <v>9069</v>
      </c>
      <c r="D119" s="2651" t="s">
        <v>9078</v>
      </c>
    </row>
    <row r="120" spans="1:4" x14ac:dyDescent="0.15">
      <c r="A120" t="s">
        <v>8804</v>
      </c>
      <c r="B120" s="2651" t="s">
        <v>9061</v>
      </c>
      <c r="C120" s="2651" t="s">
        <v>9070</v>
      </c>
      <c r="D120" s="2651" t="s">
        <v>9079</v>
      </c>
    </row>
    <row r="121" spans="1:4" x14ac:dyDescent="0.15">
      <c r="A121" s="2652" t="s">
        <v>8805</v>
      </c>
      <c r="B121" s="2651" t="s">
        <v>9047</v>
      </c>
      <c r="C121" s="2651" t="s">
        <v>9049</v>
      </c>
      <c r="D121" s="2651" t="s">
        <v>9051</v>
      </c>
    </row>
    <row r="122" spans="1:4" x14ac:dyDescent="0.15">
      <c r="A122" t="s">
        <v>8806</v>
      </c>
      <c r="B122" s="2651" t="s">
        <v>9053</v>
      </c>
      <c r="C122" s="2651" t="s">
        <v>9062</v>
      </c>
      <c r="D122" s="2651" t="s">
        <v>9071</v>
      </c>
    </row>
    <row r="123" spans="1:4" x14ac:dyDescent="0.15">
      <c r="A123" t="s">
        <v>8807</v>
      </c>
      <c r="B123" s="2651" t="s">
        <v>9054</v>
      </c>
      <c r="C123" s="2651" t="s">
        <v>9063</v>
      </c>
      <c r="D123" s="2651" t="s">
        <v>9072</v>
      </c>
    </row>
    <row r="124" spans="1:4" x14ac:dyDescent="0.15">
      <c r="A124" t="s">
        <v>8808</v>
      </c>
      <c r="B124" s="2651" t="s">
        <v>9055</v>
      </c>
      <c r="C124" s="2651" t="s">
        <v>9064</v>
      </c>
      <c r="D124" s="2651" t="s">
        <v>9073</v>
      </c>
    </row>
    <row r="125" spans="1:4" x14ac:dyDescent="0.15">
      <c r="A125" t="s">
        <v>8809</v>
      </c>
      <c r="B125" s="2651" t="s">
        <v>9056</v>
      </c>
      <c r="C125" s="2651" t="s">
        <v>9065</v>
      </c>
      <c r="D125" s="2651" t="s">
        <v>9074</v>
      </c>
    </row>
    <row r="126" spans="1:4" x14ac:dyDescent="0.15">
      <c r="A126" t="s">
        <v>8810</v>
      </c>
      <c r="B126" s="2651" t="s">
        <v>9057</v>
      </c>
      <c r="C126" s="2651" t="s">
        <v>9066</v>
      </c>
      <c r="D126" s="2651" t="s">
        <v>9075</v>
      </c>
    </row>
    <row r="127" spans="1:4" x14ac:dyDescent="0.15">
      <c r="A127" t="s">
        <v>8811</v>
      </c>
      <c r="B127" s="2651" t="s">
        <v>9058</v>
      </c>
      <c r="C127" s="2651" t="s">
        <v>9067</v>
      </c>
      <c r="D127" s="2651" t="s">
        <v>9076</v>
      </c>
    </row>
    <row r="128" spans="1:4" x14ac:dyDescent="0.15">
      <c r="A128" t="s">
        <v>8812</v>
      </c>
      <c r="B128" s="2651" t="s">
        <v>9059</v>
      </c>
      <c r="C128" s="2651" t="s">
        <v>9068</v>
      </c>
      <c r="D128" s="2651" t="s">
        <v>9077</v>
      </c>
    </row>
    <row r="129" spans="1:4" x14ac:dyDescent="0.15">
      <c r="A129" t="s">
        <v>8813</v>
      </c>
      <c r="B129" s="2651" t="s">
        <v>9060</v>
      </c>
      <c r="C129" s="2651" t="s">
        <v>9069</v>
      </c>
      <c r="D129" s="2651" t="s">
        <v>9078</v>
      </c>
    </row>
    <row r="130" spans="1:4" x14ac:dyDescent="0.15">
      <c r="A130" t="s">
        <v>8814</v>
      </c>
      <c r="B130" s="2651" t="s">
        <v>9061</v>
      </c>
      <c r="C130" s="2651" t="s">
        <v>9070</v>
      </c>
      <c r="D130" s="2651" t="s">
        <v>9079</v>
      </c>
    </row>
    <row r="131" spans="1:4" x14ac:dyDescent="0.15">
      <c r="A131" s="2652" t="s">
        <v>8816</v>
      </c>
      <c r="B131" s="2651" t="s">
        <v>8924</v>
      </c>
    </row>
    <row r="132" spans="1:4" x14ac:dyDescent="0.15">
      <c r="A132" t="s">
        <v>8817</v>
      </c>
      <c r="B132" s="2651" t="s">
        <v>8926</v>
      </c>
    </row>
    <row r="133" spans="1:4" x14ac:dyDescent="0.15">
      <c r="A133" t="s">
        <v>8818</v>
      </c>
      <c r="B133" s="2651" t="s">
        <v>8927</v>
      </c>
    </row>
    <row r="134" spans="1:4" x14ac:dyDescent="0.15">
      <c r="A134" t="s">
        <v>8819</v>
      </c>
      <c r="B134" s="2651" t="s">
        <v>8928</v>
      </c>
    </row>
    <row r="135" spans="1:4" x14ac:dyDescent="0.15">
      <c r="A135" t="s">
        <v>8820</v>
      </c>
      <c r="B135" s="2651" t="s">
        <v>8929</v>
      </c>
    </row>
    <row r="136" spans="1:4" x14ac:dyDescent="0.15">
      <c r="A136" t="s">
        <v>8821</v>
      </c>
      <c r="B136" s="2651" t="s">
        <v>8930</v>
      </c>
    </row>
    <row r="137" spans="1:4" x14ac:dyDescent="0.15">
      <c r="A137" t="s">
        <v>8822</v>
      </c>
      <c r="B137" s="2651" t="s">
        <v>8931</v>
      </c>
    </row>
    <row r="138" spans="1:4" x14ac:dyDescent="0.15">
      <c r="A138" t="s">
        <v>8823</v>
      </c>
      <c r="B138" s="2651" t="s">
        <v>8932</v>
      </c>
    </row>
    <row r="139" spans="1:4" x14ac:dyDescent="0.15">
      <c r="A139" t="s">
        <v>8824</v>
      </c>
      <c r="B139" s="2651" t="s">
        <v>8933</v>
      </c>
    </row>
    <row r="140" spans="1:4" x14ac:dyDescent="0.15">
      <c r="A140" t="s">
        <v>8825</v>
      </c>
      <c r="B140" s="2651" t="s">
        <v>8934</v>
      </c>
    </row>
    <row r="141" spans="1:4" x14ac:dyDescent="0.15">
      <c r="A141" t="s">
        <v>8826</v>
      </c>
      <c r="B141" s="2651" t="s">
        <v>8935</v>
      </c>
    </row>
    <row r="142" spans="1:4" x14ac:dyDescent="0.15">
      <c r="A142" t="s">
        <v>8827</v>
      </c>
      <c r="B142" s="2651" t="s">
        <v>8936</v>
      </c>
    </row>
    <row r="143" spans="1:4" x14ac:dyDescent="0.15">
      <c r="A143" t="s">
        <v>8828</v>
      </c>
      <c r="B143" s="2651" t="s">
        <v>8937</v>
      </c>
    </row>
    <row r="144" spans="1:4" x14ac:dyDescent="0.15">
      <c r="A144" t="s">
        <v>8829</v>
      </c>
      <c r="B144" s="2651" t="s">
        <v>8938</v>
      </c>
    </row>
    <row r="145" spans="1:2" x14ac:dyDescent="0.15">
      <c r="A145" t="s">
        <v>8830</v>
      </c>
      <c r="B145" s="2651" t="s">
        <v>8939</v>
      </c>
    </row>
    <row r="146" spans="1:2" x14ac:dyDescent="0.15">
      <c r="A146" t="s">
        <v>8831</v>
      </c>
      <c r="B146" s="2651" t="s">
        <v>8940</v>
      </c>
    </row>
    <row r="147" spans="1:2" x14ac:dyDescent="0.15">
      <c r="A147" t="s">
        <v>8832</v>
      </c>
      <c r="B147" s="2651" t="s">
        <v>8941</v>
      </c>
    </row>
    <row r="148" spans="1:2" x14ac:dyDescent="0.15">
      <c r="A148" t="s">
        <v>8833</v>
      </c>
      <c r="B148" s="2651" t="s">
        <v>8942</v>
      </c>
    </row>
    <row r="149" spans="1:2" x14ac:dyDescent="0.15">
      <c r="A149" t="s">
        <v>8834</v>
      </c>
      <c r="B149" s="2651" t="s">
        <v>8943</v>
      </c>
    </row>
    <row r="150" spans="1:2" x14ac:dyDescent="0.15">
      <c r="A150" t="s">
        <v>8835</v>
      </c>
      <c r="B150" s="2651" t="s">
        <v>8944</v>
      </c>
    </row>
    <row r="151" spans="1:2" x14ac:dyDescent="0.15">
      <c r="A151" t="s">
        <v>8836</v>
      </c>
      <c r="B151" s="2651" t="s">
        <v>8945</v>
      </c>
    </row>
    <row r="152" spans="1:2" x14ac:dyDescent="0.15">
      <c r="A152" t="s">
        <v>8837</v>
      </c>
      <c r="B152" s="2651" t="s">
        <v>8946</v>
      </c>
    </row>
    <row r="153" spans="1:2" x14ac:dyDescent="0.15">
      <c r="A153" t="s">
        <v>8838</v>
      </c>
      <c r="B153" s="2651" t="s">
        <v>8947</v>
      </c>
    </row>
    <row r="154" spans="1:2" x14ac:dyDescent="0.15">
      <c r="A154" t="s">
        <v>8839</v>
      </c>
      <c r="B154" s="2651" t="s">
        <v>8948</v>
      </c>
    </row>
    <row r="155" spans="1:2" x14ac:dyDescent="0.15">
      <c r="A155" t="s">
        <v>8840</v>
      </c>
      <c r="B155" s="2651" t="s">
        <v>8949</v>
      </c>
    </row>
    <row r="156" spans="1:2" x14ac:dyDescent="0.15">
      <c r="A156" t="s">
        <v>8841</v>
      </c>
      <c r="B156" s="2651" t="s">
        <v>8950</v>
      </c>
    </row>
    <row r="157" spans="1:2" x14ac:dyDescent="0.15">
      <c r="A157" t="s">
        <v>8842</v>
      </c>
      <c r="B157" s="2651" t="s">
        <v>8951</v>
      </c>
    </row>
    <row r="158" spans="1:2" x14ac:dyDescent="0.15">
      <c r="A158" t="s">
        <v>8843</v>
      </c>
      <c r="B158" s="2651" t="s">
        <v>8952</v>
      </c>
    </row>
    <row r="159" spans="1:2" x14ac:dyDescent="0.15">
      <c r="A159" t="s">
        <v>8844</v>
      </c>
      <c r="B159" s="2651" t="s">
        <v>8953</v>
      </c>
    </row>
    <row r="160" spans="1:2" x14ac:dyDescent="0.15">
      <c r="A160" t="s">
        <v>8845</v>
      </c>
      <c r="B160" s="2651" t="s">
        <v>8954</v>
      </c>
    </row>
    <row r="161" spans="1:2" x14ac:dyDescent="0.15">
      <c r="A161" t="s">
        <v>8846</v>
      </c>
      <c r="B161" s="2651" t="s">
        <v>8955</v>
      </c>
    </row>
    <row r="162" spans="1:2" x14ac:dyDescent="0.15">
      <c r="A162" t="s">
        <v>8847</v>
      </c>
      <c r="B162" s="2651" t="s">
        <v>8956</v>
      </c>
    </row>
    <row r="163" spans="1:2" x14ac:dyDescent="0.15">
      <c r="A163" t="s">
        <v>8848</v>
      </c>
      <c r="B163" s="2651" t="s">
        <v>8957</v>
      </c>
    </row>
    <row r="164" spans="1:2" x14ac:dyDescent="0.15">
      <c r="A164" t="s">
        <v>8849</v>
      </c>
      <c r="B164" s="2651" t="s">
        <v>8958</v>
      </c>
    </row>
    <row r="165" spans="1:2" x14ac:dyDescent="0.15">
      <c r="A165" t="s">
        <v>8850</v>
      </c>
      <c r="B165" s="2651" t="s">
        <v>8959</v>
      </c>
    </row>
    <row r="166" spans="1:2" x14ac:dyDescent="0.15">
      <c r="A166" t="s">
        <v>8851</v>
      </c>
      <c r="B166" s="2651" t="s">
        <v>8960</v>
      </c>
    </row>
    <row r="167" spans="1:2" x14ac:dyDescent="0.15">
      <c r="A167" t="s">
        <v>8852</v>
      </c>
      <c r="B167" s="2651" t="s">
        <v>8961</v>
      </c>
    </row>
    <row r="168" spans="1:2" x14ac:dyDescent="0.15">
      <c r="A168" t="s">
        <v>8853</v>
      </c>
      <c r="B168" s="2651" t="s">
        <v>8962</v>
      </c>
    </row>
    <row r="169" spans="1:2" x14ac:dyDescent="0.15">
      <c r="A169" t="s">
        <v>8854</v>
      </c>
      <c r="B169" s="2651" t="s">
        <v>8963</v>
      </c>
    </row>
    <row r="170" spans="1:2" x14ac:dyDescent="0.15">
      <c r="A170" t="s">
        <v>8855</v>
      </c>
      <c r="B170" s="2651" t="s">
        <v>8964</v>
      </c>
    </row>
    <row r="171" spans="1:2" x14ac:dyDescent="0.15">
      <c r="A171" s="2652" t="s">
        <v>8856</v>
      </c>
      <c r="B171" s="2651" t="s">
        <v>8924</v>
      </c>
    </row>
    <row r="172" spans="1:2" x14ac:dyDescent="0.15">
      <c r="A172" t="s">
        <v>8857</v>
      </c>
      <c r="B172" s="2651" t="s">
        <v>8926</v>
      </c>
    </row>
    <row r="173" spans="1:2" x14ac:dyDescent="0.15">
      <c r="A173" t="s">
        <v>8858</v>
      </c>
      <c r="B173" s="2651" t="s">
        <v>8927</v>
      </c>
    </row>
    <row r="174" spans="1:2" x14ac:dyDescent="0.15">
      <c r="A174" t="s">
        <v>8859</v>
      </c>
      <c r="B174" s="2651" t="s">
        <v>8928</v>
      </c>
    </row>
    <row r="175" spans="1:2" x14ac:dyDescent="0.15">
      <c r="A175" t="s">
        <v>8860</v>
      </c>
      <c r="B175" s="2651" t="s">
        <v>8929</v>
      </c>
    </row>
    <row r="176" spans="1:2" x14ac:dyDescent="0.15">
      <c r="A176" t="s">
        <v>8861</v>
      </c>
      <c r="B176" s="2651" t="s">
        <v>8930</v>
      </c>
    </row>
    <row r="177" spans="1:2" x14ac:dyDescent="0.15">
      <c r="A177" t="s">
        <v>8862</v>
      </c>
      <c r="B177" s="2651" t="s">
        <v>8931</v>
      </c>
    </row>
    <row r="178" spans="1:2" x14ac:dyDescent="0.15">
      <c r="A178" t="s">
        <v>8863</v>
      </c>
      <c r="B178" s="2651" t="s">
        <v>8932</v>
      </c>
    </row>
    <row r="179" spans="1:2" x14ac:dyDescent="0.15">
      <c r="A179" t="s">
        <v>8864</v>
      </c>
      <c r="B179" s="2651" t="s">
        <v>8933</v>
      </c>
    </row>
    <row r="180" spans="1:2" x14ac:dyDescent="0.15">
      <c r="A180" t="s">
        <v>8865</v>
      </c>
      <c r="B180" s="2651" t="s">
        <v>8934</v>
      </c>
    </row>
    <row r="181" spans="1:2" x14ac:dyDescent="0.15">
      <c r="A181" t="s">
        <v>8866</v>
      </c>
      <c r="B181" s="2651" t="s">
        <v>8935</v>
      </c>
    </row>
    <row r="182" spans="1:2" x14ac:dyDescent="0.15">
      <c r="A182" t="s">
        <v>8867</v>
      </c>
      <c r="B182" s="2651" t="s">
        <v>8936</v>
      </c>
    </row>
    <row r="183" spans="1:2" x14ac:dyDescent="0.15">
      <c r="A183" t="s">
        <v>8868</v>
      </c>
      <c r="B183" s="2651" t="s">
        <v>8937</v>
      </c>
    </row>
    <row r="184" spans="1:2" x14ac:dyDescent="0.15">
      <c r="A184" t="s">
        <v>8869</v>
      </c>
      <c r="B184" s="2651" t="s">
        <v>8938</v>
      </c>
    </row>
    <row r="185" spans="1:2" x14ac:dyDescent="0.15">
      <c r="A185" t="s">
        <v>8870</v>
      </c>
      <c r="B185" s="2651" t="s">
        <v>8939</v>
      </c>
    </row>
    <row r="186" spans="1:2" x14ac:dyDescent="0.15">
      <c r="A186" t="s">
        <v>8871</v>
      </c>
      <c r="B186" s="2651" t="s">
        <v>8940</v>
      </c>
    </row>
    <row r="187" spans="1:2" x14ac:dyDescent="0.15">
      <c r="A187" t="s">
        <v>8872</v>
      </c>
      <c r="B187" s="2651" t="s">
        <v>8941</v>
      </c>
    </row>
    <row r="188" spans="1:2" x14ac:dyDescent="0.15">
      <c r="A188" t="s">
        <v>8873</v>
      </c>
      <c r="B188" s="2651" t="s">
        <v>8942</v>
      </c>
    </row>
    <row r="189" spans="1:2" x14ac:dyDescent="0.15">
      <c r="A189" t="s">
        <v>8874</v>
      </c>
      <c r="B189" s="2651" t="s">
        <v>8943</v>
      </c>
    </row>
    <row r="190" spans="1:2" x14ac:dyDescent="0.15">
      <c r="A190" t="s">
        <v>8875</v>
      </c>
      <c r="B190" s="2651" t="s">
        <v>8944</v>
      </c>
    </row>
    <row r="191" spans="1:2" x14ac:dyDescent="0.15">
      <c r="A191" t="s">
        <v>8876</v>
      </c>
      <c r="B191" s="2651" t="s">
        <v>8945</v>
      </c>
    </row>
    <row r="192" spans="1:2" x14ac:dyDescent="0.15">
      <c r="A192" t="s">
        <v>8877</v>
      </c>
      <c r="B192" s="2651" t="s">
        <v>8946</v>
      </c>
    </row>
    <row r="193" spans="1:2" x14ac:dyDescent="0.15">
      <c r="A193" t="s">
        <v>8878</v>
      </c>
      <c r="B193" s="2651" t="s">
        <v>8947</v>
      </c>
    </row>
    <row r="194" spans="1:2" x14ac:dyDescent="0.15">
      <c r="A194" t="s">
        <v>8879</v>
      </c>
      <c r="B194" s="2651" t="s">
        <v>8948</v>
      </c>
    </row>
    <row r="195" spans="1:2" x14ac:dyDescent="0.15">
      <c r="A195" t="s">
        <v>8880</v>
      </c>
      <c r="B195" s="2651" t="s">
        <v>8949</v>
      </c>
    </row>
    <row r="196" spans="1:2" x14ac:dyDescent="0.15">
      <c r="A196" t="s">
        <v>8881</v>
      </c>
      <c r="B196" s="2651" t="s">
        <v>8950</v>
      </c>
    </row>
    <row r="197" spans="1:2" x14ac:dyDescent="0.15">
      <c r="A197" t="s">
        <v>8882</v>
      </c>
      <c r="B197" s="2651" t="s">
        <v>8951</v>
      </c>
    </row>
    <row r="198" spans="1:2" x14ac:dyDescent="0.15">
      <c r="A198" t="s">
        <v>8883</v>
      </c>
      <c r="B198" s="2651" t="s">
        <v>8952</v>
      </c>
    </row>
    <row r="199" spans="1:2" x14ac:dyDescent="0.15">
      <c r="A199" t="s">
        <v>8884</v>
      </c>
      <c r="B199" s="2651" t="s">
        <v>8953</v>
      </c>
    </row>
    <row r="200" spans="1:2" x14ac:dyDescent="0.15">
      <c r="A200" t="s">
        <v>8885</v>
      </c>
      <c r="B200" s="2651" t="s">
        <v>8954</v>
      </c>
    </row>
    <row r="201" spans="1:2" x14ac:dyDescent="0.15">
      <c r="A201" t="s">
        <v>8886</v>
      </c>
      <c r="B201" s="2651" t="s">
        <v>8955</v>
      </c>
    </row>
    <row r="202" spans="1:2" x14ac:dyDescent="0.15">
      <c r="A202" t="s">
        <v>8887</v>
      </c>
      <c r="B202" s="2651" t="s">
        <v>8956</v>
      </c>
    </row>
    <row r="203" spans="1:2" x14ac:dyDescent="0.15">
      <c r="A203" t="s">
        <v>8888</v>
      </c>
      <c r="B203" s="2651" t="s">
        <v>8957</v>
      </c>
    </row>
    <row r="204" spans="1:2" x14ac:dyDescent="0.15">
      <c r="A204" t="s">
        <v>8889</v>
      </c>
      <c r="B204" s="2651" t="s">
        <v>8958</v>
      </c>
    </row>
    <row r="205" spans="1:2" x14ac:dyDescent="0.15">
      <c r="A205" t="s">
        <v>8890</v>
      </c>
      <c r="B205" s="2651" t="s">
        <v>8959</v>
      </c>
    </row>
    <row r="206" spans="1:2" x14ac:dyDescent="0.15">
      <c r="A206" t="s">
        <v>8891</v>
      </c>
      <c r="B206" s="2651" t="s">
        <v>8960</v>
      </c>
    </row>
    <row r="207" spans="1:2" x14ac:dyDescent="0.15">
      <c r="A207" t="s">
        <v>8892</v>
      </c>
      <c r="B207" s="2651" t="s">
        <v>8961</v>
      </c>
    </row>
    <row r="208" spans="1:2" x14ac:dyDescent="0.15">
      <c r="A208" t="s">
        <v>8893</v>
      </c>
      <c r="B208" s="2651" t="s">
        <v>8962</v>
      </c>
    </row>
    <row r="209" spans="1:2" x14ac:dyDescent="0.15">
      <c r="A209" t="s">
        <v>8894</v>
      </c>
      <c r="B209" s="2651" t="s">
        <v>8963</v>
      </c>
    </row>
    <row r="210" spans="1:2" x14ac:dyDescent="0.15">
      <c r="A210" t="s">
        <v>8895</v>
      </c>
      <c r="B210" s="2651" t="s">
        <v>8964</v>
      </c>
    </row>
    <row r="211" spans="1:2" x14ac:dyDescent="0.15">
      <c r="A211" s="2652" t="s">
        <v>8896</v>
      </c>
      <c r="B211" s="2651" t="s">
        <v>8924</v>
      </c>
    </row>
    <row r="212" spans="1:2" x14ac:dyDescent="0.15">
      <c r="A212" t="s">
        <v>8897</v>
      </c>
      <c r="B212" s="2651" t="s">
        <v>8926</v>
      </c>
    </row>
    <row r="213" spans="1:2" x14ac:dyDescent="0.15">
      <c r="A213" t="s">
        <v>8898</v>
      </c>
      <c r="B213" s="2651" t="s">
        <v>8927</v>
      </c>
    </row>
    <row r="214" spans="1:2" x14ac:dyDescent="0.15">
      <c r="A214" t="s">
        <v>8899</v>
      </c>
      <c r="B214" s="2651" t="s">
        <v>8928</v>
      </c>
    </row>
    <row r="215" spans="1:2" x14ac:dyDescent="0.15">
      <c r="A215" t="s">
        <v>8900</v>
      </c>
      <c r="B215" s="2651" t="s">
        <v>8929</v>
      </c>
    </row>
    <row r="216" spans="1:2" x14ac:dyDescent="0.15">
      <c r="A216" t="s">
        <v>8901</v>
      </c>
      <c r="B216" s="2651" t="s">
        <v>8930</v>
      </c>
    </row>
    <row r="217" spans="1:2" x14ac:dyDescent="0.15">
      <c r="A217" t="s">
        <v>8902</v>
      </c>
      <c r="B217" s="2651" t="s">
        <v>8931</v>
      </c>
    </row>
    <row r="218" spans="1:2" x14ac:dyDescent="0.15">
      <c r="A218" t="s">
        <v>8903</v>
      </c>
      <c r="B218" s="2651" t="s">
        <v>8932</v>
      </c>
    </row>
    <row r="219" spans="1:2" x14ac:dyDescent="0.15">
      <c r="A219" t="s">
        <v>8904</v>
      </c>
      <c r="B219" s="2651" t="s">
        <v>8933</v>
      </c>
    </row>
    <row r="220" spans="1:2" x14ac:dyDescent="0.15">
      <c r="A220" t="s">
        <v>8905</v>
      </c>
      <c r="B220" s="2651" t="s">
        <v>8934</v>
      </c>
    </row>
    <row r="221" spans="1:2" x14ac:dyDescent="0.15">
      <c r="A221" s="2652" t="s">
        <v>8815</v>
      </c>
      <c r="B221" s="2651" t="s">
        <v>8924</v>
      </c>
    </row>
    <row r="222" spans="1:2" x14ac:dyDescent="0.15">
      <c r="A222" t="s">
        <v>8906</v>
      </c>
      <c r="B222" s="2651" t="s">
        <v>8926</v>
      </c>
    </row>
    <row r="223" spans="1:2" x14ac:dyDescent="0.15">
      <c r="A223" t="s">
        <v>8907</v>
      </c>
      <c r="B223" s="2651" t="s">
        <v>8927</v>
      </c>
    </row>
    <row r="224" spans="1:2" x14ac:dyDescent="0.15">
      <c r="A224" t="s">
        <v>8908</v>
      </c>
      <c r="B224" s="2651" t="s">
        <v>8928</v>
      </c>
    </row>
    <row r="225" spans="1:2" x14ac:dyDescent="0.15">
      <c r="A225" t="s">
        <v>8909</v>
      </c>
      <c r="B225" s="2651" t="s">
        <v>8929</v>
      </c>
    </row>
    <row r="226" spans="1:2" x14ac:dyDescent="0.15">
      <c r="A226" t="s">
        <v>8910</v>
      </c>
      <c r="B226" s="2651" t="s">
        <v>8930</v>
      </c>
    </row>
    <row r="227" spans="1:2" x14ac:dyDescent="0.15">
      <c r="A227" t="s">
        <v>8911</v>
      </c>
      <c r="B227" s="2651" t="s">
        <v>8931</v>
      </c>
    </row>
    <row r="228" spans="1:2" x14ac:dyDescent="0.15">
      <c r="A228" t="s">
        <v>8912</v>
      </c>
      <c r="B228" s="2651" t="s">
        <v>8932</v>
      </c>
    </row>
    <row r="229" spans="1:2" x14ac:dyDescent="0.15">
      <c r="A229" t="s">
        <v>8913</v>
      </c>
      <c r="B229" s="2651" t="s">
        <v>8933</v>
      </c>
    </row>
    <row r="230" spans="1:2" x14ac:dyDescent="0.15">
      <c r="A230" t="s">
        <v>8914</v>
      </c>
      <c r="B230" s="2651" t="s">
        <v>8934</v>
      </c>
    </row>
  </sheetData>
  <mergeCells count="2">
    <mergeCell ref="A1:A2"/>
    <mergeCell ref="B1:B2"/>
  </mergeCells>
  <phoneticPr fontId="1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L4" sqref="L4"/>
    </sheetView>
  </sheetViews>
  <sheetFormatPr defaultRowHeight="13.5" x14ac:dyDescent="0.15"/>
  <cols>
    <col min="1" max="1" customWidth="true" width="18.33203125" collapsed="false"/>
    <col min="2" max="3" customWidth="true" width="6.77734375" collapsed="false"/>
    <col min="4" max="7" customWidth="true" width="8.109375" collapsed="false"/>
    <col min="8" max="11" customWidth="true" width="10.33203125" collapsed="false"/>
    <col min="12" max="15" customWidth="true" width="8.109375" collapsed="false"/>
    <col min="16" max="17" customWidth="true" width="6.77734375" collapsed="false"/>
    <col min="18" max="18" customWidth="true" width="18.33203125" collapsed="false"/>
  </cols>
  <sheetData>
    <row r="1" spans="1:21" x14ac:dyDescent="0.15">
      <c r="A1" s="2694" t="s">
        <v>9602</v>
      </c>
    </row>
    <row r="2" spans="1:21" ht="14.25" thickBot="1" x14ac:dyDescent="0.2">
      <c r="A2" s="124"/>
      <c r="D2" s="125"/>
      <c r="E2" s="125"/>
      <c r="F2" s="125"/>
      <c r="G2" s="125"/>
      <c r="H2" s="124"/>
      <c r="I2" s="124"/>
      <c r="J2" s="124"/>
      <c r="K2" s="124"/>
      <c r="L2" s="125"/>
      <c r="M2" s="125"/>
      <c r="N2" s="125"/>
      <c r="O2" s="125"/>
      <c r="P2" s="125"/>
      <c r="Q2" s="125"/>
      <c r="S2" s="2147"/>
    </row>
    <row r="3" spans="1:21" ht="15" thickTop="1" thickBot="1" x14ac:dyDescent="0.2">
      <c r="A3" s="126" t="s">
        <v>6978</v>
      </c>
      <c r="D3" s="126"/>
      <c r="E3" s="126"/>
      <c r="F3" s="126"/>
      <c r="G3" s="126"/>
      <c r="H3" s="124"/>
      <c r="I3" s="3661" t="s">
        <v>4989</v>
      </c>
      <c r="J3" s="3667"/>
      <c r="K3" s="124"/>
      <c r="L3" s="126"/>
      <c r="M3" s="126"/>
      <c r="N3" s="126"/>
      <c r="O3" s="126"/>
      <c r="P3" s="126"/>
      <c r="Q3" s="126"/>
    </row>
    <row r="4" spans="1:21" ht="30" customHeight="1" thickTop="1" thickBot="1" x14ac:dyDescent="0.2">
      <c r="A4" s="127"/>
      <c r="B4" s="128"/>
      <c r="C4" s="128"/>
      <c r="D4" s="129"/>
      <c r="E4" s="129"/>
      <c r="F4" s="130"/>
      <c r="G4" s="129"/>
      <c r="H4" s="131"/>
      <c r="I4" s="128"/>
      <c r="J4" s="132"/>
      <c r="K4" s="1371" t="s">
        <v>4562</v>
      </c>
      <c r="L4" s="1368">
        <v>2.2999999999999998</v>
      </c>
      <c r="M4" s="1369">
        <v>2.1</v>
      </c>
      <c r="N4" s="1370">
        <v>2.9</v>
      </c>
      <c r="O4" s="508" t="s">
        <v>4563</v>
      </c>
      <c r="P4" s="133"/>
      <c r="Q4" s="128"/>
      <c r="R4" s="528" t="s">
        <v>6980</v>
      </c>
    </row>
    <row r="5" spans="1:21" ht="20.100000000000001" customHeight="1" thickTop="1" thickBot="1" x14ac:dyDescent="0.2">
      <c r="A5" s="134" t="s">
        <v>4629</v>
      </c>
      <c r="B5" s="135" t="s">
        <v>4565</v>
      </c>
      <c r="C5" s="136" t="s">
        <v>4566</v>
      </c>
      <c r="D5" s="135" t="s">
        <v>4567</v>
      </c>
      <c r="E5" s="135" t="s">
        <v>4568</v>
      </c>
      <c r="F5" s="135" t="s">
        <v>4569</v>
      </c>
      <c r="G5" s="135" t="s">
        <v>4570</v>
      </c>
      <c r="H5" s="137" t="s">
        <v>4571</v>
      </c>
      <c r="I5" s="138" t="s">
        <v>4572</v>
      </c>
      <c r="J5" s="139" t="s">
        <v>4572</v>
      </c>
      <c r="K5" s="135" t="s">
        <v>4571</v>
      </c>
      <c r="L5" s="135" t="s">
        <v>4567</v>
      </c>
      <c r="M5" s="135" t="s">
        <v>4568</v>
      </c>
      <c r="N5" s="135" t="s">
        <v>4569</v>
      </c>
      <c r="O5" s="135" t="s">
        <v>4570</v>
      </c>
      <c r="P5" s="135" t="s">
        <v>4565</v>
      </c>
      <c r="Q5" s="136" t="s">
        <v>4566</v>
      </c>
      <c r="R5" s="140" t="s">
        <v>4629</v>
      </c>
      <c r="S5" s="2691"/>
      <c r="U5" s="2691"/>
    </row>
    <row r="6" spans="1:21" ht="20.100000000000001" customHeight="1" thickTop="1" x14ac:dyDescent="0.15">
      <c r="A6" s="636" t="s">
        <v>6944</v>
      </c>
      <c r="B6" s="142" t="s">
        <v>4631</v>
      </c>
      <c r="C6" s="152" t="s">
        <v>4575</v>
      </c>
      <c r="D6" s="2654" cm="1" t="n">
        <f t="array" ref="D6">INDEX('6층_부하량'!C3:C3000,MATCH(1,("6-DaHall 1-CEP-05"='6층_부하량'!A3:A3000)*(1='6층_부하량'!B3:B3000),0))</f>
        <v>0.0</v>
      </c>
      <c r="E6" s="2654" cm="1" t="n">
        <f t="array" ref="E6">INDEX('6층_부하량'!D3:D3000,MATCH(1,("6-DaHall 1-CEP-05"='6층_부하량'!A3:A3000)*(1='6층_부하량'!B3:B3000),0))</f>
        <v>0.75</v>
      </c>
      <c r="F6" s="2654" cm="1" t="n">
        <f t="array" ref="F6">INDEX('6층_부하량'!E3:E3000,MATCH(1,("6-DaHall 1-CEP-05"='6층_부하량'!A3:A3000)*(1='6층_부하량'!B3:B3000),0))</f>
        <v>0.67</v>
      </c>
      <c r="G6" s="352"/>
      <c r="H6" s="142" t="s">
        <v>4990</v>
      </c>
      <c r="I6" s="145" t="s">
        <v>4633</v>
      </c>
      <c r="J6" s="1289"/>
      <c r="K6" s="1289"/>
      <c r="L6" s="1290"/>
      <c r="M6" s="1290"/>
      <c r="N6" s="1290"/>
      <c r="O6" s="1290"/>
      <c r="P6" s="1289"/>
      <c r="Q6" s="1291"/>
      <c r="R6" s="1292"/>
    </row>
    <row r="7" spans="1:21" ht="20.100000000000001" customHeight="1" x14ac:dyDescent="0.15">
      <c r="A7" s="1293"/>
      <c r="B7" s="143" t="s">
        <v>565</v>
      </c>
      <c r="C7" s="189" t="s">
        <v>4723</v>
      </c>
      <c r="D7" s="1294" t="s">
        <v>4991</v>
      </c>
      <c r="E7" s="1294" t="s">
        <v>4992</v>
      </c>
      <c r="F7" s="1294" t="s">
        <v>4993</v>
      </c>
      <c r="G7" s="1294" t="s">
        <v>4994</v>
      </c>
      <c r="H7" s="143" t="s">
        <v>4995</v>
      </c>
      <c r="I7" s="150" t="s">
        <v>4863</v>
      </c>
      <c r="J7" s="151" t="s">
        <v>4582</v>
      </c>
      <c r="K7" s="143" t="s">
        <v>4968</v>
      </c>
      <c r="L7" s="2655" cm="1" t="n">
        <f t="array" ref="L7">INDEX('6층_부하량'!C3:C3000,MATCH(1,("6-DaHall 1-CEP-05"='6층_부하량'!A3:A3000)*(3='6층_부하량'!B3:B3000),0))</f>
        <v>0.0</v>
      </c>
      <c r="M7" s="2655" cm="1" t="n">
        <f t="array" ref="M7">INDEX('6층_부하량'!D3:D3000,MATCH(1,("6-DaHall 1-CEP-05"='6층_부하량'!A3:A3000)*(3='6층_부하량'!B3:B3000),0))</f>
        <v>0.0</v>
      </c>
      <c r="N7" s="2655" cm="1" t="n">
        <f t="array" ref="N7">INDEX('6층_부하량'!E3:E3000,MATCH(1,("6-DaHall 1-CEP-05"='6층_부하량'!A3:A3000)*(3='6층_부하량'!B3:B3000),0))</f>
        <v>0.0</v>
      </c>
      <c r="O7" s="149"/>
      <c r="P7" s="143" t="s">
        <v>565</v>
      </c>
      <c r="Q7" s="143" t="s">
        <v>4642</v>
      </c>
      <c r="R7" s="153"/>
    </row>
    <row r="8" spans="1:21" ht="27" x14ac:dyDescent="0.15">
      <c r="A8" s="2538" t="s">
        <v>6979</v>
      </c>
      <c r="B8" s="143" t="s">
        <v>4631</v>
      </c>
      <c r="C8" s="189" t="s">
        <v>4575</v>
      </c>
      <c r="D8" s="2656" cm="1" t="n">
        <f t="array" ref="D8">INDEX('6층_부하량'!C3:C3000,MATCH(1,("6-DaHall 1-CEP-05"='6층_부하량'!A3:A3000)*(4='6층_부하량'!B3:B3000),0))</f>
        <v>0.0</v>
      </c>
      <c r="E8" s="2656" cm="1" t="n">
        <f t="array" ref="E8">INDEX('6층_부하량'!D3:D3000,MATCH(1,("6-DaHall 1-CEP-05"='6층_부하량'!A3:A3000)*(4='6층_부하량'!B3:B3000),0))</f>
        <v>0.0</v>
      </c>
      <c r="F8" s="2656" cm="1" t="n">
        <f t="array" ref="F8">INDEX('6층_부하량'!E3:E3000,MATCH(1,("6-DaHall 1-CEP-05"='6층_부하량'!A3:A3000)*(4='6층_부하량'!B3:B3000),0))</f>
        <v>0.0</v>
      </c>
      <c r="G8" s="343"/>
      <c r="H8" s="143" t="s">
        <v>4996</v>
      </c>
      <c r="I8" s="154" t="s">
        <v>4865</v>
      </c>
      <c r="J8" s="155" t="s">
        <v>4587</v>
      </c>
      <c r="K8" s="156" t="s">
        <v>4996</v>
      </c>
      <c r="L8" s="2656" cm="1" t="n">
        <f t="array" ref="L8">INDEX('6층_부하량'!C3:C3000,MATCH(1,("6-DaHall 1-CEP-05"='6층_부하량'!A3:A3000)*(5='6층_부하량'!B3:B3000),0))</f>
        <v>0.0</v>
      </c>
      <c r="M8" s="2656" cm="1" t="n">
        <f t="array" ref="M8">INDEX('6층_부하량'!D3:D3000,MATCH(1,("6-DaHall 1-CEP-05"='6층_부하량'!A3:A3000)*(5='6층_부하량'!B3:B3000),0))</f>
        <v>0.0</v>
      </c>
      <c r="N8" s="2656" cm="1" t="n">
        <f t="array" ref="N8">INDEX('6층_부하량'!E3:E3000,MATCH(1,("6-DaHall 1-CEP-05"='6층_부하량'!A3:A3000)*(5='6층_부하량'!B3:B3000),0))</f>
        <v>0.0</v>
      </c>
      <c r="O8" s="157"/>
      <c r="P8" s="143" t="s">
        <v>565</v>
      </c>
      <c r="Q8" s="143" t="s">
        <v>4642</v>
      </c>
      <c r="R8" s="153"/>
    </row>
    <row r="9" spans="1:21" ht="20.100000000000001" customHeight="1" x14ac:dyDescent="0.15">
      <c r="A9" s="257"/>
      <c r="B9" s="143" t="s">
        <v>565</v>
      </c>
      <c r="C9" s="143" t="s">
        <v>4642</v>
      </c>
      <c r="D9" s="2656" cm="1" t="n">
        <f t="array" ref="D9">INDEX('6층_부하량'!C3:C3000,MATCH(1,("6-DaHall 1-CEP-05"='6층_부하량'!A3:A3000)*(6='6층_부하량'!B3:B3000),0))</f>
        <v>0.0</v>
      </c>
      <c r="E9" s="2656" cm="1" t="n">
        <f t="array" ref="E9">INDEX('6층_부하량'!D3:D3000,MATCH(1,("6-DaHall 1-CEP-05"='6층_부하량'!A3:A3000)*(6='6층_부하량'!B3:B3000),0))</f>
        <v>0.0</v>
      </c>
      <c r="F9" s="2656" cm="1" t="n">
        <f t="array" ref="F9">INDEX('6층_부하량'!E3:E3000,MATCH(1,("6-DaHall 1-CEP-05"='6층_부하량'!A3:A3000)*(6='6층_부하량'!B3:B3000),0))</f>
        <v>0.0</v>
      </c>
      <c r="G9" s="157"/>
      <c r="H9" s="143" t="s">
        <v>4996</v>
      </c>
      <c r="I9" s="154" t="s">
        <v>4868</v>
      </c>
      <c r="J9" s="155" t="s">
        <v>4592</v>
      </c>
      <c r="K9" s="143" t="s">
        <v>4996</v>
      </c>
      <c r="L9" s="2656" cm="1" t="n">
        <f t="array" ref="L9">INDEX('6층_부하량'!C3:C3000,MATCH(1,("6-DaHall 1-CEP-05"='6층_부하량'!A3:A3000)*(7='6층_부하량'!B3:B3000),0))</f>
        <v>0.0</v>
      </c>
      <c r="M9" s="2656" cm="1" t="n">
        <f t="array" ref="M9">INDEX('6층_부하량'!D3:D3000,MATCH(1,("6-DaHall 1-CEP-05"='6층_부하량'!A3:A3000)*(7='6층_부하량'!B3:B3000),0))</f>
        <v>0.0</v>
      </c>
      <c r="N9" s="2656" cm="1" t="n">
        <f t="array" ref="N9">INDEX('6층_부하량'!E3:E3000,MATCH(1,("6-DaHall 1-CEP-05"='6층_부하량'!A3:A3000)*(7='6층_부하량'!B3:B3000),0))</f>
        <v>0.0</v>
      </c>
      <c r="O9" s="157"/>
      <c r="P9" s="143" t="s">
        <v>4631</v>
      </c>
      <c r="Q9" s="143" t="s">
        <v>4642</v>
      </c>
      <c r="R9" s="153" t="s">
        <v>4997</v>
      </c>
    </row>
    <row r="10" spans="1:21" ht="20.100000000000001" customHeight="1" x14ac:dyDescent="0.15">
      <c r="A10" s="257"/>
      <c r="B10" s="143" t="s">
        <v>565</v>
      </c>
      <c r="C10" s="143" t="s">
        <v>4642</v>
      </c>
      <c r="D10" s="2656" cm="1" t="n">
        <f t="array" ref="D10">INDEX('6층_부하량'!C3:C3000,MATCH(1,("6-DaHall 1-CEP-05"='6층_부하량'!A3:A3000)*(8='6층_부하량'!B3:B3000),0))</f>
        <v>0.0</v>
      </c>
      <c r="E10" s="2656" cm="1" t="n">
        <f t="array" ref="E10">INDEX('6층_부하량'!D3:D3000,MATCH(1,("6-DaHall 1-CEP-05"='6층_부하량'!A3:A3000)*(8='6층_부하량'!B3:B3000),0))</f>
        <v>0.0</v>
      </c>
      <c r="F10" s="2656" cm="1" t="n">
        <f t="array" ref="F10">INDEX('6층_부하량'!E3:E3000,MATCH(1,("6-DaHall 1-CEP-05"='6층_부하량'!A3:A3000)*(8='6층_부하량'!B3:B3000),0))</f>
        <v>0.0</v>
      </c>
      <c r="G10" s="157"/>
      <c r="H10" s="143" t="s">
        <v>4996</v>
      </c>
      <c r="I10" s="154" t="s">
        <v>4871</v>
      </c>
      <c r="J10" s="155" t="s">
        <v>4595</v>
      </c>
      <c r="K10" s="156" t="s">
        <v>4996</v>
      </c>
      <c r="L10" s="2656" cm="1" t="n">
        <f t="array" ref="L10">INDEX('6층_부하량'!C3:C3000,MATCH(1,("6-DaHall 1-CEP-05"='6층_부하량'!A3:A3000)*(9='6층_부하량'!B3:B3000),0))</f>
        <v>0.0</v>
      </c>
      <c r="M10" s="2656" cm="1" t="n">
        <f t="array" ref="M10">INDEX('6층_부하량'!D3:D3000,MATCH(1,("6-DaHall 1-CEP-05"='6층_부하량'!A3:A3000)*(9='6층_부하량'!B3:B3000),0))</f>
        <v>0.0</v>
      </c>
      <c r="N10" s="2656" cm="1" t="n">
        <f t="array" ref="N10">INDEX('6층_부하량'!E3:E3000,MATCH(1,("6-DaHall 1-CEP-05"='6층_부하량'!A3:A3000)*(9='6층_부하량'!B3:B3000),0))</f>
        <v>0.0</v>
      </c>
      <c r="O10" s="157"/>
      <c r="P10" s="143" t="s">
        <v>565</v>
      </c>
      <c r="Q10" s="159" t="s">
        <v>4642</v>
      </c>
      <c r="R10" s="153"/>
    </row>
    <row r="11" spans="1:21" ht="20.100000000000001" customHeight="1" thickBot="1" x14ac:dyDescent="0.2">
      <c r="A11" s="158" t="s">
        <v>4998</v>
      </c>
      <c r="B11" s="159" t="s">
        <v>4590</v>
      </c>
      <c r="C11" s="159" t="s">
        <v>4642</v>
      </c>
      <c r="D11" s="2665" cm="1" t="n">
        <f t="array" ref="D11">INDEX('6층_부하량'!C3:C3000,MATCH(1,("6-DaHall 1-CEP-05"='6층_부하량'!A3:A3000)*(10='6층_부하량'!B3:B3000),0))</f>
        <v>0.0</v>
      </c>
      <c r="E11" s="2665" cm="1" t="n">
        <f t="array" ref="E11">INDEX('6층_부하량'!D3:D3000,MATCH(1,("6-DaHall 1-CEP-05"='6층_부하량'!A3:A3000)*(10='6층_부하량'!B3:B3000),0))</f>
        <v>0.0</v>
      </c>
      <c r="F11" s="2665" cm="1" t="n">
        <f t="array" ref="F11">INDEX('6층_부하량'!E3:E3000,MATCH(1,("6-DaHall 1-CEP-05"='6층_부하량'!A3:A3000)*(10='6층_부하량'!B3:B3000),0))</f>
        <v>0.0</v>
      </c>
      <c r="G11" s="160"/>
      <c r="H11" s="159" t="s">
        <v>4996</v>
      </c>
      <c r="I11" s="161" t="s">
        <v>4874</v>
      </c>
      <c r="J11" s="162" t="s">
        <v>4598</v>
      </c>
      <c r="K11" s="159" t="s">
        <v>4964</v>
      </c>
      <c r="L11" s="2665" cm="1" t="n">
        <f t="array" ref="L11">INDEX('6층_부하량'!C3:C3000,MATCH(1,("6-DaHall 1-CEP-05"='6층_부하량'!A3:A3000)*(11='6층_부하량'!B3:B3000),0))</f>
        <v>0.0</v>
      </c>
      <c r="M11" s="2666" cm="1" t="n">
        <f t="array" ref="M11">INDEX('6층_부하량'!D3:D3000,MATCH(1,("6-DaHall 1-CEP-05"='6층_부하량'!A3:A3000)*(11='6층_부하량'!B3:B3000),0))</f>
        <v>0.0</v>
      </c>
      <c r="N11" s="2666" cm="1" t="n">
        <f t="array" ref="N11">INDEX('6층_부하량'!E3:E3000,MATCH(1,("6-DaHall 1-CEP-05"='6층_부하량'!A3:A3000)*(11='6층_부하량'!B3:B3000),0))</f>
        <v>0.0</v>
      </c>
      <c r="O11" s="354"/>
      <c r="P11" s="177" t="s">
        <v>4574</v>
      </c>
      <c r="Q11" s="2340" t="s">
        <v>4575</v>
      </c>
      <c r="R11" s="635" t="s">
        <v>4999</v>
      </c>
    </row>
    <row r="12" spans="1:21" ht="20.100000000000001" customHeight="1" thickTop="1" x14ac:dyDescent="0.15">
      <c r="A12" s="636"/>
      <c r="B12" s="142" t="s">
        <v>4579</v>
      </c>
      <c r="C12" s="2341" t="s">
        <v>4723</v>
      </c>
      <c r="D12" s="2667" cm="1" t="n">
        <f t="array" ref="D12">INDEX('6층_부하량'!C3:C3000,MATCH(1,("6-DaHall 1-CEP-05"='6층_부하량'!A3:A3000)*(12='6층_부하량'!B3:B3000),0))</f>
        <v>0.0</v>
      </c>
      <c r="E12" s="163"/>
      <c r="F12" s="163"/>
      <c r="G12" s="163"/>
      <c r="H12" s="142" t="s">
        <v>5000</v>
      </c>
      <c r="I12" s="145" t="s">
        <v>4876</v>
      </c>
      <c r="J12" s="328" t="s">
        <v>4600</v>
      </c>
      <c r="K12" s="142" t="s">
        <v>5000</v>
      </c>
      <c r="L12" s="2667" cm="1" t="n">
        <f t="array" ref="L12">INDEX('6층_부하량'!C3:C3000,MATCH(1,("6-DaHall 1-CEP-05"='6층_부하량'!A3:A3000)*(13='6층_부하량'!B3:B3000),0))</f>
        <v>0.0</v>
      </c>
      <c r="M12" s="163"/>
      <c r="N12" s="163"/>
      <c r="O12" s="163"/>
      <c r="P12" s="179" t="s">
        <v>4635</v>
      </c>
      <c r="Q12" s="156" t="s">
        <v>4584</v>
      </c>
      <c r="R12" s="327"/>
    </row>
    <row r="13" spans="1:21" ht="27" x14ac:dyDescent="0.15">
      <c r="A13" s="1325"/>
      <c r="B13" s="143" t="s">
        <v>4579</v>
      </c>
      <c r="C13" s="143" t="s">
        <v>4584</v>
      </c>
      <c r="D13" s="157"/>
      <c r="E13" s="2656" cm="1" t="n">
        <f t="array" ref="E13">INDEX('6층_부하량'!D3:D3000,MATCH(1,("6-DaHall 1-CEP-05"='6층_부하량'!A3:A3000)*(14='6층_부하량'!B3:B3000),0))</f>
        <v>0.0</v>
      </c>
      <c r="F13" s="157"/>
      <c r="G13" s="157"/>
      <c r="H13" s="143" t="s">
        <v>5000</v>
      </c>
      <c r="I13" s="150" t="s">
        <v>4880</v>
      </c>
      <c r="J13" s="329" t="s">
        <v>4602</v>
      </c>
      <c r="K13" s="143" t="s">
        <v>5001</v>
      </c>
      <c r="L13" s="157"/>
      <c r="M13" s="2656" cm="1" t="n">
        <f t="array" ref="M13">INDEX('6층_부하량'!D3:D3000,MATCH(1,("6-DaHall 1-CEP-05"='6층_부하량'!A3:A3000)*(15='6층_부하량'!B3:B3000),0))</f>
        <v>0.0</v>
      </c>
      <c r="N13" s="157"/>
      <c r="O13" s="157"/>
      <c r="P13" s="157" t="s">
        <v>4635</v>
      </c>
      <c r="Q13" s="309" t="s">
        <v>4575</v>
      </c>
      <c r="R13" s="326" t="s">
        <v>6981</v>
      </c>
    </row>
    <row r="14" spans="1:21" ht="27.75" thickBot="1" x14ac:dyDescent="0.2">
      <c r="A14" s="324"/>
      <c r="B14" s="166" t="s">
        <v>4579</v>
      </c>
      <c r="C14" s="166" t="s">
        <v>4584</v>
      </c>
      <c r="D14" s="167"/>
      <c r="E14" s="167"/>
      <c r="F14" s="2659" cm="1" t="n">
        <f t="array" ref="F14">INDEX('6층_부하량'!E3:E3000,MATCH(1,("6-DaHall 1-CEP-05"='6층_부하량'!A3:A3000)*(16='6층_부하량'!B3:B3000),0))</f>
        <v>0.0</v>
      </c>
      <c r="G14" s="167"/>
      <c r="H14" s="166" t="s">
        <v>5000</v>
      </c>
      <c r="I14" s="168" t="s">
        <v>4883</v>
      </c>
      <c r="J14" s="290" t="s">
        <v>4604</v>
      </c>
      <c r="K14" s="166" t="s">
        <v>5001</v>
      </c>
      <c r="L14" s="167"/>
      <c r="M14" s="167"/>
      <c r="N14" s="2659" cm="1" t="n">
        <f t="array" ref="N14">INDEX('6층_부하량'!E3:E3000,MATCH(1,("6-DaHall 1-CEP-05"='6층_부하량'!A3:A3000)*(17='6층_부하량'!B3:B3000),0))</f>
        <v>0.0</v>
      </c>
      <c r="O14" s="167"/>
      <c r="P14" s="166" t="s">
        <v>4579</v>
      </c>
      <c r="Q14" s="288" t="s">
        <v>4575</v>
      </c>
      <c r="R14" s="325" t="s">
        <v>6982</v>
      </c>
    </row>
    <row r="15" spans="1:21" ht="20.100000000000001" customHeight="1" thickTop="1" x14ac:dyDescent="0.15">
      <c r="A15" s="171"/>
      <c r="B15" s="128"/>
      <c r="C15" s="128" t="s">
        <v>2800</v>
      </c>
      <c r="D15" s="131" t="n">
        <f>SUM(D12:F14)+SUM(L12:N14)</f>
        <v>0.0</v>
      </c>
      <c r="E15" s="131"/>
      <c r="F15" s="131"/>
      <c r="G15" s="131"/>
      <c r="H15" s="133"/>
      <c r="I15" s="172"/>
      <c r="J15" s="172"/>
      <c r="K15" s="128" t="s">
        <v>4713</v>
      </c>
      <c r="L15" s="131" t="n">
        <f>SUM(D6:D14,L6:L14)</f>
        <v>0.0</v>
      </c>
      <c r="M15" s="131" t="n">
        <f>SUM(E6:E14,M6:M14)</f>
        <v>0.75</v>
      </c>
      <c r="N15" s="131" t="n">
        <f>SUM(F6:F14,N6:N14)</f>
        <v>0.67</v>
      </c>
      <c r="O15" s="131" t="n">
        <f>SUM(G6:G14,O6:O14)</f>
        <v>0.0</v>
      </c>
      <c r="P15" s="131"/>
      <c r="Q15" s="128"/>
      <c r="R15" s="131"/>
    </row>
    <row r="16" spans="1:21" ht="20.100000000000001" customHeight="1" thickBot="1" x14ac:dyDescent="0.2">
      <c r="A16" s="171"/>
      <c r="B16" s="128"/>
      <c r="C16" s="128"/>
      <c r="D16" s="131"/>
      <c r="E16" s="131"/>
      <c r="F16" s="131"/>
      <c r="G16" s="131"/>
      <c r="H16" s="133"/>
      <c r="I16" s="172"/>
      <c r="J16" s="172"/>
      <c r="K16" s="133"/>
      <c r="L16" s="131" t="n">
        <f>SUM(L15:O15)</f>
        <v>1.42</v>
      </c>
      <c r="M16" s="131" t="n">
        <f>SUM(D12:O14)</f>
        <v>0.0</v>
      </c>
      <c r="N16" s="1005" t="n">
        <f>M16/L16</f>
        <v>0.0</v>
      </c>
      <c r="O16" s="131"/>
      <c r="P16" s="131"/>
      <c r="Q16" s="128"/>
      <c r="R16" s="131"/>
    </row>
    <row r="17" spans="1:18" ht="20.100000000000001" customHeight="1" thickTop="1" thickBot="1" x14ac:dyDescent="0.2">
      <c r="A17" s="173" t="s">
        <v>6997</v>
      </c>
      <c r="B17" s="128"/>
      <c r="C17" s="3660" t="s">
        <v>5002</v>
      </c>
      <c r="D17" s="3660"/>
      <c r="E17" s="3660"/>
      <c r="F17" s="173"/>
      <c r="G17" s="173"/>
      <c r="H17" s="133"/>
      <c r="I17" s="3665" t="s">
        <v>5003</v>
      </c>
      <c r="J17" s="3666"/>
      <c r="K17" s="133"/>
      <c r="L17" s="173"/>
      <c r="M17" s="173"/>
      <c r="N17" s="173"/>
      <c r="O17" s="173"/>
      <c r="P17" s="173"/>
      <c r="Q17" s="173"/>
      <c r="R17" s="128"/>
    </row>
    <row r="18" spans="1:18" ht="20.100000000000001" customHeight="1" thickTop="1" thickBot="1" x14ac:dyDescent="0.2">
      <c r="A18" s="127"/>
      <c r="B18" s="128"/>
      <c r="C18" s="128"/>
      <c r="D18" s="129"/>
      <c r="E18" s="129"/>
      <c r="F18" s="130"/>
      <c r="G18" s="129"/>
      <c r="H18" s="131"/>
      <c r="I18" s="128"/>
      <c r="J18" s="132"/>
      <c r="K18" s="1371" t="s">
        <v>4562</v>
      </c>
      <c r="L18" s="1368">
        <v>0</v>
      </c>
      <c r="M18" s="1369">
        <v>0</v>
      </c>
      <c r="N18" s="1370">
        <v>0</v>
      </c>
      <c r="O18" s="508" t="s">
        <v>4563</v>
      </c>
      <c r="P18" s="133"/>
      <c r="Q18" s="128"/>
      <c r="R18" s="528"/>
    </row>
    <row r="19" spans="1:18" ht="20.100000000000001" customHeight="1" thickTop="1" thickBot="1" x14ac:dyDescent="0.2">
      <c r="A19" s="134" t="s">
        <v>4564</v>
      </c>
      <c r="B19" s="135" t="s">
        <v>4565</v>
      </c>
      <c r="C19" s="136" t="s">
        <v>4566</v>
      </c>
      <c r="D19" s="135" t="s">
        <v>4567</v>
      </c>
      <c r="E19" s="135" t="s">
        <v>4568</v>
      </c>
      <c r="F19" s="135" t="s">
        <v>4569</v>
      </c>
      <c r="G19" s="135" t="s">
        <v>4570</v>
      </c>
      <c r="H19" s="135" t="s">
        <v>4571</v>
      </c>
      <c r="I19" s="138" t="s">
        <v>4572</v>
      </c>
      <c r="J19" s="139" t="s">
        <v>4572</v>
      </c>
      <c r="K19" s="135" t="s">
        <v>4571</v>
      </c>
      <c r="L19" s="135" t="s">
        <v>4567</v>
      </c>
      <c r="M19" s="135" t="s">
        <v>4568</v>
      </c>
      <c r="N19" s="135" t="s">
        <v>4569</v>
      </c>
      <c r="O19" s="135" t="s">
        <v>4570</v>
      </c>
      <c r="P19" s="135" t="s">
        <v>4565</v>
      </c>
      <c r="Q19" s="136" t="s">
        <v>4566</v>
      </c>
      <c r="R19" s="140" t="s">
        <v>4564</v>
      </c>
    </row>
    <row r="20" spans="1:18" ht="27.75" thickTop="1" x14ac:dyDescent="0.15">
      <c r="A20" s="265" t="s">
        <v>5004</v>
      </c>
      <c r="B20" s="142" t="s">
        <v>4574</v>
      </c>
      <c r="C20" s="283" t="s">
        <v>4575</v>
      </c>
      <c r="D20" s="144"/>
      <c r="E20" s="2654" cm="1" t="n">
        <f t="array" ref="E20">INDEX('6층_부하량'!D3:D3000,MATCH(1,("6-DaHall 1-PDU-13"='6층_부하량'!A3:A3000)*(1='6층_부하량'!B3:B3000),0))</f>
        <v>0.0</v>
      </c>
      <c r="F20" s="144"/>
      <c r="G20" s="144"/>
      <c r="H20" s="142" t="s">
        <v>4576</v>
      </c>
      <c r="I20" s="145" t="s">
        <v>4577</v>
      </c>
      <c r="J20" s="1458" t="s">
        <v>4578</v>
      </c>
      <c r="K20" s="142" t="s">
        <v>4576</v>
      </c>
      <c r="L20" s="144"/>
      <c r="M20" s="2654" cm="1" t="n">
        <f t="array" ref="M20">INDEX('6층_부하량'!D3:D3000,MATCH(1,("6-DaHall 1-PDU-13"='6층_부하량'!A3:A3000)*(2='6층_부하량'!B3:B3000),0))</f>
        <v>0.0</v>
      </c>
      <c r="N20" s="144"/>
      <c r="O20" s="144"/>
      <c r="P20" s="142" t="s">
        <v>4579</v>
      </c>
      <c r="Q20" s="156" t="s">
        <v>4584</v>
      </c>
      <c r="R20" s="276" t="s">
        <v>5005</v>
      </c>
    </row>
    <row r="21" spans="1:18" ht="27" x14ac:dyDescent="0.15">
      <c r="A21" s="263" t="s">
        <v>1932</v>
      </c>
      <c r="B21" s="143" t="s">
        <v>4574</v>
      </c>
      <c r="C21" s="283" t="s">
        <v>4575</v>
      </c>
      <c r="D21" s="149"/>
      <c r="E21" s="149"/>
      <c r="F21" s="2655" cm="1" t="n">
        <f t="array" ref="F21">INDEX('6층_부하량'!E3:E3000,MATCH(1,("6-DaHall 1-PDU-13"='6층_부하량'!A3:A3000)*(3='6층_부하량'!B3:B3000),0))</f>
        <v>0.0</v>
      </c>
      <c r="G21" s="149"/>
      <c r="H21" s="143" t="s">
        <v>4576</v>
      </c>
      <c r="I21" s="150" t="s">
        <v>4582</v>
      </c>
      <c r="J21" s="1459" t="s">
        <v>4583</v>
      </c>
      <c r="K21" s="143" t="s">
        <v>4576</v>
      </c>
      <c r="L21" s="149"/>
      <c r="M21" s="149"/>
      <c r="N21" s="2655" cm="1" t="n">
        <f t="array" ref="N21">INDEX('6층_부하량'!E3:E3000,MATCH(1,("6-DaHall 1-PDU-13"='6층_부하량'!A3:A3000)*(4='6층_부하량'!B3:B3000),0))</f>
        <v>0.0</v>
      </c>
      <c r="O21" s="149"/>
      <c r="P21" s="143" t="s">
        <v>4579</v>
      </c>
      <c r="Q21" s="143" t="s">
        <v>4584</v>
      </c>
      <c r="R21" s="264" t="s">
        <v>5006</v>
      </c>
    </row>
    <row r="22" spans="1:18" ht="20.100000000000001" customHeight="1" x14ac:dyDescent="0.15">
      <c r="A22" s="258" t="s">
        <v>1937</v>
      </c>
      <c r="B22" s="143" t="s">
        <v>4574</v>
      </c>
      <c r="C22" s="283" t="s">
        <v>4575</v>
      </c>
      <c r="D22" s="2656" cm="1" t="n">
        <f t="array" ref="D22">INDEX('6층_부하량'!C3:C3000,MATCH(1,("6-DaHall 1-PDU-13"='6층_부하량'!A3:A3000)*(5='6층_부하량'!B3:B3000),0))</f>
        <v>0.0</v>
      </c>
      <c r="E22" s="157"/>
      <c r="F22" s="157"/>
      <c r="G22" s="157"/>
      <c r="H22" s="143" t="s">
        <v>4576</v>
      </c>
      <c r="I22" s="150" t="s">
        <v>4587</v>
      </c>
      <c r="J22" s="1459" t="s">
        <v>4588</v>
      </c>
      <c r="K22" s="143" t="s">
        <v>4576</v>
      </c>
      <c r="L22" s="2656" cm="1" t="n">
        <f t="array" ref="L22">INDEX('6층_부하량'!C3:C3000,MATCH(1,("6-DaHall 1-PDU-13"='6층_부하량'!A3:A3000)*(6='6층_부하량'!B3:B3000),0))</f>
        <v>0.0</v>
      </c>
      <c r="M22" s="157"/>
      <c r="N22" s="157"/>
      <c r="O22" s="157"/>
      <c r="P22" s="143" t="s">
        <v>4579</v>
      </c>
      <c r="Q22" s="143" t="s">
        <v>4584</v>
      </c>
      <c r="R22" s="256" t="s">
        <v>5007</v>
      </c>
    </row>
    <row r="23" spans="1:18" ht="20.100000000000001" customHeight="1" x14ac:dyDescent="0.15">
      <c r="A23" s="260" t="s">
        <v>1942</v>
      </c>
      <c r="B23" s="143" t="s">
        <v>4574</v>
      </c>
      <c r="C23" s="283" t="s">
        <v>4575</v>
      </c>
      <c r="D23" s="157"/>
      <c r="E23" s="2656" cm="1" t="n">
        <f t="array" ref="E23">INDEX('6층_부하량'!D3:D3000,MATCH(1,("6-DaHall 1-PDU-13"='6층_부하량'!A3:A3000)*(7='6층_부하량'!B3:B3000),0))</f>
        <v>0.0</v>
      </c>
      <c r="F23" s="157"/>
      <c r="G23" s="157"/>
      <c r="H23" s="143" t="s">
        <v>4576</v>
      </c>
      <c r="I23" s="150" t="s">
        <v>4592</v>
      </c>
      <c r="J23" s="1459" t="s">
        <v>4593</v>
      </c>
      <c r="K23" s="143" t="s">
        <v>4576</v>
      </c>
      <c r="L23" s="157"/>
      <c r="M23" s="2656" cm="1" t="n">
        <f t="array" ref="M23">INDEX('6층_부하량'!D3:D3000,MATCH(1,("6-DaHall 1-PDU-13"='6층_부하량'!A3:A3000)*(8='6층_부하량'!B3:B3000),0))</f>
        <v>0.0</v>
      </c>
      <c r="N23" s="157"/>
      <c r="O23" s="157"/>
      <c r="P23" s="143" t="s">
        <v>4574</v>
      </c>
      <c r="Q23" s="143" t="s">
        <v>4591</v>
      </c>
      <c r="R23" s="256" t="s">
        <v>1345</v>
      </c>
    </row>
    <row r="24" spans="1:18" ht="20.100000000000001" customHeight="1" x14ac:dyDescent="0.15">
      <c r="A24" s="258" t="s">
        <v>5008</v>
      </c>
      <c r="B24" s="143" t="s">
        <v>4574</v>
      </c>
      <c r="C24" s="143" t="s">
        <v>4591</v>
      </c>
      <c r="D24" s="157"/>
      <c r="E24" s="157"/>
      <c r="F24" s="2656" cm="1" t="n">
        <f t="array" ref="F24">INDEX('6층_부하량'!E3:E3000,MATCH(1,("6-DaHall 1-PDU-13"='6층_부하량'!A3:A3000)*(9='6층_부하량'!B3:B3000),0))</f>
        <v>0.0</v>
      </c>
      <c r="G24" s="157"/>
      <c r="H24" s="143" t="s">
        <v>4576</v>
      </c>
      <c r="I24" s="1465" t="s">
        <v>4595</v>
      </c>
      <c r="J24" s="1459" t="s">
        <v>4596</v>
      </c>
      <c r="K24" s="143" t="s">
        <v>4597</v>
      </c>
      <c r="L24" s="157"/>
      <c r="M24" s="157"/>
      <c r="N24" s="2656" cm="1" t="n">
        <f t="array" ref="N24">INDEX('6층_부하량'!E3:E3000,MATCH(1,("6-DaHall 1-PDU-13"='6층_부하량'!A3:A3000)*(10='6층_부하량'!B3:B3000),0))</f>
        <v>0.0</v>
      </c>
      <c r="O24" s="157"/>
      <c r="P24" s="143" t="s">
        <v>4574</v>
      </c>
      <c r="Q24" s="143" t="s">
        <v>4591</v>
      </c>
      <c r="R24" s="256" t="s">
        <v>1349</v>
      </c>
    </row>
    <row r="25" spans="1:18" ht="20.100000000000001" customHeight="1" x14ac:dyDescent="0.15">
      <c r="A25" s="258" t="s">
        <v>1436</v>
      </c>
      <c r="B25" s="143" t="s">
        <v>4574</v>
      </c>
      <c r="C25" s="143" t="s">
        <v>4591</v>
      </c>
      <c r="D25" s="2656" cm="1" t="n">
        <f t="array" ref="D25">INDEX('6층_부하량'!C3:C3000,MATCH(1,("6-DaHall 1-PDU-13"='6층_부하량'!A3:A3000)*(11='6층_부하량'!B3:B3000),0))</f>
        <v>0.0</v>
      </c>
      <c r="E25" s="157"/>
      <c r="F25" s="157"/>
      <c r="G25" s="157"/>
      <c r="H25" s="143" t="s">
        <v>4576</v>
      </c>
      <c r="I25" s="1465" t="s">
        <v>4598</v>
      </c>
      <c r="J25" s="1459" t="s">
        <v>4599</v>
      </c>
      <c r="K25" s="143" t="s">
        <v>4597</v>
      </c>
      <c r="L25" s="2656" cm="1" t="n">
        <f t="array" ref="L25">INDEX('6층_부하량'!C3:C3000,MATCH(1,("6-DaHall 1-PDU-13"='6층_부하량'!A3:A3000)*(12='6층_부하량'!B3:B3000),0))</f>
        <v>0.0</v>
      </c>
      <c r="M25" s="157"/>
      <c r="N25" s="157"/>
      <c r="O25" s="157"/>
      <c r="P25" s="143" t="s">
        <v>4574</v>
      </c>
      <c r="Q25" s="143" t="s">
        <v>4591</v>
      </c>
      <c r="R25" s="256" t="s">
        <v>1353</v>
      </c>
    </row>
    <row r="26" spans="1:18" ht="20.100000000000001" customHeight="1" x14ac:dyDescent="0.15">
      <c r="A26" s="258" t="s">
        <v>1440</v>
      </c>
      <c r="B26" s="143" t="s">
        <v>4574</v>
      </c>
      <c r="C26" s="143" t="s">
        <v>4591</v>
      </c>
      <c r="D26" s="149"/>
      <c r="E26" s="2655" cm="1" t="n">
        <f t="array" ref="E26">INDEX('6층_부하량'!D3:D3000,MATCH(1,("6-DaHall 1-PDU-13"='6층_부하량'!A3:A3000)*(13='6층_부하량'!B3:B3000),0))</f>
        <v>0.0</v>
      </c>
      <c r="F26" s="149"/>
      <c r="G26" s="157"/>
      <c r="H26" s="143" t="s">
        <v>4597</v>
      </c>
      <c r="I26" s="1465" t="s">
        <v>4600</v>
      </c>
      <c r="J26" s="1459" t="s">
        <v>4601</v>
      </c>
      <c r="K26" s="143" t="s">
        <v>4597</v>
      </c>
      <c r="L26" s="149"/>
      <c r="M26" s="2655" cm="1" t="n">
        <f t="array" ref="M26">INDEX('6층_부하량'!D3:D3000,MATCH(1,("6-DaHall 1-PDU-13"='6층_부하량'!A3:A3000)*(14='6층_부하량'!B3:B3000),0))</f>
        <v>0.0</v>
      </c>
      <c r="N26" s="149"/>
      <c r="O26" s="157"/>
      <c r="P26" s="143" t="s">
        <v>4574</v>
      </c>
      <c r="Q26" s="143" t="s">
        <v>4591</v>
      </c>
      <c r="R26" s="256" t="s">
        <v>1357</v>
      </c>
    </row>
    <row r="27" spans="1:18" ht="20.100000000000001" customHeight="1" x14ac:dyDescent="0.15">
      <c r="A27" s="258" t="s">
        <v>1444</v>
      </c>
      <c r="B27" s="143" t="s">
        <v>4574</v>
      </c>
      <c r="C27" s="143" t="s">
        <v>4591</v>
      </c>
      <c r="D27" s="157"/>
      <c r="E27" s="157"/>
      <c r="F27" s="2656" cm="1" t="n">
        <f t="array" ref="F27">INDEX('6층_부하량'!E3:E3000,MATCH(1,("6-DaHall 1-PDU-13"='6층_부하량'!A3:A3000)*(15='6층_부하량'!B3:B3000),0))</f>
        <v>0.0</v>
      </c>
      <c r="G27" s="157"/>
      <c r="H27" s="143" t="s">
        <v>4597</v>
      </c>
      <c r="I27" s="1465" t="s">
        <v>4602</v>
      </c>
      <c r="J27" s="1459" t="s">
        <v>4603</v>
      </c>
      <c r="K27" s="143" t="s">
        <v>4597</v>
      </c>
      <c r="L27" s="157"/>
      <c r="M27" s="157"/>
      <c r="N27" s="2656" cm="1" t="n">
        <f t="array" ref="N27">INDEX('6층_부하량'!E3:E3000,MATCH(1,("6-DaHall 1-PDU-13"='6층_부하량'!A3:A3000)*(16='6층_부하량'!B3:B3000),0))</f>
        <v>0.0</v>
      </c>
      <c r="O27" s="157"/>
      <c r="P27" s="143" t="s">
        <v>4574</v>
      </c>
      <c r="Q27" s="143" t="s">
        <v>4591</v>
      </c>
      <c r="R27" s="256" t="s">
        <v>1361</v>
      </c>
    </row>
    <row r="28" spans="1:18" ht="20.100000000000001" customHeight="1" x14ac:dyDescent="0.15">
      <c r="A28" s="258" t="s">
        <v>1448</v>
      </c>
      <c r="B28" s="143" t="s">
        <v>4574</v>
      </c>
      <c r="C28" s="143" t="s">
        <v>4591</v>
      </c>
      <c r="D28" s="2656" cm="1" t="n">
        <f t="array" ref="D28">INDEX('6층_부하량'!C3:C3000,MATCH(1,("6-DaHall 1-PDU-13"='6층_부하량'!A3:A3000)*(17='6층_부하량'!B3:B3000),0))</f>
        <v>0.0</v>
      </c>
      <c r="E28" s="157"/>
      <c r="F28" s="157"/>
      <c r="G28" s="157"/>
      <c r="H28" s="143" t="s">
        <v>4597</v>
      </c>
      <c r="I28" s="1465" t="s">
        <v>4604</v>
      </c>
      <c r="J28" s="1459" t="s">
        <v>4605</v>
      </c>
      <c r="K28" s="143" t="s">
        <v>4597</v>
      </c>
      <c r="L28" s="2656" cm="1" t="n">
        <f t="array" ref="L28">INDEX('6층_부하량'!C3:C3000,MATCH(1,("6-DaHall 1-PDU-13"='6층_부하량'!A3:A3000)*(18='6층_부하량'!B3:B3000),0))</f>
        <v>0.0</v>
      </c>
      <c r="M28" s="157"/>
      <c r="N28" s="157"/>
      <c r="O28" s="157"/>
      <c r="P28" s="143" t="s">
        <v>4574</v>
      </c>
      <c r="Q28" s="143" t="s">
        <v>4591</v>
      </c>
      <c r="R28" s="256" t="s">
        <v>1365</v>
      </c>
    </row>
    <row r="29" spans="1:18" ht="20.100000000000001" customHeight="1" x14ac:dyDescent="0.15">
      <c r="A29" s="258" t="s">
        <v>1452</v>
      </c>
      <c r="B29" s="143" t="s">
        <v>4574</v>
      </c>
      <c r="C29" s="143" t="s">
        <v>4591</v>
      </c>
      <c r="D29" s="149"/>
      <c r="E29" s="2655" cm="1" t="n">
        <f t="array" ref="E29">INDEX('6층_부하량'!D3:D3000,MATCH(1,("6-DaHall 1-PDU-13"='6층_부하량'!A3:A3000)*(19='6층_부하량'!B3:B3000),0))</f>
        <v>0.0</v>
      </c>
      <c r="F29" s="149"/>
      <c r="G29" s="157"/>
      <c r="H29" s="143" t="s">
        <v>4597</v>
      </c>
      <c r="I29" s="1465" t="s">
        <v>4608</v>
      </c>
      <c r="J29" s="1460" t="s">
        <v>4609</v>
      </c>
      <c r="K29" s="143" t="s">
        <v>4597</v>
      </c>
      <c r="L29" s="149"/>
      <c r="M29" s="2655" cm="1" t="n">
        <f t="array" ref="M29">INDEX('6층_부하량'!D3:D3000,MATCH(1,("6-DaHall 1-PDU-13"='6층_부하량'!A3:A3000)*(20='6층_부하량'!B3:B3000),0))</f>
        <v>0.0</v>
      </c>
      <c r="N29" s="149"/>
      <c r="O29" s="157"/>
      <c r="P29" s="157" t="s">
        <v>4574</v>
      </c>
      <c r="Q29" s="143" t="s">
        <v>4591</v>
      </c>
      <c r="R29" s="153" t="s">
        <v>5009</v>
      </c>
    </row>
    <row r="30" spans="1:18" ht="20.100000000000001" customHeight="1" x14ac:dyDescent="0.15">
      <c r="A30" s="258" t="s">
        <v>1456</v>
      </c>
      <c r="B30" s="143" t="s">
        <v>4574</v>
      </c>
      <c r="C30" s="143" t="s">
        <v>4591</v>
      </c>
      <c r="D30" s="157"/>
      <c r="E30" s="157"/>
      <c r="F30" s="2656" cm="1" t="n">
        <f t="array" ref="F30">INDEX('6층_부하량'!E3:E3000,MATCH(1,("6-DaHall 1-PDU-13"='6층_부하량'!A3:A3000)*(21='6층_부하량'!B3:B3000),0))</f>
        <v>0.0</v>
      </c>
      <c r="G30" s="157"/>
      <c r="H30" s="143" t="s">
        <v>4597</v>
      </c>
      <c r="I30" s="1465" t="s">
        <v>4612</v>
      </c>
      <c r="J30" s="1460" t="s">
        <v>4613</v>
      </c>
      <c r="K30" s="143" t="s">
        <v>4597</v>
      </c>
      <c r="L30" s="157"/>
      <c r="M30" s="157"/>
      <c r="N30" s="2656" cm="1" t="n">
        <f t="array" ref="N30">INDEX('6층_부하량'!E3:E3000,MATCH(1,("6-DaHall 1-PDU-13"='6층_부하량'!A3:A3000)*(22='6층_부하량'!B3:B3000),0))</f>
        <v>0.0</v>
      </c>
      <c r="O30" s="157"/>
      <c r="P30" s="157" t="s">
        <v>4574</v>
      </c>
      <c r="Q30" s="143" t="s">
        <v>4591</v>
      </c>
      <c r="R30" s="153" t="s">
        <v>5010</v>
      </c>
    </row>
    <row r="31" spans="1:18" ht="20.100000000000001" customHeight="1" x14ac:dyDescent="0.15">
      <c r="A31" s="258" t="s">
        <v>1460</v>
      </c>
      <c r="B31" s="143" t="s">
        <v>4574</v>
      </c>
      <c r="C31" s="143" t="s">
        <v>4591</v>
      </c>
      <c r="D31" s="2656" cm="1" t="n">
        <f t="array" ref="D31">INDEX('6층_부하량'!C3:C3000,MATCH(1,("6-DaHall 1-PDU-13"='6층_부하량'!A3:A3000)*(23='6층_부하량'!B3:B3000),0))</f>
        <v>0.0</v>
      </c>
      <c r="E31" s="157"/>
      <c r="F31" s="157"/>
      <c r="G31" s="157"/>
      <c r="H31" s="143" t="s">
        <v>4597</v>
      </c>
      <c r="I31" s="1465" t="s">
        <v>4896</v>
      </c>
      <c r="J31" s="1460" t="s">
        <v>4680</v>
      </c>
      <c r="K31" s="143" t="s">
        <v>4597</v>
      </c>
      <c r="L31" s="2656" cm="1" t="n">
        <f t="array" ref="L31">INDEX('6층_부하량'!C3:C3000,MATCH(1,("6-DaHall 1-PDU-13"='6층_부하량'!A3:A3000)*(24='6층_부하량'!B3:B3000),0))</f>
        <v>0.0</v>
      </c>
      <c r="M31" s="157"/>
      <c r="N31" s="157"/>
      <c r="O31" s="157"/>
      <c r="P31" s="157" t="s">
        <v>4574</v>
      </c>
      <c r="Q31" s="143" t="s">
        <v>4591</v>
      </c>
      <c r="R31" s="153" t="s">
        <v>5011</v>
      </c>
    </row>
    <row r="32" spans="1:18" ht="20.100000000000001" customHeight="1" x14ac:dyDescent="0.15">
      <c r="A32" s="258" t="s">
        <v>5012</v>
      </c>
      <c r="B32" s="143" t="s">
        <v>4574</v>
      </c>
      <c r="C32" s="143" t="s">
        <v>4591</v>
      </c>
      <c r="D32" s="149"/>
      <c r="E32" s="2655" cm="1" t="n">
        <f t="array" ref="E32">INDEX('6층_부하량'!D3:D3000,MATCH(1,("6-DaHall 1-PDU-13"='6층_부하량'!A3:A3000)*(25='6층_부하량'!B3:B3000),0))</f>
        <v>0.0</v>
      </c>
      <c r="F32" s="149"/>
      <c r="G32" s="157"/>
      <c r="H32" s="143" t="s">
        <v>4597</v>
      </c>
      <c r="I32" s="1465" t="s">
        <v>4900</v>
      </c>
      <c r="J32" s="1460" t="s">
        <v>4685</v>
      </c>
      <c r="K32" s="143" t="s">
        <v>4597</v>
      </c>
      <c r="L32" s="149"/>
      <c r="M32" s="2655" cm="1" t="n">
        <f t="array" ref="M32">INDEX('6층_부하량'!D3:D3000,MATCH(1,("6-DaHall 1-PDU-13"='6층_부하량'!A3:A3000)*(26='6층_부하량'!B3:B3000),0))</f>
        <v>0.0</v>
      </c>
      <c r="N32" s="149"/>
      <c r="O32" s="157"/>
      <c r="P32" s="157" t="s">
        <v>4574</v>
      </c>
      <c r="Q32" s="143" t="s">
        <v>4591</v>
      </c>
      <c r="R32" s="153" t="s">
        <v>5013</v>
      </c>
    </row>
    <row r="33" spans="1:18" ht="20.100000000000001" customHeight="1" thickBot="1" x14ac:dyDescent="0.2">
      <c r="A33" s="261" t="s">
        <v>1404</v>
      </c>
      <c r="B33" s="159" t="s">
        <v>4574</v>
      </c>
      <c r="C33" s="176" t="s">
        <v>4642</v>
      </c>
      <c r="D33" s="160"/>
      <c r="E33" s="160"/>
      <c r="F33" s="2665" cm="1" t="n">
        <f t="array" ref="F33">INDEX('6층_부하량'!E3:E3000,MATCH(1,("6-DaHall 1-PDU-13"='6층_부하량'!A3:A3000)*(27='6층_부하량'!B3:B3000),0))</f>
        <v>0.0</v>
      </c>
      <c r="G33" s="160"/>
      <c r="H33" s="176" t="s">
        <v>4597</v>
      </c>
      <c r="I33" s="1466" t="s">
        <v>4904</v>
      </c>
      <c r="J33" s="1461" t="s">
        <v>4689</v>
      </c>
      <c r="K33" s="176" t="s">
        <v>4597</v>
      </c>
      <c r="L33" s="160"/>
      <c r="M33" s="160"/>
      <c r="N33" s="2665" cm="1" t="n">
        <f t="array" ref="N33">INDEX('6층_부하량'!E3:E3000,MATCH(1,("6-DaHall 1-PDU-13"='6층_부하량'!A3:A3000)*(28='6층_부하량'!B3:B3000),0))</f>
        <v>0.0</v>
      </c>
      <c r="O33" s="177"/>
      <c r="P33" s="177" t="s">
        <v>4574</v>
      </c>
      <c r="Q33" s="286" t="s">
        <v>4575</v>
      </c>
      <c r="R33" s="609" t="s">
        <v>5014</v>
      </c>
    </row>
    <row r="34" spans="1:18" ht="20.100000000000001" customHeight="1" thickTop="1" x14ac:dyDescent="0.15">
      <c r="A34" s="260" t="s">
        <v>1408</v>
      </c>
      <c r="B34" s="142" t="s">
        <v>4574</v>
      </c>
      <c r="C34" s="156" t="s">
        <v>4591</v>
      </c>
      <c r="D34" s="2667" cm="1" t="n">
        <f t="array" ref="D34">INDEX('6층_부하량'!C3:C3000,MATCH(1,("6-DaHall 1-PDU-13"='6층_부하량'!A3:A3000)*(29='6층_부하량'!B3:B3000),0))</f>
        <v>0.0</v>
      </c>
      <c r="E34" s="163"/>
      <c r="F34" s="163"/>
      <c r="G34" s="163"/>
      <c r="H34" s="156" t="s">
        <v>4597</v>
      </c>
      <c r="I34" s="1467" t="s">
        <v>4909</v>
      </c>
      <c r="J34" s="1462" t="s">
        <v>4692</v>
      </c>
      <c r="K34" s="156" t="s">
        <v>4597</v>
      </c>
      <c r="L34" s="2667" cm="1" t="n">
        <f t="array" ref="L34">INDEX('6층_부하량'!C3:C3000,MATCH(1,("6-DaHall 1-PDU-13"='6층_부하량'!A3:A3000)*(30='6층_부하량'!B3:B3000),0))</f>
        <v>0.0</v>
      </c>
      <c r="M34" s="163"/>
      <c r="N34" s="163"/>
      <c r="O34" s="179"/>
      <c r="P34" s="179" t="s">
        <v>4574</v>
      </c>
      <c r="Q34" s="287" t="s">
        <v>4575</v>
      </c>
      <c r="R34" s="610" t="s">
        <v>5015</v>
      </c>
    </row>
    <row r="35" spans="1:18" ht="20.100000000000001" customHeight="1" x14ac:dyDescent="0.15">
      <c r="A35" s="258" t="s">
        <v>1412</v>
      </c>
      <c r="B35" s="143" t="s">
        <v>4574</v>
      </c>
      <c r="C35" s="143" t="s">
        <v>4591</v>
      </c>
      <c r="D35" s="149"/>
      <c r="E35" s="2655" cm="1" t="n">
        <f t="array" ref="E35">INDEX('6층_부하량'!D3:D3000,MATCH(1,("6-DaHall 1-PDU-13"='6층_부하량'!A3:A3000)*(31='6층_부하량'!B3:B3000),0))</f>
        <v>0.0</v>
      </c>
      <c r="F35" s="149"/>
      <c r="G35" s="157"/>
      <c r="H35" s="143" t="s">
        <v>4597</v>
      </c>
      <c r="I35" s="1465" t="s">
        <v>4914</v>
      </c>
      <c r="J35" s="1460" t="s">
        <v>4694</v>
      </c>
      <c r="K35" s="143" t="s">
        <v>4597</v>
      </c>
      <c r="L35" s="149"/>
      <c r="M35" s="2655" cm="1" t="n">
        <f t="array" ref="M35">INDEX('6층_부하량'!D3:D3000,MATCH(1,("6-DaHall 1-PDU-13"='6층_부하량'!A3:A3000)*(32='6층_부하량'!B3:B3000),0))</f>
        <v>0.0</v>
      </c>
      <c r="N35" s="149"/>
      <c r="O35" s="157"/>
      <c r="P35" s="157" t="s">
        <v>4574</v>
      </c>
      <c r="Q35" s="283" t="s">
        <v>4575</v>
      </c>
      <c r="R35" s="611" t="s">
        <v>5016</v>
      </c>
    </row>
    <row r="36" spans="1:18" ht="20.100000000000001" customHeight="1" x14ac:dyDescent="0.15">
      <c r="A36" s="258" t="s">
        <v>1416</v>
      </c>
      <c r="B36" s="143" t="s">
        <v>4574</v>
      </c>
      <c r="C36" s="143" t="s">
        <v>4591</v>
      </c>
      <c r="D36" s="157"/>
      <c r="E36" s="157"/>
      <c r="F36" s="2656" cm="1" t="n">
        <f t="array" ref="F36">INDEX('6층_부하량'!E3:E3000,MATCH(1,("6-DaHall 1-PDU-13"='6층_부하량'!A3:A3000)*(33='6층_부하량'!B3:B3000),0))</f>
        <v>0.0</v>
      </c>
      <c r="G36" s="157"/>
      <c r="H36" s="143" t="s">
        <v>4597</v>
      </c>
      <c r="I36" s="1465" t="s">
        <v>4918</v>
      </c>
      <c r="J36" s="1460" t="s">
        <v>4698</v>
      </c>
      <c r="K36" s="143" t="s">
        <v>4597</v>
      </c>
      <c r="L36" s="157"/>
      <c r="M36" s="157"/>
      <c r="N36" s="2656" cm="1" t="n">
        <f t="array" ref="N36">INDEX('6층_부하량'!E3:E3000,MATCH(1,("6-DaHall 1-PDU-13"='6층_부하량'!A3:A3000)*(34='6층_부하량'!B3:B3000),0))</f>
        <v>0.0</v>
      </c>
      <c r="O36" s="157"/>
      <c r="P36" s="157" t="s">
        <v>4574</v>
      </c>
      <c r="Q36" s="283" t="s">
        <v>4575</v>
      </c>
      <c r="R36" s="611" t="s">
        <v>5017</v>
      </c>
    </row>
    <row r="37" spans="1:18" ht="20.100000000000001" customHeight="1" x14ac:dyDescent="0.15">
      <c r="A37" s="258" t="s">
        <v>1420</v>
      </c>
      <c r="B37" s="143" t="s">
        <v>4574</v>
      </c>
      <c r="C37" s="143" t="s">
        <v>4591</v>
      </c>
      <c r="D37" s="2656" cm="1" t="n">
        <f t="array" ref="D37">INDEX('6층_부하량'!C3:C3000,MATCH(1,("6-DaHall 1-PDU-13"='6층_부하량'!A3:A3000)*(35='6층_부하량'!B3:B3000),0))</f>
        <v>0.0</v>
      </c>
      <c r="E37" s="157"/>
      <c r="F37" s="157"/>
      <c r="G37" s="157"/>
      <c r="H37" s="143" t="s">
        <v>4597</v>
      </c>
      <c r="I37" s="1465" t="s">
        <v>4922</v>
      </c>
      <c r="J37" s="1463" t="s">
        <v>4703</v>
      </c>
      <c r="K37" s="143" t="s">
        <v>4597</v>
      </c>
      <c r="L37" s="2656" cm="1" t="n">
        <f t="array" ref="L37">INDEX('6층_부하량'!C3:C3000,MATCH(1,("6-DaHall 1-PDU-13"='6층_부하량'!A3:A3000)*(36='6층_부하량'!B3:B3000),0))</f>
        <v>0.0</v>
      </c>
      <c r="M37" s="157"/>
      <c r="N37" s="157"/>
      <c r="O37" s="157"/>
      <c r="P37" s="157" t="s">
        <v>4574</v>
      </c>
      <c r="Q37" s="143" t="s">
        <v>4591</v>
      </c>
      <c r="R37" s="153" t="s">
        <v>5018</v>
      </c>
    </row>
    <row r="38" spans="1:18" ht="20.100000000000001" customHeight="1" x14ac:dyDescent="0.15">
      <c r="A38" s="258" t="s">
        <v>1424</v>
      </c>
      <c r="B38" s="143" t="s">
        <v>4574</v>
      </c>
      <c r="C38" s="143" t="s">
        <v>4591</v>
      </c>
      <c r="D38" s="149"/>
      <c r="E38" s="2655" cm="1" t="n">
        <f t="array" ref="E38">INDEX('6층_부하량'!D3:D3000,MATCH(1,("6-DaHall 1-PDU-13"='6층_부하량'!A3:A3000)*(37='6층_부하량'!B3:B3000),0))</f>
        <v>0.0</v>
      </c>
      <c r="F38" s="149"/>
      <c r="G38" s="157"/>
      <c r="H38" s="143" t="s">
        <v>4597</v>
      </c>
      <c r="I38" s="1465" t="s">
        <v>4927</v>
      </c>
      <c r="J38" s="1463" t="s">
        <v>4707</v>
      </c>
      <c r="K38" s="143" t="s">
        <v>4597</v>
      </c>
      <c r="L38" s="149"/>
      <c r="M38" s="2655" cm="1" t="n">
        <f t="array" ref="M38">INDEX('6층_부하량'!D3:D3000,MATCH(1,("6-DaHall 1-PDU-13"='6층_부하량'!A3:A3000)*(38='6층_부하량'!B3:B3000),0))</f>
        <v>0.0</v>
      </c>
      <c r="N38" s="149"/>
      <c r="O38" s="157"/>
      <c r="P38" s="157" t="s">
        <v>4574</v>
      </c>
      <c r="Q38" s="143" t="s">
        <v>4591</v>
      </c>
      <c r="R38" s="153" t="s">
        <v>5019</v>
      </c>
    </row>
    <row r="39" spans="1:18" ht="20.100000000000001" customHeight="1" x14ac:dyDescent="0.15">
      <c r="A39" s="258" t="s">
        <v>5020</v>
      </c>
      <c r="B39" s="143" t="s">
        <v>4574</v>
      </c>
      <c r="C39" s="143" t="s">
        <v>4591</v>
      </c>
      <c r="D39" s="157"/>
      <c r="E39" s="157"/>
      <c r="F39" s="2656" cm="1" t="n">
        <f t="array" ref="F39">INDEX('6층_부하량'!E3:E3000,MATCH(1,("6-DaHall 1-PDU-13"='6층_부하량'!A3:A3000)*(39='6층_부하량'!B3:B3000),0))</f>
        <v>0.0</v>
      </c>
      <c r="G39" s="157"/>
      <c r="H39" s="143" t="s">
        <v>4597</v>
      </c>
      <c r="I39" s="1465" t="s">
        <v>4931</v>
      </c>
      <c r="J39" s="1460" t="s">
        <v>4711</v>
      </c>
      <c r="K39" s="143" t="s">
        <v>4597</v>
      </c>
      <c r="L39" s="157"/>
      <c r="M39" s="157"/>
      <c r="N39" s="2656" cm="1" t="n">
        <f t="array" ref="N39">INDEX('6층_부하량'!E3:E3000,MATCH(1,("6-DaHall 1-PDU-13"='6층_부하량'!A3:A3000)*(40='6층_부하량'!B3:B3000),0))</f>
        <v>0.0</v>
      </c>
      <c r="O39" s="157"/>
      <c r="P39" s="157" t="s">
        <v>4574</v>
      </c>
      <c r="Q39" s="283" t="s">
        <v>4575</v>
      </c>
      <c r="R39" s="612" t="s">
        <v>5021</v>
      </c>
    </row>
    <row r="40" spans="1:18" ht="20.100000000000001" customHeight="1" x14ac:dyDescent="0.15">
      <c r="A40" s="258" t="s">
        <v>5022</v>
      </c>
      <c r="B40" s="143" t="s">
        <v>4574</v>
      </c>
      <c r="C40" s="143" t="s">
        <v>4591</v>
      </c>
      <c r="D40" s="2656" cm="1" t="n">
        <f t="array" ref="D40">INDEX('6층_부하량'!C3:C3000,MATCH(1,("6-DaHall 1-PDU-13"='6층_부하량'!A3:A3000)*(41='6층_부하량'!B3:B3000),0))</f>
        <v>0.0</v>
      </c>
      <c r="E40" s="157"/>
      <c r="F40" s="157"/>
      <c r="G40" s="157"/>
      <c r="H40" s="143" t="s">
        <v>4597</v>
      </c>
      <c r="I40" s="1465" t="s">
        <v>4775</v>
      </c>
      <c r="J40" s="1460" t="s">
        <v>4843</v>
      </c>
      <c r="K40" s="143" t="s">
        <v>4597</v>
      </c>
      <c r="L40" s="2656" cm="1" t="n">
        <f t="array" ref="L40">INDEX('6층_부하량'!C3:C3000,MATCH(1,("6-DaHall 1-PDU-13"='6층_부하량'!A3:A3000)*(42='6층_부하량'!B3:B3000),0))</f>
        <v>0.0</v>
      </c>
      <c r="M40" s="157"/>
      <c r="N40" s="157"/>
      <c r="O40" s="157"/>
      <c r="P40" s="157" t="s">
        <v>4574</v>
      </c>
      <c r="Q40" s="143" t="s">
        <v>4591</v>
      </c>
      <c r="R40" s="613" t="s">
        <v>5023</v>
      </c>
    </row>
    <row r="41" spans="1:18" ht="20.100000000000001" customHeight="1" x14ac:dyDescent="0.15">
      <c r="A41" s="258" t="s">
        <v>1375</v>
      </c>
      <c r="B41" s="143" t="s">
        <v>4574</v>
      </c>
      <c r="C41" s="143" t="s">
        <v>4591</v>
      </c>
      <c r="D41" s="149"/>
      <c r="E41" s="2655" cm="1" t="n">
        <f t="array" ref="E41">INDEX('6층_부하량'!D3:D3000,MATCH(1,("6-DaHall 1-PDU-13"='6층_부하량'!A3:A3000)*(43='6층_부하량'!B3:B3000),0))</f>
        <v>0.0</v>
      </c>
      <c r="F41" s="149"/>
      <c r="G41" s="157"/>
      <c r="H41" s="143" t="s">
        <v>4597</v>
      </c>
      <c r="I41" s="1465" t="s">
        <v>4778</v>
      </c>
      <c r="J41" s="1460" t="s">
        <v>4846</v>
      </c>
      <c r="K41" s="143" t="s">
        <v>4597</v>
      </c>
      <c r="L41" s="149"/>
      <c r="M41" s="2655" cm="1" t="n">
        <f t="array" ref="M41">INDEX('6층_부하량'!D3:D3000,MATCH(1,("6-DaHall 1-PDU-13"='6층_부하량'!A3:A3000)*(44='6층_부하량'!B3:B3000),0))</f>
        <v>0.0</v>
      </c>
      <c r="N41" s="149"/>
      <c r="O41" s="157"/>
      <c r="P41" s="157" t="s">
        <v>4574</v>
      </c>
      <c r="Q41" s="143" t="s">
        <v>4591</v>
      </c>
      <c r="R41" s="256" t="s">
        <v>5024</v>
      </c>
    </row>
    <row r="42" spans="1:18" ht="20.100000000000001" customHeight="1" x14ac:dyDescent="0.15">
      <c r="A42" s="258" t="s">
        <v>1379</v>
      </c>
      <c r="B42" s="143" t="s">
        <v>4574</v>
      </c>
      <c r="C42" s="143" t="s">
        <v>4591</v>
      </c>
      <c r="D42" s="157"/>
      <c r="E42" s="157"/>
      <c r="F42" s="2656" cm="1" t="n">
        <f t="array" ref="F42">INDEX('6층_부하량'!E3:E3000,MATCH(1,("6-DaHall 1-PDU-13"='6층_부하량'!A3:A3000)*(45='6층_부하량'!B3:B3000),0))</f>
        <v>0.0</v>
      </c>
      <c r="G42" s="157"/>
      <c r="H42" s="143" t="s">
        <v>4597</v>
      </c>
      <c r="I42" s="1465" t="s">
        <v>4782</v>
      </c>
      <c r="J42" s="1460" t="s">
        <v>4848</v>
      </c>
      <c r="K42" s="143" t="s">
        <v>4597</v>
      </c>
      <c r="L42" s="157"/>
      <c r="M42" s="157"/>
      <c r="N42" s="2656" cm="1" t="n">
        <f t="array" ref="N42">INDEX('6층_부하량'!E3:E3000,MATCH(1,("6-DaHall 1-PDU-13"='6층_부하량'!A3:A3000)*(46='6층_부하량'!B3:B3000),0))</f>
        <v>0.0</v>
      </c>
      <c r="O42" s="157"/>
      <c r="P42" s="157" t="s">
        <v>4574</v>
      </c>
      <c r="Q42" s="143" t="s">
        <v>4591</v>
      </c>
      <c r="R42" s="256" t="s">
        <v>5025</v>
      </c>
    </row>
    <row r="43" spans="1:18" ht="20.100000000000001" customHeight="1" x14ac:dyDescent="0.15">
      <c r="A43" s="258" t="s">
        <v>1383</v>
      </c>
      <c r="B43" s="143" t="s">
        <v>4574</v>
      </c>
      <c r="C43" s="143" t="s">
        <v>4591</v>
      </c>
      <c r="D43" s="2656" cm="1" t="n">
        <f t="array" ref="D43">INDEX('6층_부하량'!C3:C3000,MATCH(1,("6-DaHall 1-PDU-13"='6층_부하량'!A3:A3000)*(47='6층_부하량'!B3:B3000),0))</f>
        <v>0.0</v>
      </c>
      <c r="E43" s="157"/>
      <c r="F43" s="157"/>
      <c r="G43" s="157"/>
      <c r="H43" s="143" t="s">
        <v>4597</v>
      </c>
      <c r="I43" s="1465" t="s">
        <v>4785</v>
      </c>
      <c r="J43" s="1460" t="s">
        <v>4850</v>
      </c>
      <c r="K43" s="143" t="s">
        <v>4597</v>
      </c>
      <c r="L43" s="2656" cm="1" t="n">
        <f t="array" ref="L43">INDEX('6층_부하량'!C3:C3000,MATCH(1,("6-DaHall 1-PDU-13"='6층_부하량'!A3:A3000)*(48='6층_부하량'!B3:B3000),0))</f>
        <v>0.0</v>
      </c>
      <c r="M43" s="157"/>
      <c r="N43" s="157"/>
      <c r="O43" s="157"/>
      <c r="P43" s="157" t="s">
        <v>4574</v>
      </c>
      <c r="Q43" s="143" t="s">
        <v>4591</v>
      </c>
      <c r="R43" s="264" t="s">
        <v>5026</v>
      </c>
    </row>
    <row r="44" spans="1:18" ht="20.100000000000001" customHeight="1" x14ac:dyDescent="0.15">
      <c r="A44" s="258" t="s">
        <v>1387</v>
      </c>
      <c r="B44" s="143" t="s">
        <v>4574</v>
      </c>
      <c r="C44" s="143" t="s">
        <v>4591</v>
      </c>
      <c r="D44" s="149"/>
      <c r="E44" s="2655" cm="1" t="n">
        <f t="array" ref="E44">INDEX('6층_부하량'!D3:D3000,MATCH(1,("6-DaHall 1-PDU-13"='6층_부하량'!A3:A3000)*(49='6층_부하량'!B3:B3000),0))</f>
        <v>0.0</v>
      </c>
      <c r="F44" s="149"/>
      <c r="G44" s="157"/>
      <c r="H44" s="143" t="s">
        <v>4597</v>
      </c>
      <c r="I44" s="1465" t="s">
        <v>4787</v>
      </c>
      <c r="J44" s="1460" t="s">
        <v>4852</v>
      </c>
      <c r="K44" s="143" t="s">
        <v>4597</v>
      </c>
      <c r="L44" s="149"/>
      <c r="M44" s="2655" cm="1" t="n">
        <f t="array" ref="M44">INDEX('6층_부하량'!D3:D3000,MATCH(1,("6-DaHall 1-PDU-13"='6층_부하량'!A3:A3000)*(50='6층_부하량'!B3:B3000),0))</f>
        <v>0.0</v>
      </c>
      <c r="N44" s="149"/>
      <c r="O44" s="157"/>
      <c r="P44" s="157" t="s">
        <v>4574</v>
      </c>
      <c r="Q44" s="143" t="s">
        <v>4591</v>
      </c>
      <c r="R44" s="264" t="s">
        <v>5027</v>
      </c>
    </row>
    <row r="45" spans="1:18" ht="20.100000000000001" customHeight="1" x14ac:dyDescent="0.15">
      <c r="A45" s="258" t="s">
        <v>1391</v>
      </c>
      <c r="B45" s="143" t="s">
        <v>4574</v>
      </c>
      <c r="C45" s="143" t="s">
        <v>4591</v>
      </c>
      <c r="D45" s="157"/>
      <c r="E45" s="157"/>
      <c r="F45" s="2656" cm="1" t="n">
        <f t="array" ref="F45">INDEX('6층_부하량'!E3:E3000,MATCH(1,("6-DaHall 1-PDU-13"='6층_부하량'!A3:A3000)*(51='6층_부하량'!B3:B3000),0))</f>
        <v>0.0</v>
      </c>
      <c r="G45" s="157"/>
      <c r="H45" s="143" t="s">
        <v>4597</v>
      </c>
      <c r="I45" s="1465" t="s">
        <v>4791</v>
      </c>
      <c r="J45" s="1460" t="s">
        <v>4854</v>
      </c>
      <c r="K45" s="143" t="s">
        <v>4597</v>
      </c>
      <c r="L45" s="157"/>
      <c r="M45" s="157"/>
      <c r="N45" s="2656" cm="1" t="n">
        <f t="array" ref="N45">INDEX('6층_부하량'!E3:E3000,MATCH(1,("6-DaHall 1-PDU-13"='6층_부하량'!A3:A3000)*(52='6층_부하량'!B3:B3000),0))</f>
        <v>0.0</v>
      </c>
      <c r="O45" s="157"/>
      <c r="P45" s="157" t="s">
        <v>4574</v>
      </c>
      <c r="Q45" s="283" t="s">
        <v>4575</v>
      </c>
      <c r="R45" s="614" t="s">
        <v>5028</v>
      </c>
    </row>
    <row r="46" spans="1:18" ht="20.100000000000001" customHeight="1" thickBot="1" x14ac:dyDescent="0.2">
      <c r="A46" s="259" t="s">
        <v>1395</v>
      </c>
      <c r="B46" s="166" t="s">
        <v>4574</v>
      </c>
      <c r="C46" s="166" t="s">
        <v>4642</v>
      </c>
      <c r="D46" s="2659" cm="1" t="n">
        <f t="array" ref="D46">INDEX('6층_부하량'!C3:C3000,MATCH(1,("6-DaHall 1-PDU-13"='6층_부하량'!A3:A3000)*(53='6층_부하량'!B3:B3000),0))</f>
        <v>0.0</v>
      </c>
      <c r="E46" s="167"/>
      <c r="F46" s="167"/>
      <c r="G46" s="167"/>
      <c r="H46" s="166" t="s">
        <v>4597</v>
      </c>
      <c r="I46" s="1468" t="s">
        <v>4796</v>
      </c>
      <c r="J46" s="1464" t="s">
        <v>4857</v>
      </c>
      <c r="K46" s="166" t="s">
        <v>4597</v>
      </c>
      <c r="L46" s="2659" cm="1" t="n">
        <f t="array" ref="L46">INDEX('6층_부하량'!C3:C3000,MATCH(1,("6-DaHall 1-PDU-13"='6층_부하량'!A3:A3000)*(54='6층_부하량'!B3:B3000),0))</f>
        <v>0.0</v>
      </c>
      <c r="M46" s="167"/>
      <c r="N46" s="167"/>
      <c r="O46" s="167"/>
      <c r="P46" s="167" t="s">
        <v>4574</v>
      </c>
      <c r="Q46" s="166" t="s">
        <v>4642</v>
      </c>
      <c r="R46" s="273" t="s">
        <v>5029</v>
      </c>
    </row>
    <row r="47" spans="1:18" ht="20.100000000000001" customHeight="1" thickTop="1" x14ac:dyDescent="0.15">
      <c r="A47" s="171"/>
      <c r="B47" s="133"/>
      <c r="C47" s="133"/>
      <c r="D47" s="131"/>
      <c r="E47" s="131"/>
      <c r="F47" s="131"/>
      <c r="G47" s="131"/>
      <c r="H47" s="133"/>
      <c r="I47" s="172"/>
      <c r="J47" s="172"/>
      <c r="K47" s="133" t="s">
        <v>4713</v>
      </c>
      <c r="L47" s="131" t="n">
        <f>SUM(D20:D46,L20:L46)</f>
        <v>0.0</v>
      </c>
      <c r="M47" s="131" t="n">
        <f>SUM(M45:M46,E20:E46,M20:M46)</f>
        <v>0.0</v>
      </c>
      <c r="N47" s="131" t="n">
        <f>SUM(F20:F46,N20:N46)</f>
        <v>0.0</v>
      </c>
      <c r="O47" s="131"/>
      <c r="P47" s="131"/>
      <c r="Q47" s="133"/>
      <c r="R47" s="131"/>
    </row>
    <row r="48" spans="1:18" ht="20.100000000000001" customHeight="1" thickBot="1" x14ac:dyDescent="0.2">
      <c r="A48" s="171"/>
      <c r="B48" s="128"/>
      <c r="C48" s="128"/>
      <c r="D48" s="171"/>
      <c r="E48" s="171"/>
      <c r="F48" s="171"/>
      <c r="G48" s="171"/>
      <c r="H48" s="133"/>
      <c r="I48" s="172"/>
      <c r="J48" s="172"/>
      <c r="K48" s="133"/>
      <c r="L48" s="171"/>
      <c r="M48" s="171"/>
      <c r="N48" s="171"/>
      <c r="O48" s="171"/>
      <c r="P48" s="171"/>
      <c r="Q48" s="128"/>
      <c r="R48" s="131"/>
    </row>
    <row r="49" spans="1:18" ht="20.100000000000001" customHeight="1" thickTop="1" thickBot="1" x14ac:dyDescent="0.2">
      <c r="A49" s="173" t="s">
        <v>6998</v>
      </c>
      <c r="B49" s="128"/>
      <c r="C49" s="3660" t="s">
        <v>5030</v>
      </c>
      <c r="D49" s="3660"/>
      <c r="E49" s="3660"/>
      <c r="F49" s="173"/>
      <c r="G49" s="173"/>
      <c r="H49" s="133"/>
      <c r="I49" s="3665" t="s">
        <v>4715</v>
      </c>
      <c r="J49" s="3666"/>
      <c r="K49" s="133"/>
      <c r="L49" s="173"/>
      <c r="M49" s="173"/>
      <c r="N49" s="173"/>
      <c r="O49" s="173"/>
      <c r="P49" s="173"/>
      <c r="Q49" s="173"/>
      <c r="R49" s="128"/>
    </row>
    <row r="50" spans="1:18" ht="20.100000000000001" customHeight="1" thickTop="1" thickBot="1" x14ac:dyDescent="0.2">
      <c r="A50" s="127"/>
      <c r="B50" s="128"/>
      <c r="C50" s="128"/>
      <c r="D50" s="129"/>
      <c r="E50" s="129"/>
      <c r="F50" s="130"/>
      <c r="G50" s="129"/>
      <c r="H50" s="131"/>
      <c r="I50" s="128"/>
      <c r="J50" s="132"/>
      <c r="K50" s="1371" t="s">
        <v>4562</v>
      </c>
      <c r="L50" s="1368">
        <v>0</v>
      </c>
      <c r="M50" s="1369">
        <v>0</v>
      </c>
      <c r="N50" s="1370">
        <v>0</v>
      </c>
      <c r="O50" s="508" t="s">
        <v>4563</v>
      </c>
      <c r="P50" s="133"/>
      <c r="Q50" s="128"/>
      <c r="R50" s="528"/>
    </row>
    <row r="51" spans="1:18" ht="20.100000000000001" customHeight="1" thickTop="1" thickBot="1" x14ac:dyDescent="0.2">
      <c r="A51" s="134" t="s">
        <v>4564</v>
      </c>
      <c r="B51" s="135" t="s">
        <v>5031</v>
      </c>
      <c r="C51" s="136" t="s">
        <v>4566</v>
      </c>
      <c r="D51" s="135" t="s">
        <v>5032</v>
      </c>
      <c r="E51" s="135" t="s">
        <v>5033</v>
      </c>
      <c r="F51" s="135" t="s">
        <v>5034</v>
      </c>
      <c r="G51" s="135" t="s">
        <v>5035</v>
      </c>
      <c r="H51" s="135" t="s">
        <v>5036</v>
      </c>
      <c r="I51" s="138" t="s">
        <v>5037</v>
      </c>
      <c r="J51" s="139" t="s">
        <v>5037</v>
      </c>
      <c r="K51" s="135" t="s">
        <v>5036</v>
      </c>
      <c r="L51" s="135" t="s">
        <v>5032</v>
      </c>
      <c r="M51" s="135" t="s">
        <v>5033</v>
      </c>
      <c r="N51" s="135" t="s">
        <v>5034</v>
      </c>
      <c r="O51" s="135" t="s">
        <v>5035</v>
      </c>
      <c r="P51" s="135" t="s">
        <v>5031</v>
      </c>
      <c r="Q51" s="136" t="s">
        <v>4566</v>
      </c>
      <c r="R51" s="140" t="s">
        <v>4564</v>
      </c>
    </row>
    <row r="52" spans="1:18" ht="27.75" thickTop="1" x14ac:dyDescent="0.15">
      <c r="A52" s="265" t="s">
        <v>5038</v>
      </c>
      <c r="B52" s="142" t="s">
        <v>4635</v>
      </c>
      <c r="C52" s="283" t="s">
        <v>4575</v>
      </c>
      <c r="D52" s="144"/>
      <c r="E52" s="2654" cm="1" t="n">
        <f t="array" ref="E52">INDEX('6층_부하량'!D3:D3000,MATCH(1,("6-DaHall 1-PDU-14"='6층_부하량'!A3:A3000)*(1='6층_부하량'!B3:B3000),0))</f>
        <v>0.0</v>
      </c>
      <c r="F52" s="144"/>
      <c r="G52" s="144"/>
      <c r="H52" s="142" t="s">
        <v>4597</v>
      </c>
      <c r="I52" s="1469" t="s">
        <v>4633</v>
      </c>
      <c r="J52" s="284" t="s">
        <v>4578</v>
      </c>
      <c r="K52" s="142" t="s">
        <v>4597</v>
      </c>
      <c r="L52" s="144"/>
      <c r="M52" s="2654" cm="1" t="n">
        <f t="array" ref="M52">INDEX('6층_부하량'!D3:D3000,MATCH(1,("6-DaHall 1-PDU-14"='6층_부하량'!A3:A3000)*(2='6층_부하량'!B3:B3000),0))</f>
        <v>0.0</v>
      </c>
      <c r="N52" s="144"/>
      <c r="O52" s="144"/>
      <c r="P52" s="142" t="s">
        <v>4579</v>
      </c>
      <c r="Q52" s="156" t="s">
        <v>4584</v>
      </c>
      <c r="R52" s="276" t="s">
        <v>5039</v>
      </c>
    </row>
    <row r="53" spans="1:18" ht="27" x14ac:dyDescent="0.15">
      <c r="A53" s="263" t="s">
        <v>1933</v>
      </c>
      <c r="B53" s="143" t="s">
        <v>4635</v>
      </c>
      <c r="C53" s="283" t="s">
        <v>4575</v>
      </c>
      <c r="D53" s="149"/>
      <c r="E53" s="149"/>
      <c r="F53" s="2655" cm="1" t="n">
        <f t="array" ref="F53">INDEX('6층_부하량'!E3:E3000,MATCH(1,("6-DaHall 1-PDU-14"='6층_부하량'!A3:A3000)*(3='6층_부하량'!B3:B3000),0))</f>
        <v>0.0</v>
      </c>
      <c r="G53" s="149"/>
      <c r="H53" s="143" t="s">
        <v>4597</v>
      </c>
      <c r="I53" s="1465" t="s">
        <v>4638</v>
      </c>
      <c r="J53" s="285" t="s">
        <v>4583</v>
      </c>
      <c r="K53" s="143" t="s">
        <v>4597</v>
      </c>
      <c r="L53" s="149"/>
      <c r="M53" s="149"/>
      <c r="N53" s="2655" cm="1" t="n">
        <f t="array" ref="N53">INDEX('6층_부하량'!E3:E3000,MATCH(1,("6-DaHall 1-PDU-14"='6층_부하량'!A3:A3000)*(4='6층_부하량'!B3:B3000),0))</f>
        <v>0.0</v>
      </c>
      <c r="O53" s="149"/>
      <c r="P53" s="143" t="s">
        <v>4579</v>
      </c>
      <c r="Q53" s="143" t="s">
        <v>4584</v>
      </c>
      <c r="R53" s="264" t="s">
        <v>5040</v>
      </c>
    </row>
    <row r="54" spans="1:18" ht="20.100000000000001" customHeight="1" x14ac:dyDescent="0.15">
      <c r="A54" s="258" t="s">
        <v>1938</v>
      </c>
      <c r="B54" s="143" t="s">
        <v>4635</v>
      </c>
      <c r="C54" s="283" t="s">
        <v>4575</v>
      </c>
      <c r="D54" s="2656" cm="1" t="n">
        <f t="array" ref="D54">INDEX('6층_부하량'!C3:C3000,MATCH(1,("6-DaHall 1-PDU-14"='6층_부하량'!A3:A3000)*(5='6층_부하량'!B3:B3000),0))</f>
        <v>0.0</v>
      </c>
      <c r="E54" s="157"/>
      <c r="F54" s="157"/>
      <c r="G54" s="157"/>
      <c r="H54" s="143" t="s">
        <v>4597</v>
      </c>
      <c r="I54" s="1465" t="s">
        <v>4641</v>
      </c>
      <c r="J54" s="1459" t="s">
        <v>4588</v>
      </c>
      <c r="K54" s="143" t="s">
        <v>4597</v>
      </c>
      <c r="L54" s="2656" cm="1" t="n">
        <f t="array" ref="L54">INDEX('6층_부하량'!C3:C3000,MATCH(1,("6-DaHall 1-PDU-14"='6층_부하량'!A3:A3000)*(6='6층_부하량'!B3:B3000),0))</f>
        <v>0.0</v>
      </c>
      <c r="M54" s="157"/>
      <c r="N54" s="157"/>
      <c r="O54" s="157"/>
      <c r="P54" s="143" t="s">
        <v>4635</v>
      </c>
      <c r="Q54" s="143" t="s">
        <v>4584</v>
      </c>
      <c r="R54" s="256" t="s">
        <v>1342</v>
      </c>
    </row>
    <row r="55" spans="1:18" ht="20.100000000000001" customHeight="1" x14ac:dyDescent="0.15">
      <c r="A55" s="260" t="s">
        <v>1943</v>
      </c>
      <c r="B55" s="143" t="s">
        <v>4635</v>
      </c>
      <c r="C55" s="283" t="s">
        <v>4575</v>
      </c>
      <c r="D55" s="157"/>
      <c r="E55" s="2656" cm="1" t="n">
        <f t="array" ref="E55">INDEX('6층_부하량'!D3:D3000,MATCH(1,("6-DaHall 1-PDU-14"='6층_부하량'!A3:A3000)*(7='6층_부하량'!B3:B3000),0))</f>
        <v>0.0</v>
      </c>
      <c r="F55" s="157"/>
      <c r="G55" s="157"/>
      <c r="H55" s="143" t="s">
        <v>4597</v>
      </c>
      <c r="I55" s="1465" t="s">
        <v>4645</v>
      </c>
      <c r="J55" s="1459" t="s">
        <v>4593</v>
      </c>
      <c r="K55" s="143" t="s">
        <v>4597</v>
      </c>
      <c r="L55" s="157"/>
      <c r="M55" s="2656" cm="1" t="n">
        <f t="array" ref="M55">INDEX('6층_부하량'!D3:D3000,MATCH(1,("6-DaHall 1-PDU-14"='6층_부하량'!A3:A3000)*(8='6층_부하량'!B3:B3000),0))</f>
        <v>0.0</v>
      </c>
      <c r="N55" s="157"/>
      <c r="O55" s="157"/>
      <c r="P55" s="143" t="s">
        <v>4635</v>
      </c>
      <c r="Q55" s="143" t="s">
        <v>4591</v>
      </c>
      <c r="R55" s="256" t="s">
        <v>1346</v>
      </c>
    </row>
    <row r="56" spans="1:18" ht="20.100000000000001" customHeight="1" x14ac:dyDescent="0.15">
      <c r="A56" s="258" t="s">
        <v>5041</v>
      </c>
      <c r="B56" s="143" t="s">
        <v>4635</v>
      </c>
      <c r="C56" s="143" t="s">
        <v>4591</v>
      </c>
      <c r="D56" s="157"/>
      <c r="E56" s="157"/>
      <c r="F56" s="2656" cm="1" t="n">
        <f t="array" ref="F56">INDEX('6층_부하량'!E3:E3000,MATCH(1,("6-DaHall 1-PDU-14"='6층_부하량'!A3:A3000)*(9='6층_부하량'!B3:B3000),0))</f>
        <v>0.0</v>
      </c>
      <c r="G56" s="157"/>
      <c r="H56" s="143" t="s">
        <v>4597</v>
      </c>
      <c r="I56" s="1465" t="s">
        <v>4648</v>
      </c>
      <c r="J56" s="1459" t="s">
        <v>4596</v>
      </c>
      <c r="K56" s="143" t="s">
        <v>4597</v>
      </c>
      <c r="L56" s="157"/>
      <c r="M56" s="157"/>
      <c r="N56" s="2656" cm="1" t="n">
        <f t="array" ref="N56">INDEX('6층_부하량'!E3:E3000,MATCH(1,("6-DaHall 1-PDU-14"='6층_부하량'!A3:A3000)*(10='6층_부하량'!B3:B3000),0))</f>
        <v>0.0</v>
      </c>
      <c r="O56" s="157"/>
      <c r="P56" s="143" t="s">
        <v>4635</v>
      </c>
      <c r="Q56" s="143" t="s">
        <v>4591</v>
      </c>
      <c r="R56" s="256" t="s">
        <v>1350</v>
      </c>
    </row>
    <row r="57" spans="1:18" ht="20.100000000000001" customHeight="1" x14ac:dyDescent="0.15">
      <c r="A57" s="258" t="s">
        <v>1437</v>
      </c>
      <c r="B57" s="143" t="s">
        <v>4635</v>
      </c>
      <c r="C57" s="143" t="s">
        <v>4591</v>
      </c>
      <c r="D57" s="2656" cm="1" t="n">
        <f t="array" ref="D57">INDEX('6층_부하량'!C3:C3000,MATCH(1,("6-DaHall 1-PDU-14"='6층_부하량'!A3:A3000)*(11='6층_부하량'!B3:B3000),0))</f>
        <v>0.0</v>
      </c>
      <c r="E57" s="157"/>
      <c r="F57" s="157"/>
      <c r="G57" s="157"/>
      <c r="H57" s="143" t="s">
        <v>4597</v>
      </c>
      <c r="I57" s="1465" t="s">
        <v>4653</v>
      </c>
      <c r="J57" s="1459" t="s">
        <v>4599</v>
      </c>
      <c r="K57" s="143" t="s">
        <v>4597</v>
      </c>
      <c r="L57" s="2656" cm="1" t="n">
        <f t="array" ref="L57">INDEX('6층_부하량'!C3:C3000,MATCH(1,("6-DaHall 1-PDU-14"='6층_부하량'!A3:A3000)*(12='6층_부하량'!B3:B3000),0))</f>
        <v>0.0</v>
      </c>
      <c r="M57" s="157"/>
      <c r="N57" s="157"/>
      <c r="O57" s="157"/>
      <c r="P57" s="143" t="s">
        <v>4635</v>
      </c>
      <c r="Q57" s="143" t="s">
        <v>4591</v>
      </c>
      <c r="R57" s="256" t="s">
        <v>1354</v>
      </c>
    </row>
    <row r="58" spans="1:18" ht="19.5" customHeight="1" x14ac:dyDescent="0.15">
      <c r="A58" s="258" t="s">
        <v>1441</v>
      </c>
      <c r="B58" s="143" t="s">
        <v>4635</v>
      </c>
      <c r="C58" s="143" t="s">
        <v>4591</v>
      </c>
      <c r="D58" s="149"/>
      <c r="E58" s="2655" cm="1" t="n">
        <f t="array" ref="E58">INDEX('6층_부하량'!D3:D3000,MATCH(1,("6-DaHall 1-PDU-14"='6층_부하량'!A3:A3000)*(13='6층_부하량'!B3:B3000),0))</f>
        <v>0.0</v>
      </c>
      <c r="F58" s="149"/>
      <c r="G58" s="157"/>
      <c r="H58" s="143" t="s">
        <v>4597</v>
      </c>
      <c r="I58" s="1465" t="s">
        <v>4657</v>
      </c>
      <c r="J58" s="1459" t="s">
        <v>4601</v>
      </c>
      <c r="K58" s="143" t="s">
        <v>4597</v>
      </c>
      <c r="L58" s="149"/>
      <c r="M58" s="2655" cm="1" t="n">
        <f t="array" ref="M58">INDEX('6층_부하량'!D3:D3000,MATCH(1,("6-DaHall 1-PDU-14"='6층_부하량'!A3:A3000)*(14='6층_부하량'!B3:B3000),0))</f>
        <v>0.0</v>
      </c>
      <c r="N58" s="149"/>
      <c r="O58" s="157"/>
      <c r="P58" s="143" t="s">
        <v>4635</v>
      </c>
      <c r="Q58" s="143" t="s">
        <v>4591</v>
      </c>
      <c r="R58" s="256" t="s">
        <v>1358</v>
      </c>
    </row>
    <row r="59" spans="1:18" ht="19.5" customHeight="1" x14ac:dyDescent="0.15">
      <c r="A59" s="258" t="s">
        <v>1445</v>
      </c>
      <c r="B59" s="143" t="s">
        <v>4635</v>
      </c>
      <c r="C59" s="143" t="s">
        <v>4591</v>
      </c>
      <c r="D59" s="157"/>
      <c r="E59" s="157"/>
      <c r="F59" s="2656" cm="1" t="n">
        <f t="array" ref="F59">INDEX('6층_부하량'!E3:E3000,MATCH(1,("6-DaHall 1-PDU-14"='6층_부하량'!A3:A3000)*(15='6층_부하량'!B3:B3000),0))</f>
        <v>0.0</v>
      </c>
      <c r="G59" s="157"/>
      <c r="H59" s="143" t="s">
        <v>4597</v>
      </c>
      <c r="I59" s="1465" t="s">
        <v>4661</v>
      </c>
      <c r="J59" s="1459" t="s">
        <v>4603</v>
      </c>
      <c r="K59" s="143" t="s">
        <v>4597</v>
      </c>
      <c r="L59" s="157"/>
      <c r="M59" s="157"/>
      <c r="N59" s="2656" cm="1" t="n">
        <f t="array" ref="N59">INDEX('6층_부하량'!E3:E3000,MATCH(1,("6-DaHall 1-PDU-14"='6층_부하량'!A3:A3000)*(16='6층_부하량'!B3:B3000),0))</f>
        <v>0.0</v>
      </c>
      <c r="O59" s="157"/>
      <c r="P59" s="143" t="s">
        <v>4635</v>
      </c>
      <c r="Q59" s="143" t="s">
        <v>4591</v>
      </c>
      <c r="R59" s="256" t="s">
        <v>1362</v>
      </c>
    </row>
    <row r="60" spans="1:18" ht="19.5" customHeight="1" x14ac:dyDescent="0.15">
      <c r="A60" s="258" t="s">
        <v>1449</v>
      </c>
      <c r="B60" s="143" t="s">
        <v>4635</v>
      </c>
      <c r="C60" s="143" t="s">
        <v>4591</v>
      </c>
      <c r="D60" s="2656" cm="1" t="n">
        <f t="array" ref="D60">INDEX('6층_부하량'!C3:C3000,MATCH(1,("6-DaHall 1-PDU-14"='6층_부하량'!A3:A3000)*(17='6층_부하량'!B3:B3000),0))</f>
        <v>0.0</v>
      </c>
      <c r="E60" s="157"/>
      <c r="F60" s="157"/>
      <c r="G60" s="157"/>
      <c r="H60" s="143" t="s">
        <v>4597</v>
      </c>
      <c r="I60" s="1465" t="s">
        <v>4665</v>
      </c>
      <c r="J60" s="1459" t="s">
        <v>4605</v>
      </c>
      <c r="K60" s="143" t="s">
        <v>4597</v>
      </c>
      <c r="L60" s="2656" cm="1" t="n">
        <f t="array" ref="L60">INDEX('6층_부하량'!C3:C3000,MATCH(1,("6-DaHall 1-PDU-14"='6층_부하량'!A3:A3000)*(18='6층_부하량'!B3:B3000),0))</f>
        <v>0.0</v>
      </c>
      <c r="M60" s="157"/>
      <c r="N60" s="157"/>
      <c r="O60" s="157"/>
      <c r="P60" s="143" t="s">
        <v>4635</v>
      </c>
      <c r="Q60" s="143" t="s">
        <v>4591</v>
      </c>
      <c r="R60" s="256" t="s">
        <v>1366</v>
      </c>
    </row>
    <row r="61" spans="1:18" ht="19.5" customHeight="1" x14ac:dyDescent="0.15">
      <c r="A61" s="258" t="s">
        <v>1453</v>
      </c>
      <c r="B61" s="143" t="s">
        <v>4635</v>
      </c>
      <c r="C61" s="143" t="s">
        <v>4591</v>
      </c>
      <c r="D61" s="149"/>
      <c r="E61" s="2655" cm="1" t="n">
        <f t="array" ref="E61">INDEX('6층_부하량'!D3:D3000,MATCH(1,("6-DaHall 1-PDU-14"='6층_부하량'!A3:A3000)*(19='6층_부하량'!B3:B3000),0))</f>
        <v>0.0</v>
      </c>
      <c r="F61" s="149"/>
      <c r="G61" s="157"/>
      <c r="H61" s="143" t="s">
        <v>4597</v>
      </c>
      <c r="I61" s="1465" t="s">
        <v>4670</v>
      </c>
      <c r="J61" s="155" t="s">
        <v>4609</v>
      </c>
      <c r="K61" s="143" t="s">
        <v>4597</v>
      </c>
      <c r="L61" s="149"/>
      <c r="M61" s="2655" cm="1" t="n">
        <f t="array" ref="M61">INDEX('6층_부하량'!D3:D3000,MATCH(1,("6-DaHall 1-PDU-14"='6층_부하량'!A3:A3000)*(20='6층_부하량'!B3:B3000),0))</f>
        <v>0.0</v>
      </c>
      <c r="N61" s="149"/>
      <c r="O61" s="157"/>
      <c r="P61" s="157" t="s">
        <v>4635</v>
      </c>
      <c r="Q61" s="283" t="s">
        <v>4575</v>
      </c>
      <c r="R61" s="615" t="s">
        <v>5042</v>
      </c>
    </row>
    <row r="62" spans="1:18" ht="19.5" customHeight="1" x14ac:dyDescent="0.15">
      <c r="A62" s="258" t="s">
        <v>1457</v>
      </c>
      <c r="B62" s="143" t="s">
        <v>4635</v>
      </c>
      <c r="C62" s="143" t="s">
        <v>4591</v>
      </c>
      <c r="D62" s="157"/>
      <c r="E62" s="157"/>
      <c r="F62" s="2656" cm="1" t="n">
        <f t="array" ref="F62">INDEX('6층_부하량'!E3:E3000,MATCH(1,("6-DaHall 1-PDU-14"='6층_부하량'!A3:A3000)*(21='6층_부하량'!B3:B3000),0))</f>
        <v>0.0</v>
      </c>
      <c r="G62" s="157"/>
      <c r="H62" s="143" t="s">
        <v>4597</v>
      </c>
      <c r="I62" s="1465" t="s">
        <v>4674</v>
      </c>
      <c r="J62" s="1460" t="s">
        <v>4613</v>
      </c>
      <c r="K62" s="143" t="s">
        <v>4597</v>
      </c>
      <c r="L62" s="157"/>
      <c r="M62" s="157"/>
      <c r="N62" s="2656" cm="1" t="n">
        <f t="array" ref="N62">INDEX('6층_부하량'!E3:E3000,MATCH(1,("6-DaHall 1-PDU-14"='6층_부하량'!A3:A3000)*(22='6층_부하량'!B3:B3000),0))</f>
        <v>0.0</v>
      </c>
      <c r="O62" s="157"/>
      <c r="P62" s="157" t="s">
        <v>4635</v>
      </c>
      <c r="Q62" s="143" t="s">
        <v>4723</v>
      </c>
      <c r="R62" s="342" t="s">
        <v>5043</v>
      </c>
    </row>
    <row r="63" spans="1:18" ht="19.5" customHeight="1" x14ac:dyDescent="0.15">
      <c r="A63" s="258" t="s">
        <v>1461</v>
      </c>
      <c r="B63" s="143" t="s">
        <v>4635</v>
      </c>
      <c r="C63" s="143" t="s">
        <v>4591</v>
      </c>
      <c r="D63" s="2656" cm="1" t="n">
        <f t="array" ref="D63">INDEX('6층_부하량'!C3:C3000,MATCH(1,("6-DaHall 1-PDU-14"='6층_부하량'!A3:A3000)*(23='6층_부하량'!B3:B3000),0))</f>
        <v>0.0</v>
      </c>
      <c r="E63" s="157"/>
      <c r="F63" s="157"/>
      <c r="G63" s="157"/>
      <c r="H63" s="143" t="s">
        <v>4597</v>
      </c>
      <c r="I63" s="1465" t="s">
        <v>4678</v>
      </c>
      <c r="J63" s="1460" t="s">
        <v>4680</v>
      </c>
      <c r="K63" s="143" t="s">
        <v>4597</v>
      </c>
      <c r="L63" s="2656" cm="1" t="n">
        <f t="array" ref="L63">INDEX('6층_부하량'!C3:C3000,MATCH(1,("6-DaHall 1-PDU-14"='6층_부하량'!A3:A3000)*(24='6층_부하량'!B3:B3000),0))</f>
        <v>0.0</v>
      </c>
      <c r="M63" s="157"/>
      <c r="N63" s="157"/>
      <c r="O63" s="157"/>
      <c r="P63" s="157" t="s">
        <v>4635</v>
      </c>
      <c r="Q63" s="143" t="s">
        <v>4723</v>
      </c>
      <c r="R63" s="342" t="s">
        <v>5044</v>
      </c>
    </row>
    <row r="64" spans="1:18" ht="19.5" customHeight="1" x14ac:dyDescent="0.15">
      <c r="A64" s="258" t="s">
        <v>5045</v>
      </c>
      <c r="B64" s="143" t="s">
        <v>4635</v>
      </c>
      <c r="C64" s="143" t="s">
        <v>4591</v>
      </c>
      <c r="D64" s="149"/>
      <c r="E64" s="2655" cm="1" t="n">
        <f t="array" ref="E64">INDEX('6층_부하량'!D3:D3000,MATCH(1,("6-DaHall 1-PDU-14"='6층_부하량'!A3:A3000)*(25='6층_부하량'!B3:B3000),0))</f>
        <v>0.0</v>
      </c>
      <c r="F64" s="149"/>
      <c r="G64" s="157"/>
      <c r="H64" s="143" t="s">
        <v>4597</v>
      </c>
      <c r="I64" s="1465" t="s">
        <v>4683</v>
      </c>
      <c r="J64" s="1460" t="s">
        <v>4685</v>
      </c>
      <c r="K64" s="143" t="s">
        <v>4597</v>
      </c>
      <c r="L64" s="149"/>
      <c r="M64" s="2655" cm="1" t="n">
        <f t="array" ref="M64">INDEX('6층_부하량'!D3:D3000,MATCH(1,("6-DaHall 1-PDU-14"='6층_부하량'!A3:A3000)*(26='6층_부하량'!B3:B3000),0))</f>
        <v>0.0</v>
      </c>
      <c r="N64" s="149"/>
      <c r="O64" s="157"/>
      <c r="P64" s="157" t="s">
        <v>4635</v>
      </c>
      <c r="Q64" s="143" t="s">
        <v>4723</v>
      </c>
      <c r="R64" s="342" t="s">
        <v>5046</v>
      </c>
    </row>
    <row r="65" spans="1:18" ht="19.5" customHeight="1" thickBot="1" x14ac:dyDescent="0.2">
      <c r="A65" s="261" t="s">
        <v>1405</v>
      </c>
      <c r="B65" s="159" t="s">
        <v>4635</v>
      </c>
      <c r="C65" s="176" t="s">
        <v>4642</v>
      </c>
      <c r="D65" s="160"/>
      <c r="E65" s="160"/>
      <c r="F65" s="2665" cm="1" t="n">
        <f t="array" ref="F65">INDEX('6층_부하량'!E3:E3000,MATCH(1,("6-DaHall 1-PDU-14"='6층_부하량'!A3:A3000)*(27='6층_부하량'!B3:B3000),0))</f>
        <v>0.0</v>
      </c>
      <c r="G65" s="160"/>
      <c r="H65" s="176" t="s">
        <v>4597</v>
      </c>
      <c r="I65" s="1466" t="s">
        <v>4688</v>
      </c>
      <c r="J65" s="1461" t="s">
        <v>4689</v>
      </c>
      <c r="K65" s="176" t="s">
        <v>4597</v>
      </c>
      <c r="L65" s="160"/>
      <c r="M65" s="160"/>
      <c r="N65" s="2665" cm="1" t="n">
        <f t="array" ref="N65">INDEX('6층_부하량'!E3:E3000,MATCH(1,("6-DaHall 1-PDU-14"='6층_부하량'!A3:A3000)*(28='6층_부하량'!B3:B3000),0))</f>
        <v>0.0</v>
      </c>
      <c r="O65" s="177"/>
      <c r="P65" s="177" t="s">
        <v>4635</v>
      </c>
      <c r="Q65" s="286" t="s">
        <v>4575</v>
      </c>
      <c r="R65" s="616" t="s">
        <v>5047</v>
      </c>
    </row>
    <row r="66" spans="1:18" ht="19.5" customHeight="1" thickTop="1" x14ac:dyDescent="0.15">
      <c r="A66" s="260" t="s">
        <v>1409</v>
      </c>
      <c r="B66" s="142" t="s">
        <v>4635</v>
      </c>
      <c r="C66" s="156" t="s">
        <v>4591</v>
      </c>
      <c r="D66" s="2667" cm="1" t="n">
        <f t="array" ref="D66">INDEX('6층_부하량'!C3:C3000,MATCH(1,("6-DaHall 1-PDU-14"='6층_부하량'!A3:A3000)*(29='6층_부하량'!B3:B3000),0))</f>
        <v>0.0</v>
      </c>
      <c r="E66" s="163"/>
      <c r="F66" s="163"/>
      <c r="G66" s="163"/>
      <c r="H66" s="156" t="s">
        <v>4597</v>
      </c>
      <c r="I66" s="1467" t="s">
        <v>4691</v>
      </c>
      <c r="J66" s="1462" t="s">
        <v>4692</v>
      </c>
      <c r="K66" s="156" t="s">
        <v>4597</v>
      </c>
      <c r="L66" s="2667" cm="1" t="n">
        <f t="array" ref="L66">INDEX('6층_부하량'!C3:C3000,MATCH(1,("6-DaHall 1-PDU-14"='6층_부하량'!A3:A3000)*(30='6층_부하량'!B3:B3000),0))</f>
        <v>0.0</v>
      </c>
      <c r="M66" s="163"/>
      <c r="N66" s="163"/>
      <c r="O66" s="179"/>
      <c r="P66" s="179" t="s">
        <v>4635</v>
      </c>
      <c r="Q66" s="287" t="s">
        <v>4575</v>
      </c>
      <c r="R66" s="617" t="s">
        <v>5048</v>
      </c>
    </row>
    <row r="67" spans="1:18" ht="19.5" customHeight="1" x14ac:dyDescent="0.15">
      <c r="A67" s="258" t="s">
        <v>1413</v>
      </c>
      <c r="B67" s="143" t="s">
        <v>4635</v>
      </c>
      <c r="C67" s="143" t="s">
        <v>4591</v>
      </c>
      <c r="D67" s="149"/>
      <c r="E67" s="2655" cm="1" t="n">
        <f t="array" ref="E67">INDEX('6층_부하량'!D3:D3000,MATCH(1,("6-DaHall 1-PDU-14"='6층_부하량'!A3:A3000)*(31='6층_부하량'!B3:B3000),0))</f>
        <v>0.0</v>
      </c>
      <c r="F67" s="149"/>
      <c r="G67" s="157"/>
      <c r="H67" s="143" t="s">
        <v>4597</v>
      </c>
      <c r="I67" s="1465" t="s">
        <v>4693</v>
      </c>
      <c r="J67" s="1460" t="s">
        <v>4694</v>
      </c>
      <c r="K67" s="143" t="s">
        <v>4597</v>
      </c>
      <c r="L67" s="149"/>
      <c r="M67" s="2655" cm="1" t="n">
        <f t="array" ref="M67">INDEX('6층_부하량'!D3:D3000,MATCH(1,("6-DaHall 1-PDU-14"='6층_부하량'!A3:A3000)*(32='6층_부하량'!B3:B3000),0))</f>
        <v>0.0</v>
      </c>
      <c r="N67" s="149"/>
      <c r="O67" s="157"/>
      <c r="P67" s="157" t="s">
        <v>4574</v>
      </c>
      <c r="Q67" s="283" t="s">
        <v>4575</v>
      </c>
      <c r="R67" s="611" t="s">
        <v>5049</v>
      </c>
    </row>
    <row r="68" spans="1:18" ht="19.5" customHeight="1" x14ac:dyDescent="0.15">
      <c r="A68" s="258" t="s">
        <v>1417</v>
      </c>
      <c r="B68" s="143" t="s">
        <v>4635</v>
      </c>
      <c r="C68" s="143" t="s">
        <v>4591</v>
      </c>
      <c r="D68" s="157"/>
      <c r="E68" s="157"/>
      <c r="F68" s="2656" cm="1" t="n">
        <f t="array" ref="F68">INDEX('6층_부하량'!E3:E3000,MATCH(1,("6-DaHall 1-PDU-14"='6층_부하량'!A3:A3000)*(33='6층_부하량'!B3:B3000),0))</f>
        <v>0.0</v>
      </c>
      <c r="G68" s="157"/>
      <c r="H68" s="143" t="s">
        <v>4597</v>
      </c>
      <c r="I68" s="1465" t="s">
        <v>4697</v>
      </c>
      <c r="J68" s="1460" t="s">
        <v>4698</v>
      </c>
      <c r="K68" s="143" t="s">
        <v>4597</v>
      </c>
      <c r="L68" s="157"/>
      <c r="M68" s="157"/>
      <c r="N68" s="2656" cm="1" t="n">
        <f t="array" ref="N68">INDEX('6층_부하량'!E3:E3000,MATCH(1,("6-DaHall 1-PDU-14"='6층_부하량'!A3:A3000)*(34='6층_부하량'!B3:B3000),0))</f>
        <v>0.0</v>
      </c>
      <c r="O68" s="157"/>
      <c r="P68" s="157" t="s">
        <v>4574</v>
      </c>
      <c r="Q68" s="283" t="s">
        <v>4575</v>
      </c>
      <c r="R68" s="611" t="s">
        <v>5050</v>
      </c>
    </row>
    <row r="69" spans="1:18" ht="19.5" customHeight="1" x14ac:dyDescent="0.15">
      <c r="A69" s="258" t="s">
        <v>1421</v>
      </c>
      <c r="B69" s="143" t="s">
        <v>4635</v>
      </c>
      <c r="C69" s="143" t="s">
        <v>4591</v>
      </c>
      <c r="D69" s="2656" cm="1" t="n">
        <f t="array" ref="D69">INDEX('6층_부하량'!C3:C3000,MATCH(1,("6-DaHall 1-PDU-14"='6층_부하량'!A3:A3000)*(35='6층_부하량'!B3:B3000),0))</f>
        <v>0.0</v>
      </c>
      <c r="E69" s="157"/>
      <c r="F69" s="157"/>
      <c r="G69" s="157"/>
      <c r="H69" s="143" t="s">
        <v>4597</v>
      </c>
      <c r="I69" s="1465" t="s">
        <v>4701</v>
      </c>
      <c r="J69" s="1463" t="s">
        <v>4703</v>
      </c>
      <c r="K69" s="143" t="s">
        <v>4597</v>
      </c>
      <c r="L69" s="2656" cm="1" t="n">
        <f t="array" ref="L69">INDEX('6층_부하량'!C3:C3000,MATCH(1,("6-DaHall 1-PDU-14"='6층_부하량'!A3:A3000)*(36='6층_부하량'!B3:B3000),0))</f>
        <v>0.0</v>
      </c>
      <c r="M69" s="157"/>
      <c r="N69" s="157"/>
      <c r="O69" s="157"/>
      <c r="P69" s="157" t="s">
        <v>4635</v>
      </c>
      <c r="Q69" s="143" t="s">
        <v>4591</v>
      </c>
      <c r="R69" s="256" t="s">
        <v>5051</v>
      </c>
    </row>
    <row r="70" spans="1:18" ht="19.5" customHeight="1" x14ac:dyDescent="0.15">
      <c r="A70" s="258" t="s">
        <v>1425</v>
      </c>
      <c r="B70" s="143" t="s">
        <v>4635</v>
      </c>
      <c r="C70" s="143" t="s">
        <v>4591</v>
      </c>
      <c r="D70" s="149"/>
      <c r="E70" s="2655" cm="1" t="n">
        <f t="array" ref="E70">INDEX('6층_부하량'!D3:D3000,MATCH(1,("6-DaHall 1-PDU-14"='6층_부하량'!A3:A3000)*(37='6층_부하량'!B3:B3000),0))</f>
        <v>0.0</v>
      </c>
      <c r="F70" s="149"/>
      <c r="G70" s="157"/>
      <c r="H70" s="143" t="s">
        <v>4597</v>
      </c>
      <c r="I70" s="1465" t="s">
        <v>4706</v>
      </c>
      <c r="J70" s="1463" t="s">
        <v>4707</v>
      </c>
      <c r="K70" s="143" t="s">
        <v>4597</v>
      </c>
      <c r="L70" s="149"/>
      <c r="M70" s="2655" cm="1" t="n">
        <f t="array" ref="M70">INDEX('6층_부하량'!D3:D3000,MATCH(1,("6-DaHall 1-PDU-14"='6층_부하량'!A3:A3000)*(38='6층_부하량'!B3:B3000),0))</f>
        <v>0.0</v>
      </c>
      <c r="N70" s="149"/>
      <c r="O70" s="157"/>
      <c r="P70" s="157" t="s">
        <v>4635</v>
      </c>
      <c r="Q70" s="143" t="s">
        <v>4591</v>
      </c>
      <c r="R70" s="256" t="s">
        <v>5052</v>
      </c>
    </row>
    <row r="71" spans="1:18" ht="19.5" customHeight="1" x14ac:dyDescent="0.15">
      <c r="A71" s="258" t="s">
        <v>1428</v>
      </c>
      <c r="B71" s="143" t="s">
        <v>4635</v>
      </c>
      <c r="C71" s="143" t="s">
        <v>4591</v>
      </c>
      <c r="D71" s="157"/>
      <c r="E71" s="157"/>
      <c r="F71" s="2656" cm="1" t="n">
        <f t="array" ref="F71">INDEX('6층_부하량'!E3:E3000,MATCH(1,("6-DaHall 1-PDU-14"='6층_부하량'!A3:A3000)*(39='6층_부하량'!B3:B3000),0))</f>
        <v>0.0</v>
      </c>
      <c r="G71" s="157"/>
      <c r="H71" s="143" t="s">
        <v>4597</v>
      </c>
      <c r="I71" s="1465" t="s">
        <v>4710</v>
      </c>
      <c r="J71" s="1460" t="s">
        <v>4711</v>
      </c>
      <c r="K71" s="143" t="s">
        <v>4597</v>
      </c>
      <c r="L71" s="157"/>
      <c r="M71" s="157"/>
      <c r="N71" s="2656" cm="1" t="n">
        <f t="array" ref="N71">INDEX('6층_부하량'!E3:E3000,MATCH(1,("6-DaHall 1-PDU-14"='6층_부하량'!A3:A3000)*(40='6층_부하량'!B3:B3000),0))</f>
        <v>0.0</v>
      </c>
      <c r="O71" s="157"/>
      <c r="P71" s="157" t="s">
        <v>4635</v>
      </c>
      <c r="Q71" s="143" t="s">
        <v>4591</v>
      </c>
      <c r="R71" s="256" t="s">
        <v>5053</v>
      </c>
    </row>
    <row r="72" spans="1:18" ht="19.5" customHeight="1" x14ac:dyDescent="0.15">
      <c r="A72" s="258" t="s">
        <v>5054</v>
      </c>
      <c r="B72" s="143" t="s">
        <v>4635</v>
      </c>
      <c r="C72" s="143" t="s">
        <v>4591</v>
      </c>
      <c r="D72" s="2656" cm="1" t="n">
        <f t="array" ref="D72">INDEX('6층_부하량'!C3:C3000,MATCH(1,("6-DaHall 1-PDU-14"='6층_부하량'!A3:A3000)*(41='6층_부하량'!B3:B3000),0))</f>
        <v>0.0</v>
      </c>
      <c r="E72" s="157"/>
      <c r="F72" s="157"/>
      <c r="G72" s="157"/>
      <c r="H72" s="143" t="s">
        <v>4597</v>
      </c>
      <c r="I72" s="1465" t="s">
        <v>5055</v>
      </c>
      <c r="J72" s="1460" t="s">
        <v>4843</v>
      </c>
      <c r="K72" s="143" t="s">
        <v>4597</v>
      </c>
      <c r="L72" s="2656" cm="1" t="n">
        <f t="array" ref="L72">INDEX('6층_부하량'!C3:C3000,MATCH(1,("6-DaHall 1-PDU-14"='6층_부하량'!A3:A3000)*(42='6층_부하량'!B3:B3000),0))</f>
        <v>0.0</v>
      </c>
      <c r="M72" s="157"/>
      <c r="N72" s="157"/>
      <c r="O72" s="157"/>
      <c r="P72" s="157" t="s">
        <v>4635</v>
      </c>
      <c r="Q72" s="143" t="s">
        <v>4591</v>
      </c>
      <c r="R72" s="256" t="s">
        <v>5056</v>
      </c>
    </row>
    <row r="73" spans="1:18" ht="19.5" customHeight="1" x14ac:dyDescent="0.15">
      <c r="A73" s="258" t="s">
        <v>1376</v>
      </c>
      <c r="B73" s="143" t="s">
        <v>4635</v>
      </c>
      <c r="C73" s="143" t="s">
        <v>4591</v>
      </c>
      <c r="D73" s="149"/>
      <c r="E73" s="2655" cm="1" t="n">
        <f t="array" ref="E73">INDEX('6층_부하량'!D3:D3000,MATCH(1,("6-DaHall 1-PDU-14"='6층_부하량'!A3:A3000)*(43='6층_부하량'!B3:B3000),0))</f>
        <v>0.0</v>
      </c>
      <c r="F73" s="149"/>
      <c r="G73" s="157"/>
      <c r="H73" s="143" t="s">
        <v>4597</v>
      </c>
      <c r="I73" s="1465" t="s">
        <v>4845</v>
      </c>
      <c r="J73" s="1460" t="s">
        <v>4846</v>
      </c>
      <c r="K73" s="143" t="s">
        <v>4597</v>
      </c>
      <c r="L73" s="149"/>
      <c r="M73" s="2655" cm="1" t="n">
        <f t="array" ref="M73">INDEX('6층_부하량'!D3:D3000,MATCH(1,("6-DaHall 1-PDU-14"='6층_부하량'!A3:A3000)*(44='6층_부하량'!B3:B3000),0))</f>
        <v>0.0</v>
      </c>
      <c r="N73" s="149"/>
      <c r="O73" s="157"/>
      <c r="P73" s="157" t="s">
        <v>4635</v>
      </c>
      <c r="Q73" s="143" t="s">
        <v>4591</v>
      </c>
      <c r="R73" s="256" t="s">
        <v>5057</v>
      </c>
    </row>
    <row r="74" spans="1:18" ht="19.5" customHeight="1" x14ac:dyDescent="0.15">
      <c r="A74" s="258" t="s">
        <v>1380</v>
      </c>
      <c r="B74" s="143" t="s">
        <v>4635</v>
      </c>
      <c r="C74" s="143" t="s">
        <v>4591</v>
      </c>
      <c r="D74" s="157"/>
      <c r="E74" s="157"/>
      <c r="F74" s="2656" cm="1" t="n">
        <f t="array" ref="F74">INDEX('6층_부하량'!E3:E3000,MATCH(1,("6-DaHall 1-PDU-14"='6층_부하량'!A3:A3000)*(45='6층_부하량'!B3:B3000),0))</f>
        <v>0.0</v>
      </c>
      <c r="G74" s="157"/>
      <c r="H74" s="143" t="s">
        <v>4597</v>
      </c>
      <c r="I74" s="1465" t="s">
        <v>4847</v>
      </c>
      <c r="J74" s="1460" t="s">
        <v>4848</v>
      </c>
      <c r="K74" s="143" t="s">
        <v>4597</v>
      </c>
      <c r="L74" s="157"/>
      <c r="M74" s="157"/>
      <c r="N74" s="2656" cm="1" t="n">
        <f t="array" ref="N74">INDEX('6층_부하량'!E3:E3000,MATCH(1,("6-DaHall 1-PDU-14"='6층_부하량'!A3:A3000)*(46='6층_부하량'!B3:B3000),0))</f>
        <v>0.0</v>
      </c>
      <c r="O74" s="157"/>
      <c r="P74" s="157" t="s">
        <v>4635</v>
      </c>
      <c r="Q74" s="143" t="s">
        <v>4591</v>
      </c>
      <c r="R74" s="256" t="s">
        <v>5058</v>
      </c>
    </row>
    <row r="75" spans="1:18" ht="19.5" customHeight="1" x14ac:dyDescent="0.15">
      <c r="A75" s="258" t="s">
        <v>1384</v>
      </c>
      <c r="B75" s="143" t="s">
        <v>4635</v>
      </c>
      <c r="C75" s="143" t="s">
        <v>4591</v>
      </c>
      <c r="D75" s="2656" cm="1" t="n">
        <f t="array" ref="D75">INDEX('6층_부하량'!C3:C3000,MATCH(1,("6-DaHall 1-PDU-14"='6층_부하량'!A3:A3000)*(47='6층_부하량'!B3:B3000),0))</f>
        <v>0.0</v>
      </c>
      <c r="E75" s="157"/>
      <c r="F75" s="157"/>
      <c r="G75" s="157"/>
      <c r="H75" s="143" t="s">
        <v>4597</v>
      </c>
      <c r="I75" s="1465" t="s">
        <v>4849</v>
      </c>
      <c r="J75" s="1460" t="s">
        <v>4850</v>
      </c>
      <c r="K75" s="143" t="s">
        <v>4597</v>
      </c>
      <c r="L75" s="2656" cm="1" t="n">
        <f t="array" ref="L75">INDEX('6층_부하량'!C3:C3000,MATCH(1,("6-DaHall 1-PDU-14"='6층_부하량'!A3:A3000)*(48='6층_부하량'!B3:B3000),0))</f>
        <v>0.0</v>
      </c>
      <c r="M75" s="157"/>
      <c r="N75" s="157"/>
      <c r="O75" s="157"/>
      <c r="P75" s="157" t="s">
        <v>4635</v>
      </c>
      <c r="Q75" s="143" t="s">
        <v>4591</v>
      </c>
      <c r="R75" s="264" t="s">
        <v>5059</v>
      </c>
    </row>
    <row r="76" spans="1:18" ht="19.5" customHeight="1" x14ac:dyDescent="0.15">
      <c r="A76" s="258" t="s">
        <v>1388</v>
      </c>
      <c r="B76" s="143" t="s">
        <v>4635</v>
      </c>
      <c r="C76" s="143" t="s">
        <v>4591</v>
      </c>
      <c r="D76" s="149"/>
      <c r="E76" s="2655" cm="1" t="n">
        <f t="array" ref="E76">INDEX('6층_부하량'!D3:D3000,MATCH(1,("6-DaHall 1-PDU-14"='6층_부하량'!A3:A3000)*(49='6층_부하량'!B3:B3000),0))</f>
        <v>0.0</v>
      </c>
      <c r="F76" s="149"/>
      <c r="G76" s="157"/>
      <c r="H76" s="143" t="s">
        <v>4597</v>
      </c>
      <c r="I76" s="1465" t="s">
        <v>4851</v>
      </c>
      <c r="J76" s="1460" t="s">
        <v>4852</v>
      </c>
      <c r="K76" s="143" t="s">
        <v>4597</v>
      </c>
      <c r="L76" s="149"/>
      <c r="M76" s="2655" cm="1" t="n">
        <f t="array" ref="M76">INDEX('6층_부하량'!D3:D3000,MATCH(1,("6-DaHall 1-PDU-14"='6층_부하량'!A3:A3000)*(50='6층_부하량'!B3:B3000),0))</f>
        <v>0.0</v>
      </c>
      <c r="N76" s="149"/>
      <c r="O76" s="157"/>
      <c r="P76" s="157" t="s">
        <v>4635</v>
      </c>
      <c r="Q76" s="143" t="s">
        <v>4591</v>
      </c>
      <c r="R76" s="264" t="s">
        <v>5060</v>
      </c>
    </row>
    <row r="77" spans="1:18" ht="19.5" customHeight="1" x14ac:dyDescent="0.15">
      <c r="A77" s="258" t="s">
        <v>1392</v>
      </c>
      <c r="B77" s="143" t="s">
        <v>4635</v>
      </c>
      <c r="C77" s="143" t="s">
        <v>4591</v>
      </c>
      <c r="D77" s="157"/>
      <c r="E77" s="157"/>
      <c r="F77" s="2656" cm="1" t="n">
        <f t="array" ref="F77">INDEX('6층_부하량'!E3:E3000,MATCH(1,("6-DaHall 1-PDU-14"='6층_부하량'!A3:A3000)*(51='6층_부하량'!B3:B3000),0))</f>
        <v>0.0</v>
      </c>
      <c r="G77" s="157"/>
      <c r="H77" s="143" t="s">
        <v>4597</v>
      </c>
      <c r="I77" s="1465" t="s">
        <v>4853</v>
      </c>
      <c r="J77" s="1460" t="s">
        <v>4854</v>
      </c>
      <c r="K77" s="143" t="s">
        <v>4597</v>
      </c>
      <c r="L77" s="157"/>
      <c r="M77" s="157"/>
      <c r="N77" s="2656" cm="1" t="n">
        <f t="array" ref="N77">INDEX('6층_부하량'!E3:E3000,MATCH(1,("6-DaHall 1-PDU-14"='6층_부하량'!A3:A3000)*(52='6층_부하량'!B3:B3000),0))</f>
        <v>0.0</v>
      </c>
      <c r="O77" s="157"/>
      <c r="P77" s="157" t="s">
        <v>4635</v>
      </c>
      <c r="Q77" s="283" t="s">
        <v>4575</v>
      </c>
      <c r="R77" s="614" t="s">
        <v>5061</v>
      </c>
    </row>
    <row r="78" spans="1:18" ht="19.5" customHeight="1" thickBot="1" x14ac:dyDescent="0.2">
      <c r="A78" s="259" t="s">
        <v>1396</v>
      </c>
      <c r="B78" s="166" t="s">
        <v>4635</v>
      </c>
      <c r="C78" s="166" t="s">
        <v>4642</v>
      </c>
      <c r="D78" s="2659" cm="1" t="n">
        <f t="array" ref="D78">INDEX('6층_부하량'!C3:C3000,MATCH(1,("6-DaHall 1-PDU-14"='6층_부하량'!A3:A3000)*(53='6층_부하량'!B3:B3000),0))</f>
        <v>0.0</v>
      </c>
      <c r="E78" s="167"/>
      <c r="F78" s="167"/>
      <c r="G78" s="167"/>
      <c r="H78" s="166" t="s">
        <v>4597</v>
      </c>
      <c r="I78" s="1468" t="s">
        <v>4856</v>
      </c>
      <c r="J78" s="1464" t="s">
        <v>4857</v>
      </c>
      <c r="K78" s="166" t="s">
        <v>4597</v>
      </c>
      <c r="L78" s="2659" cm="1" t="n">
        <f t="array" ref="L78">INDEX('6층_부하량'!C3:C3000,MATCH(1,("6-DaHall 1-PDU-14"='6층_부하량'!A3:A3000)*(54='6층_부하량'!B3:B3000),0))</f>
        <v>0.0</v>
      </c>
      <c r="M78" s="167"/>
      <c r="N78" s="167"/>
      <c r="O78" s="167"/>
      <c r="P78" s="167" t="s">
        <v>4635</v>
      </c>
      <c r="Q78" s="166" t="s">
        <v>4642</v>
      </c>
      <c r="R78" s="273" t="s">
        <v>1486</v>
      </c>
    </row>
    <row r="79" spans="1:18" ht="14.25" thickTop="1" x14ac:dyDescent="0.15">
      <c r="A79" s="171"/>
      <c r="B79" s="133"/>
      <c r="C79" s="133"/>
      <c r="D79" s="131"/>
      <c r="E79" s="131"/>
      <c r="F79" s="131"/>
      <c r="G79" s="131"/>
      <c r="H79" s="133"/>
      <c r="I79" s="172"/>
      <c r="J79" s="172"/>
      <c r="K79" s="133" t="s">
        <v>4713</v>
      </c>
      <c r="L79" s="131" t="n">
        <f>SUM(D52:D78,L52:L78)</f>
        <v>0.0</v>
      </c>
      <c r="M79" s="131" t="n">
        <f>SUM(E52:E78,M52:M78)</f>
        <v>0.0</v>
      </c>
      <c r="N79" s="131" t="n">
        <f>SUM(F52:F78,N52:N78)</f>
        <v>0.0</v>
      </c>
      <c r="O79" s="131"/>
      <c r="P79" s="131"/>
      <c r="Q79" s="133"/>
      <c r="R79" s="131"/>
    </row>
    <row r="80" spans="1:18" ht="14.25" thickBot="1" x14ac:dyDescent="0.2">
      <c r="A80" s="128"/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</row>
    <row r="81" spans="1:18" ht="15" thickTop="1" thickBot="1" x14ac:dyDescent="0.2">
      <c r="A81" s="173" t="s">
        <v>6999</v>
      </c>
      <c r="B81" s="128"/>
      <c r="C81" s="3660" t="s">
        <v>5062</v>
      </c>
      <c r="D81" s="3660"/>
      <c r="E81" s="3660"/>
      <c r="F81" s="173"/>
      <c r="G81" s="173"/>
      <c r="H81" s="133"/>
      <c r="I81" s="3665" t="s">
        <v>5063</v>
      </c>
      <c r="J81" s="3666"/>
      <c r="K81" s="133"/>
      <c r="L81" s="173"/>
      <c r="M81" s="173"/>
      <c r="N81" s="173"/>
      <c r="O81" s="173"/>
      <c r="P81" s="173"/>
      <c r="Q81" s="173"/>
      <c r="R81" s="128"/>
    </row>
    <row r="82" spans="1:18" ht="15" thickTop="1" thickBot="1" x14ac:dyDescent="0.2">
      <c r="A82" s="127"/>
      <c r="B82" s="128"/>
      <c r="C82" s="128"/>
      <c r="D82" s="129"/>
      <c r="E82" s="129"/>
      <c r="F82" s="130"/>
      <c r="G82" s="129"/>
      <c r="H82" s="131"/>
      <c r="I82" s="128"/>
      <c r="J82" s="132"/>
      <c r="K82" s="1371" t="s">
        <v>4562</v>
      </c>
      <c r="L82" s="1368">
        <v>0</v>
      </c>
      <c r="M82" s="1369">
        <v>0</v>
      </c>
      <c r="N82" s="1370">
        <v>0</v>
      </c>
      <c r="O82" s="508" t="s">
        <v>4563</v>
      </c>
      <c r="P82" s="133"/>
      <c r="Q82" s="128"/>
      <c r="R82" s="528"/>
    </row>
    <row r="83" spans="1:18" ht="15" thickTop="1" thickBot="1" x14ac:dyDescent="0.2">
      <c r="A83" s="134" t="s">
        <v>4564</v>
      </c>
      <c r="B83" s="135" t="s">
        <v>5031</v>
      </c>
      <c r="C83" s="136" t="s">
        <v>4566</v>
      </c>
      <c r="D83" s="135" t="s">
        <v>5032</v>
      </c>
      <c r="E83" s="135" t="s">
        <v>5033</v>
      </c>
      <c r="F83" s="135" t="s">
        <v>5034</v>
      </c>
      <c r="G83" s="135" t="s">
        <v>5035</v>
      </c>
      <c r="H83" s="135" t="s">
        <v>5036</v>
      </c>
      <c r="I83" s="138" t="s">
        <v>5037</v>
      </c>
      <c r="J83" s="139" t="s">
        <v>5037</v>
      </c>
      <c r="K83" s="135" t="s">
        <v>5036</v>
      </c>
      <c r="L83" s="135" t="s">
        <v>5032</v>
      </c>
      <c r="M83" s="135" t="s">
        <v>5033</v>
      </c>
      <c r="N83" s="135" t="s">
        <v>5034</v>
      </c>
      <c r="O83" s="135" t="s">
        <v>5035</v>
      </c>
      <c r="P83" s="135" t="s">
        <v>5031</v>
      </c>
      <c r="Q83" s="136" t="s">
        <v>4566</v>
      </c>
      <c r="R83" s="140" t="s">
        <v>4564</v>
      </c>
    </row>
    <row r="84" spans="1:18" ht="17.25" thickTop="1" x14ac:dyDescent="0.15">
      <c r="A84" s="621" t="s">
        <v>5064</v>
      </c>
      <c r="B84" s="142" t="s">
        <v>4635</v>
      </c>
      <c r="C84" s="164" t="s">
        <v>4575</v>
      </c>
      <c r="D84" s="2654" cm="1" t="n">
        <f t="array" ref="D84">INDEX('6층_부하량'!C3:C3000,MATCH(1,("6-DaHall 1-PDU-09"='6층_부하량'!A3:A3000)*(1='6층_부하량'!B3:B3000),0))</f>
        <v>0.0</v>
      </c>
      <c r="E84" s="144"/>
      <c r="F84" s="144"/>
      <c r="G84" s="144"/>
      <c r="H84" s="142" t="s">
        <v>4597</v>
      </c>
      <c r="I84" s="291" t="s">
        <v>4633</v>
      </c>
      <c r="J84" s="292" t="s">
        <v>4578</v>
      </c>
      <c r="K84" s="142" t="s">
        <v>4597</v>
      </c>
      <c r="L84" s="2654" cm="1" t="n">
        <f t="array" ref="L84">INDEX('6층_부하량'!C3:C3000,MATCH(1,("6-DaHall 1-PDU-09"='6층_부하량'!A3:A3000)*(2='6층_부하량'!B3:B3000),0))</f>
        <v>0.0</v>
      </c>
      <c r="M84" s="144"/>
      <c r="N84" s="144"/>
      <c r="O84" s="144"/>
      <c r="P84" s="144" t="s">
        <v>4635</v>
      </c>
      <c r="Q84" s="164" t="s">
        <v>4575</v>
      </c>
      <c r="R84" s="618" t="s">
        <v>5065</v>
      </c>
    </row>
    <row r="85" spans="1:18" ht="16.5" x14ac:dyDescent="0.15">
      <c r="A85" s="622" t="s">
        <v>5066</v>
      </c>
      <c r="B85" s="143" t="s">
        <v>4635</v>
      </c>
      <c r="C85" s="164" t="s">
        <v>4575</v>
      </c>
      <c r="D85" s="149"/>
      <c r="E85" s="2655" cm="1" t="n">
        <f t="array" ref="E85">INDEX('6층_부하량'!D3:D3000,MATCH(1,("6-DaHall 1-PDU-09"='6층_부하량'!A3:A3000)*(3='6층_부하량'!B3:B3000),0))</f>
        <v>0.0</v>
      </c>
      <c r="F85" s="149"/>
      <c r="G85" s="149"/>
      <c r="H85" s="143" t="s">
        <v>4597</v>
      </c>
      <c r="I85" s="293" t="s">
        <v>4638</v>
      </c>
      <c r="J85" s="294" t="s">
        <v>4583</v>
      </c>
      <c r="K85" s="143" t="s">
        <v>4597</v>
      </c>
      <c r="L85" s="149"/>
      <c r="M85" s="2655" cm="1" t="n">
        <f t="array" ref="M85">INDEX('6층_부하량'!D3:D3000,MATCH(1,("6-DaHall 1-PDU-09"='6층_부하량'!A3:A3000)*(4='6층_부하량'!B3:B3000),0))</f>
        <v>0.0</v>
      </c>
      <c r="N85" s="149"/>
      <c r="O85" s="149"/>
      <c r="P85" s="149" t="s">
        <v>4635</v>
      </c>
      <c r="Q85" s="164" t="s">
        <v>4575</v>
      </c>
      <c r="R85" s="342" t="s">
        <v>5067</v>
      </c>
    </row>
    <row r="86" spans="1:18" ht="16.5" x14ac:dyDescent="0.15">
      <c r="A86" s="607" t="s">
        <v>5068</v>
      </c>
      <c r="B86" s="143" t="s">
        <v>4635</v>
      </c>
      <c r="C86" s="164" t="s">
        <v>4575</v>
      </c>
      <c r="D86" s="157"/>
      <c r="E86" s="157"/>
      <c r="F86" s="2656" cm="1" t="n">
        <f t="array" ref="F86">INDEX('6층_부하량'!E3:E3000,MATCH(1,("6-DaHall 1-PDU-09"='6층_부하량'!A3:A3000)*(5='6층_부하량'!B3:B3000),0))</f>
        <v>0.0</v>
      </c>
      <c r="G86" s="157"/>
      <c r="H86" s="143" t="s">
        <v>4597</v>
      </c>
      <c r="I86" s="293" t="s">
        <v>4641</v>
      </c>
      <c r="J86" s="294" t="s">
        <v>4588</v>
      </c>
      <c r="K86" s="143" t="s">
        <v>4597</v>
      </c>
      <c r="L86" s="157"/>
      <c r="M86" s="157"/>
      <c r="N86" s="2656" cm="1" t="n">
        <f t="array" ref="N86">INDEX('6층_부하량'!E3:E3000,MATCH(1,("6-DaHall 1-PDU-09"='6층_부하량'!A3:A3000)*(6='6층_부하량'!B3:B3000),0))</f>
        <v>0.0</v>
      </c>
      <c r="O86" s="157"/>
      <c r="P86" s="157" t="s">
        <v>4635</v>
      </c>
      <c r="Q86" s="164" t="s">
        <v>4575</v>
      </c>
      <c r="R86" s="342" t="s">
        <v>5069</v>
      </c>
    </row>
    <row r="87" spans="1:18" ht="16.5" x14ac:dyDescent="0.15">
      <c r="A87" s="622" t="s">
        <v>5070</v>
      </c>
      <c r="B87" s="143" t="s">
        <v>4635</v>
      </c>
      <c r="C87" s="164" t="s">
        <v>4575</v>
      </c>
      <c r="D87" s="2656" cm="1" t="n">
        <f t="array" ref="D87">INDEX('6층_부하량'!C3:C3000,MATCH(1,("6-DaHall 1-PDU-09"='6층_부하량'!A3:A3000)*(7='6층_부하량'!B3:B3000),0))</f>
        <v>0.0</v>
      </c>
      <c r="E87" s="157"/>
      <c r="F87" s="157"/>
      <c r="G87" s="157"/>
      <c r="H87" s="143" t="s">
        <v>4597</v>
      </c>
      <c r="I87" s="293" t="s">
        <v>4645</v>
      </c>
      <c r="J87" s="294" t="s">
        <v>4593</v>
      </c>
      <c r="K87" s="143" t="s">
        <v>4597</v>
      </c>
      <c r="L87" s="2656" cm="1" t="n">
        <f t="array" ref="L87">INDEX('6층_부하량'!C3:C3000,MATCH(1,("6-DaHall 1-PDU-09"='6층_부하량'!A3:A3000)*(8='6층_부하량'!B3:B3000),0))</f>
        <v>0.0</v>
      </c>
      <c r="M87" s="157"/>
      <c r="N87" s="157"/>
      <c r="O87" s="157"/>
      <c r="P87" s="157" t="s">
        <v>4635</v>
      </c>
      <c r="Q87" s="164" t="s">
        <v>4575</v>
      </c>
      <c r="R87" s="342" t="s">
        <v>5071</v>
      </c>
    </row>
    <row r="88" spans="1:18" ht="16.5" x14ac:dyDescent="0.15">
      <c r="A88" s="607" t="s">
        <v>5072</v>
      </c>
      <c r="B88" s="143" t="s">
        <v>4635</v>
      </c>
      <c r="C88" s="164" t="s">
        <v>4575</v>
      </c>
      <c r="D88" s="157"/>
      <c r="E88" s="2656" cm="1" t="n">
        <f t="array" ref="E88">INDEX('6층_부하량'!D3:D3000,MATCH(1,("6-DaHall 1-PDU-09"='6층_부하량'!A3:A3000)*(9='6층_부하량'!B3:B3000),0))</f>
        <v>0.0</v>
      </c>
      <c r="F88" s="157"/>
      <c r="G88" s="157"/>
      <c r="H88" s="143" t="s">
        <v>4597</v>
      </c>
      <c r="I88" s="293" t="s">
        <v>4648</v>
      </c>
      <c r="J88" s="294" t="s">
        <v>4596</v>
      </c>
      <c r="K88" s="143" t="s">
        <v>4597</v>
      </c>
      <c r="L88" s="157"/>
      <c r="M88" s="2656" cm="1" t="n">
        <f t="array" ref="M88">INDEX('6층_부하량'!D3:D3000,MATCH(1,("6-DaHall 1-PDU-09"='6층_부하량'!A3:A3000)*(10='6층_부하량'!B3:B3000),0))</f>
        <v>0.0</v>
      </c>
      <c r="N88" s="157"/>
      <c r="O88" s="157"/>
      <c r="P88" s="157" t="s">
        <v>4635</v>
      </c>
      <c r="Q88" s="164" t="s">
        <v>4575</v>
      </c>
      <c r="R88" s="342" t="s">
        <v>5073</v>
      </c>
    </row>
    <row r="89" spans="1:18" ht="16.5" x14ac:dyDescent="0.15">
      <c r="A89" s="622" t="s">
        <v>5074</v>
      </c>
      <c r="B89" s="143" t="s">
        <v>4635</v>
      </c>
      <c r="C89" s="164" t="s">
        <v>4575</v>
      </c>
      <c r="D89" s="157"/>
      <c r="E89" s="157"/>
      <c r="F89" s="2656" cm="1" t="n">
        <f t="array" ref="F89">INDEX('6층_부하량'!E3:E3000,MATCH(1,("6-DaHall 1-PDU-09"='6층_부하량'!A3:A3000)*(11='6층_부하량'!B3:B3000),0))</f>
        <v>0.0</v>
      </c>
      <c r="G89" s="157"/>
      <c r="H89" s="143" t="s">
        <v>4597</v>
      </c>
      <c r="I89" s="293" t="s">
        <v>4653</v>
      </c>
      <c r="J89" s="294" t="s">
        <v>4599</v>
      </c>
      <c r="K89" s="143" t="s">
        <v>4597</v>
      </c>
      <c r="L89" s="157"/>
      <c r="M89" s="157"/>
      <c r="N89" s="2656" cm="1" t="n">
        <f t="array" ref="N89">INDEX('6층_부하량'!E3:E3000,MATCH(1,("6-DaHall 1-PDU-09"='6층_부하량'!A3:A3000)*(12='6층_부하량'!B3:B3000),0))</f>
        <v>0.0</v>
      </c>
      <c r="O89" s="157"/>
      <c r="P89" s="157" t="s">
        <v>4635</v>
      </c>
      <c r="Q89" s="164" t="s">
        <v>4575</v>
      </c>
      <c r="R89" s="342" t="s">
        <v>5075</v>
      </c>
    </row>
    <row r="90" spans="1:18" ht="16.5" x14ac:dyDescent="0.15">
      <c r="A90" s="607" t="s">
        <v>5076</v>
      </c>
      <c r="B90" s="143" t="s">
        <v>4635</v>
      </c>
      <c r="C90" s="164" t="s">
        <v>4575</v>
      </c>
      <c r="D90" s="2656" cm="1" t="n">
        <f t="array" ref="D90">INDEX('6층_부하량'!C3:C3000,MATCH(1,("6-DaHall 1-PDU-09"='6층_부하량'!A3:A3000)*(13='6층_부하량'!B3:B3000),0))</f>
        <v>0.0</v>
      </c>
      <c r="E90" s="157"/>
      <c r="F90" s="157"/>
      <c r="G90" s="157"/>
      <c r="H90" s="143" t="s">
        <v>4597</v>
      </c>
      <c r="I90" s="293" t="s">
        <v>4657</v>
      </c>
      <c r="J90" s="294" t="s">
        <v>4601</v>
      </c>
      <c r="K90" s="143" t="s">
        <v>4597</v>
      </c>
      <c r="L90" s="2656" cm="1" t="n">
        <f t="array" ref="L90">INDEX('6층_부하량'!C3:C3000,MATCH(1,("6-DaHall 1-PDU-09"='6층_부하량'!A3:A3000)*(14='6층_부하량'!B3:B3000),0))</f>
        <v>0.0</v>
      </c>
      <c r="M90" s="157"/>
      <c r="N90" s="157"/>
      <c r="O90" s="157"/>
      <c r="P90" s="157" t="s">
        <v>4635</v>
      </c>
      <c r="Q90" s="164" t="s">
        <v>4575</v>
      </c>
      <c r="R90" s="342" t="s">
        <v>5077</v>
      </c>
    </row>
    <row r="91" spans="1:18" ht="16.5" x14ac:dyDescent="0.15">
      <c r="A91" s="622" t="s">
        <v>5078</v>
      </c>
      <c r="B91" s="143" t="s">
        <v>4635</v>
      </c>
      <c r="C91" s="164" t="s">
        <v>4575</v>
      </c>
      <c r="D91" s="157"/>
      <c r="E91" s="2656" cm="1" t="n">
        <f t="array" ref="E91">INDEX('6층_부하량'!D3:D3000,MATCH(1,("6-DaHall 1-PDU-09"='6층_부하량'!A3:A3000)*(15='6층_부하량'!B3:B3000),0))</f>
        <v>0.0</v>
      </c>
      <c r="F91" s="157"/>
      <c r="G91" s="157"/>
      <c r="H91" s="143" t="s">
        <v>4597</v>
      </c>
      <c r="I91" s="293" t="s">
        <v>4661</v>
      </c>
      <c r="J91" s="294" t="s">
        <v>4603</v>
      </c>
      <c r="K91" s="143" t="s">
        <v>4597</v>
      </c>
      <c r="L91" s="157"/>
      <c r="M91" s="2656" cm="1" t="n">
        <f t="array" ref="M91">INDEX('6층_부하량'!D3:D3000,MATCH(1,("6-DaHall 1-PDU-09"='6층_부하량'!A3:A3000)*(16='6층_부하량'!B3:B3000),0))</f>
        <v>0.0</v>
      </c>
      <c r="N91" s="157"/>
      <c r="O91" s="157"/>
      <c r="P91" s="157" t="s">
        <v>4635</v>
      </c>
      <c r="Q91" s="164" t="s">
        <v>4575</v>
      </c>
      <c r="R91" s="342" t="s">
        <v>5079</v>
      </c>
    </row>
    <row r="92" spans="1:18" ht="17.25" thickBot="1" x14ac:dyDescent="0.2">
      <c r="A92" s="623" t="s">
        <v>5080</v>
      </c>
      <c r="B92" s="176" t="s">
        <v>4635</v>
      </c>
      <c r="C92" s="185" t="s">
        <v>4575</v>
      </c>
      <c r="D92" s="177"/>
      <c r="E92" s="177"/>
      <c r="F92" s="2661" cm="1" t="n">
        <f t="array" ref="F92">INDEX('6층_부하량'!E3:E3000,MATCH(1,("6-DaHall 1-PDU-09"='6층_부하량'!A3:A3000)*(17='6층_부하량'!B3:B3000),0))</f>
        <v>0.0</v>
      </c>
      <c r="G92" s="177"/>
      <c r="H92" s="176" t="s">
        <v>4597</v>
      </c>
      <c r="I92" s="295" t="s">
        <v>4665</v>
      </c>
      <c r="J92" s="296" t="s">
        <v>4605</v>
      </c>
      <c r="K92" s="176" t="s">
        <v>4597</v>
      </c>
      <c r="L92" s="177"/>
      <c r="M92" s="177"/>
      <c r="N92" s="2661" cm="1" t="n">
        <f t="array" ref="N92">INDEX('6층_부하량'!E3:E3000,MATCH(1,("6-DaHall 1-PDU-09"='6층_부하량'!A3:A3000)*(18='6층_부하량'!B3:B3000),0))</f>
        <v>0.0</v>
      </c>
      <c r="O92" s="177"/>
      <c r="P92" s="177" t="s">
        <v>4635</v>
      </c>
      <c r="Q92" s="185" t="s">
        <v>4575</v>
      </c>
      <c r="R92" s="477" t="s">
        <v>5081</v>
      </c>
    </row>
    <row r="93" spans="1:18" ht="17.25" thickTop="1" x14ac:dyDescent="0.15">
      <c r="A93" s="174" t="s">
        <v>5082</v>
      </c>
      <c r="B93" s="156" t="s">
        <v>4635</v>
      </c>
      <c r="C93" s="142" t="s">
        <v>4723</v>
      </c>
      <c r="D93" s="2658" cm="1" t="n">
        <f t="array" ref="D93">INDEX('6층_부하량'!C3:C3000,MATCH(1,("6-DaHall 1-PDU-09"='6층_부하량'!A3:A3000)*(19='6층_부하량'!B3:B3000),0))</f>
        <v>0.0</v>
      </c>
      <c r="E93" s="179"/>
      <c r="F93" s="179"/>
      <c r="G93" s="179"/>
      <c r="H93" s="156" t="s">
        <v>4597</v>
      </c>
      <c r="I93" s="1470" t="s">
        <v>4670</v>
      </c>
      <c r="J93" s="298" t="s">
        <v>4609</v>
      </c>
      <c r="K93" s="156" t="s">
        <v>4597</v>
      </c>
      <c r="L93" s="2658" cm="1" t="n">
        <f t="array" ref="L93">INDEX('6층_부하량'!C3:C3000,MATCH(1,("6-DaHall 1-PDU-09"='6층_부하량'!A3:A3000)*(20='6층_부하량'!B3:B3000),0))</f>
        <v>0.0</v>
      </c>
      <c r="M93" s="179"/>
      <c r="N93" s="179"/>
      <c r="O93" s="179"/>
      <c r="P93" s="179" t="s">
        <v>4635</v>
      </c>
      <c r="Q93" s="152" t="s">
        <v>4575</v>
      </c>
      <c r="R93" s="475" t="s">
        <v>5083</v>
      </c>
    </row>
    <row r="94" spans="1:18" ht="16.5" x14ac:dyDescent="0.15">
      <c r="A94" s="148" t="s">
        <v>5084</v>
      </c>
      <c r="B94" s="143" t="s">
        <v>4635</v>
      </c>
      <c r="C94" s="156" t="s">
        <v>4723</v>
      </c>
      <c r="D94" s="157"/>
      <c r="E94" s="2656" cm="1" t="n">
        <f t="array" ref="E94">INDEX('6층_부하량'!D3:D3000,MATCH(1,("6-DaHall 1-PDU-09"='6층_부하량'!A3:A3000)*(21='6층_부하량'!B3:B3000),0))</f>
        <v>0.0</v>
      </c>
      <c r="F94" s="157"/>
      <c r="G94" s="157"/>
      <c r="H94" s="143" t="s">
        <v>4597</v>
      </c>
      <c r="I94" s="1471" t="s">
        <v>4674</v>
      </c>
      <c r="J94" s="294" t="s">
        <v>4613</v>
      </c>
      <c r="K94" s="143" t="s">
        <v>4597</v>
      </c>
      <c r="L94" s="157"/>
      <c r="M94" s="2656" cm="1" t="n">
        <f t="array" ref="M94">INDEX('6층_부하량'!D3:D3000,MATCH(1,("6-DaHall 1-PDU-09"='6층_부하량'!A3:A3000)*(22='6층_부하량'!B3:B3000),0))</f>
        <v>0.0</v>
      </c>
      <c r="N94" s="157"/>
      <c r="O94" s="157"/>
      <c r="P94" s="157" t="s">
        <v>4635</v>
      </c>
      <c r="Q94" s="164" t="s">
        <v>4575</v>
      </c>
      <c r="R94" s="342" t="s">
        <v>5085</v>
      </c>
    </row>
    <row r="95" spans="1:18" ht="16.5" x14ac:dyDescent="0.15">
      <c r="A95" s="148" t="s">
        <v>5086</v>
      </c>
      <c r="B95" s="143" t="s">
        <v>4635</v>
      </c>
      <c r="C95" s="143" t="s">
        <v>4723</v>
      </c>
      <c r="D95" s="157"/>
      <c r="E95" s="157"/>
      <c r="F95" s="2656" cm="1" t="n">
        <f t="array" ref="F95">INDEX('6층_부하량'!E3:E3000,MATCH(1,("6-DaHall 1-PDU-09"='6층_부하량'!A3:A3000)*(23='6층_부하량'!B3:B3000),0))</f>
        <v>0.0</v>
      </c>
      <c r="G95" s="157"/>
      <c r="H95" s="143" t="s">
        <v>4597</v>
      </c>
      <c r="I95" s="1471" t="s">
        <v>4678</v>
      </c>
      <c r="J95" s="294" t="s">
        <v>4680</v>
      </c>
      <c r="K95" s="143" t="s">
        <v>4597</v>
      </c>
      <c r="L95" s="157"/>
      <c r="M95" s="157"/>
      <c r="N95" s="2656" cm="1" t="n">
        <f t="array" ref="N95">INDEX('6층_부하량'!E3:E3000,MATCH(1,("6-DaHall 1-PDU-09"='6층_부하량'!A3:A3000)*(24='6층_부하량'!B3:B3000),0))</f>
        <v>0.0</v>
      </c>
      <c r="O95" s="157"/>
      <c r="P95" s="157" t="s">
        <v>4635</v>
      </c>
      <c r="Q95" s="164" t="s">
        <v>4575</v>
      </c>
      <c r="R95" s="342" t="s">
        <v>5087</v>
      </c>
    </row>
    <row r="96" spans="1:18" ht="16.5" x14ac:dyDescent="0.15">
      <c r="A96" s="148" t="s">
        <v>5088</v>
      </c>
      <c r="B96" s="143" t="s">
        <v>4635</v>
      </c>
      <c r="C96" s="143" t="s">
        <v>4723</v>
      </c>
      <c r="D96" s="2656" cm="1" t="n">
        <f t="array" ref="D96">INDEX('6층_부하량'!C3:C3000,MATCH(1,("6-DaHall 1-PDU-09"='6층_부하량'!A3:A3000)*(25='6층_부하량'!B3:B3000),0))</f>
        <v>0.0</v>
      </c>
      <c r="E96" s="157"/>
      <c r="F96" s="157"/>
      <c r="G96" s="157"/>
      <c r="H96" s="143" t="s">
        <v>4597</v>
      </c>
      <c r="I96" s="1471" t="s">
        <v>4683</v>
      </c>
      <c r="J96" s="294" t="s">
        <v>4685</v>
      </c>
      <c r="K96" s="143" t="s">
        <v>4597</v>
      </c>
      <c r="L96" s="2656" cm="1" t="n">
        <f t="array" ref="L96">INDEX('6층_부하량'!C3:C3000,MATCH(1,("6-DaHall 1-PDU-09"='6층_부하량'!A3:A3000)*(26='6층_부하량'!B3:B3000),0))</f>
        <v>0.0</v>
      </c>
      <c r="M96" s="157"/>
      <c r="N96" s="157"/>
      <c r="O96" s="157"/>
      <c r="P96" s="157" t="s">
        <v>4635</v>
      </c>
      <c r="Q96" s="164" t="s">
        <v>4575</v>
      </c>
      <c r="R96" s="342" t="s">
        <v>5089</v>
      </c>
    </row>
    <row r="97" spans="1:18" ht="16.5" x14ac:dyDescent="0.15">
      <c r="A97" s="257" t="s">
        <v>5090</v>
      </c>
      <c r="B97" s="143" t="s">
        <v>4635</v>
      </c>
      <c r="C97" s="143" t="s">
        <v>4723</v>
      </c>
      <c r="D97" s="157"/>
      <c r="E97" s="2656" cm="1" t="n">
        <f t="array" ref="E97">INDEX('6층_부하량'!D3:D3000,MATCH(1,("6-DaHall 1-PDU-09"='6층_부하량'!A3:A3000)*(27='6층_부하량'!B3:B3000),0))</f>
        <v>0.0</v>
      </c>
      <c r="F97" s="157"/>
      <c r="G97" s="157"/>
      <c r="H97" s="143" t="s">
        <v>4597</v>
      </c>
      <c r="I97" s="1471" t="s">
        <v>4688</v>
      </c>
      <c r="J97" s="294" t="s">
        <v>4689</v>
      </c>
      <c r="K97" s="143" t="s">
        <v>4597</v>
      </c>
      <c r="L97" s="157"/>
      <c r="M97" s="2656" cm="1" t="n">
        <f t="array" ref="M97">INDEX('6층_부하량'!D3:D3000,MATCH(1,("6-DaHall 1-PDU-09"='6층_부하량'!A3:A3000)*(28='6층_부하량'!B3:B3000),0))</f>
        <v>0.0</v>
      </c>
      <c r="N97" s="157"/>
      <c r="O97" s="157"/>
      <c r="P97" s="157" t="s">
        <v>4635</v>
      </c>
      <c r="Q97" s="164" t="s">
        <v>4575</v>
      </c>
      <c r="R97" s="342" t="s">
        <v>5091</v>
      </c>
    </row>
    <row r="98" spans="1:18" ht="16.5" x14ac:dyDescent="0.15">
      <c r="A98" s="257" t="s">
        <v>5092</v>
      </c>
      <c r="B98" s="143" t="s">
        <v>4635</v>
      </c>
      <c r="C98" s="143" t="s">
        <v>4723</v>
      </c>
      <c r="D98" s="157"/>
      <c r="E98" s="157"/>
      <c r="F98" s="2656" cm="1" t="n">
        <f t="array" ref="F98">INDEX('6층_부하량'!E3:E3000,MATCH(1,("6-DaHall 1-PDU-09"='6층_부하량'!A3:A3000)*(29='6층_부하량'!B3:B3000),0))</f>
        <v>0.0</v>
      </c>
      <c r="G98" s="157"/>
      <c r="H98" s="143" t="s">
        <v>4597</v>
      </c>
      <c r="I98" s="1471" t="s">
        <v>4691</v>
      </c>
      <c r="J98" s="294" t="s">
        <v>4692</v>
      </c>
      <c r="K98" s="143" t="s">
        <v>4597</v>
      </c>
      <c r="L98" s="157"/>
      <c r="M98" s="157"/>
      <c r="N98" s="2656" cm="1" t="n">
        <f t="array" ref="N98">INDEX('6층_부하량'!E3:E3000,MATCH(1,("6-DaHall 1-PDU-09"='6층_부하량'!A3:A3000)*(30='6층_부하량'!B3:B3000),0))</f>
        <v>0.0</v>
      </c>
      <c r="O98" s="157"/>
      <c r="P98" s="157" t="s">
        <v>4635</v>
      </c>
      <c r="Q98" s="164" t="s">
        <v>4575</v>
      </c>
      <c r="R98" s="342" t="s">
        <v>5093</v>
      </c>
    </row>
    <row r="99" spans="1:18" ht="16.5" x14ac:dyDescent="0.15">
      <c r="A99" s="274" t="s">
        <v>5094</v>
      </c>
      <c r="B99" s="143" t="s">
        <v>4635</v>
      </c>
      <c r="C99" s="164" t="s">
        <v>4575</v>
      </c>
      <c r="D99" s="2656" cm="1" t="n">
        <f t="array" ref="D99">INDEX('6층_부하량'!C3:C3000,MATCH(1,("6-DaHall 1-PDU-09"='6층_부하량'!A3:A3000)*(31='6층_부하량'!B3:B3000),0))</f>
        <v>0.0</v>
      </c>
      <c r="E99" s="157"/>
      <c r="F99" s="157"/>
      <c r="G99" s="157"/>
      <c r="H99" s="143" t="s">
        <v>4597</v>
      </c>
      <c r="I99" s="299" t="s">
        <v>4693</v>
      </c>
      <c r="J99" s="294" t="s">
        <v>4694</v>
      </c>
      <c r="K99" s="143" t="s">
        <v>4597</v>
      </c>
      <c r="L99" s="2656" cm="1" t="n">
        <f t="array" ref="L99">INDEX('6층_부하량'!C3:C3000,MATCH(1,("6-DaHall 1-PDU-09"='6층_부하량'!A3:A3000)*(32='6층_부하량'!B3:B3000),0))</f>
        <v>0.0</v>
      </c>
      <c r="M99" s="157"/>
      <c r="N99" s="157"/>
      <c r="O99" s="157"/>
      <c r="P99" s="157" t="s">
        <v>4635</v>
      </c>
      <c r="Q99" s="164" t="s">
        <v>4575</v>
      </c>
      <c r="R99" s="264" t="s">
        <v>5095</v>
      </c>
    </row>
    <row r="100" spans="1:18" ht="16.5" x14ac:dyDescent="0.15">
      <c r="A100" s="148" t="s">
        <v>5096</v>
      </c>
      <c r="B100" s="143" t="s">
        <v>4635</v>
      </c>
      <c r="C100" s="143" t="s">
        <v>4723</v>
      </c>
      <c r="D100" s="157"/>
      <c r="E100" s="2656" cm="1" t="n">
        <f t="array" ref="E100">INDEX('6층_부하량'!D3:D3000,MATCH(1,("6-DaHall 1-PDU-09"='6층_부하량'!A3:A3000)*(33='6층_부하량'!B3:B3000),0))</f>
        <v>0.0</v>
      </c>
      <c r="F100" s="157"/>
      <c r="G100" s="157"/>
      <c r="H100" s="143" t="s">
        <v>4597</v>
      </c>
      <c r="I100" s="1471" t="s">
        <v>4697</v>
      </c>
      <c r="J100" s="294" t="s">
        <v>4698</v>
      </c>
      <c r="K100" s="143" t="s">
        <v>4597</v>
      </c>
      <c r="L100" s="157"/>
      <c r="M100" s="2656" cm="1" t="n">
        <f t="array" ref="M100">INDEX('6층_부하량'!D3:D3000,MATCH(1,("6-DaHall 1-PDU-09"='6층_부하량'!A3:A3000)*(34='6층_부하량'!B3:B3000),0))</f>
        <v>0.0</v>
      </c>
      <c r="N100" s="157"/>
      <c r="O100" s="157"/>
      <c r="P100" s="157" t="s">
        <v>4635</v>
      </c>
      <c r="Q100" s="164" t="s">
        <v>4575</v>
      </c>
      <c r="R100" s="264" t="s">
        <v>5097</v>
      </c>
    </row>
    <row r="101" spans="1:18" ht="16.5" customHeight="1" x14ac:dyDescent="0.15">
      <c r="A101" s="341" t="s">
        <v>5098</v>
      </c>
      <c r="B101" s="143" t="s">
        <v>4635</v>
      </c>
      <c r="C101" s="143" t="s">
        <v>4723</v>
      </c>
      <c r="D101" s="157"/>
      <c r="E101" s="157"/>
      <c r="F101" s="2656" cm="1" t="n">
        <f t="array" ref="F101">INDEX('6층_부하량'!E3:E3000,MATCH(1,("6-DaHall 1-PDU-09"='6층_부하량'!A3:A3000)*(35='6층_부하량'!B3:B3000),0))</f>
        <v>0.0</v>
      </c>
      <c r="G101" s="157"/>
      <c r="H101" s="143" t="s">
        <v>4597</v>
      </c>
      <c r="I101" s="1465" t="s">
        <v>4701</v>
      </c>
      <c r="J101" s="294" t="s">
        <v>4703</v>
      </c>
      <c r="K101" s="143" t="s">
        <v>4597</v>
      </c>
      <c r="L101" s="157"/>
      <c r="M101" s="157"/>
      <c r="N101" s="2656" cm="1" t="n">
        <f t="array" ref="N101">INDEX('6층_부하량'!E3:E3000,MATCH(1,("6-DaHall 1-PDU-09"='6층_부하량'!A3:A3000)*(36='6층_부하량'!B3:B3000),0))</f>
        <v>0.0</v>
      </c>
      <c r="O101" s="157"/>
      <c r="P101" s="157" t="s">
        <v>4635</v>
      </c>
      <c r="Q101" s="164" t="s">
        <v>4575</v>
      </c>
      <c r="R101" s="264" t="s">
        <v>5099</v>
      </c>
    </row>
    <row r="102" spans="1:18" ht="16.5" customHeight="1" x14ac:dyDescent="0.15">
      <c r="A102" s="341" t="s">
        <v>5100</v>
      </c>
      <c r="B102" s="143" t="s">
        <v>4635</v>
      </c>
      <c r="C102" s="143" t="s">
        <v>4723</v>
      </c>
      <c r="D102" s="2656" cm="1" t="n">
        <f t="array" ref="D102">INDEX('6층_부하량'!C3:C3000,MATCH(1,("6-DaHall 1-PDU-09"='6층_부하량'!A3:A3000)*(37='6층_부하량'!B3:B3000),0))</f>
        <v>0.0</v>
      </c>
      <c r="E102" s="157"/>
      <c r="F102" s="157"/>
      <c r="G102" s="157"/>
      <c r="H102" s="143" t="s">
        <v>4597</v>
      </c>
      <c r="I102" s="1465" t="s">
        <v>4706</v>
      </c>
      <c r="J102" s="1463" t="s">
        <v>4707</v>
      </c>
      <c r="K102" s="143" t="s">
        <v>4597</v>
      </c>
      <c r="L102" s="2656" cm="1" t="n">
        <f t="array" ref="L102">INDEX('6층_부하량'!C3:C3000,MATCH(1,("6-DaHall 1-PDU-09"='6층_부하량'!A3:A3000)*(38='6층_부하량'!B3:B3000),0))</f>
        <v>0.0</v>
      </c>
      <c r="M102" s="157"/>
      <c r="N102" s="157"/>
      <c r="O102" s="157"/>
      <c r="P102" s="157" t="s">
        <v>4635</v>
      </c>
      <c r="Q102" s="143" t="s">
        <v>4591</v>
      </c>
      <c r="R102" s="619" t="s">
        <v>5101</v>
      </c>
    </row>
    <row r="103" spans="1:18" ht="16.5" customHeight="1" x14ac:dyDescent="0.15">
      <c r="A103" s="148" t="s">
        <v>5102</v>
      </c>
      <c r="B103" s="143" t="s">
        <v>4635</v>
      </c>
      <c r="C103" s="143" t="s">
        <v>4723</v>
      </c>
      <c r="D103" s="157"/>
      <c r="E103" s="2656" cm="1" t="n">
        <f t="array" ref="E103">INDEX('6층_부하량'!D3:D3000,MATCH(1,("6-DaHall 1-PDU-09"='6층_부하량'!A3:A3000)*(39='6층_부하량'!B3:B3000),0))</f>
        <v>0.0</v>
      </c>
      <c r="F103" s="157"/>
      <c r="G103" s="157"/>
      <c r="H103" s="143" t="s">
        <v>4597</v>
      </c>
      <c r="I103" s="1471" t="s">
        <v>4710</v>
      </c>
      <c r="J103" s="1463" t="s">
        <v>4711</v>
      </c>
      <c r="K103" s="143" t="s">
        <v>4597</v>
      </c>
      <c r="L103" s="157"/>
      <c r="M103" s="2656" cm="1" t="n">
        <f t="array" ref="M103">INDEX('6층_부하량'!D3:D3000,MATCH(1,("6-DaHall 1-PDU-09"='6층_부하량'!A3:A3000)*(40='6층_부하량'!B3:B3000),0))</f>
        <v>0.0</v>
      </c>
      <c r="N103" s="157"/>
      <c r="O103" s="157"/>
      <c r="P103" s="157" t="s">
        <v>4635</v>
      </c>
      <c r="Q103" s="143" t="s">
        <v>4591</v>
      </c>
      <c r="R103" s="619" t="s">
        <v>5103</v>
      </c>
    </row>
    <row r="104" spans="1:18" ht="16.5" customHeight="1" x14ac:dyDescent="0.15">
      <c r="A104" s="148" t="s">
        <v>5104</v>
      </c>
      <c r="B104" s="143" t="s">
        <v>4635</v>
      </c>
      <c r="C104" s="143" t="s">
        <v>4723</v>
      </c>
      <c r="D104" s="157"/>
      <c r="E104" s="157"/>
      <c r="F104" s="2656" cm="1" t="n">
        <f t="array" ref="F104">INDEX('6층_부하량'!E3:E3000,MATCH(1,("6-DaHall 1-PDU-09"='6층_부하량'!A3:A3000)*(41='6층_부하량'!B3:B3000),0))</f>
        <v>0.0</v>
      </c>
      <c r="G104" s="157"/>
      <c r="H104" s="143" t="s">
        <v>4597</v>
      </c>
      <c r="I104" s="1465" t="s">
        <v>5055</v>
      </c>
      <c r="J104" s="1463" t="s">
        <v>4843</v>
      </c>
      <c r="K104" s="143" t="s">
        <v>4597</v>
      </c>
      <c r="L104" s="157"/>
      <c r="M104" s="157"/>
      <c r="N104" s="2656" cm="1" t="n">
        <f t="array" ref="N104">INDEX('6층_부하량'!E3:E3000,MATCH(1,("6-DaHall 1-PDU-09"='6층_부하량'!A3:A3000)*(42='6층_부하량'!B3:B3000),0))</f>
        <v>0.0</v>
      </c>
      <c r="O104" s="157"/>
      <c r="P104" s="157" t="s">
        <v>4635</v>
      </c>
      <c r="Q104" s="143" t="s">
        <v>4591</v>
      </c>
      <c r="R104" s="619" t="s">
        <v>5105</v>
      </c>
    </row>
    <row r="105" spans="1:18" ht="16.5" customHeight="1" x14ac:dyDescent="0.15">
      <c r="A105" s="148" t="s">
        <v>5106</v>
      </c>
      <c r="B105" s="143" t="s">
        <v>4635</v>
      </c>
      <c r="C105" s="143" t="s">
        <v>4723</v>
      </c>
      <c r="D105" s="2656" cm="1" t="n">
        <f t="array" ref="D105">INDEX('6층_부하량'!C3:C3000,MATCH(1,("6-DaHall 1-PDU-09"='6층_부하량'!A3:A3000)*(43='6층_부하량'!B3:B3000),0))</f>
        <v>0.0</v>
      </c>
      <c r="E105" s="157"/>
      <c r="F105" s="157"/>
      <c r="G105" s="157"/>
      <c r="H105" s="143" t="s">
        <v>4597</v>
      </c>
      <c r="I105" s="1465" t="s">
        <v>4845</v>
      </c>
      <c r="J105" s="1463" t="s">
        <v>4846</v>
      </c>
      <c r="K105" s="143" t="s">
        <v>4597</v>
      </c>
      <c r="L105" s="2656" cm="1" t="n">
        <f t="array" ref="L105">INDEX('6층_부하량'!C3:C3000,MATCH(1,("6-DaHall 1-PDU-09"='6층_부하량'!A3:A3000)*(44='6층_부하량'!B3:B3000),0))</f>
        <v>0.0</v>
      </c>
      <c r="M105" s="157"/>
      <c r="N105" s="157"/>
      <c r="O105" s="157"/>
      <c r="P105" s="157" t="s">
        <v>4635</v>
      </c>
      <c r="Q105" s="143" t="s">
        <v>4591</v>
      </c>
      <c r="R105" s="619" t="s">
        <v>5107</v>
      </c>
    </row>
    <row r="106" spans="1:18" ht="16.5" customHeight="1" x14ac:dyDescent="0.15">
      <c r="A106" s="341" t="s">
        <v>5108</v>
      </c>
      <c r="B106" s="143" t="s">
        <v>4635</v>
      </c>
      <c r="C106" s="143" t="s">
        <v>4723</v>
      </c>
      <c r="D106" s="157"/>
      <c r="E106" s="2656" cm="1" t="n">
        <f t="array" ref="E106">INDEX('6층_부하량'!D3:D3000,MATCH(1,("6-DaHall 1-PDU-09"='6층_부하량'!A3:A3000)*(45='6층_부하량'!B3:B3000),0))</f>
        <v>0.0</v>
      </c>
      <c r="F106" s="157"/>
      <c r="G106" s="157"/>
      <c r="H106" s="143" t="s">
        <v>4597</v>
      </c>
      <c r="I106" s="1465" t="s">
        <v>4847</v>
      </c>
      <c r="J106" s="1463" t="s">
        <v>4848</v>
      </c>
      <c r="K106" s="143" t="s">
        <v>4597</v>
      </c>
      <c r="L106" s="157"/>
      <c r="M106" s="2656" cm="1" t="n">
        <f t="array" ref="M106">INDEX('6층_부하량'!D3:D3000,MATCH(1,("6-DaHall 1-PDU-09"='6층_부하량'!A3:A3000)*(46='6층_부하량'!B3:B3000),0))</f>
        <v>0.0</v>
      </c>
      <c r="N106" s="157"/>
      <c r="O106" s="157"/>
      <c r="P106" s="157" t="s">
        <v>4635</v>
      </c>
      <c r="Q106" s="143" t="s">
        <v>4591</v>
      </c>
      <c r="R106" s="619" t="s">
        <v>5109</v>
      </c>
    </row>
    <row r="107" spans="1:18" ht="16.5" customHeight="1" x14ac:dyDescent="0.15">
      <c r="A107" s="341" t="s">
        <v>5110</v>
      </c>
      <c r="B107" s="143" t="s">
        <v>4635</v>
      </c>
      <c r="C107" s="143" t="s">
        <v>4723</v>
      </c>
      <c r="D107" s="157"/>
      <c r="E107" s="157"/>
      <c r="F107" s="2656" cm="1" t="n">
        <f t="array" ref="F107">INDEX('6층_부하량'!E3:E3000,MATCH(1,("6-DaHall 1-PDU-09"='6층_부하량'!A3:A3000)*(47='6층_부하량'!B3:B3000),0))</f>
        <v>0.0</v>
      </c>
      <c r="G107" s="157"/>
      <c r="H107" s="143" t="s">
        <v>4597</v>
      </c>
      <c r="I107" s="1471" t="s">
        <v>4849</v>
      </c>
      <c r="J107" s="1463" t="s">
        <v>4850</v>
      </c>
      <c r="K107" s="143" t="s">
        <v>4597</v>
      </c>
      <c r="L107" s="157"/>
      <c r="M107" s="157"/>
      <c r="N107" s="2656" cm="1" t="n">
        <f t="array" ref="N107">INDEX('6층_부하량'!E3:E3000,MATCH(1,("6-DaHall 1-PDU-09"='6층_부하량'!A3:A3000)*(48='6층_부하량'!B3:B3000),0))</f>
        <v>0.0</v>
      </c>
      <c r="O107" s="157"/>
      <c r="P107" s="157" t="s">
        <v>4635</v>
      </c>
      <c r="Q107" s="143" t="s">
        <v>4591</v>
      </c>
      <c r="R107" s="619" t="s">
        <v>5111</v>
      </c>
    </row>
    <row r="108" spans="1:18" ht="16.5" customHeight="1" thickBot="1" x14ac:dyDescent="0.2">
      <c r="A108" s="624" t="s">
        <v>5112</v>
      </c>
      <c r="B108" s="166" t="s">
        <v>4635</v>
      </c>
      <c r="C108" s="166" t="s">
        <v>4642</v>
      </c>
      <c r="D108" s="2659" cm="1" t="n">
        <f t="array" ref="D108">INDEX('6층_부하량'!C3:C3000,MATCH(1,("6-DaHall 1-PDU-09"='6층_부하량'!A3:A3000)*(49='6층_부하량'!B3:B3000),0))</f>
        <v>0.0</v>
      </c>
      <c r="E108" s="167"/>
      <c r="F108" s="167"/>
      <c r="G108" s="167"/>
      <c r="H108" s="166" t="s">
        <v>4597</v>
      </c>
      <c r="I108" s="1472" t="s">
        <v>4851</v>
      </c>
      <c r="J108" s="1473" t="s">
        <v>4852</v>
      </c>
      <c r="K108" s="166" t="s">
        <v>4597</v>
      </c>
      <c r="L108" s="2659" cm="1" t="n">
        <f t="array" ref="L108">INDEX('6층_부하량'!C3:C3000,MATCH(1,("6-DaHall 1-PDU-09"='6층_부하량'!A3:A3000)*(50='6층_부하량'!B3:B3000),0))</f>
        <v>0.0</v>
      </c>
      <c r="M108" s="167"/>
      <c r="N108" s="167"/>
      <c r="O108" s="167"/>
      <c r="P108" s="167" t="s">
        <v>4635</v>
      </c>
      <c r="Q108" s="166" t="s">
        <v>4642</v>
      </c>
      <c r="R108" s="620" t="s">
        <v>5113</v>
      </c>
    </row>
    <row r="109" spans="1:18" ht="14.25" thickTop="1" x14ac:dyDescent="0.15">
      <c r="A109" s="171"/>
      <c r="B109" s="133"/>
      <c r="C109" s="133"/>
      <c r="D109" s="131"/>
      <c r="E109" s="131"/>
      <c r="F109" s="131"/>
      <c r="G109" s="131"/>
      <c r="H109" s="133"/>
      <c r="I109" s="172"/>
      <c r="J109" s="172"/>
      <c r="K109" s="133" t="s">
        <v>4713</v>
      </c>
      <c r="L109" s="131" t="n">
        <f>SUM(D84:D108,L84:L108)</f>
        <v>0.0</v>
      </c>
      <c r="M109" s="131" t="n">
        <f>SUM(E84:E108,M84:M108)</f>
        <v>0.0</v>
      </c>
      <c r="N109" s="131" t="n">
        <f>SUM(F84:F108,N84:N108)</f>
        <v>0.0</v>
      </c>
      <c r="O109" s="131" t="n">
        <f>SUM(O84:O108,W84:W108)</f>
        <v>0.0</v>
      </c>
      <c r="P109" s="131"/>
      <c r="Q109" s="133"/>
      <c r="R109" s="131"/>
    </row>
    <row r="110" spans="1:18" ht="14.25" thickBot="1" x14ac:dyDescent="0.2">
      <c r="A110" s="128"/>
      <c r="B110" s="128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</row>
    <row r="111" spans="1:18" ht="15" thickTop="1" thickBot="1" x14ac:dyDescent="0.2">
      <c r="A111" s="173" t="s">
        <v>7000</v>
      </c>
      <c r="B111" s="128"/>
      <c r="C111" s="3660" t="s">
        <v>5114</v>
      </c>
      <c r="D111" s="3660"/>
      <c r="E111" s="3660"/>
      <c r="F111" s="173"/>
      <c r="G111" s="173"/>
      <c r="H111" s="133"/>
      <c r="I111" s="3665" t="s">
        <v>5063</v>
      </c>
      <c r="J111" s="3666"/>
      <c r="K111" s="133"/>
      <c r="L111" s="173"/>
      <c r="M111" s="173"/>
      <c r="N111" s="173"/>
      <c r="O111" s="173"/>
      <c r="P111" s="173"/>
      <c r="Q111" s="173"/>
      <c r="R111" s="128"/>
    </row>
    <row r="112" spans="1:18" ht="15" thickTop="1" thickBot="1" x14ac:dyDescent="0.2">
      <c r="A112" s="127"/>
      <c r="B112" s="128"/>
      <c r="C112" s="128"/>
      <c r="D112" s="129"/>
      <c r="E112" s="129"/>
      <c r="F112" s="130"/>
      <c r="G112" s="129"/>
      <c r="H112" s="131"/>
      <c r="I112" s="128"/>
      <c r="J112" s="132"/>
      <c r="K112" s="1371" t="s">
        <v>4562</v>
      </c>
      <c r="L112" s="1368">
        <v>0</v>
      </c>
      <c r="M112" s="1369">
        <v>0</v>
      </c>
      <c r="N112" s="1370">
        <v>0</v>
      </c>
      <c r="O112" s="508" t="s">
        <v>4563</v>
      </c>
      <c r="P112" s="133"/>
      <c r="Q112" s="128"/>
      <c r="R112" s="528"/>
    </row>
    <row r="113" spans="1:18" ht="15" thickTop="1" thickBot="1" x14ac:dyDescent="0.2">
      <c r="A113" s="134" t="s">
        <v>4564</v>
      </c>
      <c r="B113" s="135" t="s">
        <v>5031</v>
      </c>
      <c r="C113" s="136" t="s">
        <v>4566</v>
      </c>
      <c r="D113" s="135" t="s">
        <v>5032</v>
      </c>
      <c r="E113" s="135" t="s">
        <v>5033</v>
      </c>
      <c r="F113" s="135" t="s">
        <v>5034</v>
      </c>
      <c r="G113" s="135" t="s">
        <v>5035</v>
      </c>
      <c r="H113" s="135" t="s">
        <v>5036</v>
      </c>
      <c r="I113" s="138" t="s">
        <v>5037</v>
      </c>
      <c r="J113" s="139" t="s">
        <v>5037</v>
      </c>
      <c r="K113" s="135" t="s">
        <v>5036</v>
      </c>
      <c r="L113" s="135" t="s">
        <v>5032</v>
      </c>
      <c r="M113" s="135" t="s">
        <v>5033</v>
      </c>
      <c r="N113" s="135" t="s">
        <v>5034</v>
      </c>
      <c r="O113" s="135" t="s">
        <v>5035</v>
      </c>
      <c r="P113" s="135" t="s">
        <v>5031</v>
      </c>
      <c r="Q113" s="136" t="s">
        <v>4566</v>
      </c>
      <c r="R113" s="140" t="s">
        <v>4564</v>
      </c>
    </row>
    <row r="114" spans="1:18" ht="17.25" thickTop="1" x14ac:dyDescent="0.15">
      <c r="A114" s="621" t="s">
        <v>5115</v>
      </c>
      <c r="B114" s="142" t="s">
        <v>4635</v>
      </c>
      <c r="C114" s="164" t="s">
        <v>4575</v>
      </c>
      <c r="D114" s="2654" cm="1" t="n">
        <f t="array" ref="D114">INDEX('6층_부하량'!C3:C3000,MATCH(1,("6-DaHall 1-PDU-10"='6층_부하량'!A3:A3000)*(1='6층_부하량'!B3:B3000),0))</f>
        <v>0.0</v>
      </c>
      <c r="E114" s="144"/>
      <c r="F114" s="144"/>
      <c r="G114" s="144"/>
      <c r="H114" s="142" t="s">
        <v>4597</v>
      </c>
      <c r="I114" s="291" t="s">
        <v>4633</v>
      </c>
      <c r="J114" s="292" t="s">
        <v>4578</v>
      </c>
      <c r="K114" s="142" t="s">
        <v>4597</v>
      </c>
      <c r="L114" s="2654" cm="1" t="n">
        <f t="array" ref="L114">INDEX('6층_부하량'!C3:C3000,MATCH(1,("6-DaHall 1-PDU-10"='6층_부하량'!A3:A3000)*(2='6층_부하량'!B3:B3000),0))</f>
        <v>0.0</v>
      </c>
      <c r="M114" s="144"/>
      <c r="N114" s="144"/>
      <c r="O114" s="144"/>
      <c r="P114" s="144" t="s">
        <v>4635</v>
      </c>
      <c r="Q114" s="164" t="s">
        <v>4575</v>
      </c>
      <c r="R114" s="618" t="s">
        <v>5116</v>
      </c>
    </row>
    <row r="115" spans="1:18" ht="16.5" x14ac:dyDescent="0.15">
      <c r="A115" s="622" t="s">
        <v>5117</v>
      </c>
      <c r="B115" s="143" t="s">
        <v>4635</v>
      </c>
      <c r="C115" s="164" t="s">
        <v>4575</v>
      </c>
      <c r="D115" s="149"/>
      <c r="E115" s="2655" cm="1" t="n">
        <f t="array" ref="E115">INDEX('6층_부하량'!D3:D3000,MATCH(1,("6-DaHall 1-PDU-10"='6층_부하량'!A3:A3000)*(3='6층_부하량'!B3:B3000),0))</f>
        <v>0.0</v>
      </c>
      <c r="F115" s="149"/>
      <c r="G115" s="149"/>
      <c r="H115" s="143" t="s">
        <v>4597</v>
      </c>
      <c r="I115" s="293" t="s">
        <v>4638</v>
      </c>
      <c r="J115" s="294" t="s">
        <v>4583</v>
      </c>
      <c r="K115" s="143" t="s">
        <v>4597</v>
      </c>
      <c r="L115" s="149"/>
      <c r="M115" s="2655" cm="1" t="n">
        <f t="array" ref="M115">INDEX('6층_부하량'!D3:D3000,MATCH(1,("6-DaHall 1-PDU-10"='6층_부하량'!A3:A3000)*(4='6층_부하량'!B3:B3000),0))</f>
        <v>0.0</v>
      </c>
      <c r="N115" s="149"/>
      <c r="O115" s="149"/>
      <c r="P115" s="149" t="s">
        <v>4635</v>
      </c>
      <c r="Q115" s="164" t="s">
        <v>4575</v>
      </c>
      <c r="R115" s="342" t="s">
        <v>5118</v>
      </c>
    </row>
    <row r="116" spans="1:18" ht="16.5" x14ac:dyDescent="0.15">
      <c r="A116" s="607" t="s">
        <v>5119</v>
      </c>
      <c r="B116" s="143" t="s">
        <v>4635</v>
      </c>
      <c r="C116" s="164" t="s">
        <v>4575</v>
      </c>
      <c r="D116" s="157"/>
      <c r="E116" s="157"/>
      <c r="F116" s="2656" cm="1" t="n">
        <f t="array" ref="F116">INDEX('6층_부하량'!E3:E3000,MATCH(1,("6-DaHall 1-PDU-10"='6층_부하량'!A3:A3000)*(5='6층_부하량'!B3:B3000),0))</f>
        <v>0.0</v>
      </c>
      <c r="G116" s="157"/>
      <c r="H116" s="143" t="s">
        <v>4597</v>
      </c>
      <c r="I116" s="293" t="s">
        <v>4641</v>
      </c>
      <c r="J116" s="294" t="s">
        <v>4588</v>
      </c>
      <c r="K116" s="143" t="s">
        <v>4597</v>
      </c>
      <c r="L116" s="157"/>
      <c r="M116" s="157"/>
      <c r="N116" s="2656" cm="1" t="n">
        <f t="array" ref="N116">INDEX('6층_부하량'!E3:E3000,MATCH(1,("6-DaHall 1-PDU-10"='6층_부하량'!A3:A3000)*(6='6층_부하량'!B3:B3000),0))</f>
        <v>0.0</v>
      </c>
      <c r="O116" s="157"/>
      <c r="P116" s="157" t="s">
        <v>4635</v>
      </c>
      <c r="Q116" s="164" t="s">
        <v>4575</v>
      </c>
      <c r="R116" s="342" t="s">
        <v>5120</v>
      </c>
    </row>
    <row r="117" spans="1:18" ht="16.5" x14ac:dyDescent="0.15">
      <c r="A117" s="622" t="s">
        <v>5121</v>
      </c>
      <c r="B117" s="143" t="s">
        <v>4635</v>
      </c>
      <c r="C117" s="164" t="s">
        <v>4575</v>
      </c>
      <c r="D117" s="2656" cm="1" t="n">
        <f t="array" ref="D117">INDEX('6층_부하량'!C3:C3000,MATCH(1,("6-DaHall 1-PDU-10"='6층_부하량'!A3:A3000)*(7='6층_부하량'!B3:B3000),0))</f>
        <v>0.0</v>
      </c>
      <c r="E117" s="157"/>
      <c r="F117" s="157"/>
      <c r="G117" s="157"/>
      <c r="H117" s="143" t="s">
        <v>4597</v>
      </c>
      <c r="I117" s="293" t="s">
        <v>4645</v>
      </c>
      <c r="J117" s="294" t="s">
        <v>4593</v>
      </c>
      <c r="K117" s="143" t="s">
        <v>4597</v>
      </c>
      <c r="L117" s="2656" cm="1" t="n">
        <f t="array" ref="L117">INDEX('6층_부하량'!C3:C3000,MATCH(1,("6-DaHall 1-PDU-10"='6층_부하량'!A3:A3000)*(8='6층_부하량'!B3:B3000),0))</f>
        <v>0.0</v>
      </c>
      <c r="M117" s="157"/>
      <c r="N117" s="157"/>
      <c r="O117" s="157"/>
      <c r="P117" s="157" t="s">
        <v>4635</v>
      </c>
      <c r="Q117" s="164" t="s">
        <v>4575</v>
      </c>
      <c r="R117" s="342" t="s">
        <v>5122</v>
      </c>
    </row>
    <row r="118" spans="1:18" ht="16.5" x14ac:dyDescent="0.15">
      <c r="A118" s="607" t="s">
        <v>5123</v>
      </c>
      <c r="B118" s="143" t="s">
        <v>4635</v>
      </c>
      <c r="C118" s="164" t="s">
        <v>4575</v>
      </c>
      <c r="D118" s="157"/>
      <c r="E118" s="2656" cm="1" t="n">
        <f t="array" ref="E118">INDEX('6층_부하량'!D3:D3000,MATCH(1,("6-DaHall 1-PDU-10"='6층_부하량'!A3:A3000)*(9='6층_부하량'!B3:B3000),0))</f>
        <v>0.0</v>
      </c>
      <c r="F118" s="157"/>
      <c r="G118" s="157"/>
      <c r="H118" s="143" t="s">
        <v>4597</v>
      </c>
      <c r="I118" s="293" t="s">
        <v>4648</v>
      </c>
      <c r="J118" s="294" t="s">
        <v>4596</v>
      </c>
      <c r="K118" s="143" t="s">
        <v>4597</v>
      </c>
      <c r="L118" s="157"/>
      <c r="M118" s="2656" cm="1" t="n">
        <f t="array" ref="M118">INDEX('6층_부하량'!D3:D3000,MATCH(1,("6-DaHall 1-PDU-10"='6층_부하량'!A3:A3000)*(10='6층_부하량'!B3:B3000),0))</f>
        <v>0.0</v>
      </c>
      <c r="N118" s="157"/>
      <c r="O118" s="157"/>
      <c r="P118" s="157" t="s">
        <v>4635</v>
      </c>
      <c r="Q118" s="164" t="s">
        <v>4575</v>
      </c>
      <c r="R118" s="342" t="s">
        <v>5124</v>
      </c>
    </row>
    <row r="119" spans="1:18" ht="16.5" x14ac:dyDescent="0.15">
      <c r="A119" s="622" t="s">
        <v>5125</v>
      </c>
      <c r="B119" s="143" t="s">
        <v>4635</v>
      </c>
      <c r="C119" s="164" t="s">
        <v>4575</v>
      </c>
      <c r="D119" s="157"/>
      <c r="E119" s="157"/>
      <c r="F119" s="2656" cm="1" t="n">
        <f t="array" ref="F119">INDEX('6층_부하량'!E3:E3000,MATCH(1,("6-DaHall 1-PDU-10"='6층_부하량'!A3:A3000)*(11='6층_부하량'!B3:B3000),0))</f>
        <v>0.0</v>
      </c>
      <c r="G119" s="157"/>
      <c r="H119" s="143" t="s">
        <v>4597</v>
      </c>
      <c r="I119" s="293" t="s">
        <v>4653</v>
      </c>
      <c r="J119" s="294" t="s">
        <v>4599</v>
      </c>
      <c r="K119" s="143" t="s">
        <v>4597</v>
      </c>
      <c r="L119" s="157"/>
      <c r="M119" s="157"/>
      <c r="N119" s="2656" cm="1" t="n">
        <f t="array" ref="N119">INDEX('6층_부하량'!E3:E3000,MATCH(1,("6-DaHall 1-PDU-10"='6층_부하량'!A3:A3000)*(12='6층_부하량'!B3:B3000),0))</f>
        <v>0.0</v>
      </c>
      <c r="O119" s="157"/>
      <c r="P119" s="157" t="s">
        <v>4635</v>
      </c>
      <c r="Q119" s="164" t="s">
        <v>4575</v>
      </c>
      <c r="R119" s="342" t="s">
        <v>5126</v>
      </c>
    </row>
    <row r="120" spans="1:18" ht="16.5" x14ac:dyDescent="0.15">
      <c r="A120" s="607" t="s">
        <v>5127</v>
      </c>
      <c r="B120" s="143" t="s">
        <v>4635</v>
      </c>
      <c r="C120" s="164" t="s">
        <v>4575</v>
      </c>
      <c r="D120" s="2656" cm="1" t="n">
        <f t="array" ref="D120">INDEX('6층_부하량'!C3:C3000,MATCH(1,("6-DaHall 1-PDU-10"='6층_부하량'!A3:A3000)*(13='6층_부하량'!B3:B3000),0))</f>
        <v>0.0</v>
      </c>
      <c r="E120" s="157"/>
      <c r="F120" s="157"/>
      <c r="G120" s="157"/>
      <c r="H120" s="143" t="s">
        <v>4597</v>
      </c>
      <c r="I120" s="293" t="s">
        <v>4657</v>
      </c>
      <c r="J120" s="294" t="s">
        <v>4601</v>
      </c>
      <c r="K120" s="143" t="s">
        <v>4597</v>
      </c>
      <c r="L120" s="2656" cm="1" t="n">
        <f t="array" ref="L120">INDEX('6층_부하량'!C3:C3000,MATCH(1,("6-DaHall 1-PDU-10"='6층_부하량'!A3:A3000)*(14='6층_부하량'!B3:B3000),0))</f>
        <v>0.0</v>
      </c>
      <c r="M120" s="157"/>
      <c r="N120" s="157"/>
      <c r="O120" s="157"/>
      <c r="P120" s="157" t="s">
        <v>4635</v>
      </c>
      <c r="Q120" s="164" t="s">
        <v>4575</v>
      </c>
      <c r="R120" s="342" t="s">
        <v>5128</v>
      </c>
    </row>
    <row r="121" spans="1:18" ht="16.5" x14ac:dyDescent="0.15">
      <c r="A121" s="622" t="s">
        <v>5129</v>
      </c>
      <c r="B121" s="143" t="s">
        <v>4635</v>
      </c>
      <c r="C121" s="164" t="s">
        <v>4575</v>
      </c>
      <c r="D121" s="157"/>
      <c r="E121" s="2656" cm="1" t="n">
        <f t="array" ref="E121">INDEX('6층_부하량'!D3:D3000,MATCH(1,("6-DaHall 1-PDU-10"='6층_부하량'!A3:A3000)*(15='6층_부하량'!B3:B3000),0))</f>
        <v>0.0</v>
      </c>
      <c r="F121" s="157"/>
      <c r="G121" s="157"/>
      <c r="H121" s="143" t="s">
        <v>4597</v>
      </c>
      <c r="I121" s="293" t="s">
        <v>4661</v>
      </c>
      <c r="J121" s="294" t="s">
        <v>4603</v>
      </c>
      <c r="K121" s="143" t="s">
        <v>4597</v>
      </c>
      <c r="L121" s="157"/>
      <c r="M121" s="2656" cm="1" t="n">
        <f t="array" ref="M121">INDEX('6층_부하량'!D3:D3000,MATCH(1,("6-DaHall 1-PDU-10"='6층_부하량'!A3:A3000)*(16='6층_부하량'!B3:B3000),0))</f>
        <v>0.0</v>
      </c>
      <c r="N121" s="157"/>
      <c r="O121" s="157"/>
      <c r="P121" s="157" t="s">
        <v>4635</v>
      </c>
      <c r="Q121" s="164" t="s">
        <v>4575</v>
      </c>
      <c r="R121" s="342" t="s">
        <v>5130</v>
      </c>
    </row>
    <row r="122" spans="1:18" ht="16.5" customHeight="1" thickBot="1" x14ac:dyDescent="0.2">
      <c r="A122" s="625" t="s">
        <v>5131</v>
      </c>
      <c r="B122" s="176" t="s">
        <v>4635</v>
      </c>
      <c r="C122" s="191" t="s">
        <v>4575</v>
      </c>
      <c r="D122" s="177"/>
      <c r="E122" s="177"/>
      <c r="F122" s="2661" cm="1" t="n">
        <f t="array" ref="F122">INDEX('6층_부하량'!E3:E3000,MATCH(1,("6-DaHall 1-PDU-10"='6층_부하량'!A3:A3000)*(17='6층_부하량'!B3:B3000),0))</f>
        <v>0.0</v>
      </c>
      <c r="G122" s="177"/>
      <c r="H122" s="176" t="s">
        <v>4597</v>
      </c>
      <c r="I122" s="295" t="s">
        <v>4665</v>
      </c>
      <c r="J122" s="296" t="s">
        <v>4605</v>
      </c>
      <c r="K122" s="176" t="s">
        <v>4597</v>
      </c>
      <c r="L122" s="177"/>
      <c r="M122" s="177"/>
      <c r="N122" s="2661" cm="1" t="n">
        <f t="array" ref="N122">INDEX('6층_부하량'!E3:E3000,MATCH(1,("6-DaHall 1-PDU-10"='6층_부하량'!A3:A3000)*(18='6층_부하량'!B3:B3000),0))</f>
        <v>0.0</v>
      </c>
      <c r="O122" s="177"/>
      <c r="P122" s="177" t="s">
        <v>4635</v>
      </c>
      <c r="Q122" s="191" t="s">
        <v>4575</v>
      </c>
      <c r="R122" s="626" t="s">
        <v>5132</v>
      </c>
    </row>
    <row r="123" spans="1:18" ht="16.5" customHeight="1" thickTop="1" x14ac:dyDescent="0.15">
      <c r="A123" s="174" t="s">
        <v>5133</v>
      </c>
      <c r="B123" s="156" t="s">
        <v>4635</v>
      </c>
      <c r="C123" s="156" t="s">
        <v>4723</v>
      </c>
      <c r="D123" s="2658" cm="1" t="n">
        <f t="array" ref="D123">INDEX('6층_부하량'!C3:C3000,MATCH(1,("6-DaHall 1-PDU-10"='6층_부하량'!A3:A3000)*(19='6층_부하량'!B3:B3000),0))</f>
        <v>0.0</v>
      </c>
      <c r="E123" s="179"/>
      <c r="F123" s="179"/>
      <c r="G123" s="179"/>
      <c r="H123" s="156" t="s">
        <v>4597</v>
      </c>
      <c r="I123" s="1470" t="s">
        <v>4670</v>
      </c>
      <c r="J123" s="298" t="s">
        <v>4609</v>
      </c>
      <c r="K123" s="156" t="s">
        <v>4597</v>
      </c>
      <c r="L123" s="2658" cm="1" t="n">
        <f t="array" ref="L123">INDEX('6층_부하량'!C3:C3000,MATCH(1,("6-DaHall 1-PDU-10"='6층_부하량'!A3:A3000)*(20='6층_부하량'!B3:B3000),0))</f>
        <v>0.0</v>
      </c>
      <c r="M123" s="179"/>
      <c r="N123" s="179"/>
      <c r="O123" s="179"/>
      <c r="P123" s="179" t="s">
        <v>4635</v>
      </c>
      <c r="Q123" s="152" t="s">
        <v>4575</v>
      </c>
      <c r="R123" s="475" t="s">
        <v>5134</v>
      </c>
    </row>
    <row r="124" spans="1:18" ht="16.5" customHeight="1" x14ac:dyDescent="0.15">
      <c r="A124" s="274" t="s">
        <v>5135</v>
      </c>
      <c r="B124" s="143" t="s">
        <v>4635</v>
      </c>
      <c r="C124" s="164" t="s">
        <v>4575</v>
      </c>
      <c r="D124" s="157"/>
      <c r="E124" s="2656" cm="1" t="n">
        <f t="array" ref="E124">INDEX('6층_부하량'!D3:D3000,MATCH(1,("6-DaHall 1-PDU-10"='6층_부하량'!A3:A3000)*(21='6층_부하량'!B3:B3000),0))</f>
        <v>0.0</v>
      </c>
      <c r="F124" s="157"/>
      <c r="G124" s="157"/>
      <c r="H124" s="143" t="s">
        <v>4597</v>
      </c>
      <c r="I124" s="299" t="s">
        <v>4674</v>
      </c>
      <c r="J124" s="294" t="s">
        <v>4613</v>
      </c>
      <c r="K124" s="143" t="s">
        <v>4597</v>
      </c>
      <c r="L124" s="157"/>
      <c r="M124" s="2656" cm="1" t="n">
        <f t="array" ref="M124">INDEX('6층_부하량'!D3:D3000,MATCH(1,("6-DaHall 1-PDU-10"='6층_부하량'!A3:A3000)*(22='6층_부하량'!B3:B3000),0))</f>
        <v>0.0</v>
      </c>
      <c r="N124" s="157"/>
      <c r="O124" s="157"/>
      <c r="P124" s="157" t="s">
        <v>4635</v>
      </c>
      <c r="Q124" s="164" t="s">
        <v>4575</v>
      </c>
      <c r="R124" s="342" t="s">
        <v>5136</v>
      </c>
    </row>
    <row r="125" spans="1:18" ht="16.5" customHeight="1" x14ac:dyDescent="0.15">
      <c r="A125" s="148" t="s">
        <v>5137</v>
      </c>
      <c r="B125" s="143" t="s">
        <v>4635</v>
      </c>
      <c r="C125" s="143" t="s">
        <v>4723</v>
      </c>
      <c r="D125" s="157"/>
      <c r="E125" s="157"/>
      <c r="F125" s="2656" cm="1" t="n">
        <f t="array" ref="F125">INDEX('6층_부하량'!E3:E3000,MATCH(1,("6-DaHall 1-PDU-10"='6층_부하량'!A3:A3000)*(23='6층_부하량'!B3:B3000),0))</f>
        <v>0.0</v>
      </c>
      <c r="G125" s="157"/>
      <c r="H125" s="143" t="s">
        <v>4597</v>
      </c>
      <c r="I125" s="1471" t="s">
        <v>4678</v>
      </c>
      <c r="J125" s="1463" t="s">
        <v>4680</v>
      </c>
      <c r="K125" s="143" t="s">
        <v>4597</v>
      </c>
      <c r="L125" s="157"/>
      <c r="M125" s="157"/>
      <c r="N125" s="2656" cm="1" t="n">
        <f t="array" ref="N125">INDEX('6층_부하량'!E3:E3000,MATCH(1,("6-DaHall 1-PDU-10"='6층_부하량'!A3:A3000)*(24='6층_부하량'!B3:B3000),0))</f>
        <v>0.0</v>
      </c>
      <c r="O125" s="157"/>
      <c r="P125" s="157" t="s">
        <v>4635</v>
      </c>
      <c r="Q125" s="143" t="s">
        <v>4723</v>
      </c>
      <c r="R125" s="627" t="s">
        <v>5138</v>
      </c>
    </row>
    <row r="126" spans="1:18" ht="16.5" customHeight="1" x14ac:dyDescent="0.15">
      <c r="A126" s="148" t="s">
        <v>5139</v>
      </c>
      <c r="B126" s="143" t="s">
        <v>4635</v>
      </c>
      <c r="C126" s="143" t="s">
        <v>4723</v>
      </c>
      <c r="D126" s="2656" cm="1" t="n">
        <f t="array" ref="D126">INDEX('6층_부하량'!C3:C3000,MATCH(1,("6-DaHall 1-PDU-10"='6층_부하량'!A3:A3000)*(25='6층_부하량'!B3:B3000),0))</f>
        <v>0.0</v>
      </c>
      <c r="E126" s="157"/>
      <c r="F126" s="157"/>
      <c r="G126" s="157"/>
      <c r="H126" s="143" t="s">
        <v>4597</v>
      </c>
      <c r="I126" s="1471" t="s">
        <v>4683</v>
      </c>
      <c r="J126" s="294" t="s">
        <v>4685</v>
      </c>
      <c r="K126" s="143" t="s">
        <v>4597</v>
      </c>
      <c r="L126" s="2656" cm="1" t="n">
        <f t="array" ref="L126">INDEX('6층_부하량'!C3:C3000,MATCH(1,("6-DaHall 1-PDU-10"='6층_부하량'!A3:A3000)*(26='6층_부하량'!B3:B3000),0))</f>
        <v>0.0</v>
      </c>
      <c r="M126" s="157"/>
      <c r="N126" s="157"/>
      <c r="O126" s="157"/>
      <c r="P126" s="157" t="s">
        <v>4635</v>
      </c>
      <c r="Q126" s="164" t="s">
        <v>4575</v>
      </c>
      <c r="R126" s="342" t="s">
        <v>5140</v>
      </c>
    </row>
    <row r="127" spans="1:18" ht="16.5" customHeight="1" x14ac:dyDescent="0.15">
      <c r="A127" s="148" t="s">
        <v>5141</v>
      </c>
      <c r="B127" s="143" t="s">
        <v>4635</v>
      </c>
      <c r="C127" s="143" t="s">
        <v>4723</v>
      </c>
      <c r="D127" s="157"/>
      <c r="E127" s="2656" cm="1" t="n">
        <f t="array" ref="E127">INDEX('6층_부하량'!D3:D3000,MATCH(1,("6-DaHall 1-PDU-10"='6층_부하량'!A3:A3000)*(27='6층_부하량'!B3:B3000),0))</f>
        <v>0.0</v>
      </c>
      <c r="F127" s="157"/>
      <c r="G127" s="157"/>
      <c r="H127" s="143" t="s">
        <v>4597</v>
      </c>
      <c r="I127" s="1471" t="s">
        <v>4688</v>
      </c>
      <c r="J127" s="294" t="s">
        <v>4689</v>
      </c>
      <c r="K127" s="143" t="s">
        <v>4597</v>
      </c>
      <c r="L127" s="157"/>
      <c r="M127" s="2656" cm="1" t="n">
        <f t="array" ref="M127">INDEX('6층_부하량'!D3:D3000,MATCH(1,("6-DaHall 1-PDU-10"='6층_부하량'!A3:A3000)*(28='6층_부하량'!B3:B3000),0))</f>
        <v>0.0</v>
      </c>
      <c r="N127" s="157"/>
      <c r="O127" s="157"/>
      <c r="P127" s="157" t="s">
        <v>4635</v>
      </c>
      <c r="Q127" s="164" t="s">
        <v>4575</v>
      </c>
      <c r="R127" s="342" t="s">
        <v>5142</v>
      </c>
    </row>
    <row r="128" spans="1:18" ht="16.5" customHeight="1" x14ac:dyDescent="0.15">
      <c r="A128" s="148" t="s">
        <v>5143</v>
      </c>
      <c r="B128" s="143" t="s">
        <v>4635</v>
      </c>
      <c r="C128" s="143" t="s">
        <v>4723</v>
      </c>
      <c r="D128" s="157"/>
      <c r="E128" s="157"/>
      <c r="F128" s="2656" cm="1" t="n">
        <f t="array" ref="F128">INDEX('6층_부하량'!E3:E3000,MATCH(1,("6-DaHall 1-PDU-10"='6층_부하량'!A3:A3000)*(29='6층_부하량'!B3:B3000),0))</f>
        <v>0.0</v>
      </c>
      <c r="G128" s="157"/>
      <c r="H128" s="143" t="s">
        <v>4597</v>
      </c>
      <c r="I128" s="1471" t="s">
        <v>4691</v>
      </c>
      <c r="J128" s="294" t="s">
        <v>4692</v>
      </c>
      <c r="K128" s="143" t="s">
        <v>4597</v>
      </c>
      <c r="L128" s="157"/>
      <c r="M128" s="157"/>
      <c r="N128" s="2656" cm="1" t="n">
        <f t="array" ref="N128">INDEX('6층_부하량'!E3:E3000,MATCH(1,("6-DaHall 1-PDU-10"='6층_부하량'!A3:A3000)*(30='6층_부하량'!B3:B3000),0))</f>
        <v>0.0</v>
      </c>
      <c r="O128" s="157"/>
      <c r="P128" s="157" t="s">
        <v>4635</v>
      </c>
      <c r="Q128" s="164" t="s">
        <v>4575</v>
      </c>
      <c r="R128" s="342" t="s">
        <v>5144</v>
      </c>
    </row>
    <row r="129" spans="1:18" ht="16.5" customHeight="1" x14ac:dyDescent="0.15">
      <c r="A129" s="148" t="s">
        <v>5145</v>
      </c>
      <c r="B129" s="143" t="s">
        <v>4635</v>
      </c>
      <c r="C129" s="143" t="s">
        <v>4723</v>
      </c>
      <c r="D129" s="2656" cm="1" t="n">
        <f t="array" ref="D129">INDEX('6층_부하량'!C3:C3000,MATCH(1,("6-DaHall 1-PDU-10"='6층_부하량'!A3:A3000)*(31='6층_부하량'!B3:B3000),0))</f>
        <v>0.0</v>
      </c>
      <c r="E129" s="157"/>
      <c r="F129" s="157"/>
      <c r="G129" s="157"/>
      <c r="H129" s="143" t="s">
        <v>4597</v>
      </c>
      <c r="I129" s="1471" t="s">
        <v>4693</v>
      </c>
      <c r="J129" s="294" t="s">
        <v>4694</v>
      </c>
      <c r="K129" s="143" t="s">
        <v>4597</v>
      </c>
      <c r="L129" s="2656" cm="1" t="n">
        <f t="array" ref="L129">INDEX('6층_부하량'!C3:C3000,MATCH(1,("6-DaHall 1-PDU-10"='6층_부하량'!A3:A3000)*(32='6층_부하량'!B3:B3000),0))</f>
        <v>0.0</v>
      </c>
      <c r="M129" s="157"/>
      <c r="N129" s="157"/>
      <c r="O129" s="157"/>
      <c r="P129" s="157" t="s">
        <v>4635</v>
      </c>
      <c r="Q129" s="164" t="s">
        <v>4575</v>
      </c>
      <c r="R129" s="264" t="s">
        <v>5146</v>
      </c>
    </row>
    <row r="130" spans="1:18" ht="16.5" customHeight="1" x14ac:dyDescent="0.15">
      <c r="A130" s="148" t="s">
        <v>5147</v>
      </c>
      <c r="B130" s="143" t="s">
        <v>4635</v>
      </c>
      <c r="C130" s="143" t="s">
        <v>4723</v>
      </c>
      <c r="D130" s="157"/>
      <c r="E130" s="2656" cm="1" t="n">
        <f t="array" ref="E130">INDEX('6층_부하량'!D3:D3000,MATCH(1,("6-DaHall 1-PDU-10"='6층_부하량'!A3:A3000)*(33='6층_부하량'!B3:B3000),0))</f>
        <v>0.0</v>
      </c>
      <c r="F130" s="157"/>
      <c r="G130" s="157"/>
      <c r="H130" s="143" t="s">
        <v>4597</v>
      </c>
      <c r="I130" s="1471" t="s">
        <v>4697</v>
      </c>
      <c r="J130" s="294" t="s">
        <v>4698</v>
      </c>
      <c r="K130" s="143" t="s">
        <v>4597</v>
      </c>
      <c r="L130" s="157"/>
      <c r="M130" s="2656" cm="1" t="n">
        <f t="array" ref="M130">INDEX('6층_부하량'!D3:D3000,MATCH(1,("6-DaHall 1-PDU-10"='6층_부하량'!A3:A3000)*(34='6층_부하량'!B3:B3000),0))</f>
        <v>0.0</v>
      </c>
      <c r="N130" s="157"/>
      <c r="O130" s="157"/>
      <c r="P130" s="157" t="s">
        <v>4635</v>
      </c>
      <c r="Q130" s="164" t="s">
        <v>4575</v>
      </c>
      <c r="R130" s="264" t="s">
        <v>5148</v>
      </c>
    </row>
    <row r="131" spans="1:18" ht="16.5" customHeight="1" x14ac:dyDescent="0.15">
      <c r="A131" s="341" t="s">
        <v>5149</v>
      </c>
      <c r="B131" s="143" t="s">
        <v>4635</v>
      </c>
      <c r="C131" s="143" t="s">
        <v>4723</v>
      </c>
      <c r="D131" s="157"/>
      <c r="E131" s="157"/>
      <c r="F131" s="2656" cm="1" t="n">
        <f t="array" ref="F131">INDEX('6층_부하량'!E3:E3000,MATCH(1,("6-DaHall 1-PDU-10"='6층_부하량'!A3:A3000)*(35='6층_부하량'!B3:B3000),0))</f>
        <v>0.0</v>
      </c>
      <c r="G131" s="157"/>
      <c r="H131" s="143" t="s">
        <v>4597</v>
      </c>
      <c r="I131" s="1465" t="s">
        <v>4701</v>
      </c>
      <c r="J131" s="294" t="s">
        <v>4703</v>
      </c>
      <c r="K131" s="143" t="s">
        <v>4597</v>
      </c>
      <c r="L131" s="157"/>
      <c r="M131" s="157"/>
      <c r="N131" s="2656" cm="1" t="n">
        <f t="array" ref="N131">INDEX('6층_부하량'!E3:E3000,MATCH(1,("6-DaHall 1-PDU-10"='6층_부하량'!A3:A3000)*(36='6층_부하량'!B3:B3000),0))</f>
        <v>0.0</v>
      </c>
      <c r="O131" s="157"/>
      <c r="P131" s="157" t="s">
        <v>4635</v>
      </c>
      <c r="Q131" s="164" t="s">
        <v>4575</v>
      </c>
      <c r="R131" s="264" t="s">
        <v>5150</v>
      </c>
    </row>
    <row r="132" spans="1:18" ht="16.5" customHeight="1" x14ac:dyDescent="0.15">
      <c r="A132" s="341" t="s">
        <v>5151</v>
      </c>
      <c r="B132" s="143" t="s">
        <v>4635</v>
      </c>
      <c r="C132" s="143" t="s">
        <v>4723</v>
      </c>
      <c r="D132" s="2656" cm="1" t="n">
        <f t="array" ref="D132">INDEX('6층_부하량'!C3:C3000,MATCH(1,("6-DaHall 1-PDU-10"='6층_부하량'!A3:A3000)*(37='6층_부하량'!B3:B3000),0))</f>
        <v>0.0</v>
      </c>
      <c r="E132" s="157"/>
      <c r="F132" s="157"/>
      <c r="G132" s="157"/>
      <c r="H132" s="143" t="s">
        <v>4597</v>
      </c>
      <c r="I132" s="1465" t="s">
        <v>4706</v>
      </c>
      <c r="J132" s="1463" t="s">
        <v>4707</v>
      </c>
      <c r="K132" s="143" t="s">
        <v>4597</v>
      </c>
      <c r="L132" s="2656" cm="1" t="n">
        <f t="array" ref="L132">INDEX('6층_부하량'!C3:C3000,MATCH(1,("6-DaHall 1-PDU-10"='6층_부하량'!A3:A3000)*(38='6층_부하량'!B3:B3000),0))</f>
        <v>0.0</v>
      </c>
      <c r="M132" s="157"/>
      <c r="N132" s="157"/>
      <c r="O132" s="157"/>
      <c r="P132" s="157" t="s">
        <v>4635</v>
      </c>
      <c r="Q132" s="143" t="s">
        <v>4723</v>
      </c>
      <c r="R132" s="619" t="s">
        <v>5152</v>
      </c>
    </row>
    <row r="133" spans="1:18" ht="16.5" customHeight="1" x14ac:dyDescent="0.15">
      <c r="A133" s="148" t="s">
        <v>5153</v>
      </c>
      <c r="B133" s="143" t="s">
        <v>4635</v>
      </c>
      <c r="C133" s="143" t="s">
        <v>4723</v>
      </c>
      <c r="D133" s="157"/>
      <c r="E133" s="2656" cm="1" t="n">
        <f t="array" ref="E133">INDEX('6층_부하량'!D3:D3000,MATCH(1,("6-DaHall 1-PDU-10"='6층_부하량'!A3:A3000)*(39='6층_부하량'!B3:B3000),0))</f>
        <v>0.0</v>
      </c>
      <c r="F133" s="157"/>
      <c r="G133" s="157"/>
      <c r="H133" s="143" t="s">
        <v>4597</v>
      </c>
      <c r="I133" s="1471" t="s">
        <v>4710</v>
      </c>
      <c r="J133" s="1463" t="s">
        <v>4711</v>
      </c>
      <c r="K133" s="143" t="s">
        <v>4597</v>
      </c>
      <c r="L133" s="157"/>
      <c r="M133" s="2656" cm="1" t="n">
        <f t="array" ref="M133">INDEX('6층_부하량'!D3:D3000,MATCH(1,("6-DaHall 1-PDU-10"='6층_부하량'!A3:A3000)*(40='6층_부하량'!B3:B3000),0))</f>
        <v>0.0</v>
      </c>
      <c r="N133" s="157"/>
      <c r="O133" s="157"/>
      <c r="P133" s="157" t="s">
        <v>4635</v>
      </c>
      <c r="Q133" s="143" t="s">
        <v>4723</v>
      </c>
      <c r="R133" s="619" t="s">
        <v>5154</v>
      </c>
    </row>
    <row r="134" spans="1:18" ht="16.5" customHeight="1" x14ac:dyDescent="0.15">
      <c r="A134" s="341" t="s">
        <v>5155</v>
      </c>
      <c r="B134" s="143" t="s">
        <v>4635</v>
      </c>
      <c r="C134" s="143" t="s">
        <v>4723</v>
      </c>
      <c r="D134" s="157"/>
      <c r="E134" s="157"/>
      <c r="F134" s="2656" cm="1" t="n">
        <f t="array" ref="F134">INDEX('6층_부하량'!E3:E3000,MATCH(1,("6-DaHall 1-PDU-10"='6층_부하량'!A3:A3000)*(41='6층_부하량'!B3:B3000),0))</f>
        <v>0.0</v>
      </c>
      <c r="G134" s="157"/>
      <c r="H134" s="143" t="s">
        <v>4597</v>
      </c>
      <c r="I134" s="1465" t="s">
        <v>5055</v>
      </c>
      <c r="J134" s="1463" t="s">
        <v>4843</v>
      </c>
      <c r="K134" s="143" t="s">
        <v>4597</v>
      </c>
      <c r="L134" s="157"/>
      <c r="M134" s="157"/>
      <c r="N134" s="2656" cm="1" t="n">
        <f t="array" ref="N134">INDEX('6층_부하량'!E3:E3000,MATCH(1,("6-DaHall 1-PDU-10"='6층_부하량'!A3:A3000)*(42='6층_부하량'!B3:B3000),0))</f>
        <v>0.0</v>
      </c>
      <c r="O134" s="157"/>
      <c r="P134" s="157" t="s">
        <v>4635</v>
      </c>
      <c r="Q134" s="143" t="s">
        <v>4723</v>
      </c>
      <c r="R134" s="619" t="s">
        <v>5156</v>
      </c>
    </row>
    <row r="135" spans="1:18" ht="16.5" customHeight="1" x14ac:dyDescent="0.15">
      <c r="A135" s="341" t="s">
        <v>5157</v>
      </c>
      <c r="B135" s="143" t="s">
        <v>4635</v>
      </c>
      <c r="C135" s="143" t="s">
        <v>4723</v>
      </c>
      <c r="D135" s="2656" cm="1" t="n">
        <f t="array" ref="D135">INDEX('6층_부하량'!C3:C3000,MATCH(1,("6-DaHall 1-PDU-10"='6층_부하량'!A3:A3000)*(43='6층_부하량'!B3:B3000),0))</f>
        <v>0.0</v>
      </c>
      <c r="E135" s="157"/>
      <c r="F135" s="157"/>
      <c r="G135" s="157"/>
      <c r="H135" s="143" t="s">
        <v>4597</v>
      </c>
      <c r="I135" s="1465" t="s">
        <v>4845</v>
      </c>
      <c r="J135" s="1463" t="s">
        <v>4846</v>
      </c>
      <c r="K135" s="143" t="s">
        <v>4597</v>
      </c>
      <c r="L135" s="2656" cm="1" t="n">
        <f t="array" ref="L135">INDEX('6층_부하량'!C3:C3000,MATCH(1,("6-DaHall 1-PDU-10"='6층_부하량'!A3:A3000)*(44='6층_부하량'!B3:B3000),0))</f>
        <v>0.0</v>
      </c>
      <c r="M135" s="157"/>
      <c r="N135" s="157"/>
      <c r="O135" s="157"/>
      <c r="P135" s="157" t="s">
        <v>4635</v>
      </c>
      <c r="Q135" s="143" t="s">
        <v>4723</v>
      </c>
      <c r="R135" s="619" t="s">
        <v>5158</v>
      </c>
    </row>
    <row r="136" spans="1:18" ht="16.5" customHeight="1" x14ac:dyDescent="0.15">
      <c r="A136" s="341" t="s">
        <v>5159</v>
      </c>
      <c r="B136" s="143" t="s">
        <v>4635</v>
      </c>
      <c r="C136" s="143" t="s">
        <v>4723</v>
      </c>
      <c r="D136" s="157"/>
      <c r="E136" s="2656" cm="1" t="n">
        <f t="array" ref="E136">INDEX('6층_부하량'!D3:D3000,MATCH(1,("6-DaHall 1-PDU-10"='6층_부하량'!A3:A3000)*(45='6층_부하량'!B3:B3000),0))</f>
        <v>0.0</v>
      </c>
      <c r="F136" s="157"/>
      <c r="G136" s="157"/>
      <c r="H136" s="143" t="s">
        <v>4597</v>
      </c>
      <c r="I136" s="1465" t="s">
        <v>4847</v>
      </c>
      <c r="J136" s="1463" t="s">
        <v>4848</v>
      </c>
      <c r="K136" s="143" t="s">
        <v>4597</v>
      </c>
      <c r="L136" s="157"/>
      <c r="M136" s="2656" cm="1" t="n">
        <f t="array" ref="M136">INDEX('6층_부하량'!D3:D3000,MATCH(1,("6-DaHall 1-PDU-10"='6층_부하량'!A3:A3000)*(46='6층_부하량'!B3:B3000),0))</f>
        <v>0.0</v>
      </c>
      <c r="N136" s="157"/>
      <c r="O136" s="157"/>
      <c r="P136" s="157" t="s">
        <v>4635</v>
      </c>
      <c r="Q136" s="143" t="s">
        <v>4723</v>
      </c>
      <c r="R136" s="619" t="s">
        <v>5160</v>
      </c>
    </row>
    <row r="137" spans="1:18" ht="16.5" customHeight="1" x14ac:dyDescent="0.15">
      <c r="A137" s="148" t="s">
        <v>4998</v>
      </c>
      <c r="B137" s="143" t="s">
        <v>565</v>
      </c>
      <c r="C137" s="143" t="s">
        <v>4723</v>
      </c>
      <c r="D137" s="157"/>
      <c r="E137" s="157"/>
      <c r="F137" s="2656" cm="1" t="n">
        <f t="array" ref="F137">INDEX('6층_부하량'!E3:E3000,MATCH(1,("6-DaHall 1-PDU-10"='6층_부하량'!A3:A3000)*(47='6층_부하량'!B3:B3000),0))</f>
        <v>0.0</v>
      </c>
      <c r="G137" s="157"/>
      <c r="H137" s="143" t="s">
        <v>4597</v>
      </c>
      <c r="I137" s="1471" t="s">
        <v>4849</v>
      </c>
      <c r="J137" s="294" t="s">
        <v>4850</v>
      </c>
      <c r="K137" s="143" t="s">
        <v>4597</v>
      </c>
      <c r="L137" s="157"/>
      <c r="M137" s="157"/>
      <c r="N137" s="2656" cm="1" t="n">
        <f t="array" ref="N137">INDEX('6층_부하량'!E3:E3000,MATCH(1,("6-DaHall 1-PDU-10"='6층_부하량'!A3:A3000)*(48='6층_부하량'!B3:B3000),0))</f>
        <v>0.0</v>
      </c>
      <c r="O137" s="157"/>
      <c r="P137" s="157" t="s">
        <v>4635</v>
      </c>
      <c r="Q137" s="164" t="s">
        <v>4575</v>
      </c>
      <c r="R137" s="264" t="s">
        <v>5161</v>
      </c>
    </row>
    <row r="138" spans="1:18" ht="16.5" customHeight="1" thickBot="1" x14ac:dyDescent="0.2">
      <c r="A138" s="165" t="s">
        <v>4998</v>
      </c>
      <c r="B138" s="166" t="s">
        <v>565</v>
      </c>
      <c r="C138" s="166" t="s">
        <v>4723</v>
      </c>
      <c r="D138" s="2659" cm="1" t="n">
        <f t="array" ref="D138">INDEX('6층_부하량'!C3:C3000,MATCH(1,("6-DaHall 1-PDU-10"='6층_부하량'!A3:A3000)*(49='6층_부하량'!B3:B3000),0))</f>
        <v>0.0</v>
      </c>
      <c r="E138" s="167"/>
      <c r="F138" s="167"/>
      <c r="G138" s="167"/>
      <c r="H138" s="166" t="s">
        <v>4597</v>
      </c>
      <c r="I138" s="1472" t="s">
        <v>4851</v>
      </c>
      <c r="J138" s="1473" t="s">
        <v>4852</v>
      </c>
      <c r="K138" s="166" t="s">
        <v>4597</v>
      </c>
      <c r="L138" s="2659" cm="1" t="n">
        <f t="array" ref="L138">INDEX('6층_부하량'!C3:C3000,MATCH(1,("6-DaHall 1-PDU-10"='6층_부하량'!A3:A3000)*(50='6층_부하량'!B3:B3000),0))</f>
        <v>0.0</v>
      </c>
      <c r="M138" s="167"/>
      <c r="N138" s="167"/>
      <c r="O138" s="167"/>
      <c r="P138" s="167" t="s">
        <v>4635</v>
      </c>
      <c r="Q138" s="166" t="s">
        <v>4723</v>
      </c>
      <c r="R138" s="620" t="s">
        <v>5162</v>
      </c>
    </row>
    <row r="139" spans="1:18" ht="14.25" thickTop="1" x14ac:dyDescent="0.15">
      <c r="A139" s="171"/>
      <c r="B139" s="133"/>
      <c r="C139" s="133"/>
      <c r="D139" s="131"/>
      <c r="E139" s="131"/>
      <c r="F139" s="131"/>
      <c r="G139" s="131"/>
      <c r="H139" s="133"/>
      <c r="I139" s="172"/>
      <c r="J139" s="172"/>
      <c r="K139" s="133" t="s">
        <v>4713</v>
      </c>
      <c r="L139" s="131" t="n">
        <f>SUM(D114:D138,L114:L138)</f>
        <v>0.0</v>
      </c>
      <c r="M139" s="131" t="n">
        <f>SUM(E114:E138,M114:M138)</f>
        <v>0.0</v>
      </c>
      <c r="N139" s="131" t="n">
        <f>SUM(F114:F138,N114:N138)</f>
        <v>0.0</v>
      </c>
      <c r="O139" s="131"/>
      <c r="P139" s="131"/>
      <c r="Q139" s="133"/>
      <c r="R139" s="131"/>
    </row>
    <row r="140" spans="1:18" ht="14.25" thickBot="1" x14ac:dyDescent="0.2">
      <c r="A140" s="128"/>
      <c r="B140" s="128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</row>
    <row r="141" spans="1:18" ht="15" thickTop="1" thickBot="1" x14ac:dyDescent="0.2">
      <c r="A141" s="173" t="s">
        <v>7001</v>
      </c>
      <c r="B141" s="128"/>
      <c r="C141" s="3660" t="s">
        <v>5163</v>
      </c>
      <c r="D141" s="3660"/>
      <c r="E141" s="3660"/>
      <c r="F141" s="173"/>
      <c r="G141" s="173"/>
      <c r="H141" s="133"/>
      <c r="I141" s="3665" t="s">
        <v>5063</v>
      </c>
      <c r="J141" s="3666"/>
      <c r="K141" s="133"/>
      <c r="L141" s="173"/>
      <c r="M141" s="173"/>
      <c r="N141" s="173"/>
      <c r="O141" s="173"/>
      <c r="P141" s="173"/>
      <c r="Q141" s="173"/>
      <c r="R141" s="128"/>
    </row>
    <row r="142" spans="1:18" ht="15" thickTop="1" thickBot="1" x14ac:dyDescent="0.2">
      <c r="A142" s="127"/>
      <c r="B142" s="128"/>
      <c r="C142" s="128"/>
      <c r="D142" s="129"/>
      <c r="E142" s="129"/>
      <c r="F142" s="130"/>
      <c r="G142" s="129"/>
      <c r="H142" s="131"/>
      <c r="I142" s="128"/>
      <c r="J142" s="132"/>
      <c r="K142" s="1371" t="s">
        <v>4562</v>
      </c>
      <c r="L142" s="1368">
        <v>5.0999999999999996</v>
      </c>
      <c r="M142" s="1369">
        <v>0</v>
      </c>
      <c r="N142" s="1370">
        <v>0</v>
      </c>
      <c r="O142" s="508" t="s">
        <v>4563</v>
      </c>
      <c r="P142" s="133"/>
      <c r="Q142" s="128"/>
      <c r="R142" s="528"/>
    </row>
    <row r="143" spans="1:18" ht="15" thickTop="1" thickBot="1" x14ac:dyDescent="0.2">
      <c r="A143" s="134" t="s">
        <v>4564</v>
      </c>
      <c r="B143" s="135" t="s">
        <v>5031</v>
      </c>
      <c r="C143" s="136" t="s">
        <v>4566</v>
      </c>
      <c r="D143" s="135" t="s">
        <v>5032</v>
      </c>
      <c r="E143" s="135" t="s">
        <v>5033</v>
      </c>
      <c r="F143" s="135" t="s">
        <v>5034</v>
      </c>
      <c r="G143" s="135" t="s">
        <v>5035</v>
      </c>
      <c r="H143" s="135" t="s">
        <v>5036</v>
      </c>
      <c r="I143" s="138" t="s">
        <v>5037</v>
      </c>
      <c r="J143" s="139" t="s">
        <v>5037</v>
      </c>
      <c r="K143" s="135" t="s">
        <v>5036</v>
      </c>
      <c r="L143" s="135" t="s">
        <v>5032</v>
      </c>
      <c r="M143" s="135" t="s">
        <v>5033</v>
      </c>
      <c r="N143" s="135" t="s">
        <v>5034</v>
      </c>
      <c r="O143" s="135" t="s">
        <v>5035</v>
      </c>
      <c r="P143" s="135" t="s">
        <v>5031</v>
      </c>
      <c r="Q143" s="136" t="s">
        <v>4566</v>
      </c>
      <c r="R143" s="140" t="s">
        <v>4564</v>
      </c>
    </row>
    <row r="144" spans="1:18" ht="15.75" customHeight="1" thickTop="1" x14ac:dyDescent="0.15">
      <c r="A144" s="141"/>
      <c r="B144" s="142" t="s">
        <v>565</v>
      </c>
      <c r="C144" s="142" t="s">
        <v>4723</v>
      </c>
      <c r="D144" s="2654" cm="1" t="n">
        <f t="array" ref="D144">INDEX('6층_부하량'!C3:C3000,MATCH(1,("6-DaHall 1-PDU-11"='6층_부하량'!A3:A3000)*(1='6층_부하량'!B3:B3000),0))</f>
        <v>0.0</v>
      </c>
      <c r="E144" s="144"/>
      <c r="F144" s="144"/>
      <c r="G144" s="144"/>
      <c r="H144" s="142" t="s">
        <v>4597</v>
      </c>
      <c r="I144" s="1469" t="s">
        <v>4633</v>
      </c>
      <c r="J144" s="292" t="s">
        <v>4578</v>
      </c>
      <c r="K144" s="142" t="s">
        <v>4597</v>
      </c>
      <c r="L144" s="2654" cm="1" t="n">
        <f t="array" ref="L144">INDEX('6층_부하량'!C3:C3000,MATCH(1,("6-DaHall 1-PDU-11"='6층_부하량'!A3:A3000)*(2='6층_부하량'!B3:B3000),0))</f>
        <v>0.0</v>
      </c>
      <c r="M144" s="144"/>
      <c r="N144" s="144"/>
      <c r="O144" s="144"/>
      <c r="P144" s="163" t="s">
        <v>4635</v>
      </c>
      <c r="Q144" s="142" t="s">
        <v>4723</v>
      </c>
      <c r="R144" s="618" t="s">
        <v>5164</v>
      </c>
    </row>
    <row r="145" spans="1:18" ht="15.75" customHeight="1" x14ac:dyDescent="0.15">
      <c r="A145" s="622" t="s">
        <v>5165</v>
      </c>
      <c r="B145" s="143" t="s">
        <v>4635</v>
      </c>
      <c r="C145" s="164" t="s">
        <v>4575</v>
      </c>
      <c r="D145" s="149"/>
      <c r="E145" s="2655" cm="1" t="n">
        <f t="array" ref="E145">INDEX('6층_부하량'!D3:D3000,MATCH(1,("6-DaHall 1-PDU-11"='6층_부하량'!A3:A3000)*(3='6층_부하량'!B3:B3000),0))</f>
        <v>0.0</v>
      </c>
      <c r="F145" s="149"/>
      <c r="G145" s="149"/>
      <c r="H145" s="143" t="s">
        <v>4597</v>
      </c>
      <c r="I145" s="293" t="s">
        <v>4638</v>
      </c>
      <c r="J145" s="294" t="s">
        <v>4583</v>
      </c>
      <c r="K145" s="143" t="s">
        <v>4597</v>
      </c>
      <c r="L145" s="149"/>
      <c r="M145" s="2655" cm="1" t="n">
        <f t="array" ref="M145">INDEX('6층_부하량'!D3:D3000,MATCH(1,("6-DaHall 1-PDU-11"='6층_부하량'!A3:A3000)*(4='6층_부하량'!B3:B3000),0))</f>
        <v>0.0</v>
      </c>
      <c r="N145" s="149"/>
      <c r="O145" s="149"/>
      <c r="P145" s="157" t="s">
        <v>4635</v>
      </c>
      <c r="Q145" s="143" t="s">
        <v>4723</v>
      </c>
      <c r="R145" s="342" t="s">
        <v>5166</v>
      </c>
    </row>
    <row r="146" spans="1:18" ht="15.75" customHeight="1" x14ac:dyDescent="0.15">
      <c r="A146" s="607" t="s">
        <v>5167</v>
      </c>
      <c r="B146" s="143" t="s">
        <v>4635</v>
      </c>
      <c r="C146" s="164" t="s">
        <v>4575</v>
      </c>
      <c r="D146" s="157"/>
      <c r="E146" s="157"/>
      <c r="F146" s="2656" cm="1" t="n">
        <f t="array" ref="F146">INDEX('6층_부하량'!E3:E3000,MATCH(1,("6-DaHall 1-PDU-11"='6층_부하량'!A3:A3000)*(5='6층_부하량'!B3:B3000),0))</f>
        <v>0.0</v>
      </c>
      <c r="G146" s="157"/>
      <c r="H146" s="143" t="s">
        <v>4597</v>
      </c>
      <c r="I146" s="293" t="s">
        <v>4641</v>
      </c>
      <c r="J146" s="294" t="s">
        <v>4588</v>
      </c>
      <c r="K146" s="143" t="s">
        <v>4597</v>
      </c>
      <c r="L146" s="157"/>
      <c r="M146" s="157"/>
      <c r="N146" s="2656" cm="1" t="n">
        <f t="array" ref="N146">INDEX('6층_부하량'!E3:E3000,MATCH(1,("6-DaHall 1-PDU-11"='6층_부하량'!A3:A3000)*(6='6층_부하량'!B3:B3000),0))</f>
        <v>0.0</v>
      </c>
      <c r="O146" s="157"/>
      <c r="P146" s="157" t="s">
        <v>4635</v>
      </c>
      <c r="Q146" s="143" t="s">
        <v>4723</v>
      </c>
      <c r="R146" s="342" t="s">
        <v>5168</v>
      </c>
    </row>
    <row r="147" spans="1:18" ht="15.75" customHeight="1" x14ac:dyDescent="0.15">
      <c r="A147" s="622" t="s">
        <v>5169</v>
      </c>
      <c r="B147" s="143" t="s">
        <v>4635</v>
      </c>
      <c r="C147" s="164" t="s">
        <v>4575</v>
      </c>
      <c r="D147" s="2656" cm="1" t="n">
        <f t="array" ref="D147">INDEX('6층_부하량'!C3:C3000,MATCH(1,("6-DaHall 1-PDU-11"='6층_부하량'!A3:A3000)*(7='6층_부하량'!B3:B3000),0))</f>
        <v>0.0</v>
      </c>
      <c r="E147" s="157"/>
      <c r="F147" s="157"/>
      <c r="G147" s="157"/>
      <c r="H147" s="143" t="s">
        <v>4597</v>
      </c>
      <c r="I147" s="293" t="s">
        <v>4645</v>
      </c>
      <c r="J147" s="294" t="s">
        <v>4593</v>
      </c>
      <c r="K147" s="143" t="s">
        <v>4597</v>
      </c>
      <c r="L147" s="2656" cm="1" t="n">
        <f t="array" ref="L147">INDEX('6층_부하량'!C3:C3000,MATCH(1,("6-DaHall 1-PDU-11"='6층_부하량'!A3:A3000)*(8='6층_부하량'!B3:B3000),0))</f>
        <v>0.0</v>
      </c>
      <c r="M147" s="157"/>
      <c r="N147" s="157"/>
      <c r="O147" s="157"/>
      <c r="P147" s="157" t="s">
        <v>4635</v>
      </c>
      <c r="Q147" s="143" t="s">
        <v>4723</v>
      </c>
      <c r="R147" s="342" t="s">
        <v>5170</v>
      </c>
    </row>
    <row r="148" spans="1:18" ht="15.75" customHeight="1" x14ac:dyDescent="0.15">
      <c r="A148" s="607" t="s">
        <v>5171</v>
      </c>
      <c r="B148" s="143" t="s">
        <v>4635</v>
      </c>
      <c r="C148" s="164" t="s">
        <v>4575</v>
      </c>
      <c r="D148" s="157"/>
      <c r="E148" s="2656" cm="1" t="n">
        <f t="array" ref="E148">INDEX('6층_부하량'!D3:D3000,MATCH(1,("6-DaHall 1-PDU-11"='6층_부하량'!A3:A3000)*(9='6층_부하량'!B3:B3000),0))</f>
        <v>0.0</v>
      </c>
      <c r="F148" s="157"/>
      <c r="G148" s="157"/>
      <c r="H148" s="143" t="s">
        <v>4597</v>
      </c>
      <c r="I148" s="293" t="s">
        <v>4648</v>
      </c>
      <c r="J148" s="294" t="s">
        <v>4596</v>
      </c>
      <c r="K148" s="143" t="s">
        <v>4597</v>
      </c>
      <c r="L148" s="157"/>
      <c r="M148" s="2656" cm="1" t="n">
        <f t="array" ref="M148">INDEX('6층_부하량'!D3:D3000,MATCH(1,("6-DaHall 1-PDU-11"='6층_부하량'!A3:A3000)*(10='6층_부하량'!B3:B3000),0))</f>
        <v>0.0</v>
      </c>
      <c r="N148" s="157"/>
      <c r="O148" s="157"/>
      <c r="P148" s="157" t="s">
        <v>4635</v>
      </c>
      <c r="Q148" s="164" t="s">
        <v>4575</v>
      </c>
      <c r="R148" s="342" t="s">
        <v>5172</v>
      </c>
    </row>
    <row r="149" spans="1:18" ht="15.75" customHeight="1" x14ac:dyDescent="0.15">
      <c r="A149" s="622" t="s">
        <v>5173</v>
      </c>
      <c r="B149" s="143" t="s">
        <v>4635</v>
      </c>
      <c r="C149" s="164" t="s">
        <v>4575</v>
      </c>
      <c r="D149" s="157"/>
      <c r="E149" s="157"/>
      <c r="F149" s="2656" cm="1" t="n">
        <f t="array" ref="F149">INDEX('6층_부하량'!E3:E3000,MATCH(1,("6-DaHall 1-PDU-11"='6층_부하량'!A3:A3000)*(11='6층_부하량'!B3:B3000),0))</f>
        <v>0.0</v>
      </c>
      <c r="G149" s="157"/>
      <c r="H149" s="143" t="s">
        <v>4597</v>
      </c>
      <c r="I149" s="293" t="s">
        <v>4653</v>
      </c>
      <c r="J149" s="294" t="s">
        <v>4599</v>
      </c>
      <c r="K149" s="143" t="s">
        <v>4597</v>
      </c>
      <c r="L149" s="157"/>
      <c r="M149" s="157"/>
      <c r="N149" s="2656" cm="1" t="n">
        <f t="array" ref="N149">INDEX('6층_부하량'!E3:E3000,MATCH(1,("6-DaHall 1-PDU-11"='6층_부하량'!A3:A3000)*(12='6층_부하량'!B3:B3000),0))</f>
        <v>0.0</v>
      </c>
      <c r="O149" s="157"/>
      <c r="P149" s="157" t="s">
        <v>4635</v>
      </c>
      <c r="Q149" s="164" t="s">
        <v>4575</v>
      </c>
      <c r="R149" s="342" t="s">
        <v>5174</v>
      </c>
    </row>
    <row r="150" spans="1:18" ht="15.75" customHeight="1" x14ac:dyDescent="0.15">
      <c r="A150" s="607" t="s">
        <v>5175</v>
      </c>
      <c r="B150" s="143" t="s">
        <v>4635</v>
      </c>
      <c r="C150" s="164" t="s">
        <v>4575</v>
      </c>
      <c r="D150" s="2656" cm="1" t="n">
        <f t="array" ref="D150">INDEX('6층_부하량'!C3:C3000,MATCH(1,("6-DaHall 1-PDU-11"='6층_부하량'!A3:A3000)*(13='6층_부하량'!B3:B3000),0))</f>
        <v>0.0</v>
      </c>
      <c r="E150" s="157"/>
      <c r="F150" s="157"/>
      <c r="G150" s="157"/>
      <c r="H150" s="143" t="s">
        <v>4597</v>
      </c>
      <c r="I150" s="293" t="s">
        <v>4657</v>
      </c>
      <c r="J150" s="294" t="s">
        <v>4601</v>
      </c>
      <c r="K150" s="143" t="s">
        <v>4597</v>
      </c>
      <c r="L150" s="2656" cm="1" t="n">
        <f t="array" ref="L150">INDEX('6층_부하량'!C3:C3000,MATCH(1,("6-DaHall 1-PDU-11"='6층_부하량'!A3:A3000)*(14='6층_부하량'!B3:B3000),0))</f>
        <v>0.0</v>
      </c>
      <c r="M150" s="157"/>
      <c r="N150" s="157"/>
      <c r="O150" s="157"/>
      <c r="P150" s="157" t="s">
        <v>4635</v>
      </c>
      <c r="Q150" s="164" t="s">
        <v>4575</v>
      </c>
      <c r="R150" s="342" t="s">
        <v>5176</v>
      </c>
    </row>
    <row r="151" spans="1:18" ht="15.75" customHeight="1" x14ac:dyDescent="0.15">
      <c r="A151" s="622" t="s">
        <v>5177</v>
      </c>
      <c r="B151" s="143" t="s">
        <v>4635</v>
      </c>
      <c r="C151" s="164" t="s">
        <v>4575</v>
      </c>
      <c r="D151" s="157"/>
      <c r="E151" s="2656" cm="1" t="n">
        <f t="array" ref="E151">INDEX('6층_부하량'!D3:D3000,MATCH(1,("6-DaHall 1-PDU-11"='6층_부하량'!A3:A3000)*(15='6층_부하량'!B3:B3000),0))</f>
        <v>0.0</v>
      </c>
      <c r="F151" s="157"/>
      <c r="G151" s="157"/>
      <c r="H151" s="143" t="s">
        <v>4597</v>
      </c>
      <c r="I151" s="293" t="s">
        <v>4661</v>
      </c>
      <c r="J151" s="294" t="s">
        <v>4603</v>
      </c>
      <c r="K151" s="143" t="s">
        <v>4597</v>
      </c>
      <c r="L151" s="157"/>
      <c r="M151" s="2656" cm="1" t="n">
        <f t="array" ref="M151">INDEX('6층_부하량'!D3:D3000,MATCH(1,("6-DaHall 1-PDU-11"='6층_부하량'!A3:A3000)*(16='6층_부하량'!B3:B3000),0))</f>
        <v>0.0</v>
      </c>
      <c r="N151" s="157"/>
      <c r="O151" s="157"/>
      <c r="P151" s="157" t="s">
        <v>4635</v>
      </c>
      <c r="Q151" s="164" t="s">
        <v>4575</v>
      </c>
      <c r="R151" s="342" t="s">
        <v>5178</v>
      </c>
    </row>
    <row r="152" spans="1:18" ht="15.75" customHeight="1" thickBot="1" x14ac:dyDescent="0.2">
      <c r="A152" s="622" t="s">
        <v>5179</v>
      </c>
      <c r="B152" s="159" t="s">
        <v>4635</v>
      </c>
      <c r="C152" s="185" t="s">
        <v>4575</v>
      </c>
      <c r="D152" s="177"/>
      <c r="E152" s="177"/>
      <c r="F152" s="2661" cm="1" t="n">
        <f t="array" ref="F152">INDEX('6층_부하량'!E3:E3000,MATCH(1,("6-DaHall 1-PDU-11"='6층_부하량'!A3:A3000)*(17='6층_부하량'!B3:B3000),0))</f>
        <v>0.0</v>
      </c>
      <c r="G152" s="160"/>
      <c r="H152" s="159" t="s">
        <v>4597</v>
      </c>
      <c r="I152" s="295" t="s">
        <v>4665</v>
      </c>
      <c r="J152" s="296" t="s">
        <v>4605</v>
      </c>
      <c r="K152" s="159" t="s">
        <v>4597</v>
      </c>
      <c r="L152" s="177"/>
      <c r="M152" s="177"/>
      <c r="N152" s="2661" cm="1" t="n">
        <f t="array" ref="N152">INDEX('6층_부하량'!E3:E3000,MATCH(1,("6-DaHall 1-PDU-11"='6층_부하량'!A3:A3000)*(18='6층_부하량'!B3:B3000),0))</f>
        <v>0.0</v>
      </c>
      <c r="O152" s="160"/>
      <c r="P152" s="160" t="s">
        <v>4635</v>
      </c>
      <c r="Q152" s="185" t="s">
        <v>4575</v>
      </c>
      <c r="R152" s="626" t="s">
        <v>5180</v>
      </c>
    </row>
    <row r="153" spans="1:18" ht="15.75" customHeight="1" thickTop="1" x14ac:dyDescent="0.15">
      <c r="A153" s="277" t="s">
        <v>5181</v>
      </c>
      <c r="B153" s="142" t="s">
        <v>4635</v>
      </c>
      <c r="C153" s="152" t="s">
        <v>4575</v>
      </c>
      <c r="D153" s="2658" cm="1" t="n">
        <f t="array" ref="D153">INDEX('6층_부하량'!C3:C3000,MATCH(1,("6-DaHall 1-PDU-11"='6층_부하량'!A3:A3000)*(19='6층_부하량'!B3:B3000),0))</f>
        <v>0.0</v>
      </c>
      <c r="E153" s="179"/>
      <c r="F153" s="179"/>
      <c r="G153" s="163"/>
      <c r="H153" s="142" t="s">
        <v>4597</v>
      </c>
      <c r="I153" s="1470" t="s">
        <v>4670</v>
      </c>
      <c r="J153" s="1474" t="s">
        <v>4609</v>
      </c>
      <c r="K153" s="142" t="s">
        <v>4597</v>
      </c>
      <c r="L153" s="2658" cm="1" t="n">
        <f t="array" ref="L153">INDEX('6층_부하량'!C3:C3000,MATCH(1,("6-DaHall 1-PDU-11"='6층_부하량'!A3:A3000)*(20='6층_부하량'!B3:B3000),0))</f>
        <v>0.0</v>
      </c>
      <c r="M153" s="179"/>
      <c r="N153" s="179"/>
      <c r="O153" s="163"/>
      <c r="P153" s="163" t="s">
        <v>4635</v>
      </c>
      <c r="Q153" s="142" t="s">
        <v>4723</v>
      </c>
      <c r="R153" s="630" t="s">
        <v>5182</v>
      </c>
    </row>
    <row r="154" spans="1:18" ht="15.75" customHeight="1" x14ac:dyDescent="0.15">
      <c r="A154" s="1018" t="s">
        <v>5183</v>
      </c>
      <c r="B154" s="156" t="s">
        <v>4635</v>
      </c>
      <c r="C154" s="189" t="s">
        <v>4575</v>
      </c>
      <c r="D154" s="157"/>
      <c r="E154" s="2656" cm="1" t="n">
        <f t="array" ref="E154">INDEX('6층_부하량'!D3:D3000,MATCH(1,("6-DaHall 1-PDU-11"='6층_부하량'!A3:A3000)*(21='6층_부하량'!B3:B3000),0))</f>
        <v>0.0</v>
      </c>
      <c r="F154" s="157"/>
      <c r="G154" s="179"/>
      <c r="H154" s="156" t="s">
        <v>4597</v>
      </c>
      <c r="I154" s="1471" t="s">
        <v>4674</v>
      </c>
      <c r="J154" s="1463" t="s">
        <v>4613</v>
      </c>
      <c r="K154" s="156" t="s">
        <v>4597</v>
      </c>
      <c r="L154" s="157"/>
      <c r="M154" s="2656" cm="1" t="n">
        <f t="array" ref="M154">INDEX('6층_부하량'!D3:D3000,MATCH(1,("6-DaHall 1-PDU-11"='6층_부하량'!A3:A3000)*(22='6층_부하량'!B3:B3000),0))</f>
        <v>0.0</v>
      </c>
      <c r="N154" s="157"/>
      <c r="O154" s="179"/>
      <c r="P154" s="179" t="s">
        <v>4635</v>
      </c>
      <c r="Q154" s="143" t="s">
        <v>4723</v>
      </c>
      <c r="R154" s="631" t="s">
        <v>5184</v>
      </c>
    </row>
    <row r="155" spans="1:18" ht="15.75" customHeight="1" x14ac:dyDescent="0.15">
      <c r="A155" s="607" t="s">
        <v>5185</v>
      </c>
      <c r="B155" s="143" t="s">
        <v>4635</v>
      </c>
      <c r="C155" s="164" t="s">
        <v>4575</v>
      </c>
      <c r="D155" s="157"/>
      <c r="E155" s="157"/>
      <c r="F155" s="2656" cm="1" t="n">
        <f t="array" ref="F155">INDEX('6층_부하량'!E3:E3000,MATCH(1,("6-DaHall 1-PDU-11"='6층_부하량'!A3:A3000)*(23='6층_부하량'!B3:B3000),0))</f>
        <v>0.0</v>
      </c>
      <c r="G155" s="157"/>
      <c r="H155" s="143" t="s">
        <v>4597</v>
      </c>
      <c r="I155" s="299" t="s">
        <v>4678</v>
      </c>
      <c r="J155" s="1463" t="s">
        <v>4680</v>
      </c>
      <c r="K155" s="143" t="s">
        <v>4597</v>
      </c>
      <c r="L155" s="157"/>
      <c r="M155" s="157"/>
      <c r="N155" s="2656" cm="1" t="n">
        <f t="array" ref="N155">INDEX('6층_부하량'!E3:E3000,MATCH(1,("6-DaHall 1-PDU-11"='6층_부하량'!A3:A3000)*(24='6층_부하량'!B3:B3000),0))</f>
        <v>0.0</v>
      </c>
      <c r="O155" s="157"/>
      <c r="P155" s="157" t="s">
        <v>4635</v>
      </c>
      <c r="Q155" s="143" t="s">
        <v>4723</v>
      </c>
      <c r="R155" s="619" t="s">
        <v>5186</v>
      </c>
    </row>
    <row r="156" spans="1:18" ht="15.75" customHeight="1" x14ac:dyDescent="0.15">
      <c r="A156" s="607" t="s">
        <v>5187</v>
      </c>
      <c r="B156" s="143" t="s">
        <v>4635</v>
      </c>
      <c r="C156" s="164" t="s">
        <v>4575</v>
      </c>
      <c r="D156" s="2656" cm="1" t="n">
        <f t="array" ref="D156">INDEX('6층_부하량'!C3:C3000,MATCH(1,("6-DaHall 1-PDU-11"='6층_부하량'!A3:A3000)*(25='6층_부하량'!B3:B3000),0))</f>
        <v>0.0</v>
      </c>
      <c r="E156" s="157"/>
      <c r="F156" s="157"/>
      <c r="G156" s="157"/>
      <c r="H156" s="143" t="s">
        <v>4597</v>
      </c>
      <c r="I156" s="299" t="s">
        <v>4683</v>
      </c>
      <c r="J156" s="1463" t="s">
        <v>4685</v>
      </c>
      <c r="K156" s="143" t="s">
        <v>4597</v>
      </c>
      <c r="L156" s="2656" cm="1" t="n">
        <f t="array" ref="L156">INDEX('6층_부하량'!C3:C3000,MATCH(1,("6-DaHall 1-PDU-11"='6층_부하량'!A3:A3000)*(26='6층_부하량'!B3:B3000),0))</f>
        <v>0.0</v>
      </c>
      <c r="M156" s="157"/>
      <c r="N156" s="157"/>
      <c r="O156" s="157"/>
      <c r="P156" s="157" t="s">
        <v>4635</v>
      </c>
      <c r="Q156" s="143" t="s">
        <v>4723</v>
      </c>
      <c r="R156" s="631" t="s">
        <v>5188</v>
      </c>
    </row>
    <row r="157" spans="1:18" ht="15.75" customHeight="1" x14ac:dyDescent="0.15">
      <c r="A157" s="607" t="s">
        <v>5189</v>
      </c>
      <c r="B157" s="143" t="s">
        <v>4635</v>
      </c>
      <c r="C157" s="164" t="s">
        <v>4575</v>
      </c>
      <c r="D157" s="157"/>
      <c r="E157" s="2656" cm="1" t="n">
        <f t="array" ref="E157">INDEX('6층_부하량'!D3:D3000,MATCH(1,("6-DaHall 1-PDU-11"='6층_부하량'!A3:A3000)*(27='6층_부하량'!B3:B3000),0))</f>
        <v>0.0</v>
      </c>
      <c r="F157" s="157"/>
      <c r="G157" s="157"/>
      <c r="H157" s="143" t="s">
        <v>4597</v>
      </c>
      <c r="I157" s="299" t="s">
        <v>4688</v>
      </c>
      <c r="J157" s="1463" t="s">
        <v>4689</v>
      </c>
      <c r="K157" s="143" t="s">
        <v>4597</v>
      </c>
      <c r="L157" s="157"/>
      <c r="M157" s="2656" cm="1" t="n">
        <f t="array" ref="M157">INDEX('6층_부하량'!D3:D3000,MATCH(1,("6-DaHall 1-PDU-11"='6층_부하량'!A3:A3000)*(28='6층_부하량'!B3:B3000),0))</f>
        <v>0.0</v>
      </c>
      <c r="N157" s="157"/>
      <c r="O157" s="157"/>
      <c r="P157" s="157" t="s">
        <v>4635</v>
      </c>
      <c r="Q157" s="143" t="s">
        <v>4723</v>
      </c>
      <c r="R157" s="619" t="s">
        <v>5190</v>
      </c>
    </row>
    <row r="158" spans="1:18" ht="15.75" customHeight="1" x14ac:dyDescent="0.15">
      <c r="A158" s="628" t="s">
        <v>5191</v>
      </c>
      <c r="B158" s="143" t="s">
        <v>4635</v>
      </c>
      <c r="C158" s="164" t="s">
        <v>4575</v>
      </c>
      <c r="D158" s="157"/>
      <c r="E158" s="157"/>
      <c r="F158" s="2656" cm="1" t="n">
        <f t="array" ref="F158">INDEX('6층_부하량'!E3:E3000,MATCH(1,("6-DaHall 1-PDU-11"='6층_부하량'!A3:A3000)*(29='6층_부하량'!B3:B3000),0))</f>
        <v>0.0</v>
      </c>
      <c r="G158" s="157"/>
      <c r="H158" s="143" t="s">
        <v>4597</v>
      </c>
      <c r="I158" s="299" t="s">
        <v>4691</v>
      </c>
      <c r="J158" s="1463" t="s">
        <v>4692</v>
      </c>
      <c r="K158" s="143" t="s">
        <v>4597</v>
      </c>
      <c r="L158" s="157"/>
      <c r="M158" s="157"/>
      <c r="N158" s="2656" cm="1" t="n">
        <f t="array" ref="N158">INDEX('6층_부하량'!E3:E3000,MATCH(1,("6-DaHall 1-PDU-11"='6층_부하량'!A3:A3000)*(30='6층_부하량'!B3:B3000),0))</f>
        <v>0.0</v>
      </c>
      <c r="O158" s="157"/>
      <c r="P158" s="157" t="s">
        <v>4635</v>
      </c>
      <c r="Q158" s="143" t="s">
        <v>4723</v>
      </c>
      <c r="R158" s="631" t="s">
        <v>5192</v>
      </c>
    </row>
    <row r="159" spans="1:18" ht="15.75" customHeight="1" x14ac:dyDescent="0.15">
      <c r="A159" s="629" t="s">
        <v>5193</v>
      </c>
      <c r="B159" s="143" t="s">
        <v>4635</v>
      </c>
      <c r="C159" s="164" t="s">
        <v>4575</v>
      </c>
      <c r="D159" s="2656" cm="1" t="n">
        <f t="array" ref="D159">INDEX('6층_부하량'!C3:C3000,MATCH(1,("6-DaHall 1-PDU-11"='6층_부하량'!A3:A3000)*(31='6층_부하량'!B3:B3000),0))</f>
        <v>0.0</v>
      </c>
      <c r="E159" s="157"/>
      <c r="F159" s="157"/>
      <c r="G159" s="157"/>
      <c r="H159" s="143" t="s">
        <v>4597</v>
      </c>
      <c r="I159" s="299" t="s">
        <v>4693</v>
      </c>
      <c r="J159" s="1463" t="s">
        <v>4694</v>
      </c>
      <c r="K159" s="143" t="s">
        <v>4597</v>
      </c>
      <c r="L159" s="2656" cm="1" t="n">
        <f t="array" ref="L159">INDEX('6층_부하량'!C3:C3000,MATCH(1,("6-DaHall 1-PDU-11"='6층_부하량'!A3:A3000)*(32='6층_부하량'!B3:B3000),0))</f>
        <v>0.0</v>
      </c>
      <c r="M159" s="157"/>
      <c r="N159" s="157"/>
      <c r="O159" s="157"/>
      <c r="P159" s="157" t="s">
        <v>565</v>
      </c>
      <c r="Q159" s="143" t="s">
        <v>4723</v>
      </c>
      <c r="R159" s="153"/>
    </row>
    <row r="160" spans="1:18" ht="15.75" customHeight="1" x14ac:dyDescent="0.15">
      <c r="A160" s="607" t="s">
        <v>5194</v>
      </c>
      <c r="B160" s="143" t="s">
        <v>4635</v>
      </c>
      <c r="C160" s="164" t="s">
        <v>4575</v>
      </c>
      <c r="D160" s="157"/>
      <c r="E160" s="2656" cm="1" t="n">
        <f t="array" ref="E160">INDEX('6층_부하량'!D3:D3000,MATCH(1,("6-DaHall 1-PDU-11"='6층_부하량'!A3:A3000)*(33='6층_부하량'!B3:B3000),0))</f>
        <v>0.0</v>
      </c>
      <c r="F160" s="157"/>
      <c r="G160" s="157"/>
      <c r="H160" s="143" t="s">
        <v>4597</v>
      </c>
      <c r="I160" s="299" t="s">
        <v>4697</v>
      </c>
      <c r="J160" s="1463" t="s">
        <v>4698</v>
      </c>
      <c r="K160" s="143" t="s">
        <v>4597</v>
      </c>
      <c r="L160" s="157"/>
      <c r="M160" s="2656" cm="1" t="n">
        <f t="array" ref="M160">INDEX('6층_부하량'!D3:D3000,MATCH(1,("6-DaHall 1-PDU-11"='6층_부하량'!A3:A3000)*(34='6층_부하량'!B3:B3000),0))</f>
        <v>0.0</v>
      </c>
      <c r="N160" s="157"/>
      <c r="O160" s="157"/>
      <c r="P160" s="157" t="s">
        <v>4635</v>
      </c>
      <c r="Q160" s="143" t="s">
        <v>4723</v>
      </c>
      <c r="R160" s="631" t="s">
        <v>5195</v>
      </c>
    </row>
    <row r="161" spans="1:18" ht="15.75" customHeight="1" x14ac:dyDescent="0.15">
      <c r="A161" s="341" t="s">
        <v>5196</v>
      </c>
      <c r="B161" s="143" t="s">
        <v>4635</v>
      </c>
      <c r="C161" s="143" t="s">
        <v>4723</v>
      </c>
      <c r="D161" s="157"/>
      <c r="E161" s="157"/>
      <c r="F161" s="2656" cm="1" t="n">
        <f t="array" ref="F161">INDEX('6층_부하량'!E3:E3000,MATCH(1,("6-DaHall 1-PDU-11"='6층_부하량'!A3:A3000)*(35='6층_부하량'!B3:B3000),0))</f>
        <v>0.0</v>
      </c>
      <c r="G161" s="157"/>
      <c r="H161" s="143" t="s">
        <v>4597</v>
      </c>
      <c r="I161" s="1465" t="s">
        <v>4701</v>
      </c>
      <c r="J161" s="1463" t="s">
        <v>4703</v>
      </c>
      <c r="K161" s="143" t="s">
        <v>4597</v>
      </c>
      <c r="L161" s="157"/>
      <c r="M161" s="157"/>
      <c r="N161" s="2656" cm="1" t="n">
        <f t="array" ref="N161">INDEX('6층_부하량'!E3:E3000,MATCH(1,("6-DaHall 1-PDU-11"='6층_부하량'!A3:A3000)*(36='6층_부하량'!B3:B3000),0))</f>
        <v>0.0</v>
      </c>
      <c r="O161" s="157"/>
      <c r="P161" s="157" t="s">
        <v>4635</v>
      </c>
      <c r="Q161" s="143" t="s">
        <v>4723</v>
      </c>
      <c r="R161" s="619" t="s">
        <v>5197</v>
      </c>
    </row>
    <row r="162" spans="1:18" ht="15.75" customHeight="1" x14ac:dyDescent="0.15">
      <c r="A162" s="341" t="s">
        <v>5198</v>
      </c>
      <c r="B162" s="143" t="s">
        <v>4635</v>
      </c>
      <c r="C162" s="143" t="s">
        <v>4723</v>
      </c>
      <c r="D162" s="2656" cm="1" t="n">
        <f t="array" ref="D162">INDEX('6층_부하량'!C3:C3000,MATCH(1,("6-DaHall 1-PDU-11"='6층_부하량'!A3:A3000)*(37='6층_부하량'!B3:B3000),0))</f>
        <v>0.0</v>
      </c>
      <c r="E162" s="157"/>
      <c r="F162" s="157"/>
      <c r="G162" s="157"/>
      <c r="H162" s="143" t="s">
        <v>4597</v>
      </c>
      <c r="I162" s="1465" t="s">
        <v>4706</v>
      </c>
      <c r="J162" s="1463" t="s">
        <v>4707</v>
      </c>
      <c r="K162" s="143" t="s">
        <v>4597</v>
      </c>
      <c r="L162" s="2656" cm="1" t="n">
        <f t="array" ref="L162">INDEX('6층_부하량'!C3:C3000,MATCH(1,("6-DaHall 1-PDU-11"='6층_부하량'!A3:A3000)*(38='6층_부하량'!B3:B3000),0))</f>
        <v>0.0</v>
      </c>
      <c r="M162" s="157"/>
      <c r="N162" s="157"/>
      <c r="O162" s="157"/>
      <c r="P162" s="157" t="s">
        <v>4635</v>
      </c>
      <c r="Q162" s="143" t="s">
        <v>4723</v>
      </c>
      <c r="R162" s="631" t="s">
        <v>5199</v>
      </c>
    </row>
    <row r="163" spans="1:18" ht="15.75" customHeight="1" x14ac:dyDescent="0.15">
      <c r="A163" s="341" t="s">
        <v>5200</v>
      </c>
      <c r="B163" s="143" t="s">
        <v>4635</v>
      </c>
      <c r="C163" s="143" t="s">
        <v>4723</v>
      </c>
      <c r="D163" s="157"/>
      <c r="E163" s="2656" cm="1" t="n">
        <f t="array" ref="E163">INDEX('6층_부하량'!D3:D3000,MATCH(1,("6-DaHall 1-PDU-11"='6층_부하량'!A3:A3000)*(39='6층_부하량'!B3:B3000),0))</f>
        <v>0.0</v>
      </c>
      <c r="F163" s="157"/>
      <c r="G163" s="157"/>
      <c r="H163" s="143" t="s">
        <v>4597</v>
      </c>
      <c r="I163" s="1471" t="s">
        <v>4710</v>
      </c>
      <c r="J163" s="1463" t="s">
        <v>4711</v>
      </c>
      <c r="K163" s="143" t="s">
        <v>4597</v>
      </c>
      <c r="L163" s="157"/>
      <c r="M163" s="2656" cm="1" t="n">
        <f t="array" ref="M163">INDEX('6층_부하량'!D3:D3000,MATCH(1,("6-DaHall 1-PDU-11"='6층_부하량'!A3:A3000)*(40='6층_부하량'!B3:B3000),0))</f>
        <v>0.0</v>
      </c>
      <c r="N163" s="157"/>
      <c r="O163" s="157"/>
      <c r="P163" s="157" t="s">
        <v>4635</v>
      </c>
      <c r="Q163" s="143" t="s">
        <v>4723</v>
      </c>
      <c r="R163" s="619" t="s">
        <v>5201</v>
      </c>
    </row>
    <row r="164" spans="1:18" ht="15.75" customHeight="1" x14ac:dyDescent="0.15">
      <c r="A164" s="341" t="s">
        <v>5202</v>
      </c>
      <c r="B164" s="143" t="s">
        <v>4635</v>
      </c>
      <c r="C164" s="143" t="s">
        <v>4723</v>
      </c>
      <c r="D164" s="157"/>
      <c r="E164" s="157"/>
      <c r="F164" s="2656" cm="1" t="n">
        <f t="array" ref="F164">INDEX('6층_부하량'!E3:E3000,MATCH(1,("6-DaHall 1-PDU-11"='6층_부하량'!A3:A3000)*(41='6층_부하량'!B3:B3000),0))</f>
        <v>0.0</v>
      </c>
      <c r="G164" s="157"/>
      <c r="H164" s="143" t="s">
        <v>4597</v>
      </c>
      <c r="I164" s="1465" t="s">
        <v>5055</v>
      </c>
      <c r="J164" s="1463" t="s">
        <v>4843</v>
      </c>
      <c r="K164" s="143" t="s">
        <v>4597</v>
      </c>
      <c r="L164" s="157"/>
      <c r="M164" s="157"/>
      <c r="N164" s="2656" cm="1" t="n">
        <f t="array" ref="N164">INDEX('6층_부하량'!E3:E3000,MATCH(1,("6-DaHall 1-PDU-11"='6층_부하량'!A3:A3000)*(42='6층_부하량'!B3:B3000),0))</f>
        <v>0.0</v>
      </c>
      <c r="O164" s="157"/>
      <c r="P164" s="157" t="s">
        <v>4635</v>
      </c>
      <c r="Q164" s="143" t="s">
        <v>4723</v>
      </c>
      <c r="R164" s="619" t="s">
        <v>5203</v>
      </c>
    </row>
    <row r="165" spans="1:18" ht="15.75" customHeight="1" x14ac:dyDescent="0.15">
      <c r="A165" s="341" t="s">
        <v>5204</v>
      </c>
      <c r="B165" s="143" t="s">
        <v>4635</v>
      </c>
      <c r="C165" s="143" t="s">
        <v>4723</v>
      </c>
      <c r="D165" s="2656" cm="1" t="n">
        <f t="array" ref="D165">INDEX('6층_부하량'!C3:C3000,MATCH(1,("6-DaHall 1-PDU-11"='6층_부하량'!A3:A3000)*(43='6층_부하량'!B3:B3000),0))</f>
        <v>0.0</v>
      </c>
      <c r="E165" s="157"/>
      <c r="F165" s="157"/>
      <c r="G165" s="157"/>
      <c r="H165" s="143" t="s">
        <v>4597</v>
      </c>
      <c r="I165" s="1465" t="s">
        <v>4845</v>
      </c>
      <c r="J165" s="1463" t="s">
        <v>4846</v>
      </c>
      <c r="K165" s="143" t="s">
        <v>4597</v>
      </c>
      <c r="L165" s="2656" cm="1" t="n">
        <f t="array" ref="L165">INDEX('6층_부하량'!C3:C3000,MATCH(1,("6-DaHall 1-PDU-11"='6층_부하량'!A3:A3000)*(44='6층_부하량'!B3:B3000),0))</f>
        <v>0.0</v>
      </c>
      <c r="M165" s="157"/>
      <c r="N165" s="157"/>
      <c r="O165" s="157"/>
      <c r="P165" s="157" t="s">
        <v>4635</v>
      </c>
      <c r="Q165" s="143" t="s">
        <v>4723</v>
      </c>
      <c r="R165" s="342" t="s">
        <v>5205</v>
      </c>
    </row>
    <row r="166" spans="1:18" ht="15.75" customHeight="1" x14ac:dyDescent="0.15">
      <c r="A166" s="341" t="s">
        <v>5206</v>
      </c>
      <c r="B166" s="143" t="s">
        <v>4635</v>
      </c>
      <c r="C166" s="143" t="s">
        <v>4723</v>
      </c>
      <c r="D166" s="157"/>
      <c r="E166" s="2656" cm="1" t="n">
        <f t="array" ref="E166">INDEX('6층_부하량'!D3:D3000,MATCH(1,("6-DaHall 1-PDU-11"='6층_부하량'!A3:A3000)*(45='6층_부하량'!B3:B3000),0))</f>
        <v>0.0</v>
      </c>
      <c r="F166" s="157"/>
      <c r="G166" s="157"/>
      <c r="H166" s="143" t="s">
        <v>4597</v>
      </c>
      <c r="I166" s="1465" t="s">
        <v>4847</v>
      </c>
      <c r="J166" s="1463" t="s">
        <v>4848</v>
      </c>
      <c r="K166" s="143" t="s">
        <v>4597</v>
      </c>
      <c r="L166" s="157"/>
      <c r="M166" s="2656" cm="1" t="n">
        <f t="array" ref="M166">INDEX('6층_부하량'!D3:D3000,MATCH(1,("6-DaHall 1-PDU-11"='6층_부하량'!A3:A3000)*(46='6층_부하량'!B3:B3000),0))</f>
        <v>0.0</v>
      </c>
      <c r="N166" s="157"/>
      <c r="O166" s="157"/>
      <c r="P166" s="157" t="s">
        <v>4635</v>
      </c>
      <c r="Q166" s="143" t="s">
        <v>4723</v>
      </c>
      <c r="R166" s="619" t="s">
        <v>5207</v>
      </c>
    </row>
    <row r="167" spans="1:18" ht="15.75" customHeight="1" x14ac:dyDescent="0.15">
      <c r="A167" s="1019" t="s">
        <v>5208</v>
      </c>
      <c r="B167" s="143" t="s">
        <v>4635</v>
      </c>
      <c r="C167" s="164" t="s">
        <v>4575</v>
      </c>
      <c r="D167" s="157"/>
      <c r="E167" s="157"/>
      <c r="F167" s="2656" cm="1" t="n">
        <f t="array" ref="F167">INDEX('6층_부하량'!E3:E3000,MATCH(1,("6-DaHall 1-PDU-11"='6층_부하량'!A3:A3000)*(47='6층_부하량'!B3:B3000),0))</f>
        <v>0.0</v>
      </c>
      <c r="G167" s="157"/>
      <c r="H167" s="143" t="s">
        <v>4597</v>
      </c>
      <c r="I167" s="299" t="s">
        <v>4849</v>
      </c>
      <c r="J167" s="1463" t="s">
        <v>4850</v>
      </c>
      <c r="K167" s="143" t="s">
        <v>4597</v>
      </c>
      <c r="L167" s="157"/>
      <c r="M167" s="157"/>
      <c r="N167" s="2656" cm="1" t="n">
        <f t="array" ref="N167">INDEX('6층_부하량'!E3:E3000,MATCH(1,("6-DaHall 1-PDU-11"='6층_부하량'!A3:A3000)*(48='6층_부하량'!B3:B3000),0))</f>
        <v>0.0</v>
      </c>
      <c r="O167" s="157"/>
      <c r="P167" s="157" t="s">
        <v>565</v>
      </c>
      <c r="Q167" s="143" t="s">
        <v>4723</v>
      </c>
      <c r="R167" s="153"/>
    </row>
    <row r="168" spans="1:18" ht="15.75" customHeight="1" thickBot="1" x14ac:dyDescent="0.2">
      <c r="A168" s="1020" t="s">
        <v>5209</v>
      </c>
      <c r="B168" s="166" t="s">
        <v>4635</v>
      </c>
      <c r="C168" s="184" t="s">
        <v>4575</v>
      </c>
      <c r="D168" s="2659" cm="1" t="n">
        <f t="array" ref="D168">INDEX('6층_부하량'!C3:C3000,MATCH(1,("6-DaHall 1-PDU-11"='6층_부하량'!A3:A3000)*(49='6층_부하량'!B3:B3000),0))</f>
        <v>0.0</v>
      </c>
      <c r="E168" s="167"/>
      <c r="F168" s="167"/>
      <c r="G168" s="167"/>
      <c r="H168" s="166" t="s">
        <v>4597</v>
      </c>
      <c r="I168" s="301" t="s">
        <v>4851</v>
      </c>
      <c r="J168" s="1473" t="s">
        <v>4852</v>
      </c>
      <c r="K168" s="166" t="s">
        <v>4597</v>
      </c>
      <c r="L168" s="2659" cm="1" t="n">
        <f t="array" ref="L168">INDEX('6층_부하량'!C3:C3000,MATCH(1,("6-DaHall 1-PDU-11"='6층_부하량'!A3:A3000)*(50='6층_부하량'!B3:B3000),0))</f>
        <v>0.0</v>
      </c>
      <c r="M168" s="167"/>
      <c r="N168" s="167"/>
      <c r="O168" s="167"/>
      <c r="P168" s="167" t="s">
        <v>565</v>
      </c>
      <c r="Q168" s="166" t="s">
        <v>4723</v>
      </c>
      <c r="R168" s="170"/>
    </row>
    <row r="169" spans="1:18" ht="15" thickTop="1" thickBot="1" x14ac:dyDescent="0.2">
      <c r="A169" s="128"/>
      <c r="B169" s="128"/>
      <c r="C169" s="128"/>
      <c r="D169" s="128"/>
      <c r="E169" s="128"/>
      <c r="F169" s="128"/>
      <c r="G169" s="128"/>
      <c r="H169" s="128"/>
      <c r="I169" s="128"/>
      <c r="J169" s="128"/>
      <c r="K169" s="133" t="s">
        <v>4713</v>
      </c>
      <c r="L169" s="128" t="n">
        <f>SUM(D144:D168,L144:L168)</f>
        <v>0.0</v>
      </c>
      <c r="M169" s="128" t="n">
        <f>SUM(E144:E168,M144:M168)</f>
        <v>0.0</v>
      </c>
      <c r="N169" s="128" t="n">
        <f>SUM(F144:F168,N144:N168)</f>
        <v>0.0</v>
      </c>
      <c r="O169" s="128"/>
      <c r="P169" s="128"/>
      <c r="Q169" s="128"/>
      <c r="R169" s="128"/>
    </row>
    <row r="170" spans="1:18" ht="15" thickTop="1" thickBot="1" x14ac:dyDescent="0.2">
      <c r="A170" s="173" t="s">
        <v>7002</v>
      </c>
      <c r="B170" s="128"/>
      <c r="C170" s="3660" t="s">
        <v>5210</v>
      </c>
      <c r="D170" s="3660"/>
      <c r="E170" s="3660"/>
      <c r="F170" s="173"/>
      <c r="G170" s="173"/>
      <c r="H170" s="133"/>
      <c r="I170" s="3665" t="s">
        <v>5063</v>
      </c>
      <c r="J170" s="3666"/>
      <c r="K170" s="133"/>
      <c r="L170" s="173"/>
      <c r="M170" s="173"/>
      <c r="N170" s="173"/>
      <c r="O170" s="173"/>
      <c r="P170" s="173"/>
      <c r="Q170" s="173"/>
      <c r="R170" s="128"/>
    </row>
    <row r="171" spans="1:18" ht="15" thickTop="1" thickBot="1" x14ac:dyDescent="0.2">
      <c r="A171" s="127"/>
      <c r="B171" s="128"/>
      <c r="C171" s="128"/>
      <c r="D171" s="129"/>
      <c r="E171" s="129"/>
      <c r="F171" s="130"/>
      <c r="G171" s="129"/>
      <c r="H171" s="131"/>
      <c r="I171" s="128"/>
      <c r="J171" s="132"/>
      <c r="K171" s="1371" t="s">
        <v>4562</v>
      </c>
      <c r="L171" s="1368">
        <v>5.0999999999999996</v>
      </c>
      <c r="M171" s="1369">
        <v>0</v>
      </c>
      <c r="N171" s="1370">
        <v>0</v>
      </c>
      <c r="O171" s="508" t="s">
        <v>4563</v>
      </c>
      <c r="P171" s="133"/>
      <c r="Q171" s="128"/>
      <c r="R171" s="528"/>
    </row>
    <row r="172" spans="1:18" ht="18" customHeight="1" thickTop="1" thickBot="1" x14ac:dyDescent="0.2">
      <c r="A172" s="134" t="s">
        <v>4564</v>
      </c>
      <c r="B172" s="135" t="s">
        <v>5031</v>
      </c>
      <c r="C172" s="136" t="s">
        <v>4566</v>
      </c>
      <c r="D172" s="135" t="s">
        <v>5032</v>
      </c>
      <c r="E172" s="135" t="s">
        <v>5033</v>
      </c>
      <c r="F172" s="135" t="s">
        <v>5034</v>
      </c>
      <c r="G172" s="135" t="s">
        <v>5035</v>
      </c>
      <c r="H172" s="135" t="s">
        <v>5036</v>
      </c>
      <c r="I172" s="138" t="s">
        <v>5037</v>
      </c>
      <c r="J172" s="139" t="s">
        <v>5037</v>
      </c>
      <c r="K172" s="135" t="s">
        <v>5036</v>
      </c>
      <c r="L172" s="135" t="s">
        <v>5032</v>
      </c>
      <c r="M172" s="135" t="s">
        <v>5033</v>
      </c>
      <c r="N172" s="135" t="s">
        <v>5034</v>
      </c>
      <c r="O172" s="135" t="s">
        <v>5035</v>
      </c>
      <c r="P172" s="135" t="s">
        <v>5031</v>
      </c>
      <c r="Q172" s="136" t="s">
        <v>4566</v>
      </c>
      <c r="R172" s="140" t="s">
        <v>4564</v>
      </c>
    </row>
    <row r="173" spans="1:18" ht="18" customHeight="1" thickTop="1" x14ac:dyDescent="0.15">
      <c r="A173" s="141"/>
      <c r="B173" s="142" t="s">
        <v>565</v>
      </c>
      <c r="C173" s="142" t="s">
        <v>4723</v>
      </c>
      <c r="D173" s="2654" cm="1" t="n">
        <f t="array" ref="D173">INDEX('6층_부하량'!C3:C3000,MATCH(1,("6-DaHall 1-PDU-12"='6층_부하량'!A3:A3000)*(1='6층_부하량'!B3:B3000),0))</f>
        <v>0.0</v>
      </c>
      <c r="E173" s="144"/>
      <c r="F173" s="144"/>
      <c r="G173" s="144"/>
      <c r="H173" s="142" t="s">
        <v>4597</v>
      </c>
      <c r="I173" s="1469" t="s">
        <v>4633</v>
      </c>
      <c r="J173" s="292" t="s">
        <v>4578</v>
      </c>
      <c r="K173" s="142" t="s">
        <v>4597</v>
      </c>
      <c r="L173" s="2654" cm="1" t="n">
        <f t="array" ref="L173">INDEX('6층_부하량'!C3:C3000,MATCH(1,("6-DaHall 1-PDU-12"='6층_부하량'!A3:A3000)*(2='6층_부하량'!B3:B3000),0))</f>
        <v>0.0</v>
      </c>
      <c r="M173" s="144"/>
      <c r="N173" s="144"/>
      <c r="O173" s="144"/>
      <c r="P173" s="163" t="s">
        <v>4635</v>
      </c>
      <c r="Q173" s="142" t="s">
        <v>4723</v>
      </c>
      <c r="R173" s="618" t="s">
        <v>5211</v>
      </c>
    </row>
    <row r="174" spans="1:18" ht="18" customHeight="1" x14ac:dyDescent="0.15">
      <c r="A174" s="622" t="s">
        <v>5212</v>
      </c>
      <c r="B174" s="143" t="s">
        <v>4635</v>
      </c>
      <c r="C174" s="164" t="s">
        <v>4575</v>
      </c>
      <c r="D174" s="149"/>
      <c r="E174" s="2655" cm="1" t="n">
        <f t="array" ref="E174">INDEX('6층_부하량'!D3:D3000,MATCH(1,("6-DaHall 1-PDU-12"='6층_부하량'!A3:A3000)*(3='6층_부하량'!B3:B3000),0))</f>
        <v>0.0</v>
      </c>
      <c r="F174" s="149"/>
      <c r="G174" s="149"/>
      <c r="H174" s="143" t="s">
        <v>4597</v>
      </c>
      <c r="I174" s="293" t="s">
        <v>4638</v>
      </c>
      <c r="J174" s="294" t="s">
        <v>4583</v>
      </c>
      <c r="K174" s="143" t="s">
        <v>4597</v>
      </c>
      <c r="L174" s="149"/>
      <c r="M174" s="2655" cm="1" t="n">
        <f t="array" ref="M174">INDEX('6층_부하량'!D3:D3000,MATCH(1,("6-DaHall 1-PDU-12"='6층_부하량'!A3:A3000)*(4='6층_부하량'!B3:B3000),0))</f>
        <v>0.0</v>
      </c>
      <c r="N174" s="149"/>
      <c r="O174" s="149"/>
      <c r="P174" s="157" t="s">
        <v>4635</v>
      </c>
      <c r="Q174" s="143" t="s">
        <v>4723</v>
      </c>
      <c r="R174" s="342" t="s">
        <v>5213</v>
      </c>
    </row>
    <row r="175" spans="1:18" ht="18" customHeight="1" x14ac:dyDescent="0.15">
      <c r="A175" s="607" t="s">
        <v>5214</v>
      </c>
      <c r="B175" s="143" t="s">
        <v>4635</v>
      </c>
      <c r="C175" s="164" t="s">
        <v>4575</v>
      </c>
      <c r="D175" s="157"/>
      <c r="E175" s="157"/>
      <c r="F175" s="2656" cm="1" t="n">
        <f t="array" ref="F175">INDEX('6층_부하량'!E3:E3000,MATCH(1,("6-DaHall 1-PDU-12"='6층_부하량'!A3:A3000)*(5='6층_부하량'!B3:B3000),0))</f>
        <v>0.0</v>
      </c>
      <c r="G175" s="157"/>
      <c r="H175" s="143" t="s">
        <v>4597</v>
      </c>
      <c r="I175" s="293" t="s">
        <v>4641</v>
      </c>
      <c r="J175" s="294" t="s">
        <v>4588</v>
      </c>
      <c r="K175" s="143" t="s">
        <v>4597</v>
      </c>
      <c r="L175" s="157"/>
      <c r="M175" s="157"/>
      <c r="N175" s="2656" cm="1" t="n">
        <f t="array" ref="N175">INDEX('6층_부하량'!E3:E3000,MATCH(1,("6-DaHall 1-PDU-12"='6층_부하량'!A3:A3000)*(6='6층_부하량'!B3:B3000),0))</f>
        <v>0.0</v>
      </c>
      <c r="O175" s="157"/>
      <c r="P175" s="157" t="s">
        <v>4635</v>
      </c>
      <c r="Q175" s="143" t="s">
        <v>4723</v>
      </c>
      <c r="R175" s="342" t="s">
        <v>5215</v>
      </c>
    </row>
    <row r="176" spans="1:18" ht="18" customHeight="1" x14ac:dyDescent="0.15">
      <c r="A176" s="622" t="s">
        <v>5216</v>
      </c>
      <c r="B176" s="143" t="s">
        <v>4635</v>
      </c>
      <c r="C176" s="164" t="s">
        <v>4575</v>
      </c>
      <c r="D176" s="2656" cm="1" t="n">
        <f t="array" ref="D176">INDEX('6층_부하량'!C3:C3000,MATCH(1,("6-DaHall 1-PDU-12"='6층_부하량'!A3:A3000)*(7='6층_부하량'!B3:B3000),0))</f>
        <v>0.0</v>
      </c>
      <c r="E176" s="157"/>
      <c r="F176" s="157"/>
      <c r="G176" s="157"/>
      <c r="H176" s="143" t="s">
        <v>4597</v>
      </c>
      <c r="I176" s="293" t="s">
        <v>4645</v>
      </c>
      <c r="J176" s="294" t="s">
        <v>4593</v>
      </c>
      <c r="K176" s="143" t="s">
        <v>4597</v>
      </c>
      <c r="L176" s="2656" cm="1" t="n">
        <f t="array" ref="L176">INDEX('6층_부하량'!C3:C3000,MATCH(1,("6-DaHall 1-PDU-12"='6층_부하량'!A3:A3000)*(8='6층_부하량'!B3:B3000),0))</f>
        <v>0.0</v>
      </c>
      <c r="M176" s="157"/>
      <c r="N176" s="157"/>
      <c r="O176" s="157"/>
      <c r="P176" s="157" t="s">
        <v>4635</v>
      </c>
      <c r="Q176" s="143" t="s">
        <v>4723</v>
      </c>
      <c r="R176" s="342" t="s">
        <v>5217</v>
      </c>
    </row>
    <row r="177" spans="1:18" ht="18" customHeight="1" x14ac:dyDescent="0.15">
      <c r="A177" s="607" t="s">
        <v>5218</v>
      </c>
      <c r="B177" s="143" t="s">
        <v>4635</v>
      </c>
      <c r="C177" s="164" t="s">
        <v>4575</v>
      </c>
      <c r="D177" s="157"/>
      <c r="E177" s="2656" cm="1" t="n">
        <f t="array" ref="E177">INDEX('6층_부하량'!D3:D3000,MATCH(1,("6-DaHall 1-PDU-12"='6층_부하량'!A3:A3000)*(9='6층_부하량'!B3:B3000),0))</f>
        <v>0.0</v>
      </c>
      <c r="F177" s="157"/>
      <c r="G177" s="157"/>
      <c r="H177" s="143" t="s">
        <v>4597</v>
      </c>
      <c r="I177" s="293" t="s">
        <v>4648</v>
      </c>
      <c r="J177" s="294" t="s">
        <v>4596</v>
      </c>
      <c r="K177" s="143" t="s">
        <v>4597</v>
      </c>
      <c r="L177" s="157"/>
      <c r="M177" s="2656" cm="1" t="n">
        <f t="array" ref="M177">INDEX('6층_부하량'!D3:D3000,MATCH(1,("6-DaHall 1-PDU-12"='6층_부하량'!A3:A3000)*(10='6층_부하량'!B3:B3000),0))</f>
        <v>0.0</v>
      </c>
      <c r="N177" s="157"/>
      <c r="O177" s="157"/>
      <c r="P177" s="157" t="s">
        <v>4635</v>
      </c>
      <c r="Q177" s="164" t="s">
        <v>4575</v>
      </c>
      <c r="R177" s="342" t="s">
        <v>5219</v>
      </c>
    </row>
    <row r="178" spans="1:18" ht="18" customHeight="1" x14ac:dyDescent="0.15">
      <c r="A178" s="622" t="s">
        <v>5220</v>
      </c>
      <c r="B178" s="143" t="s">
        <v>4635</v>
      </c>
      <c r="C178" s="164" t="s">
        <v>4575</v>
      </c>
      <c r="D178" s="157"/>
      <c r="E178" s="157"/>
      <c r="F178" s="2656" cm="1" t="n">
        <f t="array" ref="F178">INDEX('6층_부하량'!E3:E3000,MATCH(1,("6-DaHall 1-PDU-12"='6층_부하량'!A3:A3000)*(11='6층_부하량'!B3:B3000),0))</f>
        <v>0.0</v>
      </c>
      <c r="G178" s="157"/>
      <c r="H178" s="143" t="s">
        <v>4597</v>
      </c>
      <c r="I178" s="293" t="s">
        <v>4653</v>
      </c>
      <c r="J178" s="294" t="s">
        <v>4599</v>
      </c>
      <c r="K178" s="143" t="s">
        <v>4597</v>
      </c>
      <c r="L178" s="157"/>
      <c r="M178" s="157"/>
      <c r="N178" s="2656" cm="1" t="n">
        <f t="array" ref="N178">INDEX('6층_부하량'!E3:E3000,MATCH(1,("6-DaHall 1-PDU-12"='6층_부하량'!A3:A3000)*(12='6층_부하량'!B3:B3000),0))</f>
        <v>0.0</v>
      </c>
      <c r="O178" s="157"/>
      <c r="P178" s="157" t="s">
        <v>4635</v>
      </c>
      <c r="Q178" s="164" t="s">
        <v>4575</v>
      </c>
      <c r="R178" s="342" t="s">
        <v>5221</v>
      </c>
    </row>
    <row r="179" spans="1:18" ht="18" customHeight="1" x14ac:dyDescent="0.15">
      <c r="A179" s="257" t="s">
        <v>5222</v>
      </c>
      <c r="B179" s="143" t="s">
        <v>4635</v>
      </c>
      <c r="C179" s="143" t="s">
        <v>4723</v>
      </c>
      <c r="D179" s="2656" cm="1" t="n">
        <f t="array" ref="D179">INDEX('6층_부하량'!C3:C3000,MATCH(1,("6-DaHall 1-PDU-12"='6층_부하량'!A3:A3000)*(13='6층_부하량'!B3:B3000),0))</f>
        <v>0.0</v>
      </c>
      <c r="E179" s="157"/>
      <c r="F179" s="157"/>
      <c r="G179" s="157"/>
      <c r="H179" s="143" t="s">
        <v>4597</v>
      </c>
      <c r="I179" s="1465" t="s">
        <v>4657</v>
      </c>
      <c r="J179" s="1463" t="s">
        <v>4601</v>
      </c>
      <c r="K179" s="143" t="s">
        <v>4597</v>
      </c>
      <c r="L179" s="2656" cm="1" t="n">
        <f t="array" ref="L179">INDEX('6층_부하량'!C3:C3000,MATCH(1,("6-DaHall 1-PDU-12"='6층_부하량'!A3:A3000)*(14='6층_부하량'!B3:B3000),0))</f>
        <v>0.0</v>
      </c>
      <c r="M179" s="157"/>
      <c r="N179" s="157"/>
      <c r="O179" s="157"/>
      <c r="P179" s="157" t="s">
        <v>4635</v>
      </c>
      <c r="Q179" s="143" t="s">
        <v>4723</v>
      </c>
      <c r="R179" s="342" t="s">
        <v>5223</v>
      </c>
    </row>
    <row r="180" spans="1:18" ht="18" customHeight="1" x14ac:dyDescent="0.15">
      <c r="A180" s="622" t="s">
        <v>5224</v>
      </c>
      <c r="B180" s="143" t="s">
        <v>4635</v>
      </c>
      <c r="C180" s="164" t="s">
        <v>4575</v>
      </c>
      <c r="D180" s="157"/>
      <c r="E180" s="2656" cm="1" t="n">
        <f t="array" ref="E180">INDEX('6층_부하량'!D3:D3000,MATCH(1,("6-DaHall 1-PDU-12"='6층_부하량'!A3:A3000)*(15='6층_부하량'!B3:B3000),0))</f>
        <v>0.0</v>
      </c>
      <c r="F180" s="157"/>
      <c r="G180" s="157"/>
      <c r="H180" s="143" t="s">
        <v>4597</v>
      </c>
      <c r="I180" s="293" t="s">
        <v>4661</v>
      </c>
      <c r="J180" s="294" t="s">
        <v>4603</v>
      </c>
      <c r="K180" s="143" t="s">
        <v>4597</v>
      </c>
      <c r="L180" s="157"/>
      <c r="M180" s="2656" cm="1" t="n">
        <f t="array" ref="M180">INDEX('6층_부하량'!D3:D3000,MATCH(1,("6-DaHall 1-PDU-12"='6층_부하량'!A3:A3000)*(16='6층_부하량'!B3:B3000),0))</f>
        <v>0.0</v>
      </c>
      <c r="N180" s="157"/>
      <c r="O180" s="157"/>
      <c r="P180" s="157" t="s">
        <v>4635</v>
      </c>
      <c r="Q180" s="164" t="s">
        <v>4575</v>
      </c>
      <c r="R180" s="342" t="s">
        <v>5225</v>
      </c>
    </row>
    <row r="181" spans="1:18" ht="18" customHeight="1" thickBot="1" x14ac:dyDescent="0.2">
      <c r="A181" s="622" t="s">
        <v>5226</v>
      </c>
      <c r="B181" s="159" t="s">
        <v>4635</v>
      </c>
      <c r="C181" s="185" t="s">
        <v>4575</v>
      </c>
      <c r="D181" s="177"/>
      <c r="E181" s="177"/>
      <c r="F181" s="2661" cm="1" t="n">
        <f t="array" ref="F181">INDEX('6층_부하량'!E3:E3000,MATCH(1,("6-DaHall 1-PDU-12"='6층_부하량'!A3:A3000)*(17='6층_부하량'!B3:B3000),0))</f>
        <v>0.0</v>
      </c>
      <c r="G181" s="160"/>
      <c r="H181" s="159" t="s">
        <v>4597</v>
      </c>
      <c r="I181" s="295" t="s">
        <v>4665</v>
      </c>
      <c r="J181" s="296" t="s">
        <v>4605</v>
      </c>
      <c r="K181" s="159" t="s">
        <v>4597</v>
      </c>
      <c r="L181" s="177"/>
      <c r="M181" s="177"/>
      <c r="N181" s="2661" cm="1" t="n">
        <f t="array" ref="N181">INDEX('6층_부하량'!E3:E3000,MATCH(1,("6-DaHall 1-PDU-12"='6층_부하량'!A3:A3000)*(18='6층_부하량'!B3:B3000),0))</f>
        <v>0.0</v>
      </c>
      <c r="O181" s="160"/>
      <c r="P181" s="160" t="s">
        <v>4635</v>
      </c>
      <c r="Q181" s="185" t="s">
        <v>4575</v>
      </c>
      <c r="R181" s="342" t="s">
        <v>5227</v>
      </c>
    </row>
    <row r="182" spans="1:18" ht="18" customHeight="1" thickTop="1" x14ac:dyDescent="0.15">
      <c r="A182" s="277" t="s">
        <v>5228</v>
      </c>
      <c r="B182" s="142" t="s">
        <v>4635</v>
      </c>
      <c r="C182" s="152" t="s">
        <v>4575</v>
      </c>
      <c r="D182" s="2658" cm="1" t="n">
        <f t="array" ref="D182">INDEX('6층_부하량'!C3:C3000,MATCH(1,("6-DaHall 1-PDU-12"='6층_부하량'!A3:A3000)*(19='6층_부하량'!B3:B3000),0))</f>
        <v>0.0</v>
      </c>
      <c r="E182" s="179"/>
      <c r="F182" s="179"/>
      <c r="G182" s="163"/>
      <c r="H182" s="142" t="s">
        <v>4597</v>
      </c>
      <c r="I182" s="297" t="s">
        <v>4670</v>
      </c>
      <c r="J182" s="1474" t="s">
        <v>4609</v>
      </c>
      <c r="K182" s="142" t="s">
        <v>4597</v>
      </c>
      <c r="L182" s="2658" cm="1" t="n">
        <f t="array" ref="L182">INDEX('6층_부하량'!C3:C3000,MATCH(1,("6-DaHall 1-PDU-12"='6층_부하량'!A3:A3000)*(20='6층_부하량'!B3:B3000),0))</f>
        <v>0.0</v>
      </c>
      <c r="M182" s="179"/>
      <c r="N182" s="179"/>
      <c r="O182" s="163"/>
      <c r="P182" s="163" t="s">
        <v>4635</v>
      </c>
      <c r="Q182" s="142" t="s">
        <v>4723</v>
      </c>
      <c r="R182" s="630" t="s">
        <v>5229</v>
      </c>
    </row>
    <row r="183" spans="1:18" ht="18" customHeight="1" x14ac:dyDescent="0.15">
      <c r="A183" s="1018" t="s">
        <v>5230</v>
      </c>
      <c r="B183" s="156" t="s">
        <v>4635</v>
      </c>
      <c r="C183" s="189" t="s">
        <v>4575</v>
      </c>
      <c r="D183" s="157"/>
      <c r="E183" s="2656" cm="1" t="n">
        <f t="array" ref="E183">INDEX('6층_부하량'!D3:D3000,MATCH(1,("6-DaHall 1-PDU-12"='6층_부하량'!A3:A3000)*(21='6층_부하량'!B3:B3000),0))</f>
        <v>0.0</v>
      </c>
      <c r="F183" s="157"/>
      <c r="G183" s="179"/>
      <c r="H183" s="156" t="s">
        <v>4597</v>
      </c>
      <c r="I183" s="1471" t="s">
        <v>4674</v>
      </c>
      <c r="J183" s="1463" t="s">
        <v>4613</v>
      </c>
      <c r="K183" s="156" t="s">
        <v>4597</v>
      </c>
      <c r="L183" s="157"/>
      <c r="M183" s="2656" cm="1" t="n">
        <f t="array" ref="M183">INDEX('6층_부하량'!D3:D3000,MATCH(1,("6-DaHall 1-PDU-12"='6층_부하량'!A3:A3000)*(22='6층_부하량'!B3:B3000),0))</f>
        <v>0.0</v>
      </c>
      <c r="N183" s="157"/>
      <c r="O183" s="179"/>
      <c r="P183" s="179" t="s">
        <v>4635</v>
      </c>
      <c r="Q183" s="143" t="s">
        <v>4723</v>
      </c>
      <c r="R183" s="631" t="s">
        <v>5231</v>
      </c>
    </row>
    <row r="184" spans="1:18" ht="18" customHeight="1" x14ac:dyDescent="0.15">
      <c r="A184" s="607" t="s">
        <v>5232</v>
      </c>
      <c r="B184" s="143" t="s">
        <v>4635</v>
      </c>
      <c r="C184" s="164" t="s">
        <v>4575</v>
      </c>
      <c r="D184" s="157"/>
      <c r="E184" s="157"/>
      <c r="F184" s="2656" cm="1" t="n">
        <f t="array" ref="F184">INDEX('6층_부하량'!E3:E3000,MATCH(1,("6-DaHall 1-PDU-12"='6층_부하량'!A3:A3000)*(23='6층_부하량'!B3:B3000),0))</f>
        <v>0.0</v>
      </c>
      <c r="G184" s="157"/>
      <c r="H184" s="143" t="s">
        <v>4597</v>
      </c>
      <c r="I184" s="299" t="s">
        <v>4678</v>
      </c>
      <c r="J184" s="1463" t="s">
        <v>4680</v>
      </c>
      <c r="K184" s="143" t="s">
        <v>4597</v>
      </c>
      <c r="L184" s="157"/>
      <c r="M184" s="157"/>
      <c r="N184" s="2656" cm="1" t="n">
        <f t="array" ref="N184">INDEX('6층_부하량'!E3:E3000,MATCH(1,("6-DaHall 1-PDU-12"='6층_부하량'!A3:A3000)*(24='6층_부하량'!B3:B3000),0))</f>
        <v>0.0</v>
      </c>
      <c r="O184" s="157"/>
      <c r="P184" s="157" t="s">
        <v>4635</v>
      </c>
      <c r="Q184" s="143" t="s">
        <v>4723</v>
      </c>
      <c r="R184" s="631" t="s">
        <v>5233</v>
      </c>
    </row>
    <row r="185" spans="1:18" ht="18" customHeight="1" x14ac:dyDescent="0.15">
      <c r="A185" s="607" t="s">
        <v>5234</v>
      </c>
      <c r="B185" s="143" t="s">
        <v>4635</v>
      </c>
      <c r="C185" s="164" t="s">
        <v>4575</v>
      </c>
      <c r="D185" s="2656" cm="1" t="n">
        <f t="array" ref="D185">INDEX('6층_부하량'!C3:C3000,MATCH(1,("6-DaHall 1-PDU-12"='6층_부하량'!A3:A3000)*(25='6층_부하량'!B3:B3000),0))</f>
        <v>0.0</v>
      </c>
      <c r="E185" s="157"/>
      <c r="F185" s="157"/>
      <c r="G185" s="157"/>
      <c r="H185" s="143" t="s">
        <v>4597</v>
      </c>
      <c r="I185" s="299" t="s">
        <v>4683</v>
      </c>
      <c r="J185" s="1463" t="s">
        <v>4685</v>
      </c>
      <c r="K185" s="143" t="s">
        <v>4597</v>
      </c>
      <c r="L185" s="2656" cm="1" t="n">
        <f t="array" ref="L185">INDEX('6층_부하량'!C3:C3000,MATCH(1,("6-DaHall 1-PDU-12"='6층_부하량'!A3:A3000)*(26='6층_부하량'!B3:B3000),0))</f>
        <v>0.0</v>
      </c>
      <c r="M185" s="157"/>
      <c r="N185" s="157"/>
      <c r="O185" s="157"/>
      <c r="P185" s="157" t="s">
        <v>4635</v>
      </c>
      <c r="Q185" s="143" t="s">
        <v>4723</v>
      </c>
      <c r="R185" s="631" t="s">
        <v>5235</v>
      </c>
    </row>
    <row r="186" spans="1:18" ht="18" customHeight="1" x14ac:dyDescent="0.15">
      <c r="A186" s="607" t="s">
        <v>5236</v>
      </c>
      <c r="B186" s="143" t="s">
        <v>4635</v>
      </c>
      <c r="C186" s="164" t="s">
        <v>4575</v>
      </c>
      <c r="D186" s="157"/>
      <c r="E186" s="2656" cm="1" t="n">
        <f t="array" ref="E186">INDEX('6층_부하량'!D3:D3000,MATCH(1,("6-DaHall 1-PDU-12"='6층_부하량'!A3:A3000)*(27='6층_부하량'!B3:B3000),0))</f>
        <v>0.0</v>
      </c>
      <c r="F186" s="157"/>
      <c r="G186" s="157"/>
      <c r="H186" s="143" t="s">
        <v>4597</v>
      </c>
      <c r="I186" s="299" t="s">
        <v>4688</v>
      </c>
      <c r="J186" s="1463" t="s">
        <v>4689</v>
      </c>
      <c r="K186" s="143" t="s">
        <v>4597</v>
      </c>
      <c r="L186" s="157"/>
      <c r="M186" s="2656" cm="1" t="n">
        <f t="array" ref="M186">INDEX('6층_부하량'!D3:D3000,MATCH(1,("6-DaHall 1-PDU-12"='6층_부하량'!A3:A3000)*(28='6층_부하량'!B3:B3000),0))</f>
        <v>0.0</v>
      </c>
      <c r="N186" s="157"/>
      <c r="O186" s="157"/>
      <c r="P186" s="157" t="s">
        <v>4635</v>
      </c>
      <c r="Q186" s="143" t="s">
        <v>4723</v>
      </c>
      <c r="R186" s="631" t="s">
        <v>5237</v>
      </c>
    </row>
    <row r="187" spans="1:18" ht="18" customHeight="1" x14ac:dyDescent="0.15">
      <c r="A187" s="628" t="s">
        <v>5238</v>
      </c>
      <c r="B187" s="143" t="s">
        <v>4635</v>
      </c>
      <c r="C187" s="164" t="s">
        <v>4575</v>
      </c>
      <c r="D187" s="157"/>
      <c r="E187" s="157"/>
      <c r="F187" s="2656" cm="1" t="n">
        <f t="array" ref="F187">INDEX('6층_부하량'!E3:E3000,MATCH(1,("6-DaHall 1-PDU-12"='6층_부하량'!A3:A3000)*(29='6층_부하량'!B3:B3000),0))</f>
        <v>0.0</v>
      </c>
      <c r="G187" s="157"/>
      <c r="H187" s="143" t="s">
        <v>4597</v>
      </c>
      <c r="I187" s="299" t="s">
        <v>4691</v>
      </c>
      <c r="J187" s="1463" t="s">
        <v>4692</v>
      </c>
      <c r="K187" s="143" t="s">
        <v>4597</v>
      </c>
      <c r="L187" s="157"/>
      <c r="M187" s="157"/>
      <c r="N187" s="2656" cm="1" t="n">
        <f t="array" ref="N187">INDEX('6층_부하량'!E3:E3000,MATCH(1,("6-DaHall 1-PDU-12"='6층_부하량'!A3:A3000)*(30='6층_부하량'!B3:B3000),0))</f>
        <v>0.0</v>
      </c>
      <c r="O187" s="157"/>
      <c r="P187" s="157" t="s">
        <v>4635</v>
      </c>
      <c r="Q187" s="143" t="s">
        <v>4723</v>
      </c>
      <c r="R187" s="631" t="s">
        <v>5239</v>
      </c>
    </row>
    <row r="188" spans="1:18" ht="18" customHeight="1" x14ac:dyDescent="0.15">
      <c r="A188" s="629" t="s">
        <v>5240</v>
      </c>
      <c r="B188" s="143" t="s">
        <v>4635</v>
      </c>
      <c r="C188" s="164" t="s">
        <v>4575</v>
      </c>
      <c r="D188" s="2656" cm="1" t="n">
        <f t="array" ref="D188">INDEX('6층_부하량'!C3:C3000,MATCH(1,("6-DaHall 1-PDU-12"='6층_부하량'!A3:A3000)*(31='6층_부하량'!B3:B3000),0))</f>
        <v>0.0</v>
      </c>
      <c r="E188" s="157"/>
      <c r="F188" s="157"/>
      <c r="G188" s="157"/>
      <c r="H188" s="143" t="s">
        <v>4597</v>
      </c>
      <c r="I188" s="299" t="s">
        <v>4693</v>
      </c>
      <c r="J188" s="1463" t="s">
        <v>4694</v>
      </c>
      <c r="K188" s="143" t="s">
        <v>4597</v>
      </c>
      <c r="L188" s="2656" cm="1" t="n">
        <f t="array" ref="L188">INDEX('6층_부하량'!C3:C3000,MATCH(1,("6-DaHall 1-PDU-12"='6층_부하량'!A3:A3000)*(32='6층_부하량'!B3:B3000),0))</f>
        <v>0.0</v>
      </c>
      <c r="M188" s="157"/>
      <c r="N188" s="157"/>
      <c r="O188" s="157"/>
      <c r="P188" s="157" t="s">
        <v>565</v>
      </c>
      <c r="Q188" s="143" t="s">
        <v>4723</v>
      </c>
      <c r="R188" s="153"/>
    </row>
    <row r="189" spans="1:18" ht="18" customHeight="1" x14ac:dyDescent="0.15">
      <c r="A189" s="607" t="s">
        <v>5241</v>
      </c>
      <c r="B189" s="143" t="s">
        <v>4635</v>
      </c>
      <c r="C189" s="164" t="s">
        <v>4575</v>
      </c>
      <c r="D189" s="157"/>
      <c r="E189" s="2656" cm="1" t="n">
        <f t="array" ref="E189">INDEX('6층_부하량'!D3:D3000,MATCH(1,("6-DaHall 1-PDU-12"='6층_부하량'!A3:A3000)*(33='6층_부하량'!B3:B3000),0))</f>
        <v>0.0</v>
      </c>
      <c r="F189" s="157"/>
      <c r="G189" s="157"/>
      <c r="H189" s="143" t="s">
        <v>4597</v>
      </c>
      <c r="I189" s="299" t="s">
        <v>4697</v>
      </c>
      <c r="J189" s="1463" t="s">
        <v>4698</v>
      </c>
      <c r="K189" s="143" t="s">
        <v>4597</v>
      </c>
      <c r="L189" s="157"/>
      <c r="M189" s="2656" cm="1" t="n">
        <f t="array" ref="M189">INDEX('6층_부하량'!D3:D3000,MATCH(1,("6-DaHall 1-PDU-12"='6층_부하량'!A3:A3000)*(34='6층_부하량'!B3:B3000),0))</f>
        <v>0.0</v>
      </c>
      <c r="N189" s="157"/>
      <c r="O189" s="157"/>
      <c r="P189" s="157" t="s">
        <v>4635</v>
      </c>
      <c r="Q189" s="143" t="s">
        <v>4723</v>
      </c>
      <c r="R189" s="631" t="s">
        <v>5242</v>
      </c>
    </row>
    <row r="190" spans="1:18" ht="18" customHeight="1" x14ac:dyDescent="0.15">
      <c r="A190" s="341" t="s">
        <v>5243</v>
      </c>
      <c r="B190" s="143" t="s">
        <v>4635</v>
      </c>
      <c r="C190" s="143" t="s">
        <v>4723</v>
      </c>
      <c r="D190" s="157"/>
      <c r="E190" s="157"/>
      <c r="F190" s="2656" cm="1" t="n">
        <f t="array" ref="F190">INDEX('6층_부하량'!E3:E3000,MATCH(1,("6-DaHall 1-PDU-12"='6층_부하량'!A3:A3000)*(35='6층_부하량'!B3:B3000),0))</f>
        <v>0.0</v>
      </c>
      <c r="G190" s="157"/>
      <c r="H190" s="143" t="s">
        <v>4597</v>
      </c>
      <c r="I190" s="1465" t="s">
        <v>4701</v>
      </c>
      <c r="J190" s="1463" t="s">
        <v>4703</v>
      </c>
      <c r="K190" s="143" t="s">
        <v>4597</v>
      </c>
      <c r="L190" s="157"/>
      <c r="M190" s="157"/>
      <c r="N190" s="2656" cm="1" t="n">
        <f t="array" ref="N190">INDEX('6층_부하량'!E3:E3000,MATCH(1,("6-DaHall 1-PDU-12"='6층_부하량'!A3:A3000)*(36='6층_부하량'!B3:B3000),0))</f>
        <v>0.0</v>
      </c>
      <c r="O190" s="157"/>
      <c r="P190" s="157" t="s">
        <v>4635</v>
      </c>
      <c r="Q190" s="143" t="s">
        <v>4723</v>
      </c>
      <c r="R190" s="631" t="s">
        <v>5244</v>
      </c>
    </row>
    <row r="191" spans="1:18" ht="18" customHeight="1" x14ac:dyDescent="0.15">
      <c r="A191" s="341" t="s">
        <v>5245</v>
      </c>
      <c r="B191" s="143" t="s">
        <v>4635</v>
      </c>
      <c r="C191" s="143" t="s">
        <v>4723</v>
      </c>
      <c r="D191" s="2656" cm="1" t="n">
        <f t="array" ref="D191">INDEX('6층_부하량'!C3:C3000,MATCH(1,("6-DaHall 1-PDU-12"='6층_부하량'!A3:A3000)*(37='6층_부하량'!B3:B3000),0))</f>
        <v>0.0</v>
      </c>
      <c r="E191" s="157"/>
      <c r="F191" s="157"/>
      <c r="G191" s="157"/>
      <c r="H191" s="143" t="s">
        <v>4597</v>
      </c>
      <c r="I191" s="1465" t="s">
        <v>4706</v>
      </c>
      <c r="J191" s="1463" t="s">
        <v>4707</v>
      </c>
      <c r="K191" s="143" t="s">
        <v>4597</v>
      </c>
      <c r="L191" s="2656" cm="1" t="n">
        <f t="array" ref="L191">INDEX('6층_부하량'!C3:C3000,MATCH(1,("6-DaHall 1-PDU-12"='6층_부하량'!A3:A3000)*(38='6층_부하량'!B3:B3000),0))</f>
        <v>0.0</v>
      </c>
      <c r="M191" s="157"/>
      <c r="N191" s="157"/>
      <c r="O191" s="157"/>
      <c r="P191" s="157" t="s">
        <v>4635</v>
      </c>
      <c r="Q191" s="143" t="s">
        <v>4723</v>
      </c>
      <c r="R191" s="631" t="s">
        <v>5246</v>
      </c>
    </row>
    <row r="192" spans="1:18" ht="18" customHeight="1" x14ac:dyDescent="0.15">
      <c r="A192" s="341" t="s">
        <v>5247</v>
      </c>
      <c r="B192" s="143" t="s">
        <v>4635</v>
      </c>
      <c r="C192" s="143" t="s">
        <v>4723</v>
      </c>
      <c r="D192" s="157"/>
      <c r="E192" s="2656" cm="1" t="n">
        <f t="array" ref="E192">INDEX('6층_부하량'!D3:D3000,MATCH(1,("6-DaHall 1-PDU-12"='6층_부하량'!A3:A3000)*(39='6층_부하량'!B3:B3000),0))</f>
        <v>0.0</v>
      </c>
      <c r="F192" s="157"/>
      <c r="G192" s="157"/>
      <c r="H192" s="143" t="s">
        <v>4597</v>
      </c>
      <c r="I192" s="1471" t="s">
        <v>4710</v>
      </c>
      <c r="J192" s="1463" t="s">
        <v>4711</v>
      </c>
      <c r="K192" s="143" t="s">
        <v>4597</v>
      </c>
      <c r="L192" s="157"/>
      <c r="M192" s="2656" cm="1" t="n">
        <f t="array" ref="M192">INDEX('6층_부하량'!D3:D3000,MATCH(1,("6-DaHall 1-PDU-12"='6층_부하량'!A3:A3000)*(40='6층_부하량'!B3:B3000),0))</f>
        <v>0.0</v>
      </c>
      <c r="N192" s="157"/>
      <c r="O192" s="157"/>
      <c r="P192" s="157" t="s">
        <v>4635</v>
      </c>
      <c r="Q192" s="143" t="s">
        <v>4723</v>
      </c>
      <c r="R192" s="619" t="s">
        <v>5248</v>
      </c>
    </row>
    <row r="193" spans="1:18" ht="18" customHeight="1" x14ac:dyDescent="0.15">
      <c r="A193" s="341" t="s">
        <v>5249</v>
      </c>
      <c r="B193" s="143" t="s">
        <v>4635</v>
      </c>
      <c r="C193" s="143" t="s">
        <v>4723</v>
      </c>
      <c r="D193" s="157"/>
      <c r="E193" s="157"/>
      <c r="F193" s="2656" cm="1" t="n">
        <f t="array" ref="F193">INDEX('6층_부하량'!E3:E3000,MATCH(1,("6-DaHall 1-PDU-12"='6층_부하량'!A3:A3000)*(41='6층_부하량'!B3:B3000),0))</f>
        <v>0.0</v>
      </c>
      <c r="G193" s="157"/>
      <c r="H193" s="143" t="s">
        <v>4597</v>
      </c>
      <c r="I193" s="1465" t="s">
        <v>5055</v>
      </c>
      <c r="J193" s="1463" t="s">
        <v>4843</v>
      </c>
      <c r="K193" s="143" t="s">
        <v>4597</v>
      </c>
      <c r="L193" s="157"/>
      <c r="M193" s="157"/>
      <c r="N193" s="2656" cm="1" t="n">
        <f t="array" ref="N193">INDEX('6층_부하량'!E3:E3000,MATCH(1,("6-DaHall 1-PDU-12"='6층_부하량'!A3:A3000)*(42='6층_부하량'!B3:B3000),0))</f>
        <v>0.0</v>
      </c>
      <c r="O193" s="157"/>
      <c r="P193" s="157" t="s">
        <v>4635</v>
      </c>
      <c r="Q193" s="143" t="s">
        <v>4723</v>
      </c>
      <c r="R193" s="619" t="s">
        <v>5250</v>
      </c>
    </row>
    <row r="194" spans="1:18" ht="18" customHeight="1" x14ac:dyDescent="0.15">
      <c r="A194" s="341" t="s">
        <v>5251</v>
      </c>
      <c r="B194" s="143" t="s">
        <v>4635</v>
      </c>
      <c r="C194" s="143" t="s">
        <v>4723</v>
      </c>
      <c r="D194" s="2656" cm="1" t="n">
        <f t="array" ref="D194">INDEX('6층_부하량'!C3:C3000,MATCH(1,("6-DaHall 1-PDU-12"='6층_부하량'!A3:A3000)*(43='6층_부하량'!B3:B3000),0))</f>
        <v>0.0</v>
      </c>
      <c r="E194" s="157"/>
      <c r="F194" s="157"/>
      <c r="G194" s="157"/>
      <c r="H194" s="143" t="s">
        <v>4597</v>
      </c>
      <c r="I194" s="1465" t="s">
        <v>4845</v>
      </c>
      <c r="J194" s="294" t="s">
        <v>4846</v>
      </c>
      <c r="K194" s="143" t="s">
        <v>4597</v>
      </c>
      <c r="L194" s="2656" cm="1" t="n">
        <f t="array" ref="L194">INDEX('6층_부하량'!C3:C3000,MATCH(1,("6-DaHall 1-PDU-12"='6층_부하량'!A3:A3000)*(44='6층_부하량'!B3:B3000),0))</f>
        <v>0.0</v>
      </c>
      <c r="M194" s="157"/>
      <c r="N194" s="157"/>
      <c r="O194" s="157"/>
      <c r="P194" s="157" t="s">
        <v>4635</v>
      </c>
      <c r="Q194" s="143" t="s">
        <v>4723</v>
      </c>
      <c r="R194" s="475" t="s">
        <v>5252</v>
      </c>
    </row>
    <row r="195" spans="1:18" ht="18" customHeight="1" x14ac:dyDescent="0.15">
      <c r="A195" s="341" t="s">
        <v>5253</v>
      </c>
      <c r="B195" s="143" t="s">
        <v>4635</v>
      </c>
      <c r="C195" s="143" t="s">
        <v>4723</v>
      </c>
      <c r="D195" s="157"/>
      <c r="E195" s="2656" cm="1" t="n">
        <f t="array" ref="E195">INDEX('6층_부하량'!D3:D3000,MATCH(1,("6-DaHall 1-PDU-12"='6층_부하량'!A3:A3000)*(45='6층_부하량'!B3:B3000),0))</f>
        <v>0.0</v>
      </c>
      <c r="F195" s="157"/>
      <c r="G195" s="157"/>
      <c r="H195" s="143" t="s">
        <v>4597</v>
      </c>
      <c r="I195" s="1465" t="s">
        <v>4847</v>
      </c>
      <c r="J195" s="1463" t="s">
        <v>4848</v>
      </c>
      <c r="K195" s="143" t="s">
        <v>4597</v>
      </c>
      <c r="L195" s="157"/>
      <c r="M195" s="2656" cm="1" t="n">
        <f t="array" ref="M195">INDEX('6층_부하량'!D3:D3000,MATCH(1,("6-DaHall 1-PDU-12"='6층_부하량'!A3:A3000)*(46='6층_부하량'!B3:B3000),0))</f>
        <v>0.0</v>
      </c>
      <c r="N195" s="157"/>
      <c r="O195" s="157"/>
      <c r="P195" s="157" t="s">
        <v>4635</v>
      </c>
      <c r="Q195" s="143" t="s">
        <v>4723</v>
      </c>
      <c r="R195" s="619" t="s">
        <v>5254</v>
      </c>
    </row>
    <row r="196" spans="1:18" ht="18" customHeight="1" x14ac:dyDescent="0.15">
      <c r="A196" s="1019" t="s">
        <v>5208</v>
      </c>
      <c r="B196" s="143" t="s">
        <v>4635</v>
      </c>
      <c r="C196" s="164" t="s">
        <v>4575</v>
      </c>
      <c r="D196" s="157"/>
      <c r="E196" s="157"/>
      <c r="F196" s="2656" cm="1" t="n">
        <f t="array" ref="F196">INDEX('6층_부하량'!E3:E3000,MATCH(1,("6-DaHall 1-PDU-12"='6층_부하량'!A3:A3000)*(47='6층_부하량'!B3:B3000),0))</f>
        <v>0.0</v>
      </c>
      <c r="G196" s="157"/>
      <c r="H196" s="143" t="s">
        <v>4597</v>
      </c>
      <c r="I196" s="299" t="s">
        <v>4849</v>
      </c>
      <c r="J196" s="1463" t="s">
        <v>4850</v>
      </c>
      <c r="K196" s="143" t="s">
        <v>4597</v>
      </c>
      <c r="L196" s="157"/>
      <c r="M196" s="157"/>
      <c r="N196" s="2656" cm="1" t="n">
        <f t="array" ref="N196">INDEX('6층_부하량'!E3:E3000,MATCH(1,("6-DaHall 1-PDU-12"='6층_부하량'!A3:A3000)*(48='6층_부하량'!B3:B3000),0))</f>
        <v>0.0</v>
      </c>
      <c r="O196" s="157"/>
      <c r="P196" s="157" t="s">
        <v>4635</v>
      </c>
      <c r="Q196" s="143" t="s">
        <v>4723</v>
      </c>
      <c r="R196" s="619" t="s">
        <v>5255</v>
      </c>
    </row>
    <row r="197" spans="1:18" ht="18" customHeight="1" thickBot="1" x14ac:dyDescent="0.2">
      <c r="A197" s="1020" t="s">
        <v>5209</v>
      </c>
      <c r="B197" s="166" t="s">
        <v>4635</v>
      </c>
      <c r="C197" s="184" t="s">
        <v>4575</v>
      </c>
      <c r="D197" s="2659" cm="1" t="n">
        <f t="array" ref="D197">INDEX('6층_부하량'!C3:C3000,MATCH(1,("6-DaHall 1-PDU-12"='6층_부하량'!A3:A3000)*(49='6층_부하량'!B3:B3000),0))</f>
        <v>0.0</v>
      </c>
      <c r="E197" s="167"/>
      <c r="F197" s="167"/>
      <c r="G197" s="167"/>
      <c r="H197" s="166" t="s">
        <v>4597</v>
      </c>
      <c r="I197" s="301" t="s">
        <v>4851</v>
      </c>
      <c r="J197" s="1473" t="s">
        <v>4852</v>
      </c>
      <c r="K197" s="166" t="s">
        <v>4597</v>
      </c>
      <c r="L197" s="2659" cm="1" t="n">
        <f t="array" ref="L197">INDEX('6층_부하량'!C3:C3000,MATCH(1,("6-DaHall 1-PDU-12"='6층_부하량'!A3:A3000)*(50='6층_부하량'!B3:B3000),0))</f>
        <v>0.0</v>
      </c>
      <c r="M197" s="167"/>
      <c r="N197" s="167"/>
      <c r="O197" s="167"/>
      <c r="P197" s="167" t="s">
        <v>4635</v>
      </c>
      <c r="Q197" s="166" t="s">
        <v>4723</v>
      </c>
      <c r="R197" s="620" t="s">
        <v>5256</v>
      </c>
    </row>
    <row r="198" spans="1:18" ht="15" thickTop="1" thickBot="1" x14ac:dyDescent="0.2">
      <c r="A198" s="128"/>
      <c r="B198" s="128"/>
      <c r="C198" s="128"/>
      <c r="D198" s="128"/>
      <c r="E198" s="128"/>
      <c r="F198" s="128"/>
      <c r="G198" s="128"/>
      <c r="H198" s="128"/>
      <c r="I198" s="128"/>
      <c r="J198" s="128"/>
      <c r="K198" s="128" t="s">
        <v>4713</v>
      </c>
      <c r="L198" s="128" t="n">
        <f>SUM(D173:D197,L173:L197)</f>
        <v>0.0</v>
      </c>
      <c r="M198" s="128" t="n">
        <f>SUM(E173:E197,M173:M197)</f>
        <v>0.0</v>
      </c>
      <c r="N198" s="128" t="n">
        <f>SUM(F173:F197,N173:N197)</f>
        <v>0.0</v>
      </c>
      <c r="O198" s="128"/>
      <c r="P198" s="128"/>
      <c r="Q198" s="128"/>
      <c r="R198" s="128"/>
    </row>
    <row r="199" spans="1:18" ht="15" thickTop="1" thickBot="1" x14ac:dyDescent="0.2">
      <c r="A199" s="173" t="s">
        <v>7003</v>
      </c>
      <c r="B199" s="128"/>
      <c r="C199" s="3660" t="s">
        <v>5257</v>
      </c>
      <c r="D199" s="3660"/>
      <c r="E199" s="3660"/>
      <c r="F199" s="173"/>
      <c r="G199" s="173"/>
      <c r="H199" s="133"/>
      <c r="I199" s="3665" t="s">
        <v>5063</v>
      </c>
      <c r="J199" s="3666"/>
      <c r="K199" s="133"/>
      <c r="L199" s="173"/>
      <c r="M199" s="173"/>
      <c r="N199" s="173"/>
      <c r="O199" s="173"/>
      <c r="P199" s="173"/>
      <c r="Q199" s="173"/>
      <c r="R199" s="128"/>
    </row>
    <row r="200" spans="1:18" ht="15" thickTop="1" thickBot="1" x14ac:dyDescent="0.2">
      <c r="A200" s="127"/>
      <c r="B200" s="128"/>
      <c r="C200" s="128"/>
      <c r="D200" s="129"/>
      <c r="E200" s="129"/>
      <c r="F200" s="130"/>
      <c r="G200" s="129"/>
      <c r="H200" s="131"/>
      <c r="I200" s="128"/>
      <c r="J200" s="132"/>
      <c r="K200" s="1371" t="s">
        <v>4562</v>
      </c>
      <c r="L200" s="1368">
        <v>21.6</v>
      </c>
      <c r="M200" s="1369">
        <v>21.2</v>
      </c>
      <c r="N200" s="1370">
        <v>16.7</v>
      </c>
      <c r="O200" s="508" t="s">
        <v>4563</v>
      </c>
      <c r="P200" s="133"/>
      <c r="Q200" s="128"/>
      <c r="R200" s="528"/>
    </row>
    <row r="201" spans="1:18" ht="15" thickTop="1" thickBot="1" x14ac:dyDescent="0.2">
      <c r="A201" s="134" t="s">
        <v>4564</v>
      </c>
      <c r="B201" s="135" t="s">
        <v>5031</v>
      </c>
      <c r="C201" s="136" t="s">
        <v>4566</v>
      </c>
      <c r="D201" s="135" t="s">
        <v>5032</v>
      </c>
      <c r="E201" s="135" t="s">
        <v>5033</v>
      </c>
      <c r="F201" s="135" t="s">
        <v>5034</v>
      </c>
      <c r="G201" s="135" t="s">
        <v>5035</v>
      </c>
      <c r="H201" s="135" t="s">
        <v>5036</v>
      </c>
      <c r="I201" s="138" t="s">
        <v>5037</v>
      </c>
      <c r="J201" s="139" t="s">
        <v>5037</v>
      </c>
      <c r="K201" s="135" t="s">
        <v>5036</v>
      </c>
      <c r="L201" s="135" t="s">
        <v>5032</v>
      </c>
      <c r="M201" s="135" t="s">
        <v>5033</v>
      </c>
      <c r="N201" s="135" t="s">
        <v>5034</v>
      </c>
      <c r="O201" s="135" t="s">
        <v>5035</v>
      </c>
      <c r="P201" s="135" t="s">
        <v>5031</v>
      </c>
      <c r="Q201" s="136" t="s">
        <v>4566</v>
      </c>
      <c r="R201" s="140" t="s">
        <v>4564</v>
      </c>
    </row>
    <row r="202" spans="1:18" ht="17.25" thickTop="1" x14ac:dyDescent="0.15">
      <c r="A202" s="141" t="s">
        <v>5258</v>
      </c>
      <c r="B202" s="142" t="s">
        <v>4635</v>
      </c>
      <c r="C202" s="142" t="s">
        <v>4723</v>
      </c>
      <c r="D202" s="2654" cm="1" t="n">
        <f t="array" ref="D202">INDEX('6층_부하량'!C3:C3000,MATCH(1,("6-DaHall 1-PDU-01"='6층_부하량'!A3:A3000)*(1='6층_부하량'!B3:B3000),0))</f>
        <v>0.0</v>
      </c>
      <c r="E202" s="144"/>
      <c r="F202" s="144"/>
      <c r="G202" s="144"/>
      <c r="H202" s="142" t="s">
        <v>4597</v>
      </c>
      <c r="I202" s="1469" t="s">
        <v>4633</v>
      </c>
      <c r="J202" s="1476" t="s">
        <v>4578</v>
      </c>
      <c r="K202" s="142" t="s">
        <v>4597</v>
      </c>
      <c r="L202" s="2654" cm="1" t="n">
        <f t="array" ref="L202">INDEX('6층_부하량'!C3:C3000,MATCH(1,("6-DaHall 1-PDU-01"='6층_부하량'!A3:A3000)*(2='6층_부하량'!B3:B3000),0))</f>
        <v>0.0</v>
      </c>
      <c r="M202" s="144"/>
      <c r="N202" s="144"/>
      <c r="O202" s="144"/>
      <c r="P202" s="144" t="s">
        <v>4635</v>
      </c>
      <c r="Q202" s="152" t="s">
        <v>4575</v>
      </c>
      <c r="R202" s="276" t="s">
        <v>5259</v>
      </c>
    </row>
    <row r="203" spans="1:18" ht="16.5" x14ac:dyDescent="0.15">
      <c r="A203" s="158" t="s">
        <v>5260</v>
      </c>
      <c r="B203" s="143" t="s">
        <v>4635</v>
      </c>
      <c r="C203" s="143" t="s">
        <v>4723</v>
      </c>
      <c r="D203" s="149"/>
      <c r="E203" s="2655" cm="1" t="n">
        <f t="array" ref="E203">INDEX('6층_부하량'!D3:D3000,MATCH(1,("6-DaHall 1-PDU-01"='6층_부하량'!A3:A3000)*(3='6층_부하량'!B3:B3000),0))</f>
        <v>0.0</v>
      </c>
      <c r="F203" s="149"/>
      <c r="G203" s="149"/>
      <c r="H203" s="143" t="s">
        <v>4597</v>
      </c>
      <c r="I203" s="1465" t="s">
        <v>4638</v>
      </c>
      <c r="J203" s="1463" t="s">
        <v>4583</v>
      </c>
      <c r="K203" s="143" t="s">
        <v>4597</v>
      </c>
      <c r="L203" s="149"/>
      <c r="M203" s="2655" cm="1" t="n">
        <f t="array" ref="M203">INDEX('6층_부하량'!D3:D3000,MATCH(1,("6-DaHall 1-PDU-01"='6층_부하량'!A3:A3000)*(4='6층_부하량'!B3:B3000),0))</f>
        <v>0.0</v>
      </c>
      <c r="N203" s="149"/>
      <c r="O203" s="149"/>
      <c r="P203" s="149" t="s">
        <v>4635</v>
      </c>
      <c r="Q203" s="164" t="s">
        <v>4575</v>
      </c>
      <c r="R203" s="264" t="s">
        <v>5261</v>
      </c>
    </row>
    <row r="204" spans="1:18" ht="16.5" x14ac:dyDescent="0.15">
      <c r="A204" s="148" t="s">
        <v>5262</v>
      </c>
      <c r="B204" s="143" t="s">
        <v>4635</v>
      </c>
      <c r="C204" s="143" t="s">
        <v>4723</v>
      </c>
      <c r="D204" s="157"/>
      <c r="E204" s="157"/>
      <c r="F204" s="2656" cm="1" t="n">
        <f t="array" ref="F204">INDEX('6층_부하량'!E3:E3000,MATCH(1,("6-DaHall 1-PDU-01"='6층_부하량'!A3:A3000)*(5='6층_부하량'!B3:B3000),0))</f>
        <v>0.0</v>
      </c>
      <c r="G204" s="157"/>
      <c r="H204" s="143" t="s">
        <v>4597</v>
      </c>
      <c r="I204" s="1465" t="s">
        <v>4641</v>
      </c>
      <c r="J204" s="1463" t="s">
        <v>4588</v>
      </c>
      <c r="K204" s="143" t="s">
        <v>4597</v>
      </c>
      <c r="L204" s="157"/>
      <c r="M204" s="157"/>
      <c r="N204" s="2656" cm="1" t="n">
        <f t="array" ref="N204">INDEX('6층_부하량'!E3:E3000,MATCH(1,("6-DaHall 1-PDU-01"='6층_부하량'!A3:A3000)*(6='6층_부하량'!B3:B3000),0))</f>
        <v>0.0</v>
      </c>
      <c r="O204" s="157"/>
      <c r="P204" s="157" t="s">
        <v>4635</v>
      </c>
      <c r="Q204" s="164" t="s">
        <v>4575</v>
      </c>
      <c r="R204" s="342" t="s">
        <v>5263</v>
      </c>
    </row>
    <row r="205" spans="1:18" ht="16.5" x14ac:dyDescent="0.15">
      <c r="A205" s="1112" t="s">
        <v>5264</v>
      </c>
      <c r="B205" s="143" t="s">
        <v>4635</v>
      </c>
      <c r="C205" s="1174" t="s">
        <v>4575</v>
      </c>
      <c r="D205" s="2656" cm="1" t="n">
        <f t="array" ref="D205">INDEX('6층_부하량'!C3:C3000,MATCH(1,("6-DaHall 1-PDU-01"='6층_부하량'!A3:A3000)*(7='6층_부하량'!B3:B3000),0))</f>
        <v>0.0</v>
      </c>
      <c r="E205" s="157"/>
      <c r="F205" s="157"/>
      <c r="G205" s="157"/>
      <c r="H205" s="143" t="s">
        <v>4597</v>
      </c>
      <c r="I205" s="1465" t="s">
        <v>4645</v>
      </c>
      <c r="J205" s="1463" t="s">
        <v>4593</v>
      </c>
      <c r="K205" s="143" t="s">
        <v>4597</v>
      </c>
      <c r="L205" s="2656" cm="1" t="n">
        <f t="array" ref="L205">INDEX('6층_부하량'!C3:C3000,MATCH(1,("6-DaHall 1-PDU-01"='6층_부하량'!A3:A3000)*(8='6층_부하량'!B3:B3000),0))</f>
        <v>0.0</v>
      </c>
      <c r="M205" s="157"/>
      <c r="N205" s="157"/>
      <c r="O205" s="157"/>
      <c r="P205" s="157" t="s">
        <v>4635</v>
      </c>
      <c r="Q205" s="164" t="s">
        <v>4575</v>
      </c>
      <c r="R205" s="342" t="s">
        <v>5265</v>
      </c>
    </row>
    <row r="206" spans="1:18" ht="16.5" x14ac:dyDescent="0.15">
      <c r="A206" s="1113" t="s">
        <v>5266</v>
      </c>
      <c r="B206" s="143" t="s">
        <v>4635</v>
      </c>
      <c r="C206" s="1174" t="s">
        <v>4575</v>
      </c>
      <c r="D206" s="157"/>
      <c r="E206" s="2656" cm="1" t="n">
        <f t="array" ref="E206">INDEX('6층_부하량'!D3:D3000,MATCH(1,("6-DaHall 1-PDU-01"='6층_부하량'!A3:A3000)*(9='6층_부하량'!B3:B3000),0))</f>
        <v>0.0</v>
      </c>
      <c r="F206" s="157"/>
      <c r="G206" s="157"/>
      <c r="H206" s="143" t="s">
        <v>4597</v>
      </c>
      <c r="I206" s="1465" t="s">
        <v>4648</v>
      </c>
      <c r="J206" s="1463" t="s">
        <v>4596</v>
      </c>
      <c r="K206" s="143" t="s">
        <v>4597</v>
      </c>
      <c r="L206" s="157"/>
      <c r="M206" s="2656" cm="1" t="n">
        <f t="array" ref="M206">INDEX('6층_부하량'!D3:D3000,MATCH(1,("6-DaHall 1-PDU-01"='6층_부하량'!A3:A3000)*(10='6층_부하량'!B3:B3000),0))</f>
        <v>0.0</v>
      </c>
      <c r="N206" s="157"/>
      <c r="O206" s="157"/>
      <c r="P206" s="157" t="s">
        <v>4635</v>
      </c>
      <c r="Q206" s="164" t="s">
        <v>4575</v>
      </c>
      <c r="R206" s="342" t="s">
        <v>5267</v>
      </c>
    </row>
    <row r="207" spans="1:18" ht="16.5" x14ac:dyDescent="0.15">
      <c r="A207" s="1112" t="s">
        <v>5268</v>
      </c>
      <c r="B207" s="143" t="s">
        <v>4635</v>
      </c>
      <c r="C207" s="1174" t="s">
        <v>4575</v>
      </c>
      <c r="D207" s="157"/>
      <c r="E207" s="157"/>
      <c r="F207" s="2656" cm="1" t="n">
        <f t="array" ref="F207">INDEX('6층_부하량'!E3:E3000,MATCH(1,("6-DaHall 1-PDU-01"='6층_부하량'!A3:A3000)*(11='6층_부하량'!B3:B3000),0))</f>
        <v>0.0</v>
      </c>
      <c r="G207" s="157"/>
      <c r="H207" s="143" t="s">
        <v>4597</v>
      </c>
      <c r="I207" s="1465" t="s">
        <v>4653</v>
      </c>
      <c r="J207" s="1463" t="s">
        <v>4599</v>
      </c>
      <c r="K207" s="143" t="s">
        <v>4597</v>
      </c>
      <c r="L207" s="157"/>
      <c r="M207" s="157"/>
      <c r="N207" s="2656" cm="1" t="n">
        <f t="array" ref="N207">INDEX('6층_부하량'!E3:E3000,MATCH(1,("6-DaHall 1-PDU-01"='6층_부하량'!A3:A3000)*(12='6층_부하량'!B3:B3000),0))</f>
        <v>0.0</v>
      </c>
      <c r="O207" s="157"/>
      <c r="P207" s="157" t="s">
        <v>4635</v>
      </c>
      <c r="Q207" s="164" t="s">
        <v>4575</v>
      </c>
      <c r="R207" s="342" t="s">
        <v>5269</v>
      </c>
    </row>
    <row r="208" spans="1:18" ht="16.5" x14ac:dyDescent="0.15">
      <c r="A208" s="1113" t="s">
        <v>5270</v>
      </c>
      <c r="B208" s="143" t="s">
        <v>4635</v>
      </c>
      <c r="C208" s="1174" t="s">
        <v>4575</v>
      </c>
      <c r="D208" s="2656" cm="1" t="n">
        <f t="array" ref="D208">INDEX('6층_부하량'!C3:C3000,MATCH(1,("6-DaHall 1-PDU-01"='6층_부하량'!A3:A3000)*(13='6층_부하량'!B3:B3000),0))</f>
        <v>0.0</v>
      </c>
      <c r="E208" s="157"/>
      <c r="F208" s="157"/>
      <c r="G208" s="157"/>
      <c r="H208" s="143" t="s">
        <v>4597</v>
      </c>
      <c r="I208" s="1465" t="s">
        <v>4657</v>
      </c>
      <c r="J208" s="1463" t="s">
        <v>4601</v>
      </c>
      <c r="K208" s="143" t="s">
        <v>4597</v>
      </c>
      <c r="L208" s="2656" cm="1" t="n">
        <f t="array" ref="L208">INDEX('6층_부하량'!C3:C3000,MATCH(1,("6-DaHall 1-PDU-01"='6층_부하량'!A3:A3000)*(14='6층_부하량'!B3:B3000),0))</f>
        <v>2.2800000000000002</v>
      </c>
      <c r="M208" s="157"/>
      <c r="N208" s="157"/>
      <c r="O208" s="157"/>
      <c r="P208" s="157" t="s">
        <v>4635</v>
      </c>
      <c r="Q208" s="164" t="s">
        <v>4575</v>
      </c>
      <c r="R208" s="342" t="s">
        <v>5271</v>
      </c>
    </row>
    <row r="209" spans="1:19" ht="16.5" x14ac:dyDescent="0.15">
      <c r="A209" s="1112" t="s">
        <v>5272</v>
      </c>
      <c r="B209" s="143" t="s">
        <v>4635</v>
      </c>
      <c r="C209" s="1174" t="s">
        <v>4575</v>
      </c>
      <c r="D209" s="157"/>
      <c r="E209" s="2656" cm="1" t="n">
        <f t="array" ref="E209">INDEX('6층_부하량'!D3:D3000,MATCH(1,("6-DaHall 1-PDU-01"='6층_부하량'!A3:A3000)*(15='6층_부하량'!B3:B3000),0))</f>
        <v>0.0</v>
      </c>
      <c r="F209" s="157"/>
      <c r="G209" s="157"/>
      <c r="H209" s="143" t="s">
        <v>4597</v>
      </c>
      <c r="I209" s="1465" t="s">
        <v>4661</v>
      </c>
      <c r="J209" s="1463" t="s">
        <v>4603</v>
      </c>
      <c r="K209" s="143" t="s">
        <v>4597</v>
      </c>
      <c r="L209" s="157"/>
      <c r="M209" s="2656" cm="1" t="n">
        <f t="array" ref="M209">INDEX('6층_부하량'!D3:D3000,MATCH(1,("6-DaHall 1-PDU-01"='6층_부하량'!A3:A3000)*(16='6층_부하량'!B3:B3000),0))</f>
        <v>2.19</v>
      </c>
      <c r="N209" s="157"/>
      <c r="O209" s="157"/>
      <c r="P209" s="157" t="s">
        <v>4635</v>
      </c>
      <c r="Q209" s="164" t="s">
        <v>4575</v>
      </c>
      <c r="R209" s="342" t="s">
        <v>5273</v>
      </c>
    </row>
    <row r="210" spans="1:19" ht="17.25" thickBot="1" x14ac:dyDescent="0.2">
      <c r="A210" s="1114" t="s">
        <v>5274</v>
      </c>
      <c r="B210" s="159" t="s">
        <v>4635</v>
      </c>
      <c r="C210" s="1175" t="s">
        <v>4575</v>
      </c>
      <c r="D210" s="177"/>
      <c r="E210" s="177"/>
      <c r="F210" s="2661" cm="1" t="n">
        <f t="array" ref="F210">INDEX('6층_부하량'!E3:E3000,MATCH(1,("6-DaHall 1-PDU-01"='6층_부하량'!A3:A3000)*(17='6층_부하량'!B3:B3000),0))</f>
        <v>0.0</v>
      </c>
      <c r="G210" s="160"/>
      <c r="H210" s="159" t="s">
        <v>4597</v>
      </c>
      <c r="I210" s="1475" t="s">
        <v>4665</v>
      </c>
      <c r="J210" s="296" t="s">
        <v>4605</v>
      </c>
      <c r="K210" s="159" t="s">
        <v>4597</v>
      </c>
      <c r="L210" s="177"/>
      <c r="M210" s="177"/>
      <c r="N210" s="2661" cm="1" t="n">
        <f t="array" ref="N210">INDEX('6층_부하량'!E3:E3000,MATCH(1,("6-DaHall 1-PDU-01"='6층_부하량'!A3:A3000)*(18='6층_부하량'!B3:B3000),0))</f>
        <v>0.0</v>
      </c>
      <c r="O210" s="160"/>
      <c r="P210" s="160" t="s">
        <v>4635</v>
      </c>
      <c r="Q210" s="185" t="s">
        <v>4575</v>
      </c>
      <c r="R210" s="342" t="s">
        <v>5275</v>
      </c>
    </row>
    <row r="211" spans="1:19" ht="17.25" thickTop="1" x14ac:dyDescent="0.15">
      <c r="A211" s="141" t="s">
        <v>5276</v>
      </c>
      <c r="B211" s="142" t="s">
        <v>4635</v>
      </c>
      <c r="C211" s="142" t="s">
        <v>4723</v>
      </c>
      <c r="D211" s="2658" cm="1" t="n">
        <f t="array" ref="D211">INDEX('6층_부하량'!C3:C3000,MATCH(1,("6-DaHall 1-PDU-01"='6층_부하량'!A3:A3000)*(19='6층_부하량'!B3:B3000),0))</f>
        <v>0.0</v>
      </c>
      <c r="E211" s="179"/>
      <c r="F211" s="179"/>
      <c r="G211" s="163"/>
      <c r="H211" s="142" t="s">
        <v>4597</v>
      </c>
      <c r="I211" s="1470" t="s">
        <v>4670</v>
      </c>
      <c r="J211" s="298" t="s">
        <v>4609</v>
      </c>
      <c r="K211" s="142" t="s">
        <v>4597</v>
      </c>
      <c r="L211" s="2658" cm="1" t="n">
        <f t="array" ref="L211">INDEX('6층_부하량'!C3:C3000,MATCH(1,("6-DaHall 1-PDU-01"='6층_부하량'!A3:A3000)*(20='6층_부하량'!B3:B3000),0))</f>
        <v>0.0</v>
      </c>
      <c r="M211" s="179"/>
      <c r="N211" s="179"/>
      <c r="O211" s="163"/>
      <c r="P211" s="163" t="s">
        <v>4635</v>
      </c>
      <c r="Q211" s="152" t="s">
        <v>4575</v>
      </c>
      <c r="R211" s="618" t="s">
        <v>5277</v>
      </c>
    </row>
    <row r="212" spans="1:19" ht="16.5" x14ac:dyDescent="0.15">
      <c r="A212" s="174" t="s">
        <v>5278</v>
      </c>
      <c r="B212" s="156" t="s">
        <v>4635</v>
      </c>
      <c r="C212" s="156" t="s">
        <v>4723</v>
      </c>
      <c r="D212" s="157"/>
      <c r="E212" s="2656" cm="1" t="n">
        <f t="array" ref="E212">INDEX('6층_부하량'!D3:D3000,MATCH(1,("6-DaHall 1-PDU-01"='6층_부하량'!A3:A3000)*(21='6층_부하량'!B3:B3000),0))</f>
        <v>0.0</v>
      </c>
      <c r="F212" s="157"/>
      <c r="G212" s="179"/>
      <c r="H212" s="156" t="s">
        <v>4597</v>
      </c>
      <c r="I212" s="1471" t="s">
        <v>4674</v>
      </c>
      <c r="J212" s="294" t="s">
        <v>4613</v>
      </c>
      <c r="K212" s="156" t="s">
        <v>4597</v>
      </c>
      <c r="L212" s="157"/>
      <c r="M212" s="2656" cm="1" t="n">
        <f t="array" ref="M212">INDEX('6층_부하량'!D3:D3000,MATCH(1,("6-DaHall 1-PDU-01"='6층_부하량'!A3:A3000)*(22='6층_부하량'!B3:B3000),0))</f>
        <v>0.0</v>
      </c>
      <c r="N212" s="157"/>
      <c r="O212" s="179"/>
      <c r="P212" s="179" t="s">
        <v>4635</v>
      </c>
      <c r="Q212" s="189" t="s">
        <v>4575</v>
      </c>
      <c r="R212" s="342" t="s">
        <v>5279</v>
      </c>
    </row>
    <row r="213" spans="1:19" ht="16.5" x14ac:dyDescent="0.15">
      <c r="A213" s="148" t="s">
        <v>5280</v>
      </c>
      <c r="B213" s="143" t="s">
        <v>4635</v>
      </c>
      <c r="C213" s="143" t="s">
        <v>4723</v>
      </c>
      <c r="D213" s="157"/>
      <c r="E213" s="157"/>
      <c r="F213" s="2656" cm="1" t="n">
        <f t="array" ref="F213">INDEX('6층_부하량'!E3:E3000,MATCH(1,("6-DaHall 1-PDU-01"='6층_부하량'!A3:A3000)*(23='6층_부하량'!B3:B3000),0))</f>
        <v>0.0</v>
      </c>
      <c r="G213" s="157"/>
      <c r="H213" s="143" t="s">
        <v>4597</v>
      </c>
      <c r="I213" s="1471" t="s">
        <v>4678</v>
      </c>
      <c r="J213" s="294" t="s">
        <v>4680</v>
      </c>
      <c r="K213" s="143" t="s">
        <v>4597</v>
      </c>
      <c r="L213" s="157"/>
      <c r="M213" s="157"/>
      <c r="N213" s="2656" cm="1" t="n">
        <f t="array" ref="N213">INDEX('6층_부하량'!E3:E3000,MATCH(1,("6-DaHall 1-PDU-01"='6층_부하량'!A3:A3000)*(24='6층_부하량'!B3:B3000),0))</f>
        <v>0.0</v>
      </c>
      <c r="O213" s="157"/>
      <c r="P213" s="157" t="s">
        <v>4635</v>
      </c>
      <c r="Q213" s="164" t="s">
        <v>4575</v>
      </c>
      <c r="R213" s="342" t="s">
        <v>5281</v>
      </c>
    </row>
    <row r="214" spans="1:19" ht="16.5" x14ac:dyDescent="0.15">
      <c r="A214" s="148" t="s">
        <v>5282</v>
      </c>
      <c r="B214" s="143" t="s">
        <v>4635</v>
      </c>
      <c r="C214" s="164" t="s">
        <v>4575</v>
      </c>
      <c r="D214" s="2656" cm="1" t="n">
        <f t="array" ref="D214">INDEX('6층_부하량'!C3:C3000,MATCH(1,("6-DaHall 1-PDU-01"='6층_부하량'!A3:A3000)*(25='6층_부하량'!B3:B3000),0))</f>
        <v>0.0</v>
      </c>
      <c r="E214" s="157"/>
      <c r="F214" s="157"/>
      <c r="G214" s="157"/>
      <c r="H214" s="143" t="s">
        <v>4597</v>
      </c>
      <c r="I214" s="1471" t="s">
        <v>4683</v>
      </c>
      <c r="J214" s="294" t="s">
        <v>4685</v>
      </c>
      <c r="K214" s="143" t="s">
        <v>4597</v>
      </c>
      <c r="L214" s="2656" cm="1" t="n">
        <f t="array" ref="L214">INDEX('6층_부하량'!C3:C3000,MATCH(1,("6-DaHall 1-PDU-01"='6층_부하량'!A3:A3000)*(26='6층_부하량'!B3:B3000),0))</f>
        <v>0.0</v>
      </c>
      <c r="M214" s="157"/>
      <c r="N214" s="157"/>
      <c r="O214" s="157"/>
      <c r="P214" s="157" t="s">
        <v>4635</v>
      </c>
      <c r="Q214" s="164" t="s">
        <v>4575</v>
      </c>
      <c r="R214" s="342" t="s">
        <v>5283</v>
      </c>
    </row>
    <row r="215" spans="1:19" ht="16.5" x14ac:dyDescent="0.15">
      <c r="A215" s="607" t="s">
        <v>5284</v>
      </c>
      <c r="B215" s="143" t="s">
        <v>4635</v>
      </c>
      <c r="C215" s="164" t="s">
        <v>4575</v>
      </c>
      <c r="D215" s="157"/>
      <c r="E215" s="2656" cm="1" t="n">
        <f t="array" ref="E215">INDEX('6층_부하량'!D3:D3000,MATCH(1,("6-DaHall 1-PDU-01"='6층_부하량'!A3:A3000)*(27='6층_부하량'!B3:B3000),0))</f>
        <v>2.2800000000000002</v>
      </c>
      <c r="F215" s="157"/>
      <c r="G215" s="157"/>
      <c r="H215" s="143" t="s">
        <v>4597</v>
      </c>
      <c r="I215" s="299" t="s">
        <v>4688</v>
      </c>
      <c r="J215" s="294" t="s">
        <v>4689</v>
      </c>
      <c r="K215" s="143" t="s">
        <v>4597</v>
      </c>
      <c r="L215" s="157"/>
      <c r="M215" s="2656" cm="1" t="n">
        <f t="array" ref="M215">INDEX('6층_부하량'!D3:D3000,MATCH(1,("6-DaHall 1-PDU-01"='6층_부하량'!A3:A3000)*(28='6층_부하량'!B3:B3000),0))</f>
        <v>0.0</v>
      </c>
      <c r="N215" s="157"/>
      <c r="O215" s="157"/>
      <c r="P215" s="157" t="s">
        <v>4635</v>
      </c>
      <c r="Q215" s="164" t="s">
        <v>4575</v>
      </c>
      <c r="R215" s="342" t="s">
        <v>5285</v>
      </c>
    </row>
    <row r="216" spans="1:19" x14ac:dyDescent="0.15">
      <c r="A216" s="607" t="s">
        <v>5286</v>
      </c>
      <c r="B216" s="143" t="s">
        <v>4635</v>
      </c>
      <c r="C216" s="143" t="s">
        <v>4723</v>
      </c>
      <c r="D216" s="157"/>
      <c r="E216" s="157"/>
      <c r="F216" s="2656" cm="1" t="n">
        <f t="array" ref="F216">INDEX('6층_부하량'!E3:E3000,MATCH(1,("6-DaHall 1-PDU-01"='6층_부하량'!A3:A3000)*(29='6층_부하량'!B3:B3000),0))</f>
        <v>0.0</v>
      </c>
      <c r="G216" s="157"/>
      <c r="H216" s="143" t="s">
        <v>4597</v>
      </c>
      <c r="I216" s="299" t="s">
        <v>4691</v>
      </c>
      <c r="J216" s="1463" t="s">
        <v>4692</v>
      </c>
      <c r="K216" s="143" t="s">
        <v>4597</v>
      </c>
      <c r="L216" s="157"/>
      <c r="M216" s="157"/>
      <c r="N216" s="2656" cm="1" t="n">
        <f t="array" ref="N216">INDEX('6층_부하량'!E3:E3000,MATCH(1,("6-DaHall 1-PDU-01"='6층_부하량'!A3:A3000)*(30='6층_부하량'!B3:B3000),0))</f>
        <v>0.0</v>
      </c>
      <c r="O216" s="157"/>
      <c r="P216" s="157" t="s">
        <v>4635</v>
      </c>
      <c r="Q216" s="143" t="s">
        <v>4723</v>
      </c>
      <c r="R216" s="153" t="s">
        <v>5287</v>
      </c>
    </row>
    <row r="217" spans="1:19" ht="16.5" x14ac:dyDescent="0.15">
      <c r="A217" s="607" t="s">
        <v>5288</v>
      </c>
      <c r="B217" s="143" t="s">
        <v>4635</v>
      </c>
      <c r="C217" s="164" t="s">
        <v>4575</v>
      </c>
      <c r="D217" s="2656" cm="1" t="n">
        <f t="array" ref="D217">INDEX('6층_부하량'!C3:C3000,MATCH(1,("6-DaHall 1-PDU-01"='6층_부하량'!A3:A3000)*(31='6층_부하량'!B3:B3000),0))</f>
        <v>1.26</v>
      </c>
      <c r="E217" s="157"/>
      <c r="F217" s="157"/>
      <c r="G217" s="157"/>
      <c r="H217" s="143" t="s">
        <v>4597</v>
      </c>
      <c r="I217" s="299" t="s">
        <v>4693</v>
      </c>
      <c r="J217" s="1463" t="s">
        <v>4694</v>
      </c>
      <c r="K217" s="143" t="s">
        <v>4597</v>
      </c>
      <c r="L217" s="2656" cm="1" t="n">
        <f t="array" ref="L217">INDEX('6층_부하량'!C3:C3000,MATCH(1,("6-DaHall 1-PDU-01"='6층_부하량'!A3:A3000)*(32='6층_부하량'!B3:B3000),0))</f>
        <v>0.0</v>
      </c>
      <c r="M217" s="157"/>
      <c r="N217" s="157"/>
      <c r="O217" s="157"/>
      <c r="P217" s="157" t="s">
        <v>4635</v>
      </c>
      <c r="Q217" s="143" t="s">
        <v>4723</v>
      </c>
      <c r="R217" s="153" t="s">
        <v>5289</v>
      </c>
    </row>
    <row r="218" spans="1:19" ht="16.5" x14ac:dyDescent="0.15">
      <c r="A218" s="607" t="s">
        <v>5290</v>
      </c>
      <c r="B218" s="143" t="s">
        <v>4635</v>
      </c>
      <c r="C218" s="164" t="s">
        <v>4575</v>
      </c>
      <c r="D218" s="157"/>
      <c r="E218" s="2656" cm="1" t="n">
        <f t="array" ref="E218">INDEX('6층_부하량'!D3:D3000,MATCH(1,("6-DaHall 1-PDU-01"='6층_부하량'!A3:A3000)*(33='6층_부하량'!B3:B3000),0))</f>
        <v>1.53</v>
      </c>
      <c r="F218" s="157"/>
      <c r="G218" s="157"/>
      <c r="H218" s="143" t="s">
        <v>4597</v>
      </c>
      <c r="I218" s="299" t="s">
        <v>4697</v>
      </c>
      <c r="J218" s="1463" t="s">
        <v>4698</v>
      </c>
      <c r="K218" s="143" t="s">
        <v>4597</v>
      </c>
      <c r="L218" s="157"/>
      <c r="M218" s="2656" cm="1" t="n">
        <f t="array" ref="M218">INDEX('6층_부하량'!D3:D3000,MATCH(1,("6-DaHall 1-PDU-01"='6층_부하량'!A3:A3000)*(34='6층_부하량'!B3:B3000),0))</f>
        <v>0.0</v>
      </c>
      <c r="N218" s="157"/>
      <c r="O218" s="157"/>
      <c r="P218" s="157" t="s">
        <v>565</v>
      </c>
      <c r="Q218" s="143" t="s">
        <v>4723</v>
      </c>
      <c r="R218" s="182" t="s">
        <v>5291</v>
      </c>
    </row>
    <row r="219" spans="1:19" ht="16.5" x14ac:dyDescent="0.15">
      <c r="A219" s="607" t="s">
        <v>5292</v>
      </c>
      <c r="B219" s="143" t="s">
        <v>4635</v>
      </c>
      <c r="C219" s="164" t="s">
        <v>4575</v>
      </c>
      <c r="D219" s="157"/>
      <c r="E219" s="157"/>
      <c r="F219" s="2656" cm="1" t="n">
        <f t="array" ref="F219">INDEX('6층_부하량'!E3:E3000,MATCH(1,("6-DaHall 1-PDU-01"='6층_부하량'!A3:A3000)*(35='6층_부하량'!B3:B3000),0))</f>
        <v>0.0</v>
      </c>
      <c r="G219" s="157"/>
      <c r="H219" s="143" t="s">
        <v>4597</v>
      </c>
      <c r="I219" s="293" t="s">
        <v>4701</v>
      </c>
      <c r="J219" s="1463" t="s">
        <v>4703</v>
      </c>
      <c r="K219" s="143" t="s">
        <v>4597</v>
      </c>
      <c r="L219" s="157"/>
      <c r="M219" s="157"/>
      <c r="N219" s="2656" cm="1" t="n">
        <f t="array" ref="N219">INDEX('6층_부하량'!E3:E3000,MATCH(1,("6-DaHall 1-PDU-01"='6층_부하량'!A3:A3000)*(36='6층_부하량'!B3:B3000),0))</f>
        <v>0.0</v>
      </c>
      <c r="O219" s="157"/>
      <c r="P219" s="157" t="s">
        <v>4635</v>
      </c>
      <c r="Q219" s="189" t="s">
        <v>4575</v>
      </c>
      <c r="R219" s="2114" t="s">
        <v>5293</v>
      </c>
    </row>
    <row r="220" spans="1:19" ht="16.5" x14ac:dyDescent="0.15">
      <c r="A220" s="607" t="s">
        <v>5294</v>
      </c>
      <c r="B220" s="143" t="s">
        <v>4635</v>
      </c>
      <c r="C220" s="164" t="s">
        <v>4575</v>
      </c>
      <c r="D220" s="2656" cm="1" t="n">
        <f t="array" ref="D220">INDEX('6층_부하량'!C3:C3000,MATCH(1,("6-DaHall 1-PDU-01"='6층_부하량'!A3:A3000)*(37='6층_부하량'!B3:B3000),0))</f>
        <v>0.0</v>
      </c>
      <c r="E220" s="157"/>
      <c r="F220" s="157"/>
      <c r="G220" s="157"/>
      <c r="H220" s="143" t="s">
        <v>4597</v>
      </c>
      <c r="I220" s="293" t="s">
        <v>4706</v>
      </c>
      <c r="J220" s="1463" t="s">
        <v>4707</v>
      </c>
      <c r="K220" s="143" t="s">
        <v>4597</v>
      </c>
      <c r="L220" s="2656" cm="1" t="n">
        <f t="array" ref="L220">INDEX('6층_부하량'!C3:C3000,MATCH(1,("6-DaHall 1-PDU-01"='6층_부하량'!A3:A3000)*(38='6층_부하량'!B3:B3000),0))</f>
        <v>0.0</v>
      </c>
      <c r="M220" s="157"/>
      <c r="N220" s="157"/>
      <c r="O220" s="157"/>
      <c r="P220" s="157" t="s">
        <v>565</v>
      </c>
      <c r="Q220" s="143" t="s">
        <v>4723</v>
      </c>
      <c r="R220" s="345" t="s">
        <v>5295</v>
      </c>
    </row>
    <row r="221" spans="1:19" ht="16.5" x14ac:dyDescent="0.15">
      <c r="A221" s="607" t="s">
        <v>5296</v>
      </c>
      <c r="B221" s="143" t="s">
        <v>4635</v>
      </c>
      <c r="C221" s="164" t="s">
        <v>4575</v>
      </c>
      <c r="D221" s="157"/>
      <c r="E221" s="2656" cm="1" t="n">
        <f t="array" ref="E221">INDEX('6층_부하량'!D3:D3000,MATCH(1,("6-DaHall 1-PDU-01"='6층_부하량'!A3:A3000)*(39='6층_부하량'!B3:B3000),0))</f>
        <v>0.0</v>
      </c>
      <c r="F221" s="157"/>
      <c r="G221" s="157"/>
      <c r="H221" s="143" t="s">
        <v>4597</v>
      </c>
      <c r="I221" s="299" t="s">
        <v>4710</v>
      </c>
      <c r="J221" s="1463" t="s">
        <v>4711</v>
      </c>
      <c r="K221" s="143" t="s">
        <v>4597</v>
      </c>
      <c r="L221" s="157"/>
      <c r="M221" s="2656" cm="1" t="n">
        <f t="array" ref="M221">INDEX('6층_부하량'!D3:D3000,MATCH(1,("6-DaHall 1-PDU-01"='6층_부하량'!A3:A3000)*(40='6층_부하량'!B3:B3000),0))</f>
        <v>0.0</v>
      </c>
      <c r="N221" s="157"/>
      <c r="O221" s="157"/>
      <c r="P221" s="157" t="s">
        <v>4635</v>
      </c>
      <c r="Q221" s="164" t="s">
        <v>4575</v>
      </c>
      <c r="R221" s="345" t="s">
        <v>5297</v>
      </c>
    </row>
    <row r="222" spans="1:19" ht="16.5" x14ac:dyDescent="0.15">
      <c r="A222" s="274" t="s">
        <v>5298</v>
      </c>
      <c r="B222" s="143" t="s">
        <v>4635</v>
      </c>
      <c r="C222" s="164" t="s">
        <v>4575</v>
      </c>
      <c r="D222" s="157"/>
      <c r="E222" s="157"/>
      <c r="F222" s="2656" cm="1" t="n">
        <f t="array" ref="F222">INDEX('6층_부하량'!E3:E3000,MATCH(1,("6-DaHall 1-PDU-01"='6층_부하량'!A3:A3000)*(41='6층_부하량'!B3:B3000),0))</f>
        <v>0.0</v>
      </c>
      <c r="G222" s="157"/>
      <c r="H222" s="143" t="s">
        <v>4597</v>
      </c>
      <c r="I222" s="293" t="s">
        <v>5055</v>
      </c>
      <c r="J222" s="1463" t="s">
        <v>4843</v>
      </c>
      <c r="K222" s="143" t="s">
        <v>4597</v>
      </c>
      <c r="L222" s="157"/>
      <c r="M222" s="157"/>
      <c r="N222" s="2656" cm="1" t="n">
        <f t="array" ref="N222">INDEX('6층_부하량'!E3:E3000,MATCH(1,("6-DaHall 1-PDU-01"='6층_부하량'!A3:A3000)*(42='6층_부하량'!B3:B3000),0))</f>
        <v>0.0</v>
      </c>
      <c r="O222" s="157"/>
      <c r="P222" s="149" t="s">
        <v>4635</v>
      </c>
      <c r="Q222" s="164" t="s">
        <v>4575</v>
      </c>
      <c r="R222" s="326" t="s">
        <v>379</v>
      </c>
    </row>
    <row r="223" spans="1:19" ht="16.5" x14ac:dyDescent="0.15">
      <c r="A223" s="607" t="s">
        <v>5299</v>
      </c>
      <c r="B223" s="143" t="s">
        <v>4635</v>
      </c>
      <c r="C223" s="164" t="s">
        <v>4575</v>
      </c>
      <c r="D223" s="2656" cm="1" t="n">
        <f t="array" ref="D223">INDEX('6층_부하량'!C3:C3000,MATCH(1,("6-DaHall 1-PDU-01"='6층_부하량'!A3:A3000)*(43='6층_부하량'!B3:B3000),0))</f>
        <v>1.02</v>
      </c>
      <c r="E223" s="157"/>
      <c r="F223" s="157"/>
      <c r="G223" s="157"/>
      <c r="H223" s="143" t="s">
        <v>4597</v>
      </c>
      <c r="I223" s="293" t="s">
        <v>4845</v>
      </c>
      <c r="J223" s="1463" t="s">
        <v>4846</v>
      </c>
      <c r="K223" s="143" t="s">
        <v>4597</v>
      </c>
      <c r="L223" s="2656" cm="1" t="n">
        <f t="array" ref="L223">INDEX('6층_부하량'!C3:C3000,MATCH(1,("6-DaHall 1-PDU-01"='6층_부하량'!A3:A3000)*(44='6층_부하량'!B3:B3000),0))</f>
        <v>0.0</v>
      </c>
      <c r="M223" s="157"/>
      <c r="N223" s="157"/>
      <c r="O223" s="157"/>
      <c r="P223" s="149" t="s">
        <v>4635</v>
      </c>
      <c r="Q223" s="143" t="s">
        <v>4723</v>
      </c>
      <c r="R223" s="2114" t="s">
        <v>2315</v>
      </c>
      <c r="S223" s="2147" t="s">
        <v>5300</v>
      </c>
    </row>
    <row r="224" spans="1:19" ht="26.25" customHeight="1" x14ac:dyDescent="0.15">
      <c r="A224" s="607" t="s">
        <v>5301</v>
      </c>
      <c r="B224" s="143" t="s">
        <v>4635</v>
      </c>
      <c r="C224" s="164" t="s">
        <v>4575</v>
      </c>
      <c r="D224" s="157"/>
      <c r="E224" s="2656" cm="1" t="n">
        <f t="array" ref="E224">INDEX('6층_부하량'!D3:D3000,MATCH(1,("6-DaHall 1-PDU-01"='6층_부하량'!A3:A3000)*(45='6층_부하량'!B3:B3000),0))</f>
        <v>0.0</v>
      </c>
      <c r="F224" s="157"/>
      <c r="G224" s="157"/>
      <c r="H224" s="143" t="s">
        <v>4597</v>
      </c>
      <c r="I224" s="293" t="s">
        <v>4847</v>
      </c>
      <c r="J224" s="2335" t="s">
        <v>4848</v>
      </c>
      <c r="K224" s="143" t="s">
        <v>4597</v>
      </c>
      <c r="L224" s="157"/>
      <c r="M224" s="2656" cm="1" t="n">
        <f t="array" ref="M224">INDEX('6층_부하량'!D3:D3000,MATCH(1,("6-DaHall 1-PDU-01"='6층_부하량'!A3:A3000)*(46='6층_부하량'!B3:B3000),0))</f>
        <v>0.55</v>
      </c>
      <c r="N224" s="157"/>
      <c r="O224" s="157"/>
      <c r="P224" s="157" t="s">
        <v>4635</v>
      </c>
      <c r="Q224" s="164" t="s">
        <v>4575</v>
      </c>
      <c r="R224" s="2334" t="s">
        <v>2807</v>
      </c>
    </row>
    <row r="225" spans="1:18" ht="16.5" x14ac:dyDescent="0.15">
      <c r="A225" s="607" t="s">
        <v>5302</v>
      </c>
      <c r="B225" s="143" t="s">
        <v>4635</v>
      </c>
      <c r="C225" s="164" t="s">
        <v>4575</v>
      </c>
      <c r="D225" s="157"/>
      <c r="E225" s="157"/>
      <c r="F225" s="2656" cm="1" t="n">
        <f t="array" ref="F225">INDEX('6층_부하량'!E3:E3000,MATCH(1,("6-DaHall 1-PDU-01"='6층_부하량'!A3:A3000)*(47='6층_부하량'!B3:B3000),0))</f>
        <v>0.0</v>
      </c>
      <c r="G225" s="157"/>
      <c r="H225" s="143" t="s">
        <v>4597</v>
      </c>
      <c r="I225" s="299" t="s">
        <v>4849</v>
      </c>
      <c r="J225" s="1463" t="s">
        <v>4850</v>
      </c>
      <c r="K225" s="143" t="s">
        <v>4597</v>
      </c>
      <c r="L225" s="157"/>
      <c r="M225" s="157"/>
      <c r="N225" s="2656" cm="1" t="n">
        <f t="array" ref="N225">INDEX('6층_부하량'!E3:E3000,MATCH(1,("6-DaHall 1-PDU-01"='6층_부하량'!A3:A3000)*(48='6층_부하량'!B3:B3000),0))</f>
        <v>0.0</v>
      </c>
      <c r="O225" s="157"/>
      <c r="P225" s="157" t="s">
        <v>4635</v>
      </c>
      <c r="Q225" s="164" t="s">
        <v>4575</v>
      </c>
      <c r="R225" s="342" t="s">
        <v>5303</v>
      </c>
    </row>
    <row r="226" spans="1:18" ht="17.25" thickBot="1" x14ac:dyDescent="0.2">
      <c r="A226" s="280" t="s">
        <v>5304</v>
      </c>
      <c r="B226" s="166" t="s">
        <v>4635</v>
      </c>
      <c r="C226" s="166" t="s">
        <v>4723</v>
      </c>
      <c r="D226" s="2659" cm="1" t="n">
        <f t="array" ref="D226">INDEX('6층_부하량'!C3:C3000,MATCH(1,("6-DaHall 1-PDU-01"='6층_부하량'!A3:A3000)*(49='6층_부하량'!B3:B3000),0))</f>
        <v>0.0</v>
      </c>
      <c r="E226" s="167"/>
      <c r="F226" s="167"/>
      <c r="G226" s="167"/>
      <c r="H226" s="166" t="s">
        <v>4597</v>
      </c>
      <c r="I226" s="301" t="s">
        <v>4851</v>
      </c>
      <c r="J226" s="1473" t="s">
        <v>4852</v>
      </c>
      <c r="K226" s="166" t="s">
        <v>4597</v>
      </c>
      <c r="L226" s="2659" cm="1" t="n">
        <f t="array" ref="L226">INDEX('6층_부하량'!C3:C3000,MATCH(1,("6-DaHall 1-PDU-01"='6층_부하량'!A3:A3000)*(50='6층_부하량'!B3:B3000),0))</f>
        <v>0.0</v>
      </c>
      <c r="M226" s="167"/>
      <c r="N226" s="167"/>
      <c r="O226" s="167"/>
      <c r="P226" s="166" t="s">
        <v>4635</v>
      </c>
      <c r="Q226" s="184" t="s">
        <v>4575</v>
      </c>
      <c r="R226" s="325" t="s">
        <v>5305</v>
      </c>
    </row>
    <row r="227" spans="1:18" ht="14.25" thickTop="1" x14ac:dyDescent="0.15">
      <c r="A227" s="128"/>
      <c r="B227" s="128"/>
      <c r="C227" s="128"/>
      <c r="D227" s="128"/>
      <c r="E227" s="128"/>
      <c r="F227" s="128"/>
      <c r="G227" s="128"/>
      <c r="H227" s="128"/>
      <c r="I227" s="128"/>
      <c r="J227" s="128"/>
      <c r="K227" s="128" t="s">
        <v>4713</v>
      </c>
      <c r="L227" s="128" t="n">
        <f>SUM(D202:D226,L202:L226)</f>
        <v>4.5600000000000005</v>
      </c>
      <c r="M227" s="128" t="n">
        <f>SUM(E202:E226,M202:M226)</f>
        <v>6.55</v>
      </c>
      <c r="N227" s="128" t="n">
        <f>SUM(F202:F226,N202:N226)</f>
        <v>0.0</v>
      </c>
      <c r="O227" s="128"/>
      <c r="P227" s="128"/>
      <c r="Q227" s="128"/>
      <c r="R227" s="128"/>
    </row>
    <row r="228" spans="1:18" ht="14.25" thickBot="1" x14ac:dyDescent="0.2">
      <c r="A228" s="128"/>
      <c r="B228" s="128"/>
      <c r="C228" s="128"/>
      <c r="D228" s="128"/>
      <c r="E228" s="128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</row>
    <row r="229" spans="1:18" ht="15" thickTop="1" thickBot="1" x14ac:dyDescent="0.2">
      <c r="A229" s="173" t="s">
        <v>7004</v>
      </c>
      <c r="B229" s="128"/>
      <c r="C229" s="3660" t="s">
        <v>5306</v>
      </c>
      <c r="D229" s="3660"/>
      <c r="E229" s="3660"/>
      <c r="F229" s="173"/>
      <c r="G229" s="173"/>
      <c r="H229" s="133"/>
      <c r="I229" s="3665" t="s">
        <v>5063</v>
      </c>
      <c r="J229" s="3666"/>
      <c r="K229" s="133"/>
      <c r="L229" s="173"/>
      <c r="M229" s="173"/>
      <c r="N229" s="173"/>
      <c r="O229" s="173"/>
      <c r="P229" s="173"/>
      <c r="Q229" s="173"/>
      <c r="R229" s="128"/>
    </row>
    <row r="230" spans="1:18" ht="15" thickTop="1" thickBot="1" x14ac:dyDescent="0.2">
      <c r="A230" s="127"/>
      <c r="B230" s="128"/>
      <c r="C230" s="128"/>
      <c r="D230" s="129"/>
      <c r="E230" s="129"/>
      <c r="F230" s="130"/>
      <c r="G230" s="129"/>
      <c r="H230" s="131"/>
      <c r="I230" s="128"/>
      <c r="J230" s="132"/>
      <c r="K230" s="1371" t="s">
        <v>4562</v>
      </c>
      <c r="L230" s="1368">
        <v>19.2</v>
      </c>
      <c r="M230" s="1369">
        <v>18.8</v>
      </c>
      <c r="N230" s="1370">
        <v>21.4</v>
      </c>
      <c r="O230" s="508" t="s">
        <v>4563</v>
      </c>
      <c r="P230" s="133"/>
      <c r="Q230" s="128"/>
      <c r="R230" s="528"/>
    </row>
    <row r="231" spans="1:18" ht="15" thickTop="1" thickBot="1" x14ac:dyDescent="0.2">
      <c r="A231" s="134" t="s">
        <v>4564</v>
      </c>
      <c r="B231" s="135" t="s">
        <v>5031</v>
      </c>
      <c r="C231" s="136" t="s">
        <v>4566</v>
      </c>
      <c r="D231" s="135" t="s">
        <v>5032</v>
      </c>
      <c r="E231" s="135" t="s">
        <v>5033</v>
      </c>
      <c r="F231" s="135" t="s">
        <v>5034</v>
      </c>
      <c r="G231" s="135" t="s">
        <v>5035</v>
      </c>
      <c r="H231" s="135" t="s">
        <v>5036</v>
      </c>
      <c r="I231" s="138" t="s">
        <v>5037</v>
      </c>
      <c r="J231" s="139" t="s">
        <v>5037</v>
      </c>
      <c r="K231" s="135" t="s">
        <v>5036</v>
      </c>
      <c r="L231" s="135" t="s">
        <v>5032</v>
      </c>
      <c r="M231" s="135" t="s">
        <v>5033</v>
      </c>
      <c r="N231" s="135" t="s">
        <v>5034</v>
      </c>
      <c r="O231" s="135" t="s">
        <v>5035</v>
      </c>
      <c r="P231" s="135" t="s">
        <v>5031</v>
      </c>
      <c r="Q231" s="136" t="s">
        <v>4566</v>
      </c>
      <c r="R231" s="140" t="s">
        <v>4564</v>
      </c>
    </row>
    <row r="232" spans="1:18" ht="17.25" thickTop="1" x14ac:dyDescent="0.15">
      <c r="A232" s="141" t="s">
        <v>5307</v>
      </c>
      <c r="B232" s="142" t="s">
        <v>4635</v>
      </c>
      <c r="C232" s="142" t="s">
        <v>4723</v>
      </c>
      <c r="D232" s="2654" cm="1" t="n">
        <f t="array" ref="D232">INDEX('6층_부하량'!C3:C3000,MATCH(1,("6-DaHall 1-PDU-02"='6층_부하량'!A3:A3000)*(1='6층_부하량'!B3:B3000),0))</f>
        <v>0.0</v>
      </c>
      <c r="E232" s="144"/>
      <c r="F232" s="144"/>
      <c r="G232" s="144"/>
      <c r="H232" s="142" t="s">
        <v>4597</v>
      </c>
      <c r="I232" s="1469" t="s">
        <v>4633</v>
      </c>
      <c r="J232" s="292" t="s">
        <v>4578</v>
      </c>
      <c r="K232" s="142" t="s">
        <v>4597</v>
      </c>
      <c r="L232" s="2654" cm="1" t="n">
        <f t="array" ref="L232">INDEX('6층_부하량'!C3:C3000,MATCH(1,("6-DaHall 1-PDU-02"='6층_부하량'!A3:A3000)*(2='6층_부하량'!B3:B3000),0))</f>
        <v>0.0</v>
      </c>
      <c r="M232" s="144"/>
      <c r="N232" s="144"/>
      <c r="O232" s="144"/>
      <c r="P232" s="144" t="s">
        <v>4635</v>
      </c>
      <c r="Q232" s="152" t="s">
        <v>4575</v>
      </c>
      <c r="R232" s="276" t="s">
        <v>5308</v>
      </c>
    </row>
    <row r="233" spans="1:18" ht="16.5" x14ac:dyDescent="0.15">
      <c r="A233" s="158" t="s">
        <v>5309</v>
      </c>
      <c r="B233" s="143" t="s">
        <v>4635</v>
      </c>
      <c r="C233" s="143" t="s">
        <v>4723</v>
      </c>
      <c r="D233" s="149"/>
      <c r="E233" s="2655" cm="1" t="n">
        <f t="array" ref="E233">INDEX('6층_부하량'!D3:D3000,MATCH(1,("6-DaHall 1-PDU-02"='6층_부하량'!A3:A3000)*(3='6층_부하량'!B3:B3000),0))</f>
        <v>0.0</v>
      </c>
      <c r="F233" s="149"/>
      <c r="G233" s="149"/>
      <c r="H233" s="143" t="s">
        <v>4597</v>
      </c>
      <c r="I233" s="1465" t="s">
        <v>4638</v>
      </c>
      <c r="J233" s="294" t="s">
        <v>4583</v>
      </c>
      <c r="K233" s="143" t="s">
        <v>4597</v>
      </c>
      <c r="L233" s="149"/>
      <c r="M233" s="2655" cm="1" t="n">
        <f t="array" ref="M233">INDEX('6층_부하량'!D3:D3000,MATCH(1,("6-DaHall 1-PDU-02"='6층_부하량'!A3:A3000)*(4='6층_부하량'!B3:B3000),0))</f>
        <v>0.0</v>
      </c>
      <c r="N233" s="149"/>
      <c r="O233" s="149"/>
      <c r="P233" s="149" t="s">
        <v>4635</v>
      </c>
      <c r="Q233" s="164" t="s">
        <v>4575</v>
      </c>
      <c r="R233" s="264" t="s">
        <v>5310</v>
      </c>
    </row>
    <row r="234" spans="1:18" ht="16.5" x14ac:dyDescent="0.15">
      <c r="A234" s="148" t="s">
        <v>5311</v>
      </c>
      <c r="B234" s="143" t="s">
        <v>4635</v>
      </c>
      <c r="C234" s="143" t="s">
        <v>4723</v>
      </c>
      <c r="D234" s="157"/>
      <c r="E234" s="157"/>
      <c r="F234" s="2656" cm="1" t="n">
        <f t="array" ref="F234">INDEX('6층_부하량'!E3:E3000,MATCH(1,("6-DaHall 1-PDU-02"='6층_부하량'!A3:A3000)*(5='6층_부하량'!B3:B3000),0))</f>
        <v>0.0</v>
      </c>
      <c r="G234" s="157"/>
      <c r="H234" s="143" t="s">
        <v>4597</v>
      </c>
      <c r="I234" s="1465" t="s">
        <v>4641</v>
      </c>
      <c r="J234" s="294" t="s">
        <v>4588</v>
      </c>
      <c r="K234" s="143" t="s">
        <v>4597</v>
      </c>
      <c r="L234" s="157"/>
      <c r="M234" s="157"/>
      <c r="N234" s="2656" cm="1" t="n">
        <f t="array" ref="N234">INDEX('6층_부하량'!E3:E3000,MATCH(1,("6-DaHall 1-PDU-02"='6층_부하량'!A3:A3000)*(6='6층_부하량'!B3:B3000),0))</f>
        <v>0.0</v>
      </c>
      <c r="O234" s="157"/>
      <c r="P234" s="149" t="s">
        <v>4635</v>
      </c>
      <c r="Q234" s="164" t="s">
        <v>4575</v>
      </c>
      <c r="R234" s="342" t="s">
        <v>5312</v>
      </c>
    </row>
    <row r="235" spans="1:18" ht="16.5" x14ac:dyDescent="0.15">
      <c r="A235" s="1112" t="s">
        <v>5313</v>
      </c>
      <c r="B235" s="143" t="s">
        <v>4635</v>
      </c>
      <c r="C235" s="1174" t="s">
        <v>4575</v>
      </c>
      <c r="D235" s="2656" cm="1" t="n">
        <f t="array" ref="D235">INDEX('6층_부하량'!C3:C3000,MATCH(1,("6-DaHall 1-PDU-02"='6층_부하량'!A3:A3000)*(7='6층_부하량'!B3:B3000),0))</f>
        <v>0.0</v>
      </c>
      <c r="E235" s="157"/>
      <c r="F235" s="157"/>
      <c r="G235" s="157"/>
      <c r="H235" s="143" t="s">
        <v>4597</v>
      </c>
      <c r="I235" s="293" t="s">
        <v>4645</v>
      </c>
      <c r="J235" s="294" t="s">
        <v>4593</v>
      </c>
      <c r="K235" s="143" t="s">
        <v>4597</v>
      </c>
      <c r="L235" s="2656" cm="1" t="n">
        <f t="array" ref="L235">INDEX('6층_부하량'!C3:C3000,MATCH(1,("6-DaHall 1-PDU-02"='6층_부하량'!A3:A3000)*(8='6층_부하량'!B3:B3000),0))</f>
        <v>0.0</v>
      </c>
      <c r="M235" s="157"/>
      <c r="N235" s="157"/>
      <c r="O235" s="157"/>
      <c r="P235" s="149" t="s">
        <v>4635</v>
      </c>
      <c r="Q235" s="164" t="s">
        <v>4575</v>
      </c>
      <c r="R235" s="342" t="s">
        <v>5314</v>
      </c>
    </row>
    <row r="236" spans="1:18" ht="16.5" x14ac:dyDescent="0.15">
      <c r="A236" s="1113" t="s">
        <v>5315</v>
      </c>
      <c r="B236" s="143" t="s">
        <v>4635</v>
      </c>
      <c r="C236" s="1174" t="s">
        <v>4575</v>
      </c>
      <c r="D236" s="157"/>
      <c r="E236" s="2656" cm="1" t="n">
        <f t="array" ref="E236">INDEX('6층_부하량'!D3:D3000,MATCH(1,("6-DaHall 1-PDU-02"='6층_부하량'!A3:A3000)*(9='6층_부하량'!B3:B3000),0))</f>
        <v>0.0</v>
      </c>
      <c r="F236" s="157"/>
      <c r="G236" s="157"/>
      <c r="H236" s="143" t="s">
        <v>4597</v>
      </c>
      <c r="I236" s="293" t="s">
        <v>4648</v>
      </c>
      <c r="J236" s="294" t="s">
        <v>4596</v>
      </c>
      <c r="K236" s="143" t="s">
        <v>4597</v>
      </c>
      <c r="L236" s="157"/>
      <c r="M236" s="2656" cm="1" t="n">
        <f t="array" ref="M236">INDEX('6층_부하량'!D3:D3000,MATCH(1,("6-DaHall 1-PDU-02"='6층_부하량'!A3:A3000)*(10='6층_부하량'!B3:B3000),0))</f>
        <v>0.0</v>
      </c>
      <c r="N236" s="157"/>
      <c r="O236" s="157"/>
      <c r="P236" s="149" t="s">
        <v>4635</v>
      </c>
      <c r="Q236" s="164" t="s">
        <v>4575</v>
      </c>
      <c r="R236" s="342" t="s">
        <v>5316</v>
      </c>
    </row>
    <row r="237" spans="1:18" ht="16.5" x14ac:dyDescent="0.15">
      <c r="A237" s="1112" t="s">
        <v>5317</v>
      </c>
      <c r="B237" s="143" t="s">
        <v>4635</v>
      </c>
      <c r="C237" s="1174" t="s">
        <v>4575</v>
      </c>
      <c r="D237" s="157"/>
      <c r="E237" s="157"/>
      <c r="F237" s="2656" cm="1" t="n">
        <f t="array" ref="F237">INDEX('6층_부하량'!E3:E3000,MATCH(1,("6-DaHall 1-PDU-02"='6층_부하량'!A3:A3000)*(11='6층_부하량'!B3:B3000),0))</f>
        <v>0.0</v>
      </c>
      <c r="G237" s="157"/>
      <c r="H237" s="143" t="s">
        <v>4597</v>
      </c>
      <c r="I237" s="293" t="s">
        <v>4653</v>
      </c>
      <c r="J237" s="294" t="s">
        <v>4599</v>
      </c>
      <c r="K237" s="143" t="s">
        <v>4597</v>
      </c>
      <c r="L237" s="157"/>
      <c r="M237" s="157"/>
      <c r="N237" s="2656" cm="1" t="n">
        <f t="array" ref="N237">INDEX('6층_부하량'!E3:E3000,MATCH(1,("6-DaHall 1-PDU-02"='6층_부하량'!A3:A3000)*(12='6층_부하량'!B3:B3000),0))</f>
        <v>0.0</v>
      </c>
      <c r="O237" s="157"/>
      <c r="P237" s="149" t="s">
        <v>4635</v>
      </c>
      <c r="Q237" s="164" t="s">
        <v>4575</v>
      </c>
      <c r="R237" s="342" t="s">
        <v>5318</v>
      </c>
    </row>
    <row r="238" spans="1:18" ht="16.5" x14ac:dyDescent="0.15">
      <c r="A238" s="1113" t="s">
        <v>5319</v>
      </c>
      <c r="B238" s="143" t="s">
        <v>4635</v>
      </c>
      <c r="C238" s="1174" t="s">
        <v>4575</v>
      </c>
      <c r="D238" s="2656" cm="1" t="n">
        <f t="array" ref="D238">INDEX('6층_부하량'!C3:C3000,MATCH(1,("6-DaHall 1-PDU-02"='6층_부하량'!A3:A3000)*(13='6층_부하량'!B3:B3000),0))</f>
        <v>0.0</v>
      </c>
      <c r="E238" s="157"/>
      <c r="F238" s="157"/>
      <c r="G238" s="157"/>
      <c r="H238" s="143" t="s">
        <v>4597</v>
      </c>
      <c r="I238" s="293" t="s">
        <v>4657</v>
      </c>
      <c r="J238" s="294" t="s">
        <v>4601</v>
      </c>
      <c r="K238" s="143" t="s">
        <v>4597</v>
      </c>
      <c r="L238" s="2656" cm="1" t="n">
        <f t="array" ref="L238">INDEX('6층_부하량'!C3:C3000,MATCH(1,("6-DaHall 1-PDU-02"='6층_부하량'!A3:A3000)*(14='6층_부하량'!B3:B3000),0))</f>
        <v>1.3599999999999999</v>
      </c>
      <c r="M238" s="157"/>
      <c r="N238" s="157"/>
      <c r="O238" s="157"/>
      <c r="P238" s="157" t="s">
        <v>4635</v>
      </c>
      <c r="Q238" s="164" t="s">
        <v>4575</v>
      </c>
      <c r="R238" s="342" t="s">
        <v>5320</v>
      </c>
    </row>
    <row r="239" spans="1:18" ht="16.5" x14ac:dyDescent="0.15">
      <c r="A239" s="1112" t="s">
        <v>5321</v>
      </c>
      <c r="B239" s="143" t="s">
        <v>4635</v>
      </c>
      <c r="C239" s="1174" t="s">
        <v>4575</v>
      </c>
      <c r="D239" s="157"/>
      <c r="E239" s="2656" cm="1" t="n">
        <f t="array" ref="E239">INDEX('6층_부하량'!D3:D3000,MATCH(1,("6-DaHall 1-PDU-02"='6층_부하량'!A3:A3000)*(15='6층_부하량'!B3:B3000),0))</f>
        <v>0.0</v>
      </c>
      <c r="F239" s="157"/>
      <c r="G239" s="157"/>
      <c r="H239" s="143" t="s">
        <v>4597</v>
      </c>
      <c r="I239" s="293" t="s">
        <v>4661</v>
      </c>
      <c r="J239" s="294" t="s">
        <v>4603</v>
      </c>
      <c r="K239" s="143" t="s">
        <v>4597</v>
      </c>
      <c r="L239" s="157"/>
      <c r="M239" s="2656" cm="1" t="n">
        <f t="array" ref="M239">INDEX('6층_부하량'!D3:D3000,MATCH(1,("6-DaHall 1-PDU-02"='6층_부하량'!A3:A3000)*(16='6층_부하량'!B3:B3000),0))</f>
        <v>2.04</v>
      </c>
      <c r="N239" s="157"/>
      <c r="O239" s="157"/>
      <c r="P239" s="157" t="s">
        <v>4635</v>
      </c>
      <c r="Q239" s="164" t="s">
        <v>4575</v>
      </c>
      <c r="R239" s="342" t="s">
        <v>5322</v>
      </c>
    </row>
    <row r="240" spans="1:18" ht="17.25" thickBot="1" x14ac:dyDescent="0.2">
      <c r="A240" s="1114" t="s">
        <v>5323</v>
      </c>
      <c r="B240" s="159" t="s">
        <v>4635</v>
      </c>
      <c r="C240" s="1175" t="s">
        <v>4575</v>
      </c>
      <c r="D240" s="177"/>
      <c r="E240" s="177"/>
      <c r="F240" s="2661" cm="1" t="n">
        <f t="array" ref="F240">INDEX('6층_부하량'!E3:E3000,MATCH(1,("6-DaHall 1-PDU-02"='6층_부하량'!A3:A3000)*(17='6층_부하량'!B3:B3000),0))</f>
        <v>0.0</v>
      </c>
      <c r="G240" s="160"/>
      <c r="H240" s="159" t="s">
        <v>4597</v>
      </c>
      <c r="I240" s="295" t="s">
        <v>4665</v>
      </c>
      <c r="J240" s="1477" t="s">
        <v>4605</v>
      </c>
      <c r="K240" s="159" t="s">
        <v>4597</v>
      </c>
      <c r="L240" s="177"/>
      <c r="M240" s="177"/>
      <c r="N240" s="2661" cm="1" t="n">
        <f t="array" ref="N240">INDEX('6층_부하량'!E3:E3000,MATCH(1,("6-DaHall 1-PDU-02"='6층_부하량'!A3:A3000)*(18='6층_부하량'!B3:B3000),0))</f>
        <v>0.0</v>
      </c>
      <c r="O240" s="160"/>
      <c r="P240" s="160" t="s">
        <v>565</v>
      </c>
      <c r="Q240" s="176" t="s">
        <v>5324</v>
      </c>
      <c r="R240" s="153" t="s">
        <v>5325</v>
      </c>
    </row>
    <row r="241" spans="1:19" ht="17.25" thickTop="1" x14ac:dyDescent="0.15">
      <c r="A241" s="141" t="s">
        <v>5326</v>
      </c>
      <c r="B241" s="142" t="s">
        <v>4635</v>
      </c>
      <c r="C241" s="142" t="s">
        <v>4723</v>
      </c>
      <c r="D241" s="2658" cm="1" t="n">
        <f t="array" ref="D241">INDEX('6층_부하량'!C3:C3000,MATCH(1,("6-DaHall 1-PDU-02"='6층_부하량'!A3:A3000)*(19='6층_부하량'!B3:B3000),0))</f>
        <v>0.0</v>
      </c>
      <c r="E241" s="179"/>
      <c r="F241" s="179"/>
      <c r="G241" s="163"/>
      <c r="H241" s="142" t="s">
        <v>4597</v>
      </c>
      <c r="I241" s="1470" t="s">
        <v>4670</v>
      </c>
      <c r="J241" s="298" t="s">
        <v>4609</v>
      </c>
      <c r="K241" s="142" t="s">
        <v>4597</v>
      </c>
      <c r="L241" s="2658" cm="1" t="n">
        <f t="array" ref="L241">INDEX('6층_부하량'!C3:C3000,MATCH(1,("6-DaHall 1-PDU-02"='6층_부하량'!A3:A3000)*(20='6층_부하량'!B3:B3000),0))</f>
        <v>0.0</v>
      </c>
      <c r="M241" s="179"/>
      <c r="N241" s="179"/>
      <c r="O241" s="163"/>
      <c r="P241" s="163" t="s">
        <v>4635</v>
      </c>
      <c r="Q241" s="152" t="s">
        <v>4575</v>
      </c>
      <c r="R241" s="618" t="s">
        <v>5327</v>
      </c>
    </row>
    <row r="242" spans="1:19" ht="16.5" x14ac:dyDescent="0.15">
      <c r="A242" s="174" t="s">
        <v>5328</v>
      </c>
      <c r="B242" s="156" t="s">
        <v>4635</v>
      </c>
      <c r="C242" s="156" t="s">
        <v>4723</v>
      </c>
      <c r="D242" s="157"/>
      <c r="E242" s="2656" cm="1" t="n">
        <f t="array" ref="E242">INDEX('6층_부하량'!D3:D3000,MATCH(1,("6-DaHall 1-PDU-02"='6층_부하량'!A3:A3000)*(21='6층_부하량'!B3:B3000),0))</f>
        <v>0.0</v>
      </c>
      <c r="F242" s="157"/>
      <c r="G242" s="179"/>
      <c r="H242" s="156" t="s">
        <v>4597</v>
      </c>
      <c r="I242" s="1471" t="s">
        <v>4674</v>
      </c>
      <c r="J242" s="294" t="s">
        <v>4613</v>
      </c>
      <c r="K242" s="156" t="s">
        <v>4597</v>
      </c>
      <c r="L242" s="157"/>
      <c r="M242" s="2656" cm="1" t="n">
        <f t="array" ref="M242">INDEX('6층_부하량'!D3:D3000,MATCH(1,("6-DaHall 1-PDU-02"='6층_부하량'!A3:A3000)*(22='6층_부하량'!B3:B3000),0))</f>
        <v>0.0</v>
      </c>
      <c r="N242" s="157"/>
      <c r="O242" s="179"/>
      <c r="P242" s="179" t="s">
        <v>4635</v>
      </c>
      <c r="Q242" s="189" t="s">
        <v>4575</v>
      </c>
      <c r="R242" s="342" t="s">
        <v>5329</v>
      </c>
    </row>
    <row r="243" spans="1:19" ht="16.5" x14ac:dyDescent="0.15">
      <c r="A243" s="148" t="s">
        <v>5330</v>
      </c>
      <c r="B243" s="143" t="s">
        <v>4635</v>
      </c>
      <c r="C243" s="143" t="s">
        <v>4723</v>
      </c>
      <c r="D243" s="157"/>
      <c r="E243" s="157"/>
      <c r="F243" s="2656" cm="1" t="n">
        <f t="array" ref="F243">INDEX('6층_부하량'!E3:E3000,MATCH(1,("6-DaHall 1-PDU-02"='6층_부하량'!A3:A3000)*(23='6층_부하량'!B3:B3000),0))</f>
        <v>0.0</v>
      </c>
      <c r="G243" s="157"/>
      <c r="H243" s="143" t="s">
        <v>4597</v>
      </c>
      <c r="I243" s="1471" t="s">
        <v>4678</v>
      </c>
      <c r="J243" s="294" t="s">
        <v>4680</v>
      </c>
      <c r="K243" s="143" t="s">
        <v>4597</v>
      </c>
      <c r="L243" s="157"/>
      <c r="M243" s="157"/>
      <c r="N243" s="2656" cm="1" t="n">
        <f t="array" ref="N243">INDEX('6층_부하량'!E3:E3000,MATCH(1,("6-DaHall 1-PDU-02"='6층_부하량'!A3:A3000)*(24='6층_부하량'!B3:B3000),0))</f>
        <v>0.0</v>
      </c>
      <c r="O243" s="157"/>
      <c r="P243" s="157" t="s">
        <v>4635</v>
      </c>
      <c r="Q243" s="164" t="s">
        <v>4575</v>
      </c>
      <c r="R243" s="342" t="s">
        <v>5331</v>
      </c>
    </row>
    <row r="244" spans="1:19" ht="16.5" x14ac:dyDescent="0.15">
      <c r="A244" s="148" t="s">
        <v>5332</v>
      </c>
      <c r="B244" s="143" t="s">
        <v>4635</v>
      </c>
      <c r="C244" s="164" t="s">
        <v>4575</v>
      </c>
      <c r="D244" s="2656" cm="1" t="n">
        <f t="array" ref="D244">INDEX('6층_부하량'!C3:C3000,MATCH(1,("6-DaHall 1-PDU-02"='6층_부하량'!A3:A3000)*(25='6층_부하량'!B3:B3000),0))</f>
        <v>0.0</v>
      </c>
      <c r="E244" s="157"/>
      <c r="F244" s="157"/>
      <c r="G244" s="157"/>
      <c r="H244" s="143" t="s">
        <v>4597</v>
      </c>
      <c r="I244" s="1471" t="s">
        <v>4683</v>
      </c>
      <c r="J244" s="294" t="s">
        <v>4685</v>
      </c>
      <c r="K244" s="143" t="s">
        <v>4597</v>
      </c>
      <c r="L244" s="2656" cm="1" t="n">
        <f t="array" ref="L244">INDEX('6층_부하량'!C3:C3000,MATCH(1,("6-DaHall 1-PDU-02"='6층_부하량'!A3:A3000)*(26='6층_부하량'!B3:B3000),0))</f>
        <v>0.0</v>
      </c>
      <c r="M244" s="157"/>
      <c r="N244" s="157"/>
      <c r="O244" s="157"/>
      <c r="P244" s="157" t="s">
        <v>4635</v>
      </c>
      <c r="Q244" s="164" t="s">
        <v>4575</v>
      </c>
      <c r="R244" s="342" t="s">
        <v>5333</v>
      </c>
    </row>
    <row r="245" spans="1:19" ht="16.5" x14ac:dyDescent="0.15">
      <c r="A245" s="607" t="s">
        <v>5334</v>
      </c>
      <c r="B245" s="143" t="s">
        <v>4635</v>
      </c>
      <c r="C245" s="164" t="s">
        <v>4575</v>
      </c>
      <c r="D245" s="157"/>
      <c r="E245" s="2656" cm="1" t="n">
        <f t="array" ref="E245">INDEX('6층_부하량'!D3:D3000,MATCH(1,("6-DaHall 1-PDU-02"='6층_부하량'!A3:A3000)*(27='6층_부하량'!B3:B3000),0))</f>
        <v>1.3599999999999999</v>
      </c>
      <c r="F245" s="157"/>
      <c r="G245" s="157"/>
      <c r="H245" s="143" t="s">
        <v>4597</v>
      </c>
      <c r="I245" s="299" t="s">
        <v>4688</v>
      </c>
      <c r="J245" s="294" t="s">
        <v>4689</v>
      </c>
      <c r="K245" s="143" t="s">
        <v>4597</v>
      </c>
      <c r="L245" s="157"/>
      <c r="M245" s="2656" cm="1" t="n">
        <f t="array" ref="M245">INDEX('6층_부하량'!D3:D3000,MATCH(1,("6-DaHall 1-PDU-02"='6층_부하량'!A3:A3000)*(28='6층_부하량'!B3:B3000),0))</f>
        <v>0.0</v>
      </c>
      <c r="N245" s="157"/>
      <c r="O245" s="157"/>
      <c r="P245" s="157" t="s">
        <v>4635</v>
      </c>
      <c r="Q245" s="164" t="s">
        <v>4575</v>
      </c>
      <c r="R245" s="342" t="s">
        <v>5335</v>
      </c>
    </row>
    <row r="246" spans="1:19" x14ac:dyDescent="0.15">
      <c r="A246" s="607" t="s">
        <v>5336</v>
      </c>
      <c r="B246" s="143" t="s">
        <v>4635</v>
      </c>
      <c r="C246" s="143" t="s">
        <v>4723</v>
      </c>
      <c r="D246" s="157"/>
      <c r="E246" s="157"/>
      <c r="F246" s="2656" cm="1" t="n">
        <f t="array" ref="F246">INDEX('6층_부하량'!E3:E3000,MATCH(1,("6-DaHall 1-PDU-02"='6층_부하량'!A3:A3000)*(29='6층_부하량'!B3:B3000),0))</f>
        <v>0.0</v>
      </c>
      <c r="G246" s="157"/>
      <c r="H246" s="143" t="s">
        <v>4597</v>
      </c>
      <c r="I246" s="299" t="s">
        <v>4691</v>
      </c>
      <c r="J246" s="294" t="s">
        <v>4692</v>
      </c>
      <c r="K246" s="143" t="s">
        <v>4597</v>
      </c>
      <c r="L246" s="157"/>
      <c r="M246" s="157"/>
      <c r="N246" s="2656" cm="1" t="n">
        <f t="array" ref="N246">INDEX('6층_부하량'!E3:E3000,MATCH(1,("6-DaHall 1-PDU-02"='6층_부하량'!A3:A3000)*(30='6층_부하량'!B3:B3000),0))</f>
        <v>0.0</v>
      </c>
      <c r="O246" s="157"/>
      <c r="P246" s="157" t="s">
        <v>4635</v>
      </c>
      <c r="Q246" s="143" t="s">
        <v>4723</v>
      </c>
      <c r="R246" s="264" t="s">
        <v>5304</v>
      </c>
      <c r="S246" t="s">
        <v>5337</v>
      </c>
    </row>
    <row r="247" spans="1:19" ht="16.5" x14ac:dyDescent="0.15">
      <c r="A247" s="607" t="s">
        <v>5338</v>
      </c>
      <c r="B247" s="143" t="s">
        <v>4635</v>
      </c>
      <c r="C247" s="164" t="s">
        <v>4575</v>
      </c>
      <c r="D247" s="2656" cm="1" t="n">
        <f t="array" ref="D247">INDEX('6층_부하량'!C3:C3000,MATCH(1,("6-DaHall 1-PDU-02"='6층_부하량'!A3:A3000)*(31='6층_부하량'!B3:B3000),0))</f>
        <v>1.29</v>
      </c>
      <c r="E247" s="157"/>
      <c r="F247" s="157"/>
      <c r="G247" s="157"/>
      <c r="H247" s="143" t="s">
        <v>4597</v>
      </c>
      <c r="I247" s="299" t="s">
        <v>4693</v>
      </c>
      <c r="J247" s="1463" t="s">
        <v>4694</v>
      </c>
      <c r="K247" s="143" t="s">
        <v>4597</v>
      </c>
      <c r="L247" s="2656" cm="1" t="n">
        <f t="array" ref="L247">INDEX('6층_부하량'!C3:C3000,MATCH(1,("6-DaHall 1-PDU-02"='6층_부하량'!A3:A3000)*(32='6층_부하량'!B3:B3000),0))</f>
        <v>0.0</v>
      </c>
      <c r="M247" s="157"/>
      <c r="N247" s="157"/>
      <c r="O247" s="157"/>
      <c r="P247" s="157" t="s">
        <v>4635</v>
      </c>
      <c r="Q247" s="143" t="s">
        <v>4723</v>
      </c>
      <c r="R247" s="153" t="s">
        <v>5339</v>
      </c>
    </row>
    <row r="248" spans="1:19" ht="16.5" x14ac:dyDescent="0.15">
      <c r="A248" s="607" t="s">
        <v>5340</v>
      </c>
      <c r="B248" s="143" t="s">
        <v>4635</v>
      </c>
      <c r="C248" s="164" t="s">
        <v>4575</v>
      </c>
      <c r="D248" s="157"/>
      <c r="E248" s="2656" cm="1" t="n">
        <f t="array" ref="E248">INDEX('6층_부하량'!D3:D3000,MATCH(1,("6-DaHall 1-PDU-02"='6층_부하량'!A3:A3000)*(33='6층_부하량'!B3:B3000),0))</f>
        <v>1.67</v>
      </c>
      <c r="F248" s="157"/>
      <c r="G248" s="157"/>
      <c r="H248" s="143" t="s">
        <v>4597</v>
      </c>
      <c r="I248" s="299" t="s">
        <v>4697</v>
      </c>
      <c r="J248" s="294" t="s">
        <v>4698</v>
      </c>
      <c r="K248" s="143" t="s">
        <v>4597</v>
      </c>
      <c r="L248" s="157"/>
      <c r="M248" s="2656" cm="1" t="n">
        <f t="array" ref="M248">INDEX('6층_부하량'!D3:D3000,MATCH(1,("6-DaHall 1-PDU-02"='6층_부하량'!A3:A3000)*(34='6층_부하량'!B3:B3000),0))</f>
        <v>0.0</v>
      </c>
      <c r="N248" s="157"/>
      <c r="O248" s="157"/>
      <c r="P248" s="157" t="s">
        <v>4635</v>
      </c>
      <c r="Q248" s="164" t="s">
        <v>4575</v>
      </c>
      <c r="R248" s="475" t="s">
        <v>5341</v>
      </c>
    </row>
    <row r="249" spans="1:19" ht="16.5" x14ac:dyDescent="0.15">
      <c r="A249" s="607" t="s">
        <v>5342</v>
      </c>
      <c r="B249" s="143" t="s">
        <v>4635</v>
      </c>
      <c r="C249" s="164" t="s">
        <v>4575</v>
      </c>
      <c r="D249" s="157"/>
      <c r="E249" s="157"/>
      <c r="F249" s="2656" cm="1" t="n">
        <f t="array" ref="F249">INDEX('6층_부하량'!E3:E3000,MATCH(1,("6-DaHall 1-PDU-02"='6층_부하량'!A3:A3000)*(35='6층_부하량'!B3:B3000),0))</f>
        <v>0.0</v>
      </c>
      <c r="G249" s="157"/>
      <c r="H249" s="143" t="s">
        <v>4597</v>
      </c>
      <c r="I249" s="293" t="s">
        <v>4701</v>
      </c>
      <c r="J249" s="294" t="s">
        <v>4703</v>
      </c>
      <c r="K249" s="143" t="s">
        <v>4597</v>
      </c>
      <c r="L249" s="157"/>
      <c r="M249" s="157"/>
      <c r="N249" s="2656" cm="1" t="n">
        <f t="array" ref="N249">INDEX('6층_부하량'!E3:E3000,MATCH(1,("6-DaHall 1-PDU-02"='6층_부하량'!A3:A3000)*(36='6층_부하량'!B3:B3000),0))</f>
        <v>0.0</v>
      </c>
      <c r="O249" s="157"/>
      <c r="P249" s="149" t="s">
        <v>4635</v>
      </c>
      <c r="Q249" s="164" t="s">
        <v>4575</v>
      </c>
      <c r="R249" s="2114" t="s">
        <v>5343</v>
      </c>
    </row>
    <row r="250" spans="1:19" ht="27" x14ac:dyDescent="0.15">
      <c r="A250" s="607" t="s">
        <v>5344</v>
      </c>
      <c r="B250" s="143" t="s">
        <v>4635</v>
      </c>
      <c r="C250" s="164" t="s">
        <v>4575</v>
      </c>
      <c r="D250" s="2656" cm="1" t="n">
        <f t="array" ref="D250">INDEX('6층_부하량'!C3:C3000,MATCH(1,("6-DaHall 1-PDU-02"='6층_부하량'!A3:A3000)*(37='6층_부하량'!B3:B3000),0))</f>
        <v>0.0</v>
      </c>
      <c r="E250" s="157"/>
      <c r="F250" s="157"/>
      <c r="G250" s="157"/>
      <c r="H250" s="143" t="s">
        <v>4597</v>
      </c>
      <c r="I250" s="293" t="s">
        <v>4706</v>
      </c>
      <c r="J250" s="294" t="s">
        <v>4707</v>
      </c>
      <c r="K250" s="143" t="s">
        <v>4597</v>
      </c>
      <c r="L250" s="2656" cm="1" t="n">
        <f t="array" ref="L250">INDEX('6층_부하량'!C3:C3000,MATCH(1,("6-DaHall 1-PDU-02"='6층_부하량'!A3:A3000)*(38='6층_부하량'!B3:B3000),0))</f>
        <v>0.0</v>
      </c>
      <c r="M250" s="157"/>
      <c r="N250" s="157"/>
      <c r="O250" s="157"/>
      <c r="P250" s="149" t="s">
        <v>4635</v>
      </c>
      <c r="Q250" s="164" t="s">
        <v>4575</v>
      </c>
      <c r="R250" s="345" t="s">
        <v>5345</v>
      </c>
    </row>
    <row r="251" spans="1:19" ht="27" x14ac:dyDescent="0.15">
      <c r="A251" s="607" t="s">
        <v>5346</v>
      </c>
      <c r="B251" s="143" t="s">
        <v>4635</v>
      </c>
      <c r="C251" s="164" t="s">
        <v>4575</v>
      </c>
      <c r="D251" s="157"/>
      <c r="E251" s="2656" cm="1" t="n">
        <f t="array" ref="E251">INDEX('6층_부하량'!D3:D3000,MATCH(1,("6-DaHall 1-PDU-02"='6층_부하량'!A3:A3000)*(39='6층_부하량'!B3:B3000),0))</f>
        <v>0.0</v>
      </c>
      <c r="F251" s="157"/>
      <c r="G251" s="157"/>
      <c r="H251" s="143" t="s">
        <v>4597</v>
      </c>
      <c r="I251" s="299" t="s">
        <v>4710</v>
      </c>
      <c r="J251" s="1463" t="s">
        <v>4711</v>
      </c>
      <c r="K251" s="143" t="s">
        <v>4597</v>
      </c>
      <c r="L251" s="157"/>
      <c r="M251" s="2656" cm="1" t="n">
        <f t="array" ref="M251">INDEX('6층_부하량'!D3:D3000,MATCH(1,("6-DaHall 1-PDU-02"='6층_부하량'!A3:A3000)*(40='6층_부하량'!B3:B3000),0))</f>
        <v>0.0</v>
      </c>
      <c r="N251" s="157"/>
      <c r="O251" s="157"/>
      <c r="P251" s="149" t="s">
        <v>4635</v>
      </c>
      <c r="Q251" s="164" t="s">
        <v>4575</v>
      </c>
      <c r="R251" s="345" t="s">
        <v>5347</v>
      </c>
    </row>
    <row r="252" spans="1:19" ht="16.5" x14ac:dyDescent="0.15">
      <c r="A252" s="274" t="s">
        <v>5298</v>
      </c>
      <c r="B252" s="143" t="s">
        <v>4635</v>
      </c>
      <c r="C252" s="164" t="s">
        <v>4575</v>
      </c>
      <c r="D252" s="157"/>
      <c r="E252" s="157"/>
      <c r="F252" s="2656" cm="1" t="n">
        <f t="array" ref="F252">INDEX('6층_부하량'!E3:E3000,MATCH(1,("6-DaHall 1-PDU-02"='6층_부하량'!A3:A3000)*(41='6층_부하량'!B3:B3000),0))</f>
        <v>0.0</v>
      </c>
      <c r="G252" s="157"/>
      <c r="H252" s="143" t="s">
        <v>4597</v>
      </c>
      <c r="I252" s="293" t="s">
        <v>5055</v>
      </c>
      <c r="J252" s="1463" t="s">
        <v>4843</v>
      </c>
      <c r="K252" s="143" t="s">
        <v>4597</v>
      </c>
      <c r="L252" s="157"/>
      <c r="M252" s="157"/>
      <c r="N252" s="2656" cm="1" t="n">
        <f t="array" ref="N252">INDEX('6층_부하량'!E3:E3000,MATCH(1,("6-DaHall 1-PDU-02"='6층_부하량'!A3:A3000)*(42='6층_부하량'!B3:B3000),0))</f>
        <v>0.0</v>
      </c>
      <c r="O252" s="157"/>
      <c r="P252" s="149" t="s">
        <v>4635</v>
      </c>
      <c r="Q252" s="164" t="s">
        <v>4575</v>
      </c>
      <c r="R252" s="326" t="s">
        <v>379</v>
      </c>
    </row>
    <row r="253" spans="1:19" ht="16.5" x14ac:dyDescent="0.15">
      <c r="A253" s="607" t="s">
        <v>5348</v>
      </c>
      <c r="B253" s="143" t="s">
        <v>4635</v>
      </c>
      <c r="C253" s="164" t="s">
        <v>4575</v>
      </c>
      <c r="D253" s="2656" cm="1" t="n">
        <f t="array" ref="D253">INDEX('6층_부하량'!C3:C3000,MATCH(1,("6-DaHall 1-PDU-02"='6층_부하량'!A3:A3000)*(43='6층_부하량'!B3:B3000),0))</f>
        <v>1.41</v>
      </c>
      <c r="E253" s="157"/>
      <c r="F253" s="157"/>
      <c r="G253" s="157"/>
      <c r="H253" s="143" t="s">
        <v>4597</v>
      </c>
      <c r="I253" s="293" t="s">
        <v>4845</v>
      </c>
      <c r="J253" s="1463" t="s">
        <v>4846</v>
      </c>
      <c r="K253" s="143" t="s">
        <v>4597</v>
      </c>
      <c r="L253" s="2656" cm="1" t="n">
        <f t="array" ref="L253">INDEX('6층_부하량'!C3:C3000,MATCH(1,("6-DaHall 1-PDU-02"='6층_부하량'!A3:A3000)*(44='6층_부하량'!B3:B3000),0))</f>
        <v>0.0</v>
      </c>
      <c r="M253" s="157"/>
      <c r="N253" s="157"/>
      <c r="O253" s="157"/>
      <c r="P253" s="149" t="s">
        <v>4635</v>
      </c>
      <c r="Q253" s="143" t="s">
        <v>4723</v>
      </c>
      <c r="R253" s="2114" t="s">
        <v>2315</v>
      </c>
      <c r="S253" s="2147" t="s">
        <v>5349</v>
      </c>
    </row>
    <row r="254" spans="1:19" ht="16.5" x14ac:dyDescent="0.15">
      <c r="A254" s="607" t="s">
        <v>5350</v>
      </c>
      <c r="B254" s="143" t="s">
        <v>4635</v>
      </c>
      <c r="C254" s="164" t="s">
        <v>4575</v>
      </c>
      <c r="D254" s="157"/>
      <c r="E254" s="2656" cm="1" t="n">
        <f t="array" ref="E254">INDEX('6층_부하량'!D3:D3000,MATCH(1,("6-DaHall 1-PDU-02"='6층_부하량'!A3:A3000)*(45='6층_부하량'!B3:B3000),0))</f>
        <v>0.0</v>
      </c>
      <c r="F254" s="157"/>
      <c r="G254" s="157"/>
      <c r="H254" s="143" t="s">
        <v>4597</v>
      </c>
      <c r="I254" s="1465" t="s">
        <v>4847</v>
      </c>
      <c r="J254" s="1463" t="s">
        <v>4848</v>
      </c>
      <c r="K254" s="143" t="s">
        <v>4597</v>
      </c>
      <c r="L254" s="157"/>
      <c r="M254" s="2656" cm="1" t="n">
        <f t="array" ref="M254">INDEX('6층_부하량'!D3:D3000,MATCH(1,("6-DaHall 1-PDU-02"='6층_부하량'!A3:A3000)*(46='6층_부하량'!B3:B3000),0))</f>
        <v>0.0</v>
      </c>
      <c r="N254" s="157"/>
      <c r="O254" s="157"/>
      <c r="P254" s="157" t="s">
        <v>565</v>
      </c>
      <c r="Q254" s="143" t="s">
        <v>4723</v>
      </c>
      <c r="R254" s="182" t="s">
        <v>5351</v>
      </c>
    </row>
    <row r="255" spans="1:19" ht="16.5" x14ac:dyDescent="0.15">
      <c r="A255" s="607" t="s">
        <v>5352</v>
      </c>
      <c r="B255" s="143" t="s">
        <v>4635</v>
      </c>
      <c r="C255" s="164" t="s">
        <v>4575</v>
      </c>
      <c r="D255" s="157"/>
      <c r="E255" s="157"/>
      <c r="F255" s="2656" cm="1" t="n">
        <f t="array" ref="F255">INDEX('6층_부하량'!E3:E3000,MATCH(1,("6-DaHall 1-PDU-02"='6층_부하량'!A3:A3000)*(47='6층_부하량'!B3:B3000),0))</f>
        <v>0.0</v>
      </c>
      <c r="G255" s="157"/>
      <c r="H255" s="143" t="s">
        <v>4597</v>
      </c>
      <c r="I255" s="1471" t="s">
        <v>4849</v>
      </c>
      <c r="J255" s="294" t="s">
        <v>4850</v>
      </c>
      <c r="K255" s="143" t="s">
        <v>4597</v>
      </c>
      <c r="L255" s="157"/>
      <c r="M255" s="157"/>
      <c r="N255" s="2656" cm="1" t="n">
        <f t="array" ref="N255">INDEX('6층_부하량'!E3:E3000,MATCH(1,("6-DaHall 1-PDU-02"='6층_부하량'!A3:A3000)*(48='6층_부하량'!B3:B3000),0))</f>
        <v>0.0</v>
      </c>
      <c r="O255" s="157"/>
      <c r="P255" s="157" t="s">
        <v>4635</v>
      </c>
      <c r="Q255" s="164" t="s">
        <v>4575</v>
      </c>
      <c r="R255" s="342" t="s">
        <v>5353</v>
      </c>
    </row>
    <row r="256" spans="1:19" ht="14.25" thickBot="1" x14ac:dyDescent="0.2">
      <c r="A256" s="165"/>
      <c r="B256" s="166" t="s">
        <v>565</v>
      </c>
      <c r="C256" s="166" t="s">
        <v>4723</v>
      </c>
      <c r="D256" s="2659" cm="1" t="n">
        <f t="array" ref="D256">INDEX('6층_부하량'!C3:C3000,MATCH(1,("6-DaHall 1-PDU-02"='6층_부하량'!A3:A3000)*(49='6층_부하량'!B3:B3000),0))</f>
        <v>0.0</v>
      </c>
      <c r="E256" s="167"/>
      <c r="F256" s="167"/>
      <c r="G256" s="167"/>
      <c r="H256" s="166" t="s">
        <v>4597</v>
      </c>
      <c r="I256" s="1472" t="s">
        <v>4851</v>
      </c>
      <c r="J256" s="1473" t="s">
        <v>4852</v>
      </c>
      <c r="K256" s="166" t="s">
        <v>4597</v>
      </c>
      <c r="L256" s="2659" cm="1" t="n">
        <f t="array" ref="L256">INDEX('6층_부하량'!C3:C3000,MATCH(1,("6-DaHall 1-PDU-02"='6층_부하량'!A3:A3000)*(50='6층_부하량'!B3:B3000),0))</f>
        <v>0.0</v>
      </c>
      <c r="M256" s="167"/>
      <c r="N256" s="167"/>
      <c r="O256" s="167"/>
      <c r="P256" s="167" t="s">
        <v>565</v>
      </c>
      <c r="Q256" s="166" t="s">
        <v>4723</v>
      </c>
      <c r="R256" s="170"/>
    </row>
    <row r="257" spans="1:18" ht="14.25" thickTop="1" x14ac:dyDescent="0.15">
      <c r="A257" s="171"/>
      <c r="B257" s="133"/>
      <c r="C257" s="133"/>
      <c r="D257" s="131"/>
      <c r="E257" s="131"/>
      <c r="F257" s="131"/>
      <c r="G257" s="131"/>
      <c r="H257" s="133"/>
      <c r="I257" s="172"/>
      <c r="J257" s="172"/>
      <c r="K257" s="133" t="s">
        <v>4713</v>
      </c>
      <c r="L257" s="131" t="n">
        <f>SUM(D232:D256,L232:L256)</f>
        <v>4.0600000000000005</v>
      </c>
      <c r="M257" s="131" t="n">
        <f>SUM(E232:E256,M232:M256)</f>
        <v>5.07</v>
      </c>
      <c r="N257" s="131" t="n">
        <f>SUM(F232:F256,N232:N256)</f>
        <v>0.0</v>
      </c>
      <c r="O257" s="131"/>
      <c r="P257" s="131"/>
      <c r="Q257" s="133"/>
      <c r="R257" s="131"/>
    </row>
    <row r="258" spans="1:18" ht="14.25" thickBot="1" x14ac:dyDescent="0.2">
      <c r="A258" s="128"/>
      <c r="B258" s="128"/>
      <c r="C258" s="128"/>
      <c r="D258" s="128"/>
      <c r="E258" s="128"/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</row>
    <row r="259" spans="1:18" ht="15" thickTop="1" thickBot="1" x14ac:dyDescent="0.2">
      <c r="A259" s="173" t="s">
        <v>7005</v>
      </c>
      <c r="B259" s="128"/>
      <c r="C259" s="3660" t="s">
        <v>5354</v>
      </c>
      <c r="D259" s="3660"/>
      <c r="E259" s="3660"/>
      <c r="F259" s="173"/>
      <c r="G259" s="173"/>
      <c r="H259" s="133"/>
      <c r="I259" s="3665" t="s">
        <v>5063</v>
      </c>
      <c r="J259" s="3666"/>
      <c r="K259" s="133"/>
      <c r="L259" s="173"/>
      <c r="M259" s="173"/>
      <c r="N259" s="173"/>
      <c r="O259" s="173"/>
      <c r="P259" s="173"/>
      <c r="Q259" s="173"/>
      <c r="R259" s="128"/>
    </row>
    <row r="260" spans="1:18" ht="15" thickTop="1" thickBot="1" x14ac:dyDescent="0.2">
      <c r="A260" s="127"/>
      <c r="B260" s="128"/>
      <c r="C260" s="128"/>
      <c r="D260" s="129"/>
      <c r="E260" s="129"/>
      <c r="F260" s="130"/>
      <c r="G260" s="129"/>
      <c r="H260" s="131"/>
      <c r="I260" s="128"/>
      <c r="J260" s="132"/>
      <c r="K260" s="1371" t="s">
        <v>4562</v>
      </c>
      <c r="L260" s="1368">
        <v>20.7</v>
      </c>
      <c r="M260" s="1369">
        <v>21.3</v>
      </c>
      <c r="N260" s="1370">
        <v>10.5</v>
      </c>
      <c r="O260" s="508" t="s">
        <v>4563</v>
      </c>
      <c r="P260" s="133"/>
      <c r="Q260" s="128"/>
      <c r="R260" s="528"/>
    </row>
    <row r="261" spans="1:18" ht="15" thickTop="1" thickBot="1" x14ac:dyDescent="0.2">
      <c r="A261" s="134" t="s">
        <v>4564</v>
      </c>
      <c r="B261" s="135" t="s">
        <v>5031</v>
      </c>
      <c r="C261" s="136" t="s">
        <v>4566</v>
      </c>
      <c r="D261" s="135" t="s">
        <v>5032</v>
      </c>
      <c r="E261" s="135" t="s">
        <v>5033</v>
      </c>
      <c r="F261" s="135" t="s">
        <v>5034</v>
      </c>
      <c r="G261" s="135" t="s">
        <v>5035</v>
      </c>
      <c r="H261" s="135" t="s">
        <v>5036</v>
      </c>
      <c r="I261" s="138" t="s">
        <v>5037</v>
      </c>
      <c r="J261" s="139" t="s">
        <v>5037</v>
      </c>
      <c r="K261" s="135" t="s">
        <v>5036</v>
      </c>
      <c r="L261" s="135" t="s">
        <v>5032</v>
      </c>
      <c r="M261" s="135" t="s">
        <v>5033</v>
      </c>
      <c r="N261" s="135" t="s">
        <v>5034</v>
      </c>
      <c r="O261" s="135" t="s">
        <v>5035</v>
      </c>
      <c r="P261" s="135" t="s">
        <v>5031</v>
      </c>
      <c r="Q261" s="136" t="s">
        <v>4566</v>
      </c>
      <c r="R261" s="140" t="s">
        <v>4564</v>
      </c>
    </row>
    <row r="262" spans="1:18" ht="17.25" thickTop="1" x14ac:dyDescent="0.15">
      <c r="A262" s="141" t="s">
        <v>5355</v>
      </c>
      <c r="B262" s="142" t="s">
        <v>4635</v>
      </c>
      <c r="C262" s="164" t="s">
        <v>4575</v>
      </c>
      <c r="D262" s="2654" cm="1" t="n">
        <f t="array" ref="D262">INDEX('6층_부하량'!C3:C3000,MATCH(1,("6-DaHall 1-PDU-03"='6층_부하량'!A3:A3000)*(1='6층_부하량'!B3:B3000),0))</f>
        <v>2.61</v>
      </c>
      <c r="E262" s="144"/>
      <c r="F262" s="144"/>
      <c r="G262" s="144"/>
      <c r="H262" s="142" t="s">
        <v>4597</v>
      </c>
      <c r="I262" s="1469" t="s">
        <v>4633</v>
      </c>
      <c r="J262" s="1476" t="s">
        <v>4578</v>
      </c>
      <c r="K262" s="142" t="s">
        <v>4597</v>
      </c>
      <c r="L262" s="2654" cm="1" t="n">
        <f t="array" ref="L262">INDEX('6층_부하량'!C3:C3000,MATCH(1,("6-DaHall 1-PDU-03"='6층_부하량'!A3:A3000)*(2='6층_부하량'!B3:B3000),0))</f>
        <v>0.0</v>
      </c>
      <c r="M262" s="144"/>
      <c r="N262" s="144"/>
      <c r="O262" s="144"/>
      <c r="P262" s="144" t="s">
        <v>565</v>
      </c>
      <c r="Q262" s="142" t="s">
        <v>4723</v>
      </c>
      <c r="R262" s="147" t="s">
        <v>5356</v>
      </c>
    </row>
    <row r="263" spans="1:18" ht="16.5" x14ac:dyDescent="0.15">
      <c r="A263" s="158" t="s">
        <v>5357</v>
      </c>
      <c r="B263" s="143" t="s">
        <v>4635</v>
      </c>
      <c r="C263" s="164" t="s">
        <v>4575</v>
      </c>
      <c r="D263" s="149"/>
      <c r="E263" s="2655" cm="1" t="n">
        <f t="array" ref="E263">INDEX('6층_부하량'!D3:D3000,MATCH(1,("6-DaHall 1-PDU-03"='6층_부하량'!A3:A3000)*(3='6층_부하량'!B3:B3000),0))</f>
        <v>0.8</v>
      </c>
      <c r="F263" s="149"/>
      <c r="G263" s="149"/>
      <c r="H263" s="143" t="s">
        <v>4597</v>
      </c>
      <c r="I263" s="1465" t="s">
        <v>4638</v>
      </c>
      <c r="J263" s="1463" t="s">
        <v>4583</v>
      </c>
      <c r="K263" s="143" t="s">
        <v>4597</v>
      </c>
      <c r="L263" s="149"/>
      <c r="M263" s="2655" cm="1" t="n">
        <f t="array" ref="M263">INDEX('6층_부하량'!D3:D3000,MATCH(1,("6-DaHall 1-PDU-03"='6층_부하량'!A3:A3000)*(4='6층_부하량'!B3:B3000),0))</f>
        <v>0.0</v>
      </c>
      <c r="N263" s="149"/>
      <c r="O263" s="149"/>
      <c r="P263" s="149" t="s">
        <v>565</v>
      </c>
      <c r="Q263" s="143" t="s">
        <v>4723</v>
      </c>
      <c r="R263" s="153" t="s">
        <v>5358</v>
      </c>
    </row>
    <row r="264" spans="1:18" ht="16.5" x14ac:dyDescent="0.15">
      <c r="A264" s="148" t="s">
        <v>5359</v>
      </c>
      <c r="B264" s="143" t="s">
        <v>4635</v>
      </c>
      <c r="C264" s="164" t="s">
        <v>4575</v>
      </c>
      <c r="D264" s="157"/>
      <c r="E264" s="157"/>
      <c r="F264" s="2656" cm="1" t="n">
        <f t="array" ref="F264">INDEX('6층_부하량'!E3:E3000,MATCH(1,("6-DaHall 1-PDU-03"='6층_부하량'!A3:A3000)*(5='6층_부하량'!B3:B3000),0))</f>
        <v>0.79</v>
      </c>
      <c r="G264" s="157"/>
      <c r="H264" s="143" t="s">
        <v>4597</v>
      </c>
      <c r="I264" s="1471" t="s">
        <v>4641</v>
      </c>
      <c r="J264" s="1460" t="s">
        <v>4588</v>
      </c>
      <c r="K264" s="143" t="s">
        <v>4597</v>
      </c>
      <c r="L264" s="157"/>
      <c r="M264" s="157"/>
      <c r="N264" s="2656" cm="1" t="n">
        <f t="array" ref="N264">INDEX('6층_부하량'!E3:E3000,MATCH(1,("6-DaHall 1-PDU-03"='6층_부하량'!A3:A3000)*(6='6층_부하량'!B3:B3000),0))</f>
        <v>0.0</v>
      </c>
      <c r="O264" s="157"/>
      <c r="P264" s="157" t="s">
        <v>565</v>
      </c>
      <c r="Q264" s="143" t="s">
        <v>4723</v>
      </c>
      <c r="R264" s="153" t="s">
        <v>5360</v>
      </c>
    </row>
    <row r="265" spans="1:18" ht="16.5" x14ac:dyDescent="0.15">
      <c r="A265" s="158" t="s">
        <v>5361</v>
      </c>
      <c r="B265" s="143" t="s">
        <v>4635</v>
      </c>
      <c r="C265" s="164" t="s">
        <v>4575</v>
      </c>
      <c r="D265" s="2656" cm="1" t="n">
        <f t="array" ref="D265">INDEX('6층_부하량'!C3:C3000,MATCH(1,("6-DaHall 1-PDU-03"='6층_부하량'!A3:A3000)*(7='6층_부하량'!B3:B3000),0))</f>
        <v>3.6</v>
      </c>
      <c r="E265" s="157"/>
      <c r="F265" s="157"/>
      <c r="G265" s="157"/>
      <c r="H265" s="143" t="s">
        <v>4597</v>
      </c>
      <c r="I265" s="1471" t="s">
        <v>4645</v>
      </c>
      <c r="J265" s="1460" t="s">
        <v>4593</v>
      </c>
      <c r="K265" s="143" t="s">
        <v>4597</v>
      </c>
      <c r="L265" s="2656" cm="1" t="n">
        <f t="array" ref="L265">INDEX('6층_부하량'!C3:C3000,MATCH(1,("6-DaHall 1-PDU-03"='6층_부하량'!A3:A3000)*(8='6층_부하량'!B3:B3000),0))</f>
        <v>0.0</v>
      </c>
      <c r="M265" s="157"/>
      <c r="N265" s="157"/>
      <c r="O265" s="157"/>
      <c r="P265" s="157" t="s">
        <v>565</v>
      </c>
      <c r="Q265" s="143" t="s">
        <v>4723</v>
      </c>
      <c r="R265" s="153" t="s">
        <v>5362</v>
      </c>
    </row>
    <row r="266" spans="1:18" ht="16.5" x14ac:dyDescent="0.15">
      <c r="A266" s="148" t="s">
        <v>5363</v>
      </c>
      <c r="B266" s="143" t="s">
        <v>4635</v>
      </c>
      <c r="C266" s="164" t="s">
        <v>4575</v>
      </c>
      <c r="D266" s="157"/>
      <c r="E266" s="2656" cm="1" t="n">
        <f t="array" ref="E266">INDEX('6층_부하량'!D3:D3000,MATCH(1,("6-DaHall 1-PDU-03"='6층_부하량'!A3:A3000)*(9='6층_부하량'!B3:B3000),0))</f>
        <v>2.03</v>
      </c>
      <c r="F266" s="157"/>
      <c r="G266" s="157"/>
      <c r="H266" s="143" t="s">
        <v>4597</v>
      </c>
      <c r="I266" s="1471" t="s">
        <v>4648</v>
      </c>
      <c r="J266" s="1460" t="s">
        <v>4596</v>
      </c>
      <c r="K266" s="143" t="s">
        <v>4597</v>
      </c>
      <c r="L266" s="157"/>
      <c r="M266" s="2656" cm="1" t="n">
        <f t="array" ref="M266">INDEX('6층_부하량'!D3:D3000,MATCH(1,("6-DaHall 1-PDU-03"='6층_부하량'!A3:A3000)*(10='6층_부하량'!B3:B3000),0))</f>
        <v>0.0</v>
      </c>
      <c r="N266" s="157"/>
      <c r="O266" s="157"/>
      <c r="P266" s="157" t="s">
        <v>565</v>
      </c>
      <c r="Q266" s="143" t="s">
        <v>4723</v>
      </c>
      <c r="R266" s="153" t="s">
        <v>5364</v>
      </c>
    </row>
    <row r="267" spans="1:18" ht="16.5" x14ac:dyDescent="0.15">
      <c r="A267" s="158" t="s">
        <v>5365</v>
      </c>
      <c r="B267" s="143" t="s">
        <v>4635</v>
      </c>
      <c r="C267" s="164" t="s">
        <v>4575</v>
      </c>
      <c r="D267" s="157"/>
      <c r="E267" s="157"/>
      <c r="F267" s="2656" cm="1" t="n">
        <f t="array" ref="F267">INDEX('6층_부하량'!E3:E3000,MATCH(1,("6-DaHall 1-PDU-03"='6층_부하량'!A3:A3000)*(11='6층_부하량'!B3:B3000),0))</f>
        <v>0.0</v>
      </c>
      <c r="G267" s="157" t="s">
        <v>5366</v>
      </c>
      <c r="H267" s="143" t="s">
        <v>4597</v>
      </c>
      <c r="I267" s="1471" t="s">
        <v>4653</v>
      </c>
      <c r="J267" s="1460" t="s">
        <v>4599</v>
      </c>
      <c r="K267" s="143" t="s">
        <v>4597</v>
      </c>
      <c r="L267" s="157"/>
      <c r="M267" s="157"/>
      <c r="N267" s="2656" cm="1" t="n">
        <f t="array" ref="N267">INDEX('6층_부하량'!E3:E3000,MATCH(1,("6-DaHall 1-PDU-03"='6층_부하량'!A3:A3000)*(12='6층_부하량'!B3:B3000),0))</f>
        <v>0.0</v>
      </c>
      <c r="O267" s="157"/>
      <c r="P267" s="157" t="s">
        <v>565</v>
      </c>
      <c r="Q267" s="143" t="s">
        <v>4723</v>
      </c>
      <c r="R267" s="153" t="s">
        <v>5367</v>
      </c>
    </row>
    <row r="268" spans="1:18" ht="16.5" x14ac:dyDescent="0.15">
      <c r="A268" s="148" t="s">
        <v>5368</v>
      </c>
      <c r="B268" s="143" t="s">
        <v>4635</v>
      </c>
      <c r="C268" s="164" t="s">
        <v>4575</v>
      </c>
      <c r="D268" s="2656" cm="1" t="n">
        <f t="array" ref="D268">INDEX('6층_부하량'!C3:C3000,MATCH(1,("6-DaHall 1-PDU-03"='6층_부하량'!A3:A3000)*(13='6층_부하량'!B3:B3000),0))</f>
        <v>0.0</v>
      </c>
      <c r="E268" s="157"/>
      <c r="F268" s="157"/>
      <c r="G268" s="157"/>
      <c r="H268" s="143" t="s">
        <v>4597</v>
      </c>
      <c r="I268" s="1471" t="s">
        <v>4657</v>
      </c>
      <c r="J268" s="1460" t="s">
        <v>4601</v>
      </c>
      <c r="K268" s="143" t="s">
        <v>4597</v>
      </c>
      <c r="L268" s="2656" cm="1" t="n">
        <f t="array" ref="L268">INDEX('6층_부하량'!C3:C3000,MATCH(1,("6-DaHall 1-PDU-03"='6층_부하량'!A3:A3000)*(14='6층_부하량'!B3:B3000),0))</f>
        <v>0.0</v>
      </c>
      <c r="M268" s="157"/>
      <c r="N268" s="157"/>
      <c r="O268" s="157"/>
      <c r="P268" s="157" t="s">
        <v>565</v>
      </c>
      <c r="Q268" s="143" t="s">
        <v>4723</v>
      </c>
      <c r="R268" s="153" t="s">
        <v>5369</v>
      </c>
    </row>
    <row r="269" spans="1:18" ht="16.5" x14ac:dyDescent="0.15">
      <c r="A269" s="158" t="s">
        <v>5370</v>
      </c>
      <c r="B269" s="143" t="s">
        <v>4635</v>
      </c>
      <c r="C269" s="164" t="s">
        <v>4575</v>
      </c>
      <c r="D269" s="157"/>
      <c r="E269" s="2656" cm="1" t="n">
        <f t="array" ref="E269">INDEX('6층_부하량'!D3:D3000,MATCH(1,("6-DaHall 1-PDU-03"='6층_부하량'!A3:A3000)*(15='6층_부하량'!B3:B3000),0))</f>
        <v>0.0</v>
      </c>
      <c r="F269" s="157"/>
      <c r="G269" s="157"/>
      <c r="H269" s="143" t="s">
        <v>4597</v>
      </c>
      <c r="I269" s="1471" t="s">
        <v>4661</v>
      </c>
      <c r="J269" s="151" t="s">
        <v>4603</v>
      </c>
      <c r="K269" s="143" t="s">
        <v>4597</v>
      </c>
      <c r="L269" s="157"/>
      <c r="M269" s="2656" cm="1" t="n">
        <f t="array" ref="M269">INDEX('6층_부하량'!D3:D3000,MATCH(1,("6-DaHall 1-PDU-03"='6층_부하량'!A3:A3000)*(16='6층_부하량'!B3:B3000),0))</f>
        <v>0.0</v>
      </c>
      <c r="N269" s="157"/>
      <c r="O269" s="157"/>
      <c r="P269" s="157" t="s">
        <v>4635</v>
      </c>
      <c r="Q269" s="164" t="s">
        <v>4575</v>
      </c>
      <c r="R269" s="342" t="s">
        <v>5371</v>
      </c>
    </row>
    <row r="270" spans="1:18" ht="17.25" thickBot="1" x14ac:dyDescent="0.2">
      <c r="A270" s="148" t="s">
        <v>5372</v>
      </c>
      <c r="B270" s="159" t="s">
        <v>4635</v>
      </c>
      <c r="C270" s="164" t="s">
        <v>4575</v>
      </c>
      <c r="D270" s="177"/>
      <c r="E270" s="177"/>
      <c r="F270" s="2661" cm="1" t="n">
        <f t="array" ref="F270">INDEX('6층_부하량'!E3:E3000,MATCH(1,("6-DaHall 1-PDU-03"='6층_부하량'!A3:A3000)*(17='6층_부하량'!B3:B3000),0))</f>
        <v>0.0</v>
      </c>
      <c r="G270" s="160"/>
      <c r="H270" s="159" t="s">
        <v>4597</v>
      </c>
      <c r="I270" s="1478" t="s">
        <v>4665</v>
      </c>
      <c r="J270" s="192" t="s">
        <v>4605</v>
      </c>
      <c r="K270" s="159" t="s">
        <v>4597</v>
      </c>
      <c r="L270" s="177"/>
      <c r="M270" s="177"/>
      <c r="N270" s="2661" cm="1" t="n">
        <f t="array" ref="N270">INDEX('6층_부하량'!E3:E3000,MATCH(1,("6-DaHall 1-PDU-03"='6층_부하량'!A3:A3000)*(18='6층_부하량'!B3:B3000),0))</f>
        <v>0.0</v>
      </c>
      <c r="O270" s="160"/>
      <c r="P270" s="160" t="s">
        <v>4635</v>
      </c>
      <c r="Q270" s="164" t="s">
        <v>4575</v>
      </c>
      <c r="R270" s="342" t="s">
        <v>5373</v>
      </c>
    </row>
    <row r="271" spans="1:18" ht="14.25" thickTop="1" x14ac:dyDescent="0.15">
      <c r="A271" s="141" t="s">
        <v>5374</v>
      </c>
      <c r="B271" s="142" t="s">
        <v>565</v>
      </c>
      <c r="C271" s="142" t="s">
        <v>4723</v>
      </c>
      <c r="D271" s="2658" cm="1" t="n">
        <f t="array" ref="D271">INDEX('6층_부하량'!C3:C3000,MATCH(1,("6-DaHall 1-PDU-03"='6층_부하량'!A3:A3000)*(19='6층_부하량'!B3:B3000),0))</f>
        <v>0.0</v>
      </c>
      <c r="E271" s="179"/>
      <c r="F271" s="179"/>
      <c r="G271" s="163"/>
      <c r="H271" s="142" t="s">
        <v>4597</v>
      </c>
      <c r="I271" s="1479" t="s">
        <v>4670</v>
      </c>
      <c r="J271" s="1481" t="s">
        <v>4609</v>
      </c>
      <c r="K271" s="142" t="s">
        <v>4597</v>
      </c>
      <c r="L271" s="2658" cm="1" t="n">
        <f t="array" ref="L271">INDEX('6층_부하량'!C3:C3000,MATCH(1,("6-DaHall 1-PDU-03"='6층_부하량'!A3:A3000)*(20='6층_부하량'!B3:B3000),0))</f>
        <v>0.0</v>
      </c>
      <c r="M271" s="179"/>
      <c r="N271" s="179"/>
      <c r="O271" s="163"/>
      <c r="P271" s="163" t="s">
        <v>4635</v>
      </c>
      <c r="Q271" s="142" t="s">
        <v>4723</v>
      </c>
      <c r="R271" s="147" t="s">
        <v>3170</v>
      </c>
    </row>
    <row r="272" spans="1:18" ht="16.5" x14ac:dyDescent="0.15">
      <c r="A272" s="174" t="s">
        <v>5375</v>
      </c>
      <c r="B272" s="156" t="s">
        <v>565</v>
      </c>
      <c r="C272" s="143" t="s">
        <v>4723</v>
      </c>
      <c r="D272" s="157"/>
      <c r="E272" s="2656" cm="1" t="n">
        <f t="array" ref="E272">INDEX('6층_부하량'!D3:D3000,MATCH(1,("6-DaHall 1-PDU-03"='6층_부하량'!A3:A3000)*(21='6층_부하량'!B3:B3000),0))</f>
        <v>0.0</v>
      </c>
      <c r="F272" s="157"/>
      <c r="G272" s="179"/>
      <c r="H272" s="156" t="s">
        <v>4597</v>
      </c>
      <c r="I272" s="1470" t="s">
        <v>4674</v>
      </c>
      <c r="J272" s="181" t="s">
        <v>4613</v>
      </c>
      <c r="K272" s="156" t="s">
        <v>4597</v>
      </c>
      <c r="L272" s="157"/>
      <c r="M272" s="2656" cm="1" t="n">
        <f t="array" ref="M272">INDEX('6층_부하량'!D3:D3000,MATCH(1,("6-DaHall 1-PDU-03"='6층_부하량'!A3:A3000)*(22='6층_부하량'!B3:B3000),0))</f>
        <v>0.0</v>
      </c>
      <c r="N272" s="157"/>
      <c r="O272" s="179"/>
      <c r="P272" s="179" t="s">
        <v>4635</v>
      </c>
      <c r="Q272" s="164" t="s">
        <v>4575</v>
      </c>
      <c r="R272" s="256" t="s">
        <v>5376</v>
      </c>
    </row>
    <row r="273" spans="1:18" ht="16.5" x14ac:dyDescent="0.15">
      <c r="A273" s="148" t="s">
        <v>5377</v>
      </c>
      <c r="B273" s="143" t="s">
        <v>565</v>
      </c>
      <c r="C273" s="143" t="s">
        <v>4723</v>
      </c>
      <c r="D273" s="157"/>
      <c r="E273" s="157"/>
      <c r="F273" s="2656" cm="1" t="n">
        <f t="array" ref="F273">INDEX('6층_부하량'!E3:E3000,MATCH(1,("6-DaHall 1-PDU-03"='6층_부하량'!A3:A3000)*(23='6층_부하량'!B3:B3000),0))</f>
        <v>0.0</v>
      </c>
      <c r="G273" s="157"/>
      <c r="H273" s="143" t="s">
        <v>4597</v>
      </c>
      <c r="I273" s="1471" t="s">
        <v>4678</v>
      </c>
      <c r="J273" s="151" t="s">
        <v>4680</v>
      </c>
      <c r="K273" s="143" t="s">
        <v>4597</v>
      </c>
      <c r="L273" s="157"/>
      <c r="M273" s="157"/>
      <c r="N273" s="2656" cm="1" t="n">
        <f t="array" ref="N273">INDEX('6층_부하량'!E3:E3000,MATCH(1,("6-DaHall 1-PDU-03"='6층_부하량'!A3:A3000)*(24='6층_부하량'!B3:B3000),0))</f>
        <v>0.0</v>
      </c>
      <c r="O273" s="157"/>
      <c r="P273" s="157" t="s">
        <v>4635</v>
      </c>
      <c r="Q273" s="164" t="s">
        <v>4575</v>
      </c>
      <c r="R273" s="342" t="s">
        <v>5378</v>
      </c>
    </row>
    <row r="274" spans="1:18" ht="16.5" x14ac:dyDescent="0.15">
      <c r="A274" s="174" t="s">
        <v>3097</v>
      </c>
      <c r="B274" s="143" t="s">
        <v>565</v>
      </c>
      <c r="C274" s="143" t="s">
        <v>4723</v>
      </c>
      <c r="D274" s="2656" cm="1" t="n">
        <f t="array" ref="D274">INDEX('6층_부하량'!C3:C3000,MATCH(1,("6-DaHall 1-PDU-03"='6층_부하량'!A3:A3000)*(25='6층_부하량'!B3:B3000),0))</f>
        <v>0.0</v>
      </c>
      <c r="E274" s="157"/>
      <c r="F274" s="157"/>
      <c r="G274" s="157"/>
      <c r="H274" s="143" t="s">
        <v>4597</v>
      </c>
      <c r="I274" s="1471" t="s">
        <v>4683</v>
      </c>
      <c r="J274" s="151" t="s">
        <v>4685</v>
      </c>
      <c r="K274" s="143" t="s">
        <v>4597</v>
      </c>
      <c r="L274" s="2656" cm="1" t="n">
        <f t="array" ref="L274">INDEX('6층_부하량'!C3:C3000,MATCH(1,("6-DaHall 1-PDU-03"='6층_부하량'!A3:A3000)*(26='6층_부하량'!B3:B3000),0))</f>
        <v>0.0</v>
      </c>
      <c r="M274" s="157"/>
      <c r="N274" s="157"/>
      <c r="O274" s="157"/>
      <c r="P274" s="157" t="s">
        <v>4635</v>
      </c>
      <c r="Q274" s="164" t="s">
        <v>4575</v>
      </c>
      <c r="R274" s="342" t="s">
        <v>5379</v>
      </c>
    </row>
    <row r="275" spans="1:18" ht="16.5" x14ac:dyDescent="0.15">
      <c r="A275" s="148" t="s">
        <v>3104</v>
      </c>
      <c r="B275" s="143" t="s">
        <v>565</v>
      </c>
      <c r="C275" s="143" t="s">
        <v>4723</v>
      </c>
      <c r="D275" s="157"/>
      <c r="E275" s="2656" cm="1" t="n">
        <f t="array" ref="E275">INDEX('6층_부하량'!D3:D3000,MATCH(1,("6-DaHall 1-PDU-03"='6층_부하량'!A3:A3000)*(27='6층_부하량'!B3:B3000),0))</f>
        <v>0.0</v>
      </c>
      <c r="F275" s="157"/>
      <c r="G275" s="157"/>
      <c r="H275" s="143" t="s">
        <v>4597</v>
      </c>
      <c r="I275" s="1471" t="s">
        <v>4688</v>
      </c>
      <c r="J275" s="151" t="s">
        <v>4689</v>
      </c>
      <c r="K275" s="143" t="s">
        <v>4597</v>
      </c>
      <c r="L275" s="157"/>
      <c r="M275" s="2656" cm="1" t="n">
        <f t="array" ref="M275">INDEX('6층_부하량'!D3:D3000,MATCH(1,("6-DaHall 1-PDU-03"='6층_부하량'!A3:A3000)*(28='6층_부하량'!B3:B3000),0))</f>
        <v>0.0</v>
      </c>
      <c r="N275" s="157"/>
      <c r="O275" s="157"/>
      <c r="P275" s="157" t="s">
        <v>4635</v>
      </c>
      <c r="Q275" s="164" t="s">
        <v>4575</v>
      </c>
      <c r="R275" s="342" t="s">
        <v>5380</v>
      </c>
    </row>
    <row r="276" spans="1:18" ht="16.5" x14ac:dyDescent="0.15">
      <c r="A276" s="174" t="s">
        <v>3110</v>
      </c>
      <c r="B276" s="143" t="s">
        <v>565</v>
      </c>
      <c r="C276" s="143" t="s">
        <v>4723</v>
      </c>
      <c r="D276" s="157"/>
      <c r="E276" s="157"/>
      <c r="F276" s="2656" cm="1" t="n">
        <f t="array" ref="F276">INDEX('6층_부하량'!E3:E3000,MATCH(1,("6-DaHall 1-PDU-03"='6층_부하량'!A3:A3000)*(29='6층_부하량'!B3:B3000),0))</f>
        <v>0.0</v>
      </c>
      <c r="G276" s="157"/>
      <c r="H276" s="143" t="s">
        <v>4597</v>
      </c>
      <c r="I276" s="1471" t="s">
        <v>4691</v>
      </c>
      <c r="J276" s="151" t="s">
        <v>4692</v>
      </c>
      <c r="K276" s="143" t="s">
        <v>4597</v>
      </c>
      <c r="L276" s="157"/>
      <c r="M276" s="157"/>
      <c r="N276" s="2656" cm="1" t="n">
        <f t="array" ref="N276">INDEX('6층_부하량'!E3:E3000,MATCH(1,("6-DaHall 1-PDU-03"='6층_부하량'!A3:A3000)*(30='6층_부하량'!B3:B3000),0))</f>
        <v>0.0</v>
      </c>
      <c r="O276" s="157"/>
      <c r="P276" s="157" t="s">
        <v>4635</v>
      </c>
      <c r="Q276" s="164" t="s">
        <v>4575</v>
      </c>
      <c r="R276" s="342" t="s">
        <v>5381</v>
      </c>
    </row>
    <row r="277" spans="1:18" ht="16.5" x14ac:dyDescent="0.15">
      <c r="A277" s="148" t="s">
        <v>3117</v>
      </c>
      <c r="B277" s="143" t="s">
        <v>565</v>
      </c>
      <c r="C277" s="143" t="s">
        <v>4723</v>
      </c>
      <c r="D277" s="2656" cm="1" t="n">
        <f t="array" ref="D277">INDEX('6층_부하량'!C3:C3000,MATCH(1,("6-DaHall 1-PDU-03"='6층_부하량'!A3:A3000)*(31='6층_부하량'!B3:B3000),0))</f>
        <v>0.0</v>
      </c>
      <c r="E277" s="157"/>
      <c r="F277" s="157"/>
      <c r="G277" s="157"/>
      <c r="H277" s="143" t="s">
        <v>4597</v>
      </c>
      <c r="I277" s="1471" t="s">
        <v>4693</v>
      </c>
      <c r="J277" s="151" t="s">
        <v>4694</v>
      </c>
      <c r="K277" s="143" t="s">
        <v>4597</v>
      </c>
      <c r="L277" s="2656" cm="1" t="n">
        <f t="array" ref="L277">INDEX('6층_부하량'!C3:C3000,MATCH(1,("6-DaHall 1-PDU-03"='6층_부하량'!A3:A3000)*(32='6층_부하량'!B3:B3000),0))</f>
        <v>0.0</v>
      </c>
      <c r="M277" s="157"/>
      <c r="N277" s="157"/>
      <c r="O277" s="157"/>
      <c r="P277" s="157" t="s">
        <v>4635</v>
      </c>
      <c r="Q277" s="164" t="s">
        <v>4575</v>
      </c>
      <c r="R277" s="342" t="s">
        <v>5382</v>
      </c>
    </row>
    <row r="278" spans="1:18" ht="16.5" x14ac:dyDescent="0.15">
      <c r="A278" s="632" t="s">
        <v>5383</v>
      </c>
      <c r="B278" s="143" t="s">
        <v>4635</v>
      </c>
      <c r="C278" s="164" t="s">
        <v>4575</v>
      </c>
      <c r="D278" s="157"/>
      <c r="E278" s="2656" cm="1" t="n">
        <f t="array" ref="E278">INDEX('6층_부하량'!D3:D3000,MATCH(1,("6-DaHall 1-PDU-03"='6층_부하량'!A3:A3000)*(33='6층_부하량'!B3:B3000),0))</f>
        <v>0.0</v>
      </c>
      <c r="F278" s="157"/>
      <c r="G278" s="157"/>
      <c r="H278" s="143" t="s">
        <v>4597</v>
      </c>
      <c r="I278" s="150" t="s">
        <v>4697</v>
      </c>
      <c r="J278" s="151" t="s">
        <v>4698</v>
      </c>
      <c r="K278" s="143" t="s">
        <v>4597</v>
      </c>
      <c r="L278" s="157"/>
      <c r="M278" s="2656" cm="1" t="n">
        <f t="array" ref="M278">INDEX('6층_부하량'!D3:D3000,MATCH(1,("6-DaHall 1-PDU-03"='6층_부하량'!A3:A3000)*(34='6층_부하량'!B3:B3000),0))</f>
        <v>0.0</v>
      </c>
      <c r="N278" s="157"/>
      <c r="O278" s="157"/>
      <c r="P278" s="157" t="s">
        <v>4635</v>
      </c>
      <c r="Q278" s="164" t="s">
        <v>4575</v>
      </c>
      <c r="R278" s="342" t="s">
        <v>5384</v>
      </c>
    </row>
    <row r="279" spans="1:18" ht="16.5" x14ac:dyDescent="0.15">
      <c r="A279" s="607" t="s">
        <v>5385</v>
      </c>
      <c r="B279" s="143" t="s">
        <v>4635</v>
      </c>
      <c r="C279" s="164" t="s">
        <v>4575</v>
      </c>
      <c r="D279" s="157"/>
      <c r="E279" s="157"/>
      <c r="F279" s="2656" cm="1" t="n">
        <f t="array" ref="F279">INDEX('6층_부하량'!E3:E3000,MATCH(1,("6-DaHall 1-PDU-03"='6층_부하량'!A3:A3000)*(35='6층_부하량'!B3:B3000),0))</f>
        <v>0.0</v>
      </c>
      <c r="G279" s="157"/>
      <c r="H279" s="143" t="s">
        <v>4597</v>
      </c>
      <c r="I279" s="150" t="s">
        <v>4701</v>
      </c>
      <c r="J279" s="151" t="s">
        <v>4703</v>
      </c>
      <c r="K279" s="143" t="s">
        <v>4597</v>
      </c>
      <c r="L279" s="157"/>
      <c r="M279" s="157"/>
      <c r="N279" s="2656" cm="1" t="n">
        <f t="array" ref="N279">INDEX('6층_부하량'!E3:E3000,MATCH(1,("6-DaHall 1-PDU-03"='6층_부하량'!A3:A3000)*(36='6층_부하량'!B3:B3000),0))</f>
        <v>0.0</v>
      </c>
      <c r="O279" s="157"/>
      <c r="P279" s="157" t="s">
        <v>4635</v>
      </c>
      <c r="Q279" s="143" t="s">
        <v>4723</v>
      </c>
      <c r="R279" s="342" t="s">
        <v>5386</v>
      </c>
    </row>
    <row r="280" spans="1:18" ht="16.5" x14ac:dyDescent="0.15">
      <c r="A280" s="148" t="s">
        <v>5387</v>
      </c>
      <c r="B280" s="143" t="s">
        <v>4635</v>
      </c>
      <c r="C280" s="143" t="s">
        <v>4723</v>
      </c>
      <c r="D280" s="2656" cm="1" t="n">
        <f t="array" ref="D280">INDEX('6층_부하량'!C3:C3000,MATCH(1,("6-DaHall 1-PDU-03"='6층_부하량'!A3:A3000)*(37='6층_부하량'!B3:B3000),0))</f>
        <v>0.0</v>
      </c>
      <c r="E280" s="157"/>
      <c r="F280" s="157"/>
      <c r="G280" s="157"/>
      <c r="H280" s="143" t="s">
        <v>4597</v>
      </c>
      <c r="I280" s="1471" t="s">
        <v>4706</v>
      </c>
      <c r="J280" s="155" t="s">
        <v>4707</v>
      </c>
      <c r="K280" s="143" t="s">
        <v>4597</v>
      </c>
      <c r="L280" s="2656" cm="1" t="n">
        <f t="array" ref="L280">INDEX('6층_부하량'!C3:C3000,MATCH(1,("6-DaHall 1-PDU-03"='6층_부하량'!A3:A3000)*(38='6층_부하량'!B3:B3000),0))</f>
        <v>0.0</v>
      </c>
      <c r="M280" s="157"/>
      <c r="N280" s="157"/>
      <c r="O280" s="157"/>
      <c r="P280" s="157" t="s">
        <v>4635</v>
      </c>
      <c r="Q280" s="164" t="s">
        <v>4575</v>
      </c>
      <c r="R280" s="641" t="s">
        <v>5388</v>
      </c>
    </row>
    <row r="281" spans="1:18" ht="16.5" x14ac:dyDescent="0.15">
      <c r="A281" s="148" t="s">
        <v>5389</v>
      </c>
      <c r="B281" s="143" t="s">
        <v>4635</v>
      </c>
      <c r="C281" s="143" t="s">
        <v>4723</v>
      </c>
      <c r="D281" s="157"/>
      <c r="E281" s="2656" cm="1" t="n">
        <f t="array" ref="E281">INDEX('6층_부하량'!D3:D3000,MATCH(1,("6-DaHall 1-PDU-03"='6층_부하량'!A3:A3000)*(39='6층_부하량'!B3:B3000),0))</f>
        <v>0.0</v>
      </c>
      <c r="F281" s="157"/>
      <c r="G281" s="157"/>
      <c r="H281" s="143" t="s">
        <v>4597</v>
      </c>
      <c r="I281" s="1471" t="s">
        <v>4710</v>
      </c>
      <c r="J281" s="151" t="s">
        <v>4711</v>
      </c>
      <c r="K281" s="143" t="s">
        <v>4597</v>
      </c>
      <c r="L281" s="157"/>
      <c r="M281" s="2656" cm="1" t="n">
        <f t="array" ref="M281">INDEX('6층_부하량'!D3:D3000,MATCH(1,("6-DaHall 1-PDU-03"='6층_부하량'!A3:A3000)*(40='6층_부하량'!B3:B3000),0))</f>
        <v>0.0</v>
      </c>
      <c r="N281" s="157"/>
      <c r="O281" s="157"/>
      <c r="P281" s="157" t="s">
        <v>4635</v>
      </c>
      <c r="Q281" s="164" t="s">
        <v>4575</v>
      </c>
      <c r="R281" s="342" t="s">
        <v>5390</v>
      </c>
    </row>
    <row r="282" spans="1:18" ht="16.5" x14ac:dyDescent="0.15">
      <c r="A282" s="148" t="s">
        <v>5391</v>
      </c>
      <c r="B282" s="143" t="s">
        <v>4635</v>
      </c>
      <c r="C282" s="143" t="s">
        <v>4723</v>
      </c>
      <c r="D282" s="157"/>
      <c r="E282" s="157"/>
      <c r="F282" s="2656" cm="1" t="n">
        <f t="array" ref="F282">INDEX('6층_부하량'!E3:E3000,MATCH(1,("6-DaHall 1-PDU-03"='6층_부하량'!A3:A3000)*(41='6층_부하량'!B3:B3000),0))</f>
        <v>0.0</v>
      </c>
      <c r="G282" s="157"/>
      <c r="H282" s="143" t="s">
        <v>4597</v>
      </c>
      <c r="I282" s="1471" t="s">
        <v>5055</v>
      </c>
      <c r="J282" s="151" t="s">
        <v>4843</v>
      </c>
      <c r="K282" s="143" t="s">
        <v>4597</v>
      </c>
      <c r="L282" s="157"/>
      <c r="M282" s="157"/>
      <c r="N282" s="2656" cm="1" t="n">
        <f t="array" ref="N282">INDEX('6층_부하량'!E3:E3000,MATCH(1,("6-DaHall 1-PDU-03"='6층_부하량'!A3:A3000)*(42='6층_부하량'!B3:B3000),0))</f>
        <v>0.0</v>
      </c>
      <c r="O282" s="157"/>
      <c r="P282" s="157" t="s">
        <v>4635</v>
      </c>
      <c r="Q282" s="164" t="s">
        <v>4575</v>
      </c>
      <c r="R282" s="475" t="s">
        <v>5392</v>
      </c>
    </row>
    <row r="283" spans="1:18" ht="16.5" x14ac:dyDescent="0.15">
      <c r="A283" s="148" t="s">
        <v>3145</v>
      </c>
      <c r="B283" s="143" t="s">
        <v>4635</v>
      </c>
      <c r="C283" s="143" t="s">
        <v>4723</v>
      </c>
      <c r="D283" s="2656" cm="1" t="n">
        <f t="array" ref="D283">INDEX('6층_부하량'!C3:C3000,MATCH(1,("6-DaHall 1-PDU-03"='6층_부하량'!A3:A3000)*(43='6층_부하량'!B3:B3000),0))</f>
        <v>0.0</v>
      </c>
      <c r="E283" s="157"/>
      <c r="F283" s="157"/>
      <c r="G283" s="157"/>
      <c r="H283" s="143" t="s">
        <v>4597</v>
      </c>
      <c r="I283" s="1471" t="s">
        <v>4845</v>
      </c>
      <c r="J283" s="151" t="s">
        <v>4846</v>
      </c>
      <c r="K283" s="143" t="s">
        <v>4597</v>
      </c>
      <c r="L283" s="2656" cm="1" t="n">
        <f t="array" ref="L283">INDEX('6층_부하량'!C3:C3000,MATCH(1,("6-DaHall 1-PDU-03"='6층_부하량'!A3:A3000)*(44='6층_부하량'!B3:B3000),0))</f>
        <v>0.0</v>
      </c>
      <c r="M283" s="157"/>
      <c r="N283" s="157"/>
      <c r="O283" s="157"/>
      <c r="P283" s="157" t="s">
        <v>4635</v>
      </c>
      <c r="Q283" s="164" t="s">
        <v>4575</v>
      </c>
      <c r="R283" s="342" t="s">
        <v>5393</v>
      </c>
    </row>
    <row r="284" spans="1:18" ht="16.5" x14ac:dyDescent="0.15">
      <c r="A284" s="148" t="s">
        <v>3151</v>
      </c>
      <c r="B284" s="143" t="s">
        <v>4635</v>
      </c>
      <c r="C284" s="143" t="s">
        <v>4723</v>
      </c>
      <c r="D284" s="157"/>
      <c r="E284" s="2656" cm="1" t="n">
        <f t="array" ref="E284">INDEX('6층_부하량'!D3:D3000,MATCH(1,("6-DaHall 1-PDU-03"='6층_부하량'!A3:A3000)*(45='6층_부하량'!B3:B3000),0))</f>
        <v>0.0</v>
      </c>
      <c r="F284" s="157"/>
      <c r="G284" s="157"/>
      <c r="H284" s="143" t="s">
        <v>4597</v>
      </c>
      <c r="I284" s="1471" t="s">
        <v>4847</v>
      </c>
      <c r="J284" s="151" t="s">
        <v>4848</v>
      </c>
      <c r="K284" s="143" t="s">
        <v>4597</v>
      </c>
      <c r="L284" s="157"/>
      <c r="M284" s="2656" cm="1" t="n">
        <f t="array" ref="M284">INDEX('6층_부하량'!D3:D3000,MATCH(1,("6-DaHall 1-PDU-03"='6층_부하량'!A3:A3000)*(46='6층_부하량'!B3:B3000),0))</f>
        <v>0.0</v>
      </c>
      <c r="N284" s="157"/>
      <c r="O284" s="157"/>
      <c r="P284" s="157" t="s">
        <v>4635</v>
      </c>
      <c r="Q284" s="164" t="s">
        <v>4575</v>
      </c>
      <c r="R284" s="475" t="s">
        <v>5394</v>
      </c>
    </row>
    <row r="285" spans="1:18" ht="16.5" x14ac:dyDescent="0.15">
      <c r="A285" s="148" t="s">
        <v>3157</v>
      </c>
      <c r="B285" s="143" t="s">
        <v>4635</v>
      </c>
      <c r="C285" s="143" t="s">
        <v>4723</v>
      </c>
      <c r="D285" s="157"/>
      <c r="E285" s="157"/>
      <c r="F285" s="2656" cm="1" t="n">
        <f t="array" ref="F285">INDEX('6층_부하량'!E3:E3000,MATCH(1,("6-DaHall 1-PDU-03"='6층_부하량'!A3:A3000)*(47='6층_부하량'!B3:B3000),0))</f>
        <v>0.0</v>
      </c>
      <c r="G285" s="157"/>
      <c r="H285" s="143" t="s">
        <v>4597</v>
      </c>
      <c r="I285" s="1471" t="s">
        <v>4849</v>
      </c>
      <c r="J285" s="151" t="s">
        <v>4850</v>
      </c>
      <c r="K285" s="143" t="s">
        <v>4597</v>
      </c>
      <c r="L285" s="157"/>
      <c r="M285" s="157"/>
      <c r="N285" s="2656" cm="1" t="n">
        <f t="array" ref="N285">INDEX('6층_부하량'!E3:E3000,MATCH(1,("6-DaHall 1-PDU-03"='6층_부하량'!A3:A3000)*(48='6층_부하량'!B3:B3000),0))</f>
        <v>0.0</v>
      </c>
      <c r="O285" s="157"/>
      <c r="P285" s="157" t="s">
        <v>4635</v>
      </c>
      <c r="Q285" s="164" t="s">
        <v>4575</v>
      </c>
      <c r="R285" s="342" t="s">
        <v>5395</v>
      </c>
    </row>
    <row r="286" spans="1:18" ht="17.25" thickBot="1" x14ac:dyDescent="0.2">
      <c r="A286" s="165" t="s">
        <v>5396</v>
      </c>
      <c r="B286" s="166" t="s">
        <v>4635</v>
      </c>
      <c r="C286" s="184" t="s">
        <v>4575</v>
      </c>
      <c r="D286" s="2659" cm="1" t="n">
        <f t="array" ref="D286">INDEX('6층_부하량'!C3:C3000,MATCH(1,("6-DaHall 1-PDU-03"='6층_부하량'!A3:A3000)*(49='6층_부하량'!B3:B3000),0))</f>
        <v>0.0</v>
      </c>
      <c r="E286" s="167"/>
      <c r="F286" s="167"/>
      <c r="G286" s="167"/>
      <c r="H286" s="166" t="s">
        <v>4597</v>
      </c>
      <c r="I286" s="1480" t="s">
        <v>4851</v>
      </c>
      <c r="J286" s="1482" t="s">
        <v>4852</v>
      </c>
      <c r="K286" s="166" t="s">
        <v>4597</v>
      </c>
      <c r="L286" s="2659" cm="1" t="n">
        <f t="array" ref="L286">INDEX('6층_부하량'!C3:C3000,MATCH(1,("6-DaHall 1-PDU-03"='6층_부하량'!A3:A3000)*(50='6층_부하량'!B3:B3000),0))</f>
        <v>0.0</v>
      </c>
      <c r="M286" s="167"/>
      <c r="N286" s="167"/>
      <c r="O286" s="167"/>
      <c r="P286" s="167" t="s">
        <v>565</v>
      </c>
      <c r="Q286" s="166" t="s">
        <v>4723</v>
      </c>
      <c r="R286" s="170"/>
    </row>
    <row r="287" spans="1:18" ht="14.25" thickTop="1" x14ac:dyDescent="0.15">
      <c r="A287" s="128"/>
      <c r="B287" s="128"/>
      <c r="C287" s="128"/>
      <c r="D287" s="128"/>
      <c r="E287" s="128"/>
      <c r="F287" s="128"/>
      <c r="G287" s="128"/>
      <c r="H287" s="128"/>
      <c r="I287" s="128"/>
      <c r="J287" s="128"/>
      <c r="K287" s="128" t="s">
        <v>4713</v>
      </c>
      <c r="L287" s="128" t="n">
        <f>SUM(D262:D286,L262:L286)</f>
        <v>6.21</v>
      </c>
      <c r="M287" s="128" t="n">
        <f>SUM(E262:E286,M262:M286)</f>
        <v>2.83</v>
      </c>
      <c r="N287" s="128" t="n">
        <f>SUM(F262:F286,N262:N286)</f>
        <v>0.79</v>
      </c>
      <c r="O287" s="128"/>
      <c r="P287" s="128"/>
      <c r="Q287" s="128"/>
      <c r="R287" s="128"/>
    </row>
    <row r="288" spans="1:18" ht="14.25" thickBot="1" x14ac:dyDescent="0.2">
      <c r="A288" s="128"/>
      <c r="B288" s="128"/>
      <c r="C288" s="128"/>
      <c r="D288" s="128"/>
      <c r="E288" s="128"/>
      <c r="F288" s="128"/>
      <c r="G288" s="128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</row>
    <row r="289" spans="1:18" ht="15" thickTop="1" thickBot="1" x14ac:dyDescent="0.2">
      <c r="A289" s="173" t="s">
        <v>7006</v>
      </c>
      <c r="B289" s="128"/>
      <c r="C289" s="3660" t="s">
        <v>5397</v>
      </c>
      <c r="D289" s="3660"/>
      <c r="E289" s="3660"/>
      <c r="F289" s="173"/>
      <c r="G289" s="173"/>
      <c r="H289" s="133"/>
      <c r="I289" s="3665" t="s">
        <v>5063</v>
      </c>
      <c r="J289" s="3666"/>
      <c r="K289" s="133"/>
      <c r="L289" s="173"/>
      <c r="M289" s="173"/>
      <c r="N289" s="173"/>
      <c r="O289" s="173"/>
      <c r="P289" s="173"/>
      <c r="Q289" s="173"/>
      <c r="R289" s="128"/>
    </row>
    <row r="290" spans="1:18" ht="15" thickTop="1" thickBot="1" x14ac:dyDescent="0.2">
      <c r="A290" s="127"/>
      <c r="B290" s="128"/>
      <c r="C290" s="128"/>
      <c r="D290" s="129"/>
      <c r="E290" s="129"/>
      <c r="F290" s="130"/>
      <c r="G290" s="129"/>
      <c r="H290" s="131"/>
      <c r="I290" s="128"/>
      <c r="J290" s="132"/>
      <c r="K290" s="1371" t="s">
        <v>4562</v>
      </c>
      <c r="L290" s="1368">
        <v>18.600000000000001</v>
      </c>
      <c r="M290" s="1369">
        <v>29.1</v>
      </c>
      <c r="N290" s="1370">
        <v>14.2</v>
      </c>
      <c r="O290" s="508" t="s">
        <v>4563</v>
      </c>
      <c r="P290" s="133"/>
      <c r="Q290" s="128"/>
      <c r="R290" s="528"/>
    </row>
    <row r="291" spans="1:18" ht="15" thickTop="1" thickBot="1" x14ac:dyDescent="0.2">
      <c r="A291" s="134" t="s">
        <v>4564</v>
      </c>
      <c r="B291" s="135" t="s">
        <v>5031</v>
      </c>
      <c r="C291" s="136" t="s">
        <v>4566</v>
      </c>
      <c r="D291" s="135" t="s">
        <v>5032</v>
      </c>
      <c r="E291" s="135" t="s">
        <v>5033</v>
      </c>
      <c r="F291" s="135" t="s">
        <v>5034</v>
      </c>
      <c r="G291" s="135" t="s">
        <v>5035</v>
      </c>
      <c r="H291" s="135" t="s">
        <v>5036</v>
      </c>
      <c r="I291" s="138" t="s">
        <v>5037</v>
      </c>
      <c r="J291" s="139" t="s">
        <v>5037</v>
      </c>
      <c r="K291" s="135" t="s">
        <v>5036</v>
      </c>
      <c r="L291" s="135" t="s">
        <v>5032</v>
      </c>
      <c r="M291" s="135" t="s">
        <v>5033</v>
      </c>
      <c r="N291" s="135" t="s">
        <v>5034</v>
      </c>
      <c r="O291" s="135" t="s">
        <v>5035</v>
      </c>
      <c r="P291" s="135" t="s">
        <v>5031</v>
      </c>
      <c r="Q291" s="136" t="s">
        <v>4566</v>
      </c>
      <c r="R291" s="140" t="s">
        <v>4564</v>
      </c>
    </row>
    <row r="292" spans="1:18" ht="17.25" thickTop="1" x14ac:dyDescent="0.15">
      <c r="A292" s="141" t="s">
        <v>5398</v>
      </c>
      <c r="B292" s="142" t="s">
        <v>4635</v>
      </c>
      <c r="C292" s="164" t="s">
        <v>4575</v>
      </c>
      <c r="D292" s="2654" cm="1" t="n">
        <f t="array" ref="D292">INDEX('6층_부하량'!C3:C3000,MATCH(1,("6-DaHall 1-PDU-04"='6층_부하량'!A3:A3000)*(1='6층_부하량'!B3:B3000),0))</f>
        <v>2.2</v>
      </c>
      <c r="E292" s="144"/>
      <c r="F292" s="144"/>
      <c r="G292" s="144"/>
      <c r="H292" s="142" t="s">
        <v>4597</v>
      </c>
      <c r="I292" s="1469" t="s">
        <v>4633</v>
      </c>
      <c r="J292" s="1476" t="s">
        <v>4578</v>
      </c>
      <c r="K292" s="142" t="s">
        <v>4597</v>
      </c>
      <c r="L292" s="2654" cm="1" t="n">
        <f t="array" ref="L292">INDEX('6층_부하량'!C3:C3000,MATCH(1,("6-DaHall 1-PDU-04"='6층_부하량'!A3:A3000)*(2='6층_부하량'!B3:B3000),0))</f>
        <v>0.0</v>
      </c>
      <c r="M292" s="144"/>
      <c r="N292" s="144"/>
      <c r="O292" s="144"/>
      <c r="P292" s="144" t="s">
        <v>565</v>
      </c>
      <c r="Q292" s="142" t="s">
        <v>4723</v>
      </c>
      <c r="R292" s="147" t="s">
        <v>5399</v>
      </c>
    </row>
    <row r="293" spans="1:18" ht="16.5" x14ac:dyDescent="0.15">
      <c r="A293" s="158" t="s">
        <v>5400</v>
      </c>
      <c r="B293" s="143" t="s">
        <v>4635</v>
      </c>
      <c r="C293" s="164" t="s">
        <v>4575</v>
      </c>
      <c r="D293" s="149"/>
      <c r="E293" s="2655" cm="1" t="n">
        <f t="array" ref="E293">INDEX('6층_부하량'!D3:D3000,MATCH(1,("6-DaHall 1-PDU-04"='6층_부하량'!A3:A3000)*(3='6층_부하량'!B3:B3000),0))</f>
        <v>0.85</v>
      </c>
      <c r="F293" s="149"/>
      <c r="G293" s="149"/>
      <c r="H293" s="143" t="s">
        <v>4597</v>
      </c>
      <c r="I293" s="1465" t="s">
        <v>4638</v>
      </c>
      <c r="J293" s="1463" t="s">
        <v>4583</v>
      </c>
      <c r="K293" s="143" t="s">
        <v>4597</v>
      </c>
      <c r="L293" s="149"/>
      <c r="M293" s="2655" cm="1" t="n">
        <f t="array" ref="M293">INDEX('6층_부하량'!D3:D3000,MATCH(1,("6-DaHall 1-PDU-04"='6층_부하량'!A3:A3000)*(4='6층_부하량'!B3:B3000),0))</f>
        <v>0.0</v>
      </c>
      <c r="N293" s="149"/>
      <c r="O293" s="149"/>
      <c r="P293" s="149" t="s">
        <v>565</v>
      </c>
      <c r="Q293" s="143" t="s">
        <v>4723</v>
      </c>
      <c r="R293" s="153" t="s">
        <v>5401</v>
      </c>
    </row>
    <row r="294" spans="1:18" ht="16.5" x14ac:dyDescent="0.15">
      <c r="A294" s="148" t="s">
        <v>5402</v>
      </c>
      <c r="B294" s="143" t="s">
        <v>4635</v>
      </c>
      <c r="C294" s="164" t="s">
        <v>4575</v>
      </c>
      <c r="D294" s="157"/>
      <c r="E294" s="157"/>
      <c r="F294" s="2656" cm="1" t="n">
        <f t="array" ref="F294">INDEX('6층_부하량'!E3:E3000,MATCH(1,("6-DaHall 1-PDU-04"='6층_부하량'!A3:A3000)*(5='6층_부하량'!B3:B3000),0))</f>
        <v>0.83</v>
      </c>
      <c r="G294" s="157"/>
      <c r="H294" s="143" t="s">
        <v>4597</v>
      </c>
      <c r="I294" s="1471" t="s">
        <v>4641</v>
      </c>
      <c r="J294" s="1460" t="s">
        <v>4588</v>
      </c>
      <c r="K294" s="143" t="s">
        <v>4597</v>
      </c>
      <c r="L294" s="157"/>
      <c r="M294" s="157"/>
      <c r="N294" s="2656" cm="1" t="n">
        <f t="array" ref="N294">INDEX('6층_부하량'!E3:E3000,MATCH(1,("6-DaHall 1-PDU-04"='6층_부하량'!A3:A3000)*(6='6층_부하량'!B3:B3000),0))</f>
        <v>0.0</v>
      </c>
      <c r="O294" s="157"/>
      <c r="P294" s="157" t="s">
        <v>565</v>
      </c>
      <c r="Q294" s="143" t="s">
        <v>4723</v>
      </c>
      <c r="R294" s="153" t="s">
        <v>5403</v>
      </c>
    </row>
    <row r="295" spans="1:18" ht="16.5" x14ac:dyDescent="0.15">
      <c r="A295" s="158" t="s">
        <v>5404</v>
      </c>
      <c r="B295" s="143" t="s">
        <v>4635</v>
      </c>
      <c r="C295" s="164" t="s">
        <v>4575</v>
      </c>
      <c r="D295" s="2656" cm="1" t="n">
        <f t="array" ref="D295">INDEX('6층_부하량'!C3:C3000,MATCH(1,("6-DaHall 1-PDU-04"='6층_부하량'!A3:A3000)*(7='6층_부하량'!B3:B3000),0))</f>
        <v>1.74</v>
      </c>
      <c r="E295" s="157"/>
      <c r="F295" s="157"/>
      <c r="G295" s="157"/>
      <c r="H295" s="143" t="s">
        <v>4597</v>
      </c>
      <c r="I295" s="1471" t="s">
        <v>4645</v>
      </c>
      <c r="J295" s="1460" t="s">
        <v>4593</v>
      </c>
      <c r="K295" s="143" t="s">
        <v>4597</v>
      </c>
      <c r="L295" s="2656" cm="1" t="n">
        <f t="array" ref="L295">INDEX('6층_부하량'!C3:C3000,MATCH(1,("6-DaHall 1-PDU-04"='6층_부하량'!A3:A3000)*(8='6층_부하량'!B3:B3000),0))</f>
        <v>0.0</v>
      </c>
      <c r="M295" s="157"/>
      <c r="N295" s="157"/>
      <c r="O295" s="157"/>
      <c r="P295" s="157" t="s">
        <v>565</v>
      </c>
      <c r="Q295" s="143" t="s">
        <v>4723</v>
      </c>
      <c r="R295" s="153" t="s">
        <v>5405</v>
      </c>
    </row>
    <row r="296" spans="1:18" ht="16.5" x14ac:dyDescent="0.15">
      <c r="A296" s="148" t="s">
        <v>5406</v>
      </c>
      <c r="B296" s="143" t="s">
        <v>4635</v>
      </c>
      <c r="C296" s="164" t="s">
        <v>4575</v>
      </c>
      <c r="D296" s="157"/>
      <c r="E296" s="2656" cm="1" t="n">
        <f t="array" ref="E296">INDEX('6층_부하량'!D3:D3000,MATCH(1,("6-DaHall 1-PDU-04"='6층_부하량'!A3:A3000)*(9='6층_부하량'!B3:B3000),0))</f>
        <v>1.81</v>
      </c>
      <c r="F296" s="157"/>
      <c r="G296" s="157"/>
      <c r="H296" s="143" t="s">
        <v>4597</v>
      </c>
      <c r="I296" s="1471" t="s">
        <v>4648</v>
      </c>
      <c r="J296" s="1460" t="s">
        <v>4596</v>
      </c>
      <c r="K296" s="143" t="s">
        <v>4597</v>
      </c>
      <c r="L296" s="157"/>
      <c r="M296" s="2656" cm="1" t="n">
        <f t="array" ref="M296">INDEX('6층_부하량'!D3:D3000,MATCH(1,("6-DaHall 1-PDU-04"='6층_부하량'!A3:A3000)*(10='6층_부하량'!B3:B3000),0))</f>
        <v>0.0</v>
      </c>
      <c r="N296" s="157"/>
      <c r="O296" s="157"/>
      <c r="P296" s="157" t="s">
        <v>565</v>
      </c>
      <c r="Q296" s="143" t="s">
        <v>4723</v>
      </c>
      <c r="R296" s="153" t="s">
        <v>5407</v>
      </c>
    </row>
    <row r="297" spans="1:18" ht="16.5" x14ac:dyDescent="0.15">
      <c r="A297" s="158" t="s">
        <v>5408</v>
      </c>
      <c r="B297" s="143" t="s">
        <v>4635</v>
      </c>
      <c r="C297" s="164" t="s">
        <v>4575</v>
      </c>
      <c r="D297" s="157"/>
      <c r="E297" s="157"/>
      <c r="F297" s="2656" cm="1" t="n">
        <f t="array" ref="F297">INDEX('6층_부하량'!E3:E3000,MATCH(1,("6-DaHall 1-PDU-04"='6층_부하량'!A3:A3000)*(11='6층_부하량'!B3:B3000),0))</f>
        <v>0.0</v>
      </c>
      <c r="G297" s="157" t="s">
        <v>5366</v>
      </c>
      <c r="H297" s="143" t="s">
        <v>4597</v>
      </c>
      <c r="I297" s="1471" t="s">
        <v>4653</v>
      </c>
      <c r="J297" s="1460" t="s">
        <v>4599</v>
      </c>
      <c r="K297" s="143" t="s">
        <v>4597</v>
      </c>
      <c r="L297" s="157"/>
      <c r="M297" s="157"/>
      <c r="N297" s="2656" cm="1" t="n">
        <f t="array" ref="N297">INDEX('6층_부하량'!E3:E3000,MATCH(1,("6-DaHall 1-PDU-04"='6층_부하량'!A3:A3000)*(12='6층_부하량'!B3:B3000),0))</f>
        <v>0.0</v>
      </c>
      <c r="O297" s="157"/>
      <c r="P297" s="157" t="s">
        <v>565</v>
      </c>
      <c r="Q297" s="143" t="s">
        <v>4723</v>
      </c>
      <c r="R297" s="153" t="s">
        <v>5409</v>
      </c>
    </row>
    <row r="298" spans="1:18" ht="16.5" x14ac:dyDescent="0.15">
      <c r="A298" s="148" t="s">
        <v>5410</v>
      </c>
      <c r="B298" s="143" t="s">
        <v>4635</v>
      </c>
      <c r="C298" s="164" t="s">
        <v>4575</v>
      </c>
      <c r="D298" s="2656" cm="1" t="n">
        <f t="array" ref="D298">INDEX('6층_부하량'!C3:C3000,MATCH(1,("6-DaHall 1-PDU-04"='6층_부하량'!A3:A3000)*(13='6층_부하량'!B3:B3000),0))</f>
        <v>0.0</v>
      </c>
      <c r="E298" s="157"/>
      <c r="F298" s="157"/>
      <c r="G298" s="157"/>
      <c r="H298" s="143" t="s">
        <v>4597</v>
      </c>
      <c r="I298" s="1471" t="s">
        <v>4657</v>
      </c>
      <c r="J298" s="1460" t="s">
        <v>4601</v>
      </c>
      <c r="K298" s="143" t="s">
        <v>4597</v>
      </c>
      <c r="L298" s="2656" cm="1" t="n">
        <f t="array" ref="L298">INDEX('6층_부하량'!C3:C3000,MATCH(1,("6-DaHall 1-PDU-04"='6층_부하량'!A3:A3000)*(14='6층_부하량'!B3:B3000),0))</f>
        <v>0.0</v>
      </c>
      <c r="M298" s="157"/>
      <c r="N298" s="157"/>
      <c r="O298" s="157"/>
      <c r="P298" s="157" t="s">
        <v>565</v>
      </c>
      <c r="Q298" s="143" t="s">
        <v>4723</v>
      </c>
      <c r="R298" s="153" t="s">
        <v>5411</v>
      </c>
    </row>
    <row r="299" spans="1:18" ht="16.5" x14ac:dyDescent="0.15">
      <c r="A299" s="158" t="s">
        <v>5412</v>
      </c>
      <c r="B299" s="143" t="s">
        <v>4635</v>
      </c>
      <c r="C299" s="164" t="s">
        <v>4575</v>
      </c>
      <c r="D299" s="157"/>
      <c r="E299" s="2656" cm="1" t="n">
        <f t="array" ref="E299">INDEX('6층_부하량'!D3:D3000,MATCH(1,("6-DaHall 1-PDU-04"='6층_부하량'!A3:A3000)*(15='6층_부하량'!B3:B3000),0))</f>
        <v>0.0</v>
      </c>
      <c r="F299" s="157"/>
      <c r="G299" s="157"/>
      <c r="H299" s="143" t="s">
        <v>4597</v>
      </c>
      <c r="I299" s="1471" t="s">
        <v>4661</v>
      </c>
      <c r="J299" s="151" t="s">
        <v>4603</v>
      </c>
      <c r="K299" s="143" t="s">
        <v>4597</v>
      </c>
      <c r="L299" s="157"/>
      <c r="M299" s="2656" cm="1" t="n">
        <f t="array" ref="M299">INDEX('6층_부하량'!D3:D3000,MATCH(1,("6-DaHall 1-PDU-04"='6층_부하량'!A3:A3000)*(16='6층_부하량'!B3:B3000),0))</f>
        <v>0.0</v>
      </c>
      <c r="N299" s="157"/>
      <c r="O299" s="157"/>
      <c r="P299" s="157" t="s">
        <v>4635</v>
      </c>
      <c r="Q299" s="164" t="s">
        <v>4575</v>
      </c>
      <c r="R299" s="342" t="s">
        <v>5413</v>
      </c>
    </row>
    <row r="300" spans="1:18" ht="17.25" thickBot="1" x14ac:dyDescent="0.2">
      <c r="A300" s="148" t="s">
        <v>5414</v>
      </c>
      <c r="B300" s="159" t="s">
        <v>4635</v>
      </c>
      <c r="C300" s="164" t="s">
        <v>4575</v>
      </c>
      <c r="D300" s="177"/>
      <c r="E300" s="177"/>
      <c r="F300" s="2661" cm="1" t="n">
        <f t="array" ref="F300">INDEX('6층_부하량'!E3:E3000,MATCH(1,("6-DaHall 1-PDU-04"='6층_부하량'!A3:A3000)*(17='6층_부하량'!B3:B3000),0))</f>
        <v>0.0</v>
      </c>
      <c r="G300" s="160"/>
      <c r="H300" s="159" t="s">
        <v>4597</v>
      </c>
      <c r="I300" s="1478" t="s">
        <v>4665</v>
      </c>
      <c r="J300" s="192" t="s">
        <v>4605</v>
      </c>
      <c r="K300" s="159" t="s">
        <v>4597</v>
      </c>
      <c r="L300" s="177"/>
      <c r="M300" s="177"/>
      <c r="N300" s="2661" cm="1" t="n">
        <f t="array" ref="N300">INDEX('6층_부하량'!E3:E3000,MATCH(1,("6-DaHall 1-PDU-04"='6층_부하량'!A3:A3000)*(18='6층_부하량'!B3:B3000),0))</f>
        <v>0.0</v>
      </c>
      <c r="O300" s="160"/>
      <c r="P300" s="160" t="s">
        <v>4635</v>
      </c>
      <c r="Q300" s="164" t="s">
        <v>4575</v>
      </c>
      <c r="R300" s="342" t="s">
        <v>5415</v>
      </c>
    </row>
    <row r="301" spans="1:18" ht="14.25" thickTop="1" x14ac:dyDescent="0.15">
      <c r="A301" s="141" t="s">
        <v>5416</v>
      </c>
      <c r="B301" s="142" t="s">
        <v>565</v>
      </c>
      <c r="C301" s="142" t="s">
        <v>4723</v>
      </c>
      <c r="D301" s="2658" cm="1" t="n">
        <f t="array" ref="D301">INDEX('6층_부하량'!C3:C3000,MATCH(1,("6-DaHall 1-PDU-04"='6층_부하량'!A3:A3000)*(19='6층_부하량'!B3:B3000),0))</f>
        <v>0.0</v>
      </c>
      <c r="E301" s="179"/>
      <c r="F301" s="179"/>
      <c r="G301" s="163"/>
      <c r="H301" s="142" t="s">
        <v>4597</v>
      </c>
      <c r="I301" s="1479" t="s">
        <v>4670</v>
      </c>
      <c r="J301" s="1481" t="s">
        <v>4609</v>
      </c>
      <c r="K301" s="142" t="s">
        <v>4597</v>
      </c>
      <c r="L301" s="2658" cm="1" t="n">
        <f t="array" ref="L301">INDEX('6층_부하량'!C3:C3000,MATCH(1,("6-DaHall 1-PDU-04"='6층_부하량'!A3:A3000)*(20='6층_부하량'!B3:B3000),0))</f>
        <v>0.0</v>
      </c>
      <c r="M301" s="179"/>
      <c r="N301" s="179"/>
      <c r="O301" s="163"/>
      <c r="P301" s="163" t="s">
        <v>4635</v>
      </c>
      <c r="Q301" s="142" t="s">
        <v>4723</v>
      </c>
      <c r="R301" s="147" t="s">
        <v>3171</v>
      </c>
    </row>
    <row r="302" spans="1:18" ht="16.5" x14ac:dyDescent="0.15">
      <c r="A302" s="174" t="s">
        <v>5417</v>
      </c>
      <c r="B302" s="156" t="s">
        <v>565</v>
      </c>
      <c r="C302" s="143" t="s">
        <v>4723</v>
      </c>
      <c r="D302" s="157"/>
      <c r="E302" s="2656" cm="1" t="n">
        <f t="array" ref="E302">INDEX('6층_부하량'!D3:D3000,MATCH(1,("6-DaHall 1-PDU-04"='6층_부하량'!A3:A3000)*(21='6층_부하량'!B3:B3000),0))</f>
        <v>0.0</v>
      </c>
      <c r="F302" s="157"/>
      <c r="G302" s="179"/>
      <c r="H302" s="156" t="s">
        <v>4597</v>
      </c>
      <c r="I302" s="1470" t="s">
        <v>4674</v>
      </c>
      <c r="J302" s="181" t="s">
        <v>4613</v>
      </c>
      <c r="K302" s="156" t="s">
        <v>4597</v>
      </c>
      <c r="L302" s="157"/>
      <c r="M302" s="2656" cm="1" t="n">
        <f t="array" ref="M302">INDEX('6층_부하량'!D3:D3000,MATCH(1,("6-DaHall 1-PDU-04"='6층_부하량'!A3:A3000)*(22='6층_부하량'!B3:B3000),0))</f>
        <v>0.0</v>
      </c>
      <c r="N302" s="157"/>
      <c r="O302" s="179"/>
      <c r="P302" s="179" t="s">
        <v>4635</v>
      </c>
      <c r="Q302" s="164" t="s">
        <v>4575</v>
      </c>
      <c r="R302" s="256" t="s">
        <v>5418</v>
      </c>
    </row>
    <row r="303" spans="1:18" ht="16.5" x14ac:dyDescent="0.15">
      <c r="A303" s="148" t="s">
        <v>5419</v>
      </c>
      <c r="B303" s="143" t="s">
        <v>565</v>
      </c>
      <c r="C303" s="143" t="s">
        <v>4723</v>
      </c>
      <c r="D303" s="157"/>
      <c r="E303" s="157"/>
      <c r="F303" s="2656" cm="1" t="n">
        <f t="array" ref="F303">INDEX('6층_부하량'!E3:E3000,MATCH(1,("6-DaHall 1-PDU-04"='6층_부하량'!A3:A3000)*(23='6층_부하량'!B3:B3000),0))</f>
        <v>0.0</v>
      </c>
      <c r="G303" s="157"/>
      <c r="H303" s="143" t="s">
        <v>4597</v>
      </c>
      <c r="I303" s="1471" t="s">
        <v>4678</v>
      </c>
      <c r="J303" s="151" t="s">
        <v>4680</v>
      </c>
      <c r="K303" s="143" t="s">
        <v>4597</v>
      </c>
      <c r="L303" s="157"/>
      <c r="M303" s="157"/>
      <c r="N303" s="2656" cm="1" t="n">
        <f t="array" ref="N303">INDEX('6층_부하량'!E3:E3000,MATCH(1,("6-DaHall 1-PDU-04"='6층_부하량'!A3:A3000)*(24='6층_부하량'!B3:B3000),0))</f>
        <v>0.0</v>
      </c>
      <c r="O303" s="157"/>
      <c r="P303" s="157" t="s">
        <v>4635</v>
      </c>
      <c r="Q303" s="164" t="s">
        <v>4575</v>
      </c>
      <c r="R303" s="342" t="s">
        <v>5420</v>
      </c>
    </row>
    <row r="304" spans="1:18" ht="16.5" x14ac:dyDescent="0.15">
      <c r="A304" s="174" t="s">
        <v>3098</v>
      </c>
      <c r="B304" s="143" t="s">
        <v>565</v>
      </c>
      <c r="C304" s="143" t="s">
        <v>4723</v>
      </c>
      <c r="D304" s="2656" cm="1" t="n">
        <f t="array" ref="D304">INDEX('6층_부하량'!C3:C3000,MATCH(1,("6-DaHall 1-PDU-04"='6층_부하량'!A3:A3000)*(25='6층_부하량'!B3:B3000),0))</f>
        <v>0.0</v>
      </c>
      <c r="E304" s="157"/>
      <c r="F304" s="157"/>
      <c r="G304" s="157"/>
      <c r="H304" s="143" t="s">
        <v>4597</v>
      </c>
      <c r="I304" s="1471" t="s">
        <v>4683</v>
      </c>
      <c r="J304" s="151" t="s">
        <v>4685</v>
      </c>
      <c r="K304" s="143" t="s">
        <v>4597</v>
      </c>
      <c r="L304" s="2656" cm="1" t="n">
        <f t="array" ref="L304">INDEX('6층_부하량'!C3:C3000,MATCH(1,("6-DaHall 1-PDU-04"='6층_부하량'!A3:A3000)*(26='6층_부하량'!B3:B3000),0))</f>
        <v>0.0</v>
      </c>
      <c r="M304" s="157"/>
      <c r="N304" s="157"/>
      <c r="O304" s="157"/>
      <c r="P304" s="157" t="s">
        <v>4635</v>
      </c>
      <c r="Q304" s="164" t="s">
        <v>4575</v>
      </c>
      <c r="R304" s="342" t="s">
        <v>5421</v>
      </c>
    </row>
    <row r="305" spans="1:18" ht="16.5" x14ac:dyDescent="0.15">
      <c r="A305" s="148" t="s">
        <v>3105</v>
      </c>
      <c r="B305" s="143" t="s">
        <v>565</v>
      </c>
      <c r="C305" s="143" t="s">
        <v>4723</v>
      </c>
      <c r="D305" s="157"/>
      <c r="E305" s="2656" cm="1" t="n">
        <f t="array" ref="E305">INDEX('6층_부하량'!D3:D3000,MATCH(1,("6-DaHall 1-PDU-04"='6층_부하량'!A3:A3000)*(27='6층_부하량'!B3:B3000),0))</f>
        <v>0.0</v>
      </c>
      <c r="F305" s="157"/>
      <c r="G305" s="157"/>
      <c r="H305" s="143" t="s">
        <v>4597</v>
      </c>
      <c r="I305" s="1471" t="s">
        <v>4688</v>
      </c>
      <c r="J305" s="151" t="s">
        <v>4689</v>
      </c>
      <c r="K305" s="143" t="s">
        <v>4597</v>
      </c>
      <c r="L305" s="157"/>
      <c r="M305" s="2656" cm="1" t="n">
        <f t="array" ref="M305">INDEX('6층_부하량'!D3:D3000,MATCH(1,("6-DaHall 1-PDU-04"='6층_부하량'!A3:A3000)*(28='6층_부하량'!B3:B3000),0))</f>
        <v>0.0</v>
      </c>
      <c r="N305" s="157"/>
      <c r="O305" s="157"/>
      <c r="P305" s="157" t="s">
        <v>4635</v>
      </c>
      <c r="Q305" s="164" t="s">
        <v>4575</v>
      </c>
      <c r="R305" s="342" t="s">
        <v>5422</v>
      </c>
    </row>
    <row r="306" spans="1:18" ht="16.5" x14ac:dyDescent="0.15">
      <c r="A306" s="174" t="s">
        <v>3111</v>
      </c>
      <c r="B306" s="143" t="s">
        <v>565</v>
      </c>
      <c r="C306" s="143" t="s">
        <v>4723</v>
      </c>
      <c r="D306" s="157"/>
      <c r="E306" s="157"/>
      <c r="F306" s="2656" cm="1" t="n">
        <f t="array" ref="F306">INDEX('6층_부하량'!E3:E3000,MATCH(1,("6-DaHall 1-PDU-04"='6층_부하량'!A3:A3000)*(29='6층_부하량'!B3:B3000),0))</f>
        <v>0.0</v>
      </c>
      <c r="G306" s="157"/>
      <c r="H306" s="143" t="s">
        <v>4597</v>
      </c>
      <c r="I306" s="1471" t="s">
        <v>4691</v>
      </c>
      <c r="J306" s="151" t="s">
        <v>4692</v>
      </c>
      <c r="K306" s="143" t="s">
        <v>4597</v>
      </c>
      <c r="L306" s="157"/>
      <c r="M306" s="157"/>
      <c r="N306" s="2656" cm="1" t="n">
        <f t="array" ref="N306">INDEX('6층_부하량'!E3:E3000,MATCH(1,("6-DaHall 1-PDU-04"='6층_부하량'!A3:A3000)*(30='6층_부하량'!B3:B3000),0))</f>
        <v>0.0</v>
      </c>
      <c r="O306" s="157"/>
      <c r="P306" s="157" t="s">
        <v>4635</v>
      </c>
      <c r="Q306" s="164" t="s">
        <v>4575</v>
      </c>
      <c r="R306" s="342" t="s">
        <v>5423</v>
      </c>
    </row>
    <row r="307" spans="1:18" ht="16.5" x14ac:dyDescent="0.15">
      <c r="A307" s="148" t="s">
        <v>3118</v>
      </c>
      <c r="B307" s="143" t="s">
        <v>565</v>
      </c>
      <c r="C307" s="143" t="s">
        <v>4723</v>
      </c>
      <c r="D307" s="2656" cm="1" t="n">
        <f t="array" ref="D307">INDEX('6층_부하량'!C3:C3000,MATCH(1,("6-DaHall 1-PDU-04"='6층_부하량'!A3:A3000)*(31='6층_부하량'!B3:B3000),0))</f>
        <v>0.0</v>
      </c>
      <c r="E307" s="157"/>
      <c r="F307" s="157"/>
      <c r="G307" s="157"/>
      <c r="H307" s="143" t="s">
        <v>4597</v>
      </c>
      <c r="I307" s="1471" t="s">
        <v>4693</v>
      </c>
      <c r="J307" s="151" t="s">
        <v>4694</v>
      </c>
      <c r="K307" s="143" t="s">
        <v>4597</v>
      </c>
      <c r="L307" s="2656" cm="1" t="n">
        <f t="array" ref="L307">INDEX('6층_부하량'!C3:C3000,MATCH(1,("6-DaHall 1-PDU-04"='6층_부하량'!A3:A3000)*(32='6층_부하량'!B3:B3000),0))</f>
        <v>0.0</v>
      </c>
      <c r="M307" s="157"/>
      <c r="N307" s="157"/>
      <c r="O307" s="157"/>
      <c r="P307" s="157" t="s">
        <v>4635</v>
      </c>
      <c r="Q307" s="164" t="s">
        <v>4575</v>
      </c>
      <c r="R307" s="342" t="s">
        <v>5424</v>
      </c>
    </row>
    <row r="308" spans="1:18" ht="16.5" x14ac:dyDescent="0.15">
      <c r="A308" s="632" t="s">
        <v>5425</v>
      </c>
      <c r="B308" s="143" t="s">
        <v>4635</v>
      </c>
      <c r="C308" s="164" t="s">
        <v>4575</v>
      </c>
      <c r="D308" s="157"/>
      <c r="E308" s="2656" cm="1" t="n">
        <f t="array" ref="E308">INDEX('6층_부하량'!D3:D3000,MATCH(1,("6-DaHall 1-PDU-04"='6층_부하량'!A3:A3000)*(33='6층_부하량'!B3:B3000),0))</f>
        <v>0.0</v>
      </c>
      <c r="F308" s="157"/>
      <c r="G308" s="157"/>
      <c r="H308" s="143" t="s">
        <v>4597</v>
      </c>
      <c r="I308" s="150" t="s">
        <v>4697</v>
      </c>
      <c r="J308" s="151" t="s">
        <v>4698</v>
      </c>
      <c r="K308" s="143" t="s">
        <v>4597</v>
      </c>
      <c r="L308" s="157"/>
      <c r="M308" s="2656" cm="1" t="n">
        <f t="array" ref="M308">INDEX('6층_부하량'!D3:D3000,MATCH(1,("6-DaHall 1-PDU-04"='6층_부하량'!A3:A3000)*(34='6층_부하량'!B3:B3000),0))</f>
        <v>0.0</v>
      </c>
      <c r="N308" s="157"/>
      <c r="O308" s="157"/>
      <c r="P308" s="157" t="s">
        <v>4635</v>
      </c>
      <c r="Q308" s="164" t="s">
        <v>4575</v>
      </c>
      <c r="R308" s="342" t="s">
        <v>5426</v>
      </c>
    </row>
    <row r="309" spans="1:18" ht="16.5" x14ac:dyDescent="0.15">
      <c r="A309" s="607" t="s">
        <v>5427</v>
      </c>
      <c r="B309" s="143" t="s">
        <v>4635</v>
      </c>
      <c r="C309" s="164" t="s">
        <v>4575</v>
      </c>
      <c r="D309" s="157"/>
      <c r="E309" s="157"/>
      <c r="F309" s="2656" cm="1" t="n">
        <f t="array" ref="F309">INDEX('6층_부하량'!E3:E3000,MATCH(1,("6-DaHall 1-PDU-04"='6층_부하량'!A3:A3000)*(35='6층_부하량'!B3:B3000),0))</f>
        <v>0.0</v>
      </c>
      <c r="G309" s="157"/>
      <c r="H309" s="143" t="s">
        <v>4597</v>
      </c>
      <c r="I309" s="150" t="s">
        <v>4701</v>
      </c>
      <c r="J309" s="151" t="s">
        <v>4703</v>
      </c>
      <c r="K309" s="143" t="s">
        <v>4597</v>
      </c>
      <c r="L309" s="157"/>
      <c r="M309" s="157"/>
      <c r="N309" s="2656" cm="1" t="n">
        <f t="array" ref="N309">INDEX('6층_부하량'!E3:E3000,MATCH(1,("6-DaHall 1-PDU-04"='6층_부하량'!A3:A3000)*(36='6층_부하량'!B3:B3000),0))</f>
        <v>0.0</v>
      </c>
      <c r="O309" s="157"/>
      <c r="P309" s="157" t="s">
        <v>4635</v>
      </c>
      <c r="Q309" s="143" t="s">
        <v>4723</v>
      </c>
      <c r="R309" s="342" t="s">
        <v>5428</v>
      </c>
    </row>
    <row r="310" spans="1:18" ht="16.5" x14ac:dyDescent="0.15">
      <c r="A310" s="148" t="s">
        <v>5429</v>
      </c>
      <c r="B310" s="143" t="s">
        <v>4635</v>
      </c>
      <c r="C310" s="143" t="s">
        <v>4723</v>
      </c>
      <c r="D310" s="2656" cm="1" t="n">
        <f t="array" ref="D310">INDEX('6층_부하량'!C3:C3000,MATCH(1,("6-DaHall 1-PDU-04"='6층_부하량'!A3:A3000)*(37='6층_부하량'!B3:B3000),0))</f>
        <v>0.0</v>
      </c>
      <c r="E310" s="157"/>
      <c r="F310" s="157"/>
      <c r="G310" s="157"/>
      <c r="H310" s="143" t="s">
        <v>4597</v>
      </c>
      <c r="I310" s="1471" t="s">
        <v>4706</v>
      </c>
      <c r="J310" s="155" t="s">
        <v>4707</v>
      </c>
      <c r="K310" s="143" t="s">
        <v>4597</v>
      </c>
      <c r="L310" s="2656" cm="1" t="n">
        <f t="array" ref="L310">INDEX('6층_부하량'!C3:C3000,MATCH(1,("6-DaHall 1-PDU-04"='6층_부하량'!A3:A3000)*(38='6층_부하량'!B3:B3000),0))</f>
        <v>0.0</v>
      </c>
      <c r="M310" s="157"/>
      <c r="N310" s="157"/>
      <c r="O310" s="157"/>
      <c r="P310" s="157" t="s">
        <v>4635</v>
      </c>
      <c r="Q310" s="164" t="s">
        <v>4575</v>
      </c>
      <c r="R310" s="641" t="s">
        <v>5430</v>
      </c>
    </row>
    <row r="311" spans="1:18" ht="16.5" x14ac:dyDescent="0.15">
      <c r="A311" s="148" t="s">
        <v>5431</v>
      </c>
      <c r="B311" s="143" t="s">
        <v>4635</v>
      </c>
      <c r="C311" s="143" t="s">
        <v>4723</v>
      </c>
      <c r="D311" s="157"/>
      <c r="E311" s="2656" cm="1" t="n">
        <f t="array" ref="E311">INDEX('6층_부하량'!D3:D3000,MATCH(1,("6-DaHall 1-PDU-04"='6층_부하량'!A3:A3000)*(39='6층_부하량'!B3:B3000),0))</f>
        <v>0.0</v>
      </c>
      <c r="F311" s="157"/>
      <c r="G311" s="157"/>
      <c r="H311" s="143" t="s">
        <v>4597</v>
      </c>
      <c r="I311" s="1471" t="s">
        <v>4710</v>
      </c>
      <c r="J311" s="151" t="s">
        <v>4711</v>
      </c>
      <c r="K311" s="143" t="s">
        <v>4597</v>
      </c>
      <c r="L311" s="157"/>
      <c r="M311" s="2656" cm="1" t="n">
        <f t="array" ref="M311">INDEX('6층_부하량'!D3:D3000,MATCH(1,("6-DaHall 1-PDU-04"='6층_부하량'!A3:A3000)*(40='6층_부하량'!B3:B3000),0))</f>
        <v>0.0</v>
      </c>
      <c r="N311" s="157"/>
      <c r="O311" s="157"/>
      <c r="P311" s="157" t="s">
        <v>4635</v>
      </c>
      <c r="Q311" s="164" t="s">
        <v>4575</v>
      </c>
      <c r="R311" s="342" t="s">
        <v>5432</v>
      </c>
    </row>
    <row r="312" spans="1:18" ht="16.5" x14ac:dyDescent="0.15">
      <c r="A312" s="148" t="s">
        <v>5433</v>
      </c>
      <c r="B312" s="143" t="s">
        <v>4635</v>
      </c>
      <c r="C312" s="143" t="s">
        <v>4723</v>
      </c>
      <c r="D312" s="157"/>
      <c r="E312" s="157"/>
      <c r="F312" s="2656" cm="1" t="n">
        <f t="array" ref="F312">INDEX('6층_부하량'!E3:E3000,MATCH(1,("6-DaHall 1-PDU-04"='6층_부하량'!A3:A3000)*(41='6층_부하량'!B3:B3000),0))</f>
        <v>0.0</v>
      </c>
      <c r="G312" s="157"/>
      <c r="H312" s="143" t="s">
        <v>4597</v>
      </c>
      <c r="I312" s="1471" t="s">
        <v>5055</v>
      </c>
      <c r="J312" s="151" t="s">
        <v>4843</v>
      </c>
      <c r="K312" s="143" t="s">
        <v>4597</v>
      </c>
      <c r="L312" s="157"/>
      <c r="M312" s="157"/>
      <c r="N312" s="2656" cm="1" t="n">
        <f t="array" ref="N312">INDEX('6층_부하량'!E3:E3000,MATCH(1,("6-DaHall 1-PDU-04"='6층_부하량'!A3:A3000)*(42='6층_부하량'!B3:B3000),0))</f>
        <v>0.0</v>
      </c>
      <c r="O312" s="157"/>
      <c r="P312" s="157" t="s">
        <v>4635</v>
      </c>
      <c r="Q312" s="164" t="s">
        <v>4575</v>
      </c>
      <c r="R312" s="475" t="s">
        <v>5434</v>
      </c>
    </row>
    <row r="313" spans="1:18" ht="16.5" x14ac:dyDescent="0.15">
      <c r="A313" s="148" t="s">
        <v>3146</v>
      </c>
      <c r="B313" s="143" t="s">
        <v>4635</v>
      </c>
      <c r="C313" s="143" t="s">
        <v>4723</v>
      </c>
      <c r="D313" s="2656" cm="1" t="n">
        <f t="array" ref="D313">INDEX('6층_부하량'!C3:C3000,MATCH(1,("6-DaHall 1-PDU-04"='6층_부하량'!A3:A3000)*(43='6층_부하량'!B3:B3000),0))</f>
        <v>0.0</v>
      </c>
      <c r="E313" s="157"/>
      <c r="F313" s="157"/>
      <c r="G313" s="157"/>
      <c r="H313" s="143" t="s">
        <v>4597</v>
      </c>
      <c r="I313" s="1471" t="s">
        <v>4845</v>
      </c>
      <c r="J313" s="151" t="s">
        <v>4846</v>
      </c>
      <c r="K313" s="143" t="s">
        <v>4597</v>
      </c>
      <c r="L313" s="2656" cm="1" t="n">
        <f t="array" ref="L313">INDEX('6층_부하량'!C3:C3000,MATCH(1,("6-DaHall 1-PDU-04"='6층_부하량'!A3:A3000)*(44='6층_부하량'!B3:B3000),0))</f>
        <v>0.0</v>
      </c>
      <c r="M313" s="157"/>
      <c r="N313" s="157"/>
      <c r="O313" s="157"/>
      <c r="P313" s="157" t="s">
        <v>4635</v>
      </c>
      <c r="Q313" s="164" t="s">
        <v>4575</v>
      </c>
      <c r="R313" s="342" t="s">
        <v>5435</v>
      </c>
    </row>
    <row r="314" spans="1:18" ht="16.5" x14ac:dyDescent="0.15">
      <c r="A314" s="148" t="s">
        <v>3152</v>
      </c>
      <c r="B314" s="143" t="s">
        <v>4635</v>
      </c>
      <c r="C314" s="143" t="s">
        <v>4723</v>
      </c>
      <c r="D314" s="157"/>
      <c r="E314" s="2656" cm="1" t="n">
        <f t="array" ref="E314">INDEX('6층_부하량'!D3:D3000,MATCH(1,("6-DaHall 1-PDU-04"='6층_부하량'!A3:A3000)*(45='6층_부하량'!B3:B3000),0))</f>
        <v>0.0</v>
      </c>
      <c r="F314" s="157"/>
      <c r="G314" s="157"/>
      <c r="H314" s="143" t="s">
        <v>4597</v>
      </c>
      <c r="I314" s="1471" t="s">
        <v>4847</v>
      </c>
      <c r="J314" s="151" t="s">
        <v>4848</v>
      </c>
      <c r="K314" s="143" t="s">
        <v>4597</v>
      </c>
      <c r="L314" s="157"/>
      <c r="M314" s="2656" cm="1" t="n">
        <f t="array" ref="M314">INDEX('6층_부하량'!D3:D3000,MATCH(1,("6-DaHall 1-PDU-04"='6층_부하량'!A3:A3000)*(46='6층_부하량'!B3:B3000),0))</f>
        <v>0.0</v>
      </c>
      <c r="N314" s="157"/>
      <c r="O314" s="157"/>
      <c r="P314" s="157" t="s">
        <v>4635</v>
      </c>
      <c r="Q314" s="164" t="s">
        <v>4575</v>
      </c>
      <c r="R314" s="475" t="s">
        <v>5436</v>
      </c>
    </row>
    <row r="315" spans="1:18" ht="16.5" x14ac:dyDescent="0.15">
      <c r="A315" s="148" t="s">
        <v>3158</v>
      </c>
      <c r="B315" s="143" t="s">
        <v>4635</v>
      </c>
      <c r="C315" s="143" t="s">
        <v>4723</v>
      </c>
      <c r="D315" s="157"/>
      <c r="E315" s="157"/>
      <c r="F315" s="2656" cm="1" t="n">
        <f t="array" ref="F315">INDEX('6층_부하량'!E3:E3000,MATCH(1,("6-DaHall 1-PDU-04"='6층_부하량'!A3:A3000)*(47='6층_부하량'!B3:B3000),0))</f>
        <v>0.0</v>
      </c>
      <c r="G315" s="157"/>
      <c r="H315" s="143" t="s">
        <v>4597</v>
      </c>
      <c r="I315" s="1471" t="s">
        <v>4849</v>
      </c>
      <c r="J315" s="151" t="s">
        <v>4850</v>
      </c>
      <c r="K315" s="143" t="s">
        <v>4597</v>
      </c>
      <c r="L315" s="157"/>
      <c r="M315" s="157"/>
      <c r="N315" s="2656" cm="1" t="n">
        <f t="array" ref="N315">INDEX('6층_부하량'!E3:E3000,MATCH(1,("6-DaHall 1-PDU-04"='6층_부하량'!A3:A3000)*(48='6층_부하량'!B3:B3000),0))</f>
        <v>0.0</v>
      </c>
      <c r="O315" s="157"/>
      <c r="P315" s="157" t="s">
        <v>4635</v>
      </c>
      <c r="Q315" s="164" t="s">
        <v>4575</v>
      </c>
      <c r="R315" s="342" t="s">
        <v>5437</v>
      </c>
    </row>
    <row r="316" spans="1:18" ht="14.25" thickBot="1" x14ac:dyDescent="0.2">
      <c r="A316" s="165"/>
      <c r="B316" s="166" t="s">
        <v>565</v>
      </c>
      <c r="C316" s="166" t="s">
        <v>4723</v>
      </c>
      <c r="D316" s="2659" cm="1" t="n">
        <f t="array" ref="D316">INDEX('6층_부하량'!C3:C3000,MATCH(1,("6-DaHall 1-PDU-04"='6층_부하량'!A3:A3000)*(49='6층_부하량'!B3:B3000),0))</f>
        <v>0.0</v>
      </c>
      <c r="E316" s="167"/>
      <c r="F316" s="167"/>
      <c r="G316" s="167"/>
      <c r="H316" s="166" t="s">
        <v>4597</v>
      </c>
      <c r="I316" s="1472" t="s">
        <v>4851</v>
      </c>
      <c r="J316" s="1482" t="s">
        <v>4852</v>
      </c>
      <c r="K316" s="166" t="s">
        <v>4597</v>
      </c>
      <c r="L316" s="2659" cm="1" t="n">
        <f t="array" ref="L316">INDEX('6층_부하량'!C3:C3000,MATCH(1,("6-DaHall 1-PDU-04"='6층_부하량'!A3:A3000)*(50='6층_부하량'!B3:B3000),0))</f>
        <v>0.0</v>
      </c>
      <c r="M316" s="167"/>
      <c r="N316" s="167"/>
      <c r="O316" s="167"/>
      <c r="P316" s="167" t="s">
        <v>565</v>
      </c>
      <c r="Q316" s="166" t="s">
        <v>4723</v>
      </c>
      <c r="R316" s="170"/>
    </row>
    <row r="317" spans="1:18" ht="14.25" thickTop="1" x14ac:dyDescent="0.15">
      <c r="A317" s="128"/>
      <c r="B317" s="128"/>
      <c r="C317" s="128"/>
      <c r="D317" s="128"/>
      <c r="E317" s="128"/>
      <c r="F317" s="128"/>
      <c r="G317" s="128"/>
      <c r="H317" s="128"/>
      <c r="I317" s="128"/>
      <c r="J317" s="128"/>
      <c r="K317" s="128" t="s">
        <v>4713</v>
      </c>
      <c r="L317" s="128" t="n">
        <f>SUM(D292:D316,L292:L316)</f>
        <v>3.9400000000000004</v>
      </c>
      <c r="M317" s="128" t="n">
        <f>SUM(E292:E316,M292:M316)</f>
        <v>2.66</v>
      </c>
      <c r="N317" s="128" t="n">
        <f>SUM(F292:F316,N292:N316)</f>
        <v>0.83</v>
      </c>
      <c r="O317" s="128"/>
      <c r="P317" s="128"/>
      <c r="Q317" s="128"/>
      <c r="R317" s="128"/>
    </row>
    <row r="318" spans="1:18" ht="14.25" thickBot="1" x14ac:dyDescent="0.2">
      <c r="A318" s="128"/>
      <c r="B318" s="128"/>
      <c r="C318" s="128"/>
      <c r="D318" s="128"/>
      <c r="E318" s="128"/>
      <c r="F318" s="128"/>
      <c r="G318" s="128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</row>
    <row r="319" spans="1:18" ht="15" thickTop="1" thickBot="1" x14ac:dyDescent="0.2">
      <c r="A319" s="173" t="s">
        <v>7007</v>
      </c>
      <c r="B319" s="128"/>
      <c r="C319" s="3660" t="s">
        <v>5438</v>
      </c>
      <c r="D319" s="3660"/>
      <c r="E319" s="3660"/>
      <c r="F319" s="173"/>
      <c r="G319" s="173"/>
      <c r="H319" s="133"/>
      <c r="I319" s="3665" t="s">
        <v>4715</v>
      </c>
      <c r="J319" s="3666"/>
      <c r="K319" s="133"/>
      <c r="L319" s="173"/>
      <c r="M319" s="173"/>
      <c r="N319" s="173"/>
      <c r="O319" s="173"/>
      <c r="P319" s="173"/>
      <c r="Q319" s="173"/>
      <c r="R319" s="128"/>
    </row>
    <row r="320" spans="1:18" ht="15" thickTop="1" thickBot="1" x14ac:dyDescent="0.2">
      <c r="A320" s="127"/>
      <c r="B320" s="128"/>
      <c r="C320" s="128"/>
      <c r="D320" s="129"/>
      <c r="E320" s="129"/>
      <c r="F320" s="130"/>
      <c r="G320" s="129"/>
      <c r="H320" s="131"/>
      <c r="I320" s="128"/>
      <c r="J320" s="132"/>
      <c r="K320" s="1371" t="s">
        <v>4562</v>
      </c>
      <c r="L320" s="1368">
        <v>19.5</v>
      </c>
      <c r="M320" s="1369">
        <v>43.6</v>
      </c>
      <c r="N320" s="1370">
        <v>27</v>
      </c>
      <c r="O320" s="508" t="s">
        <v>4563</v>
      </c>
      <c r="P320" s="133"/>
      <c r="Q320" s="128"/>
      <c r="R320" s="528"/>
    </row>
    <row r="321" spans="1:18" ht="15" thickTop="1" thickBot="1" x14ac:dyDescent="0.2">
      <c r="A321" s="134" t="s">
        <v>4564</v>
      </c>
      <c r="B321" s="135" t="s">
        <v>5031</v>
      </c>
      <c r="C321" s="136" t="s">
        <v>4566</v>
      </c>
      <c r="D321" s="135" t="s">
        <v>5032</v>
      </c>
      <c r="E321" s="135" t="s">
        <v>5033</v>
      </c>
      <c r="F321" s="135" t="s">
        <v>5034</v>
      </c>
      <c r="G321" s="135" t="s">
        <v>5035</v>
      </c>
      <c r="H321" s="135" t="s">
        <v>5036</v>
      </c>
      <c r="I321" s="138" t="s">
        <v>5037</v>
      </c>
      <c r="J321" s="139" t="s">
        <v>5037</v>
      </c>
      <c r="K321" s="135" t="s">
        <v>5036</v>
      </c>
      <c r="L321" s="135" t="s">
        <v>5032</v>
      </c>
      <c r="M321" s="135" t="s">
        <v>5033</v>
      </c>
      <c r="N321" s="135" t="s">
        <v>5034</v>
      </c>
      <c r="O321" s="135" t="s">
        <v>5035</v>
      </c>
      <c r="P321" s="135" t="s">
        <v>5031</v>
      </c>
      <c r="Q321" s="136" t="s">
        <v>4566</v>
      </c>
      <c r="R321" s="140" t="s">
        <v>4564</v>
      </c>
    </row>
    <row r="322" spans="1:18" ht="17.25" thickTop="1" x14ac:dyDescent="0.15">
      <c r="A322" s="277" t="s">
        <v>5439</v>
      </c>
      <c r="B322" s="142" t="s">
        <v>4635</v>
      </c>
      <c r="C322" s="152" t="s">
        <v>4575</v>
      </c>
      <c r="D322" s="144"/>
      <c r="E322" s="2654" cm="1" t="n">
        <f t="array" ref="E322">INDEX('6층_부하량'!D3:D3000,MATCH(1,("6-DaHall 1-PDU-05"='6층_부하량'!A3:A3000)*(1='6층_부하량'!B3:B3000),0))</f>
        <v>0.0</v>
      </c>
      <c r="F322" s="144"/>
      <c r="G322" s="144"/>
      <c r="H322" s="142" t="s">
        <v>4597</v>
      </c>
      <c r="I322" s="145" t="s">
        <v>4633</v>
      </c>
      <c r="J322" s="146" t="s">
        <v>4578</v>
      </c>
      <c r="K322" s="142" t="s">
        <v>4597</v>
      </c>
      <c r="L322" s="144"/>
      <c r="M322" s="2654" cm="1" t="n">
        <f t="array" ref="M322">INDEX('6층_부하량'!D3:D3000,MATCH(1,("6-DaHall 1-PDU-05"='6층_부하량'!A3:A3000)*(2='6층_부하량'!B3:B3000),0))</f>
        <v>0.0</v>
      </c>
      <c r="N322" s="144"/>
      <c r="O322" s="144"/>
      <c r="P322" s="142" t="s">
        <v>4635</v>
      </c>
      <c r="Q322" s="152" t="s">
        <v>4575</v>
      </c>
      <c r="R322" s="618" t="s">
        <v>5440</v>
      </c>
    </row>
    <row r="323" spans="1:18" ht="16.5" x14ac:dyDescent="0.15">
      <c r="A323" s="278" t="s">
        <v>5441</v>
      </c>
      <c r="B323" s="143" t="s">
        <v>4635</v>
      </c>
      <c r="C323" s="164" t="s">
        <v>4575</v>
      </c>
      <c r="D323" s="149"/>
      <c r="E323" s="149"/>
      <c r="F323" s="2655" cm="1" t="n">
        <f t="array" ref="F323">INDEX('6층_부하량'!E3:E3000,MATCH(1,("6-DaHall 1-PDU-05"='6층_부하량'!A3:A3000)*(3='6층_부하량'!B3:B3000),0))</f>
        <v>0.0</v>
      </c>
      <c r="G323" s="149"/>
      <c r="H323" s="143" t="s">
        <v>4597</v>
      </c>
      <c r="I323" s="150" t="s">
        <v>4638</v>
      </c>
      <c r="J323" s="151" t="s">
        <v>4583</v>
      </c>
      <c r="K323" s="143" t="s">
        <v>4597</v>
      </c>
      <c r="L323" s="149"/>
      <c r="M323" s="149"/>
      <c r="N323" s="2655" cm="1" t="n">
        <f t="array" ref="N323">INDEX('6층_부하량'!E3:E3000,MATCH(1,("6-DaHall 1-PDU-05"='6층_부하량'!A3:A3000)*(4='6층_부하량'!B3:B3000),0))</f>
        <v>0.0</v>
      </c>
      <c r="O323" s="149"/>
      <c r="P323" s="149" t="s">
        <v>4635</v>
      </c>
      <c r="Q323" s="164" t="s">
        <v>4575</v>
      </c>
      <c r="R323" s="342" t="s">
        <v>5442</v>
      </c>
    </row>
    <row r="324" spans="1:18" ht="16.5" x14ac:dyDescent="0.15">
      <c r="A324" s="148" t="s">
        <v>5443</v>
      </c>
      <c r="B324" s="143" t="s">
        <v>4635</v>
      </c>
      <c r="C324" s="143" t="s">
        <v>4723</v>
      </c>
      <c r="D324" s="2656" cm="1" t="n">
        <f t="array" ref="D324">INDEX('6층_부하량'!C3:C3000,MATCH(1,("6-DaHall 1-PDU-05"='6층_부하량'!A3:A3000)*(5='6층_부하량'!B3:B3000),0))</f>
        <v>0.0</v>
      </c>
      <c r="E324" s="157"/>
      <c r="F324" s="157"/>
      <c r="G324" s="157"/>
      <c r="H324" s="143" t="s">
        <v>4597</v>
      </c>
      <c r="I324" s="1471" t="s">
        <v>4641</v>
      </c>
      <c r="J324" s="151" t="s">
        <v>4588</v>
      </c>
      <c r="K324" s="143" t="s">
        <v>4597</v>
      </c>
      <c r="L324" s="2656" cm="1" t="n">
        <f t="array" ref="L324">INDEX('6층_부하량'!C3:C3000,MATCH(1,("6-DaHall 1-PDU-05"='6층_부하량'!A3:A3000)*(6='6층_부하량'!B3:B3000),0))</f>
        <v>0.7</v>
      </c>
      <c r="M324" s="157"/>
      <c r="N324" s="157"/>
      <c r="O324" s="157"/>
      <c r="P324" s="157" t="s">
        <v>4635</v>
      </c>
      <c r="Q324" s="164" t="s">
        <v>4575</v>
      </c>
      <c r="R324" s="342" t="s">
        <v>5444</v>
      </c>
    </row>
    <row r="325" spans="1:18" ht="16.5" x14ac:dyDescent="0.15">
      <c r="A325" s="260" t="s">
        <v>5445</v>
      </c>
      <c r="B325" s="143" t="s">
        <v>4635</v>
      </c>
      <c r="C325" s="164" t="s">
        <v>4575</v>
      </c>
      <c r="D325" s="157"/>
      <c r="E325" s="2656" cm="1" t="n">
        <f t="array" ref="E325">INDEX('6층_부하량'!D3:D3000,MATCH(1,("6-DaHall 1-PDU-05"='6층_부하량'!A3:A3000)*(7='6층_부하량'!B3:B3000),0))</f>
        <v>0.0</v>
      </c>
      <c r="F325" s="157"/>
      <c r="G325" s="157"/>
      <c r="H325" s="143" t="s">
        <v>4597</v>
      </c>
      <c r="I325" s="150" t="s">
        <v>4645</v>
      </c>
      <c r="J325" s="151" t="s">
        <v>4593</v>
      </c>
      <c r="K325" s="143" t="s">
        <v>4597</v>
      </c>
      <c r="L325" s="157"/>
      <c r="M325" s="2656" cm="1" t="n">
        <f t="array" ref="M325">INDEX('6층_부하량'!D3:D3000,MATCH(1,("6-DaHall 1-PDU-05"='6층_부하량'!A3:A3000)*(8='6층_부하량'!B3:B3000),0))</f>
        <v>2.38</v>
      </c>
      <c r="N325" s="157"/>
      <c r="O325" s="157"/>
      <c r="P325" s="157" t="s">
        <v>4635</v>
      </c>
      <c r="Q325" s="164" t="s">
        <v>4575</v>
      </c>
      <c r="R325" s="342" t="s">
        <v>5446</v>
      </c>
    </row>
    <row r="326" spans="1:18" ht="16.5" x14ac:dyDescent="0.15">
      <c r="A326" s="258" t="s">
        <v>5447</v>
      </c>
      <c r="B326" s="143" t="s">
        <v>4635</v>
      </c>
      <c r="C326" s="164" t="s">
        <v>4575</v>
      </c>
      <c r="D326" s="157"/>
      <c r="E326" s="157"/>
      <c r="F326" s="2656" cm="1" t="n">
        <f t="array" ref="F326">INDEX('6층_부하량'!E3:E3000,MATCH(1,("6-DaHall 1-PDU-05"='6층_부하량'!A3:A3000)*(9='6층_부하량'!B3:B3000),0))</f>
        <v>0.0</v>
      </c>
      <c r="G326" s="157"/>
      <c r="H326" s="143" t="s">
        <v>4597</v>
      </c>
      <c r="I326" s="150" t="s">
        <v>4648</v>
      </c>
      <c r="J326" s="151" t="s">
        <v>4596</v>
      </c>
      <c r="K326" s="143" t="s">
        <v>4597</v>
      </c>
      <c r="L326" s="157"/>
      <c r="M326" s="157"/>
      <c r="N326" s="2656" cm="1" t="n">
        <f t="array" ref="N326">INDEX('6층_부하량'!E3:E3000,MATCH(1,("6-DaHall 1-PDU-05"='6층_부하량'!A3:A3000)*(10='6층_부하량'!B3:B3000),0))</f>
        <v>0.0</v>
      </c>
      <c r="O326" s="157"/>
      <c r="P326" s="157" t="s">
        <v>4635</v>
      </c>
      <c r="Q326" s="164" t="s">
        <v>4575</v>
      </c>
      <c r="R326" s="342" t="s">
        <v>5448</v>
      </c>
    </row>
    <row r="327" spans="1:18" ht="16.5" x14ac:dyDescent="0.15">
      <c r="A327" s="632" t="s">
        <v>5449</v>
      </c>
      <c r="B327" s="143" t="s">
        <v>4635</v>
      </c>
      <c r="C327" s="164" t="s">
        <v>4575</v>
      </c>
      <c r="D327" s="2656" cm="1" t="n">
        <f t="array" ref="D327">INDEX('6층_부하량'!C3:C3000,MATCH(1,("6-DaHall 1-PDU-05"='6층_부하량'!A3:A3000)*(11='6층_부하량'!B3:B3000),0))</f>
        <v>0.0</v>
      </c>
      <c r="E327" s="157"/>
      <c r="F327" s="157"/>
      <c r="G327" s="157"/>
      <c r="H327" s="143" t="s">
        <v>4597</v>
      </c>
      <c r="I327" s="150" t="s">
        <v>4653</v>
      </c>
      <c r="J327" s="151" t="s">
        <v>4599</v>
      </c>
      <c r="K327" s="143" t="s">
        <v>4597</v>
      </c>
      <c r="L327" s="2656" cm="1" t="n">
        <f t="array" ref="L327">INDEX('6층_부하량'!C3:C3000,MATCH(1,("6-DaHall 1-PDU-05"='6층_부하량'!A3:A3000)*(12='6층_부하량'!B3:B3000),0))</f>
        <v>0.0</v>
      </c>
      <c r="M327" s="157"/>
      <c r="N327" s="157"/>
      <c r="O327" s="157"/>
      <c r="P327" s="157" t="s">
        <v>4635</v>
      </c>
      <c r="Q327" s="164" t="s">
        <v>4575</v>
      </c>
      <c r="R327" s="342" t="s">
        <v>5450</v>
      </c>
    </row>
    <row r="328" spans="1:18" ht="16.5" x14ac:dyDescent="0.15">
      <c r="A328" s="607" t="s">
        <v>5451</v>
      </c>
      <c r="B328" s="143" t="s">
        <v>4635</v>
      </c>
      <c r="C328" s="164" t="s">
        <v>4575</v>
      </c>
      <c r="D328" s="157"/>
      <c r="E328" s="2656" cm="1" t="n">
        <f t="array" ref="E328">INDEX('6층_부하량'!D3:D3000,MATCH(1,("6-DaHall 1-PDU-05"='6층_부하량'!A3:A3000)*(13='6층_부하량'!B3:B3000),0))</f>
        <v>2.0</v>
      </c>
      <c r="F328" s="157"/>
      <c r="G328" s="157"/>
      <c r="H328" s="143" t="s">
        <v>4597</v>
      </c>
      <c r="I328" s="150" t="s">
        <v>4657</v>
      </c>
      <c r="J328" s="155" t="s">
        <v>4601</v>
      </c>
      <c r="K328" s="143" t="s">
        <v>4597</v>
      </c>
      <c r="L328" s="157"/>
      <c r="M328" s="2656" cm="1" t="n">
        <f t="array" ref="M328">INDEX('6층_부하량'!D3:D3000,MATCH(1,("6-DaHall 1-PDU-05"='6층_부하량'!A3:A3000)*(14='6층_부하량'!B3:B3000),0))</f>
        <v>3.2</v>
      </c>
      <c r="N328" s="157"/>
      <c r="O328" s="157"/>
      <c r="P328" s="157" t="s">
        <v>4635</v>
      </c>
      <c r="Q328" s="164" t="s">
        <v>4575</v>
      </c>
      <c r="R328" s="342" t="s">
        <v>5452</v>
      </c>
    </row>
    <row r="329" spans="1:18" ht="16.5" x14ac:dyDescent="0.15">
      <c r="A329" s="632" t="s">
        <v>5453</v>
      </c>
      <c r="B329" s="143" t="s">
        <v>4635</v>
      </c>
      <c r="C329" s="164" t="s">
        <v>4575</v>
      </c>
      <c r="D329" s="157"/>
      <c r="E329" s="157"/>
      <c r="F329" s="2656" cm="1" t="n">
        <f t="array" ref="F329">INDEX('6층_부하량'!E3:E3000,MATCH(1,("6-DaHall 1-PDU-05"='6층_부하량'!A3:A3000)*(15='6층_부하량'!B3:B3000),0))</f>
        <v>2.5</v>
      </c>
      <c r="G329" s="157"/>
      <c r="H329" s="143" t="s">
        <v>4597</v>
      </c>
      <c r="I329" s="150" t="s">
        <v>4661</v>
      </c>
      <c r="J329" s="155" t="s">
        <v>4603</v>
      </c>
      <c r="K329" s="143" t="s">
        <v>4597</v>
      </c>
      <c r="L329" s="157"/>
      <c r="M329" s="157"/>
      <c r="N329" s="2656" cm="1" t="n">
        <f t="array" ref="N329">INDEX('6층_부하량'!E3:E3000,MATCH(1,("6-DaHall 1-PDU-05"='6층_부하량'!A3:A3000)*(16='6층_부하량'!B3:B3000),0))</f>
        <v>1.53</v>
      </c>
      <c r="O329" s="157"/>
      <c r="P329" s="157" t="s">
        <v>4635</v>
      </c>
      <c r="Q329" s="164" t="s">
        <v>4575</v>
      </c>
      <c r="R329" s="342" t="s">
        <v>5454</v>
      </c>
    </row>
    <row r="330" spans="1:18" ht="16.5" x14ac:dyDescent="0.15">
      <c r="A330" s="607" t="s">
        <v>5455</v>
      </c>
      <c r="B330" s="143" t="s">
        <v>4635</v>
      </c>
      <c r="C330" s="164" t="s">
        <v>4575</v>
      </c>
      <c r="D330" s="2656" cm="1" t="n">
        <f t="array" ref="D330">INDEX('6층_부하량'!C3:C3000,MATCH(1,("6-DaHall 1-PDU-05"='6층_부하량'!A3:A3000)*(17='6층_부하량'!B3:B3000),0))</f>
        <v>0.86</v>
      </c>
      <c r="E330" s="157"/>
      <c r="F330" s="157"/>
      <c r="G330" s="157"/>
      <c r="H330" s="143" t="s">
        <v>4597</v>
      </c>
      <c r="I330" s="150" t="s">
        <v>4665</v>
      </c>
      <c r="J330" s="1460" t="s">
        <v>4605</v>
      </c>
      <c r="K330" s="143" t="s">
        <v>4597</v>
      </c>
      <c r="L330" s="2656" cm="1" t="n">
        <f t="array" ref="L330">INDEX('6층_부하량'!C3:C3000,MATCH(1,("6-DaHall 1-PDU-05"='6층_부하량'!A3:A3000)*(18='6층_부하량'!B3:B3000),0))</f>
        <v>0.0</v>
      </c>
      <c r="M330" s="157"/>
      <c r="N330" s="157"/>
      <c r="O330" s="157"/>
      <c r="P330" s="157" t="s">
        <v>4635</v>
      </c>
      <c r="Q330" s="143" t="s">
        <v>4723</v>
      </c>
      <c r="R330" s="153" t="s">
        <v>5456</v>
      </c>
    </row>
    <row r="331" spans="1:18" ht="16.5" x14ac:dyDescent="0.15">
      <c r="A331" s="632" t="s">
        <v>5457</v>
      </c>
      <c r="B331" s="143" t="s">
        <v>4635</v>
      </c>
      <c r="C331" s="164" t="s">
        <v>4575</v>
      </c>
      <c r="D331" s="157"/>
      <c r="E331" s="2656" cm="1" t="n">
        <f t="array" ref="E331">INDEX('6층_부하량'!D3:D3000,MATCH(1,("6-DaHall 1-PDU-05"='6층_부하량'!A3:A3000)*(19='6층_부하량'!B3:B3000),0))</f>
        <v>0.0</v>
      </c>
      <c r="F331" s="157"/>
      <c r="G331" s="157"/>
      <c r="H331" s="143" t="s">
        <v>4597</v>
      </c>
      <c r="I331" s="150" t="s">
        <v>4670</v>
      </c>
      <c r="J331" s="151" t="s">
        <v>4609</v>
      </c>
      <c r="K331" s="143" t="s">
        <v>4597</v>
      </c>
      <c r="L331" s="157"/>
      <c r="M331" s="2656" cm="1" t="n">
        <f t="array" ref="M331">INDEX('6층_부하량'!D3:D3000,MATCH(1,("6-DaHall 1-PDU-05"='6층_부하량'!A3:A3000)*(20='6층_부하량'!B3:B3000),0))</f>
        <v>0.0</v>
      </c>
      <c r="N331" s="157"/>
      <c r="O331" s="157"/>
      <c r="P331" s="157" t="s">
        <v>4635</v>
      </c>
      <c r="Q331" s="164" t="s">
        <v>4575</v>
      </c>
      <c r="R331" s="342" t="s">
        <v>5458</v>
      </c>
    </row>
    <row r="332" spans="1:18" ht="16.5" x14ac:dyDescent="0.15">
      <c r="A332" s="148" t="s">
        <v>5459</v>
      </c>
      <c r="B332" s="143" t="s">
        <v>4635</v>
      </c>
      <c r="C332" s="143" t="s">
        <v>4723</v>
      </c>
      <c r="D332" s="157"/>
      <c r="E332" s="157"/>
      <c r="F332" s="2656" cm="1" t="n">
        <f t="array" ref="F332">INDEX('6층_부하량'!E3:E3000,MATCH(1,("6-DaHall 1-PDU-05"='6층_부하량'!A3:A3000)*(21='6층_부하량'!B3:B3000),0))</f>
        <v>0.0</v>
      </c>
      <c r="G332" s="157"/>
      <c r="H332" s="143" t="s">
        <v>4597</v>
      </c>
      <c r="I332" s="1471" t="s">
        <v>4674</v>
      </c>
      <c r="J332" s="151" t="s">
        <v>4613</v>
      </c>
      <c r="K332" s="143" t="s">
        <v>4597</v>
      </c>
      <c r="L332" s="157"/>
      <c r="M332" s="157"/>
      <c r="N332" s="2656" cm="1" t="n">
        <f t="array" ref="N332">INDEX('6층_부하량'!E3:E3000,MATCH(1,("6-DaHall 1-PDU-05"='6층_부하량'!A3:A3000)*(22='6층_부하량'!B3:B3000),0))</f>
        <v>0.0</v>
      </c>
      <c r="O332" s="157"/>
      <c r="P332" s="157" t="s">
        <v>4635</v>
      </c>
      <c r="Q332" s="164" t="s">
        <v>4575</v>
      </c>
      <c r="R332" s="342" t="s">
        <v>5460</v>
      </c>
    </row>
    <row r="333" spans="1:18" ht="16.5" x14ac:dyDescent="0.15">
      <c r="A333" s="2330" t="s">
        <v>5461</v>
      </c>
      <c r="B333" s="143" t="s">
        <v>4635</v>
      </c>
      <c r="C333" s="164" t="s">
        <v>4575</v>
      </c>
      <c r="D333" s="2656" cm="1" t="n">
        <f t="array" ref="D333">INDEX('6층_부하량'!C3:C3000,MATCH(1,("6-DaHall 1-PDU-05"='6층_부하량'!A3:A3000)*(23='6층_부하량'!B3:B3000),0))</f>
        <v>0.0</v>
      </c>
      <c r="E333" s="157"/>
      <c r="F333" s="157"/>
      <c r="G333" s="157"/>
      <c r="H333" s="143" t="s">
        <v>4597</v>
      </c>
      <c r="I333" s="150" t="s">
        <v>4678</v>
      </c>
      <c r="J333" s="151" t="s">
        <v>4680</v>
      </c>
      <c r="K333" s="143" t="s">
        <v>4597</v>
      </c>
      <c r="L333" s="2656" cm="1" t="n">
        <f t="array" ref="L333">INDEX('6층_부하량'!C3:C3000,MATCH(1,("6-DaHall 1-PDU-05"='6층_부하량'!A3:A3000)*(24='6층_부하량'!B3:B3000),0))</f>
        <v>0.0</v>
      </c>
      <c r="M333" s="157"/>
      <c r="N333" s="157"/>
      <c r="O333" s="157"/>
      <c r="P333" s="157" t="s">
        <v>4635</v>
      </c>
      <c r="Q333" s="164" t="s">
        <v>4575</v>
      </c>
      <c r="R333" s="342" t="s">
        <v>5462</v>
      </c>
    </row>
    <row r="334" spans="1:18" ht="16.5" x14ac:dyDescent="0.15">
      <c r="A334" s="607" t="s">
        <v>5463</v>
      </c>
      <c r="B334" s="143" t="s">
        <v>4635</v>
      </c>
      <c r="C334" s="164" t="s">
        <v>4575</v>
      </c>
      <c r="D334" s="157"/>
      <c r="E334" s="2656" cm="1" t="n">
        <f t="array" ref="E334">INDEX('6층_부하량'!D3:D3000,MATCH(1,("6-DaHall 1-PDU-05"='6층_부하량'!A3:A3000)*(25='6층_부하량'!B3:B3000),0))</f>
        <v>0.0</v>
      </c>
      <c r="F334" s="157"/>
      <c r="G334" s="157"/>
      <c r="H334" s="143" t="s">
        <v>4597</v>
      </c>
      <c r="I334" s="150" t="s">
        <v>4683</v>
      </c>
      <c r="J334" s="151" t="s">
        <v>4685</v>
      </c>
      <c r="K334" s="143" t="s">
        <v>4597</v>
      </c>
      <c r="L334" s="157"/>
      <c r="M334" s="2656" cm="1" t="n">
        <f t="array" ref="M334">INDEX('6층_부하량'!D3:D3000,MATCH(1,("6-DaHall 1-PDU-05"='6층_부하량'!A3:A3000)*(26='6층_부하량'!B3:B3000),0))</f>
        <v>0.0</v>
      </c>
      <c r="N334" s="157"/>
      <c r="O334" s="157"/>
      <c r="P334" s="157" t="s">
        <v>4635</v>
      </c>
      <c r="Q334" s="164" t="s">
        <v>4575</v>
      </c>
      <c r="R334" s="342" t="s">
        <v>5464</v>
      </c>
    </row>
    <row r="335" spans="1:18" ht="17.25" thickBot="1" x14ac:dyDescent="0.2">
      <c r="A335" s="623" t="s">
        <v>5465</v>
      </c>
      <c r="B335" s="176" t="s">
        <v>4635</v>
      </c>
      <c r="C335" s="185" t="s">
        <v>4575</v>
      </c>
      <c r="D335" s="177"/>
      <c r="E335" s="177"/>
      <c r="F335" s="2661" cm="1" t="n">
        <f t="array" ref="F335">INDEX('6층_부하량'!E3:E3000,MATCH(1,("6-DaHall 1-PDU-05"='6층_부하량'!A3:A3000)*(27='6층_부하량'!B3:B3000),0))</f>
        <v>0.25</v>
      </c>
      <c r="G335" s="177"/>
      <c r="H335" s="176" t="s">
        <v>4597</v>
      </c>
      <c r="I335" s="186" t="s">
        <v>4688</v>
      </c>
      <c r="J335" s="187" t="s">
        <v>4689</v>
      </c>
      <c r="K335" s="176" t="s">
        <v>4597</v>
      </c>
      <c r="L335" s="177"/>
      <c r="M335" s="177"/>
      <c r="N335" s="2661" cm="1" t="n">
        <f t="array" ref="N335">INDEX('6층_부하량'!E3:E3000,MATCH(1,("6-DaHall 1-PDU-05"='6층_부하량'!A3:A3000)*(28='6층_부하량'!B3:B3000),0))</f>
        <v>0.0</v>
      </c>
      <c r="O335" s="177"/>
      <c r="P335" s="177" t="s">
        <v>4635</v>
      </c>
      <c r="Q335" s="185" t="s">
        <v>4575</v>
      </c>
      <c r="R335" s="477" t="s">
        <v>5466</v>
      </c>
    </row>
    <row r="336" spans="1:18" ht="17.25" thickTop="1" x14ac:dyDescent="0.15">
      <c r="A336" s="632" t="s">
        <v>5467</v>
      </c>
      <c r="B336" s="156" t="s">
        <v>4635</v>
      </c>
      <c r="C336" s="152" t="s">
        <v>4575</v>
      </c>
      <c r="D336" s="2658" cm="1" t="n">
        <f t="array" ref="D336">INDEX('6층_부하량'!C3:C3000,MATCH(1,("6-DaHall 1-PDU-05"='6층_부하량'!A3:A3000)*(29='6층_부하량'!B3:B3000),0))</f>
        <v>0.0</v>
      </c>
      <c r="E336" s="179"/>
      <c r="F336" s="179"/>
      <c r="G336" s="179"/>
      <c r="H336" s="156" t="s">
        <v>4597</v>
      </c>
      <c r="I336" s="193" t="s">
        <v>4691</v>
      </c>
      <c r="J336" s="188" t="s">
        <v>4692</v>
      </c>
      <c r="K336" s="156" t="s">
        <v>4597</v>
      </c>
      <c r="L336" s="2658" cm="1" t="n">
        <f t="array" ref="L336">INDEX('6층_부하량'!C3:C3000,MATCH(1,("6-DaHall 1-PDU-05"='6층_부하량'!A3:A3000)*(30='6층_부하량'!B3:B3000),0))</f>
        <v>0.0</v>
      </c>
      <c r="M336" s="179"/>
      <c r="N336" s="179"/>
      <c r="O336" s="179"/>
      <c r="P336" s="179" t="s">
        <v>4635</v>
      </c>
      <c r="Q336" s="152" t="s">
        <v>4575</v>
      </c>
      <c r="R336" s="475" t="s">
        <v>5468</v>
      </c>
    </row>
    <row r="337" spans="1:18" ht="16.5" x14ac:dyDescent="0.15">
      <c r="A337" s="607" t="s">
        <v>5469</v>
      </c>
      <c r="B337" s="143" t="s">
        <v>4635</v>
      </c>
      <c r="C337" s="164" t="s">
        <v>4575</v>
      </c>
      <c r="D337" s="157"/>
      <c r="E337" s="2656" cm="1" t="n">
        <f t="array" ref="E337">INDEX('6층_부하량'!D3:D3000,MATCH(1,("6-DaHall 1-PDU-05"='6층_부하량'!A3:A3000)*(31='6층_부하량'!B3:B3000),0))</f>
        <v>1.52</v>
      </c>
      <c r="F337" s="157"/>
      <c r="G337" s="157"/>
      <c r="H337" s="143" t="s">
        <v>4597</v>
      </c>
      <c r="I337" s="150" t="s">
        <v>4693</v>
      </c>
      <c r="J337" s="151" t="s">
        <v>4694</v>
      </c>
      <c r="K337" s="143" t="s">
        <v>4597</v>
      </c>
      <c r="L337" s="157"/>
      <c r="M337" s="2656" cm="1" t="n">
        <f t="array" ref="M337">INDEX('6층_부하량'!D3:D3000,MATCH(1,("6-DaHall 1-PDU-05"='6층_부하량'!A3:A3000)*(32='6층_부하량'!B3:B3000),0))</f>
        <v>0.0</v>
      </c>
      <c r="N337" s="157"/>
      <c r="O337" s="157"/>
      <c r="P337" s="157" t="s">
        <v>4635</v>
      </c>
      <c r="Q337" s="164" t="s">
        <v>4575</v>
      </c>
      <c r="R337" s="342" t="s">
        <v>5470</v>
      </c>
    </row>
    <row r="338" spans="1:18" ht="16.5" x14ac:dyDescent="0.15">
      <c r="A338" s="607" t="s">
        <v>5471</v>
      </c>
      <c r="B338" s="143" t="s">
        <v>4635</v>
      </c>
      <c r="C338" s="164" t="s">
        <v>4575</v>
      </c>
      <c r="D338" s="157"/>
      <c r="E338" s="157"/>
      <c r="F338" s="2656" cm="1" t="n">
        <f t="array" ref="F338">INDEX('6층_부하량'!E3:E3000,MATCH(1,("6-DaHall 1-PDU-05"='6층_부하량'!A3:A3000)*(33='6층_부하량'!B3:B3000),0))</f>
        <v>1.11</v>
      </c>
      <c r="G338" s="157"/>
      <c r="H338" s="143" t="s">
        <v>4597</v>
      </c>
      <c r="I338" s="150" t="s">
        <v>4697</v>
      </c>
      <c r="J338" s="151" t="s">
        <v>4698</v>
      </c>
      <c r="K338" s="143" t="s">
        <v>4597</v>
      </c>
      <c r="L338" s="157"/>
      <c r="M338" s="157"/>
      <c r="N338" s="2656" cm="1" t="n">
        <f t="array" ref="N338">INDEX('6층_부하량'!E3:E3000,MATCH(1,("6-DaHall 1-PDU-05"='6층_부하량'!A3:A3000)*(34='6층_부하량'!B3:B3000),0))</f>
        <v>0.0</v>
      </c>
      <c r="O338" s="157"/>
      <c r="P338" s="157" t="s">
        <v>4635</v>
      </c>
      <c r="Q338" s="164" t="s">
        <v>4575</v>
      </c>
      <c r="R338" s="342" t="s">
        <v>5472</v>
      </c>
    </row>
    <row r="339" spans="1:18" ht="16.5" x14ac:dyDescent="0.15">
      <c r="A339" s="607" t="s">
        <v>5473</v>
      </c>
      <c r="B339" s="143" t="s">
        <v>4635</v>
      </c>
      <c r="C339" s="164" t="s">
        <v>4575</v>
      </c>
      <c r="D339" s="2656" cm="1" t="n">
        <f t="array" ref="D339">INDEX('6층_부하량'!C3:C3000,MATCH(1,("6-DaHall 1-PDU-05"='6층_부하량'!A3:A3000)*(35='6층_부하량'!B3:B3000),0))</f>
        <v>0.67</v>
      </c>
      <c r="E339" s="157"/>
      <c r="F339" s="157"/>
      <c r="G339" s="157"/>
      <c r="H339" s="143" t="s">
        <v>4597</v>
      </c>
      <c r="I339" s="293" t="s">
        <v>4701</v>
      </c>
      <c r="J339" s="151" t="s">
        <v>4703</v>
      </c>
      <c r="K339" s="143" t="s">
        <v>4597</v>
      </c>
      <c r="L339" s="2656" cm="1" t="n">
        <f t="array" ref="L339">INDEX('6층_부하량'!C3:C3000,MATCH(1,("6-DaHall 1-PDU-05"='6층_부하량'!A3:A3000)*(36='6층_부하량'!B3:B3000),0))</f>
        <v>0.0</v>
      </c>
      <c r="M339" s="157"/>
      <c r="N339" s="157"/>
      <c r="O339" s="157"/>
      <c r="P339" s="157" t="s">
        <v>4635</v>
      </c>
      <c r="Q339" s="164" t="s">
        <v>4575</v>
      </c>
      <c r="R339" s="342" t="s">
        <v>5474</v>
      </c>
    </row>
    <row r="340" spans="1:18" ht="16.5" x14ac:dyDescent="0.15">
      <c r="A340" s="607" t="s">
        <v>5475</v>
      </c>
      <c r="B340" s="143" t="s">
        <v>4635</v>
      </c>
      <c r="C340" s="164" t="s">
        <v>4575</v>
      </c>
      <c r="D340" s="157"/>
      <c r="E340" s="2664" cm="1" t="n">
        <f t="array" ref="E340">INDEX('6층_부하량'!D3:D3000,MATCH(1,("6-DaHall 1-PDU-05"='6층_부하량'!A3:A3000)*(37='6층_부하량'!B3:B3000),0))</f>
        <v>0.0</v>
      </c>
      <c r="F340" s="157"/>
      <c r="G340" s="157"/>
      <c r="H340" s="143" t="s">
        <v>4597</v>
      </c>
      <c r="I340" s="293" t="s">
        <v>4706</v>
      </c>
      <c r="J340" s="151" t="s">
        <v>4707</v>
      </c>
      <c r="K340" s="143" t="s">
        <v>4597</v>
      </c>
      <c r="L340" s="157"/>
      <c r="M340" s="2664" cm="1" t="n">
        <f t="array" ref="M340">INDEX('6층_부하량'!D3:D3000,MATCH(1,("6-DaHall 1-PDU-05"='6층_부하량'!A3:A3000)*(38='6층_부하량'!B3:B3000),0))</f>
        <v>0.0</v>
      </c>
      <c r="N340" s="157"/>
      <c r="O340" s="157"/>
      <c r="P340" s="157" t="s">
        <v>4635</v>
      </c>
      <c r="Q340" s="164" t="s">
        <v>4575</v>
      </c>
      <c r="R340" s="342" t="s">
        <v>5476</v>
      </c>
    </row>
    <row r="341" spans="1:18" ht="16.5" x14ac:dyDescent="0.15">
      <c r="A341" s="607" t="s">
        <v>5477</v>
      </c>
      <c r="B341" s="143" t="s">
        <v>4635</v>
      </c>
      <c r="C341" s="164" t="s">
        <v>4575</v>
      </c>
      <c r="D341" s="157"/>
      <c r="E341" s="157"/>
      <c r="F341" s="2656" cm="1" t="n">
        <f t="array" ref="F341">INDEX('6층_부하량'!E3:E3000,MATCH(1,("6-DaHall 1-PDU-05"='6층_부하량'!A3:A3000)*(39='6층_부하량'!B3:B3000),0))</f>
        <v>0.0</v>
      </c>
      <c r="G341" s="157"/>
      <c r="H341" s="143" t="s">
        <v>4597</v>
      </c>
      <c r="I341" s="293" t="s">
        <v>4710</v>
      </c>
      <c r="J341" s="151" t="s">
        <v>4711</v>
      </c>
      <c r="K341" s="143" t="s">
        <v>4597</v>
      </c>
      <c r="L341" s="157"/>
      <c r="M341" s="157"/>
      <c r="N341" s="2656" cm="1" t="n">
        <f t="array" ref="N341">INDEX('6층_부하량'!E3:E3000,MATCH(1,("6-DaHall 1-PDU-05"='6층_부하량'!A3:A3000)*(40='6층_부하량'!B3:B3000),0))</f>
        <v>0.0</v>
      </c>
      <c r="O341" s="157"/>
      <c r="P341" s="157" t="s">
        <v>4635</v>
      </c>
      <c r="Q341" s="164" t="s">
        <v>4575</v>
      </c>
      <c r="R341" s="633" t="s">
        <v>5478</v>
      </c>
    </row>
    <row r="342" spans="1:18" ht="16.5" x14ac:dyDescent="0.15">
      <c r="A342" s="607" t="s">
        <v>5479</v>
      </c>
      <c r="B342" s="143" t="s">
        <v>4635</v>
      </c>
      <c r="C342" s="164" t="s">
        <v>4575</v>
      </c>
      <c r="D342" s="2656" cm="1" t="n">
        <f t="array" ref="D342">INDEX('6층_부하량'!C3:C3000,MATCH(1,("6-DaHall 1-PDU-05"='6층_부하량'!A3:A3000)*(41='6층_부하량'!B3:B3000),0))</f>
        <v>0.0</v>
      </c>
      <c r="E342" s="157"/>
      <c r="F342" s="157"/>
      <c r="G342" s="157"/>
      <c r="H342" s="143" t="s">
        <v>4597</v>
      </c>
      <c r="I342" s="293" t="s">
        <v>5055</v>
      </c>
      <c r="J342" s="151" t="s">
        <v>4843</v>
      </c>
      <c r="K342" s="143" t="s">
        <v>4597</v>
      </c>
      <c r="L342" s="2656" cm="1" t="n">
        <f t="array" ref="L342">INDEX('6층_부하량'!C3:C3000,MATCH(1,("6-DaHall 1-PDU-05"='6층_부하량'!A3:A3000)*(42='6층_부하량'!B3:B3000),0))</f>
        <v>0.0</v>
      </c>
      <c r="M342" s="157"/>
      <c r="N342" s="157"/>
      <c r="O342" s="157"/>
      <c r="P342" s="157" t="s">
        <v>4635</v>
      </c>
      <c r="Q342" s="164" t="s">
        <v>4575</v>
      </c>
      <c r="R342" s="342" t="s">
        <v>5480</v>
      </c>
    </row>
    <row r="343" spans="1:18" ht="16.5" x14ac:dyDescent="0.15">
      <c r="A343" s="607" t="s">
        <v>5481</v>
      </c>
      <c r="B343" s="143" t="s">
        <v>4635</v>
      </c>
      <c r="C343" s="164" t="s">
        <v>4575</v>
      </c>
      <c r="D343" s="157"/>
      <c r="E343" s="2656" cm="1" t="n">
        <f t="array" ref="E343">INDEX('6층_부하량'!D3:D3000,MATCH(1,("6-DaHall 1-PDU-05"='6층_부하량'!A3:A3000)*(43='6층_부하량'!B3:B3000),0))</f>
        <v>0.0</v>
      </c>
      <c r="F343" s="157"/>
      <c r="G343" s="157"/>
      <c r="H343" s="143" t="s">
        <v>4597</v>
      </c>
      <c r="I343" s="293" t="s">
        <v>4845</v>
      </c>
      <c r="J343" s="151" t="s">
        <v>4846</v>
      </c>
      <c r="K343" s="143" t="s">
        <v>4597</v>
      </c>
      <c r="L343" s="157"/>
      <c r="M343" s="2656" cm="1" t="n">
        <f t="array" ref="M343">INDEX('6층_부하량'!D3:D3000,MATCH(1,("6-DaHall 1-PDU-05"='6층_부하량'!A3:A3000)*(44='6층_부하량'!B3:B3000),0))</f>
        <v>0.0</v>
      </c>
      <c r="N343" s="157"/>
      <c r="O343" s="157"/>
      <c r="P343" s="157" t="s">
        <v>4635</v>
      </c>
      <c r="Q343" s="164" t="s">
        <v>4575</v>
      </c>
      <c r="R343" s="633" t="s">
        <v>5482</v>
      </c>
    </row>
    <row r="344" spans="1:18" ht="16.5" x14ac:dyDescent="0.15">
      <c r="A344" s="607" t="s">
        <v>5483</v>
      </c>
      <c r="B344" s="143" t="s">
        <v>4635</v>
      </c>
      <c r="C344" s="164" t="s">
        <v>4575</v>
      </c>
      <c r="D344" s="157"/>
      <c r="E344" s="157"/>
      <c r="F344" s="2656" cm="1" t="n">
        <f t="array" ref="F344">INDEX('6층_부하량'!E3:E3000,MATCH(1,("6-DaHall 1-PDU-05"='6층_부하량'!A3:A3000)*(45='6층_부하량'!B3:B3000),0))</f>
        <v>0.0</v>
      </c>
      <c r="G344" s="157"/>
      <c r="H344" s="143" t="s">
        <v>4597</v>
      </c>
      <c r="I344" s="293" t="s">
        <v>4847</v>
      </c>
      <c r="J344" s="151" t="s">
        <v>4848</v>
      </c>
      <c r="K344" s="143" t="s">
        <v>4597</v>
      </c>
      <c r="L344" s="157"/>
      <c r="M344" s="157"/>
      <c r="N344" s="2656" cm="1" t="n">
        <f t="array" ref="N344">INDEX('6층_부하량'!E3:E3000,MATCH(1,("6-DaHall 1-PDU-05"='6층_부하량'!A3:A3000)*(46='6층_부하량'!B3:B3000),0))</f>
        <v>0.0</v>
      </c>
      <c r="O344" s="157"/>
      <c r="P344" s="157" t="s">
        <v>4635</v>
      </c>
      <c r="Q344" s="164" t="s">
        <v>4575</v>
      </c>
      <c r="R344" s="342" t="s">
        <v>5484</v>
      </c>
    </row>
    <row r="345" spans="1:18" ht="16.5" x14ac:dyDescent="0.15">
      <c r="A345" s="607" t="s">
        <v>5485</v>
      </c>
      <c r="B345" s="143" t="s">
        <v>4635</v>
      </c>
      <c r="C345" s="164" t="s">
        <v>4575</v>
      </c>
      <c r="D345" s="2664" cm="1" t="n">
        <f t="array" ref="D345">INDEX('6층_부하량'!C3:C3000,MATCH(1,("6-DaHall 1-PDU-05"='6층_부하량'!A3:A3000)*(47='6층_부하량'!B3:B3000),0))</f>
        <v>0.0</v>
      </c>
      <c r="E345" s="157"/>
      <c r="F345" s="157"/>
      <c r="G345" s="157"/>
      <c r="H345" s="143" t="s">
        <v>4597</v>
      </c>
      <c r="I345" s="293" t="s">
        <v>4849</v>
      </c>
      <c r="J345" s="151" t="s">
        <v>4850</v>
      </c>
      <c r="K345" s="143" t="s">
        <v>4597</v>
      </c>
      <c r="L345" s="2664" cm="1" t="n">
        <f t="array" ref="L345">INDEX('6층_부하량'!C3:C3000,MATCH(1,("6-DaHall 1-PDU-05"='6층_부하량'!A3:A3000)*(48='6층_부하량'!B3:B3000),0))</f>
        <v>0.0</v>
      </c>
      <c r="M345" s="157"/>
      <c r="N345" s="157"/>
      <c r="O345" s="157"/>
      <c r="P345" s="157" t="s">
        <v>4635</v>
      </c>
      <c r="Q345" s="164" t="s">
        <v>4575</v>
      </c>
      <c r="R345" s="279" t="s">
        <v>5486</v>
      </c>
    </row>
    <row r="346" spans="1:18" ht="16.5" x14ac:dyDescent="0.15">
      <c r="A346" s="607" t="s">
        <v>5487</v>
      </c>
      <c r="B346" s="143" t="s">
        <v>4635</v>
      </c>
      <c r="C346" s="164" t="s">
        <v>4575</v>
      </c>
      <c r="D346" s="157"/>
      <c r="E346" s="2656" cm="1" t="n">
        <f t="array" ref="E346">INDEX('6층_부하량'!D3:D3000,MATCH(1,("6-DaHall 1-PDU-05"='6층_부하량'!A3:A3000)*(49='6층_부하량'!B3:B3000),0))</f>
        <v>0.0</v>
      </c>
      <c r="F346" s="157"/>
      <c r="G346" s="157"/>
      <c r="H346" s="143" t="s">
        <v>4597</v>
      </c>
      <c r="I346" s="293" t="s">
        <v>4851</v>
      </c>
      <c r="J346" s="1463" t="s">
        <v>4852</v>
      </c>
      <c r="K346" s="143" t="s">
        <v>4597</v>
      </c>
      <c r="L346" s="157"/>
      <c r="M346" s="2656" cm="1" t="n">
        <f t="array" ref="M346">INDEX('6층_부하량'!D3:D3000,MATCH(1,("6-DaHall 1-PDU-05"='6층_부하량'!A3:A3000)*(50='6층_부하량'!B3:B3000),0))</f>
        <v>0.0</v>
      </c>
      <c r="N346" s="157"/>
      <c r="O346" s="157"/>
      <c r="P346" s="157" t="s">
        <v>4635</v>
      </c>
      <c r="Q346" s="164" t="s">
        <v>4575</v>
      </c>
      <c r="R346" s="264" t="s">
        <v>5488</v>
      </c>
    </row>
    <row r="347" spans="1:18" ht="16.5" x14ac:dyDescent="0.15">
      <c r="A347" s="607" t="s">
        <v>5489</v>
      </c>
      <c r="B347" s="143" t="s">
        <v>4635</v>
      </c>
      <c r="C347" s="164" t="s">
        <v>4575</v>
      </c>
      <c r="D347" s="157"/>
      <c r="E347" s="157"/>
      <c r="F347" s="2664" cm="1" t="n">
        <f t="array" ref="F347">INDEX('6층_부하량'!E3:E3000,MATCH(1,("6-DaHall 1-PDU-05"='6층_부하량'!A3:A3000)*(51='6층_부하량'!B3:B3000),0))</f>
        <v>0.0</v>
      </c>
      <c r="G347" s="157"/>
      <c r="H347" s="143" t="s">
        <v>4597</v>
      </c>
      <c r="I347" s="293" t="s">
        <v>4791</v>
      </c>
      <c r="J347" s="1460" t="s">
        <v>4793</v>
      </c>
      <c r="K347" s="143" t="s">
        <v>4597</v>
      </c>
      <c r="L347" s="157"/>
      <c r="M347" s="157"/>
      <c r="N347" s="2664" cm="1" t="n">
        <f t="array" ref="N347">INDEX('6층_부하량'!E3:E3000,MATCH(1,("6-DaHall 1-PDU-05"='6층_부하량'!A3:A3000)*(52='6층_부하량'!B3:B3000),0))</f>
        <v>0.0</v>
      </c>
      <c r="O347" s="157"/>
      <c r="P347" s="157" t="s">
        <v>4635</v>
      </c>
      <c r="Q347" s="143" t="s">
        <v>4723</v>
      </c>
      <c r="R347" s="183" t="s">
        <v>5490</v>
      </c>
    </row>
    <row r="348" spans="1:18" ht="17.25" thickBot="1" x14ac:dyDescent="0.2">
      <c r="A348" s="275" t="s">
        <v>5491</v>
      </c>
      <c r="B348" s="166" t="s">
        <v>4635</v>
      </c>
      <c r="C348" s="184" t="s">
        <v>4575</v>
      </c>
      <c r="D348" s="2668" cm="1" t="n">
        <f t="array" ref="D348">INDEX('6층_부하량'!C3:C3000,MATCH(1,("6-DaHall 1-PDU-05"='6층_부하량'!A3:A3000)*(53='6층_부하량'!B3:B3000),0))</f>
        <v>0.0</v>
      </c>
      <c r="E348" s="167"/>
      <c r="F348" s="167"/>
      <c r="G348" s="167"/>
      <c r="H348" s="166" t="s">
        <v>4597</v>
      </c>
      <c r="I348" s="300" t="s">
        <v>4796</v>
      </c>
      <c r="J348" s="169" t="s">
        <v>4797</v>
      </c>
      <c r="K348" s="166" t="s">
        <v>4597</v>
      </c>
      <c r="L348" s="2668" cm="1" t="n">
        <f t="array" ref="L348">INDEX('6층_부하량'!C3:C3000,MATCH(1,("6-DaHall 1-PDU-05"='6층_부하량'!A3:A3000)*(54='6층_부하량'!B3:B3000),0))</f>
        <v>4.15</v>
      </c>
      <c r="M348" s="167"/>
      <c r="N348" s="167"/>
      <c r="O348" s="167"/>
      <c r="P348" s="166" t="s">
        <v>4635</v>
      </c>
      <c r="Q348" s="184" t="s">
        <v>4575</v>
      </c>
      <c r="R348" s="325" t="s">
        <v>5492</v>
      </c>
    </row>
    <row r="349" spans="1:18" ht="14.25" thickTop="1" x14ac:dyDescent="0.15">
      <c r="A349" s="171"/>
      <c r="B349" s="133"/>
      <c r="C349" s="133"/>
      <c r="D349" s="131"/>
      <c r="E349" s="131"/>
      <c r="F349" s="131"/>
      <c r="G349" s="131"/>
      <c r="H349" s="133"/>
      <c r="I349" s="172"/>
      <c r="J349" s="172"/>
      <c r="K349" s="133" t="s">
        <v>4713</v>
      </c>
      <c r="L349" s="131" t="n">
        <f>SUM(D322:D348,L322:L348)</f>
        <v>6.380000000000001</v>
      </c>
      <c r="M349" s="131" t="n">
        <f>SUM(E322:E348,M322:M348)</f>
        <v>9.100000000000001</v>
      </c>
      <c r="N349" s="131" t="n">
        <f>SUM(F322:F348,N322:N348)</f>
        <v>5.390000000000001</v>
      </c>
      <c r="O349" s="131"/>
      <c r="P349" s="131"/>
      <c r="Q349" s="133"/>
      <c r="R349" s="131"/>
    </row>
    <row r="350" spans="1:18" ht="14.25" thickBot="1" x14ac:dyDescent="0.2">
      <c r="A350" s="128"/>
      <c r="B350" s="128"/>
      <c r="C350" s="128"/>
      <c r="D350" s="128"/>
      <c r="E350" s="128"/>
      <c r="F350" s="128"/>
      <c r="G350" s="128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</row>
    <row r="351" spans="1:18" ht="15" thickTop="1" thickBot="1" x14ac:dyDescent="0.2">
      <c r="A351" s="173" t="s">
        <v>7008</v>
      </c>
      <c r="B351" s="128"/>
      <c r="C351" s="3660" t="s">
        <v>5493</v>
      </c>
      <c r="D351" s="3660"/>
      <c r="E351" s="3660"/>
      <c r="F351" s="173"/>
      <c r="G351" s="173"/>
      <c r="H351" s="133"/>
      <c r="I351" s="3665" t="s">
        <v>4715</v>
      </c>
      <c r="J351" s="3666"/>
      <c r="K351" s="133"/>
      <c r="L351" s="173"/>
      <c r="M351" s="173"/>
      <c r="N351" s="173"/>
      <c r="O351" s="173"/>
      <c r="P351" s="173"/>
      <c r="Q351" s="173"/>
      <c r="R351" s="128"/>
    </row>
    <row r="352" spans="1:18" ht="15" thickTop="1" thickBot="1" x14ac:dyDescent="0.2">
      <c r="A352" s="127"/>
      <c r="B352" s="128"/>
      <c r="C352" s="128"/>
      <c r="D352" s="129"/>
      <c r="E352" s="129"/>
      <c r="F352" s="130"/>
      <c r="G352" s="129"/>
      <c r="H352" s="131"/>
      <c r="I352" s="128"/>
      <c r="J352" s="132"/>
      <c r="K352" s="1371" t="s">
        <v>4562</v>
      </c>
      <c r="L352" s="1368">
        <v>12.5</v>
      </c>
      <c r="M352" s="1369">
        <v>37.1</v>
      </c>
      <c r="N352" s="1370">
        <v>24.7</v>
      </c>
      <c r="O352" s="508" t="s">
        <v>4563</v>
      </c>
      <c r="P352" s="133"/>
      <c r="Q352" s="128"/>
      <c r="R352" s="528"/>
    </row>
    <row r="353" spans="1:18" ht="15" thickTop="1" thickBot="1" x14ac:dyDescent="0.2">
      <c r="A353" s="134" t="s">
        <v>4564</v>
      </c>
      <c r="B353" s="135" t="s">
        <v>5031</v>
      </c>
      <c r="C353" s="136" t="s">
        <v>4566</v>
      </c>
      <c r="D353" s="135" t="s">
        <v>5032</v>
      </c>
      <c r="E353" s="135" t="s">
        <v>5033</v>
      </c>
      <c r="F353" s="135" t="s">
        <v>5034</v>
      </c>
      <c r="G353" s="135" t="s">
        <v>5035</v>
      </c>
      <c r="H353" s="135" t="s">
        <v>5036</v>
      </c>
      <c r="I353" s="138" t="s">
        <v>5037</v>
      </c>
      <c r="J353" s="139" t="s">
        <v>5037</v>
      </c>
      <c r="K353" s="135" t="s">
        <v>5036</v>
      </c>
      <c r="L353" s="135" t="s">
        <v>5032</v>
      </c>
      <c r="M353" s="135" t="s">
        <v>5033</v>
      </c>
      <c r="N353" s="135" t="s">
        <v>5034</v>
      </c>
      <c r="O353" s="135" t="s">
        <v>5035</v>
      </c>
      <c r="P353" s="135" t="s">
        <v>5031</v>
      </c>
      <c r="Q353" s="136" t="s">
        <v>4566</v>
      </c>
      <c r="R353" s="140" t="s">
        <v>4564</v>
      </c>
    </row>
    <row r="354" spans="1:18" ht="17.25" thickTop="1" x14ac:dyDescent="0.15">
      <c r="A354" s="277" t="s">
        <v>5494</v>
      </c>
      <c r="B354" s="142" t="s">
        <v>4635</v>
      </c>
      <c r="C354" s="164" t="s">
        <v>4575</v>
      </c>
      <c r="D354" s="144"/>
      <c r="E354" s="2654" cm="1" t="n">
        <f t="array" ref="E354">INDEX('6층_부하량'!D3:D3000,MATCH(1,("6-DaHall 1-PDU-06"='6층_부하량'!A3:A3000)*(1='6층_부하량'!B3:B3000),0))</f>
        <v>0.0</v>
      </c>
      <c r="F354" s="144"/>
      <c r="G354" s="144"/>
      <c r="H354" s="142" t="s">
        <v>4597</v>
      </c>
      <c r="I354" s="145" t="s">
        <v>4633</v>
      </c>
      <c r="J354" s="146" t="s">
        <v>4578</v>
      </c>
      <c r="K354" s="142" t="s">
        <v>4597</v>
      </c>
      <c r="L354" s="144"/>
      <c r="M354" s="2654" cm="1" t="n">
        <f t="array" ref="M354">INDEX('6층_부하량'!D3:D3000,MATCH(1,("6-DaHall 1-PDU-06"='6층_부하량'!A3:A3000)*(2='6층_부하량'!B3:B3000),0))</f>
        <v>0.0</v>
      </c>
      <c r="N354" s="144"/>
      <c r="O354" s="144"/>
      <c r="P354" s="142" t="s">
        <v>4635</v>
      </c>
      <c r="Q354" s="152" t="s">
        <v>4575</v>
      </c>
      <c r="R354" s="618" t="s">
        <v>5495</v>
      </c>
    </row>
    <row r="355" spans="1:18" ht="16.5" x14ac:dyDescent="0.15">
      <c r="A355" s="278" t="s">
        <v>5496</v>
      </c>
      <c r="B355" s="143" t="s">
        <v>4635</v>
      </c>
      <c r="C355" s="164" t="s">
        <v>4575</v>
      </c>
      <c r="D355" s="149"/>
      <c r="E355" s="149"/>
      <c r="F355" s="2655" cm="1" t="n">
        <f t="array" ref="F355">INDEX('6층_부하량'!E3:E3000,MATCH(1,("6-DaHall 1-PDU-06"='6층_부하량'!A3:A3000)*(3='6층_부하량'!B3:B3000),0))</f>
        <v>0.0</v>
      </c>
      <c r="G355" s="149"/>
      <c r="H355" s="143" t="s">
        <v>4597</v>
      </c>
      <c r="I355" s="150" t="s">
        <v>4638</v>
      </c>
      <c r="J355" s="151" t="s">
        <v>4583</v>
      </c>
      <c r="K355" s="143" t="s">
        <v>4597</v>
      </c>
      <c r="L355" s="149"/>
      <c r="M355" s="149"/>
      <c r="N355" s="2655" cm="1" t="n">
        <f t="array" ref="N355">INDEX('6층_부하량'!E3:E3000,MATCH(1,("6-DaHall 1-PDU-06"='6층_부하량'!A3:A3000)*(4='6층_부하량'!B3:B3000),0))</f>
        <v>0.0</v>
      </c>
      <c r="O355" s="149"/>
      <c r="P355" s="149" t="s">
        <v>4635</v>
      </c>
      <c r="Q355" s="164" t="s">
        <v>4575</v>
      </c>
      <c r="R355" s="342" t="s">
        <v>5497</v>
      </c>
    </row>
    <row r="356" spans="1:18" ht="16.5" x14ac:dyDescent="0.15">
      <c r="A356" s="148" t="s">
        <v>5498</v>
      </c>
      <c r="B356" s="143" t="s">
        <v>4635</v>
      </c>
      <c r="C356" s="143" t="s">
        <v>4723</v>
      </c>
      <c r="D356" s="2656" cm="1" t="n">
        <f t="array" ref="D356">INDEX('6층_부하량'!C3:C3000,MATCH(1,("6-DaHall 1-PDU-06"='6층_부하량'!A3:A3000)*(5='6층_부하량'!B3:B3000),0))</f>
        <v>0.0</v>
      </c>
      <c r="E356" s="157"/>
      <c r="F356" s="157"/>
      <c r="G356" s="157"/>
      <c r="H356" s="143" t="s">
        <v>4597</v>
      </c>
      <c r="I356" s="1465" t="s">
        <v>4641</v>
      </c>
      <c r="J356" s="151" t="s">
        <v>4588</v>
      </c>
      <c r="K356" s="143" t="s">
        <v>4597</v>
      </c>
      <c r="L356" s="2656" cm="1" t="n">
        <f t="array" ref="L356">INDEX('6층_부하량'!C3:C3000,MATCH(1,("6-DaHall 1-PDU-06"='6층_부하량'!A3:A3000)*(6='6층_부하량'!B3:B3000),0))</f>
        <v>0.68</v>
      </c>
      <c r="M356" s="157"/>
      <c r="N356" s="157"/>
      <c r="O356" s="157"/>
      <c r="P356" s="157" t="s">
        <v>4635</v>
      </c>
      <c r="Q356" s="164" t="s">
        <v>4575</v>
      </c>
      <c r="R356" s="342" t="s">
        <v>5499</v>
      </c>
    </row>
    <row r="357" spans="1:18" ht="16.5" x14ac:dyDescent="0.15">
      <c r="A357" s="260" t="s">
        <v>5500</v>
      </c>
      <c r="B357" s="143" t="s">
        <v>4635</v>
      </c>
      <c r="C357" s="164" t="s">
        <v>4575</v>
      </c>
      <c r="D357" s="157"/>
      <c r="E357" s="2656" cm="1" t="n">
        <f t="array" ref="E357">INDEX('6층_부하량'!D3:D3000,MATCH(1,("6-DaHall 1-PDU-06"='6층_부하량'!A3:A3000)*(7='6층_부하량'!B3:B3000),0))</f>
        <v>0.0</v>
      </c>
      <c r="F357" s="157"/>
      <c r="G357" s="157"/>
      <c r="H357" s="143" t="s">
        <v>4597</v>
      </c>
      <c r="I357" s="150" t="s">
        <v>4645</v>
      </c>
      <c r="J357" s="151" t="s">
        <v>4593</v>
      </c>
      <c r="K357" s="143" t="s">
        <v>4597</v>
      </c>
      <c r="L357" s="157"/>
      <c r="M357" s="2656" cm="1" t="n">
        <f t="array" ref="M357">INDEX('6층_부하량'!D3:D3000,MATCH(1,("6-DaHall 1-PDU-06"='6층_부하량'!A3:A3000)*(8='6층_부하량'!B3:B3000),0))</f>
        <v>3.09</v>
      </c>
      <c r="N357" s="157"/>
      <c r="O357" s="157"/>
      <c r="P357" s="157" t="s">
        <v>4635</v>
      </c>
      <c r="Q357" s="164" t="s">
        <v>4575</v>
      </c>
      <c r="R357" s="342" t="s">
        <v>5501</v>
      </c>
    </row>
    <row r="358" spans="1:18" ht="16.5" x14ac:dyDescent="0.15">
      <c r="A358" s="258" t="s">
        <v>2436</v>
      </c>
      <c r="B358" s="143" t="s">
        <v>4635</v>
      </c>
      <c r="C358" s="164" t="s">
        <v>4575</v>
      </c>
      <c r="D358" s="157"/>
      <c r="E358" s="157"/>
      <c r="F358" s="2656" cm="1" t="n">
        <f t="array" ref="F358">INDEX('6층_부하량'!E3:E3000,MATCH(1,("6-DaHall 1-PDU-06"='6층_부하량'!A3:A3000)*(9='6층_부하량'!B3:B3000),0))</f>
        <v>0.0</v>
      </c>
      <c r="G358" s="157"/>
      <c r="H358" s="143" t="s">
        <v>4597</v>
      </c>
      <c r="I358" s="150" t="s">
        <v>4648</v>
      </c>
      <c r="J358" s="151" t="s">
        <v>4596</v>
      </c>
      <c r="K358" s="143" t="s">
        <v>4597</v>
      </c>
      <c r="L358" s="157"/>
      <c r="M358" s="157"/>
      <c r="N358" s="2656" cm="1" t="n">
        <f t="array" ref="N358">INDEX('6층_부하량'!E3:E3000,MATCH(1,("6-DaHall 1-PDU-06"='6층_부하량'!A3:A3000)*(10='6층_부하량'!B3:B3000),0))</f>
        <v>0.0</v>
      </c>
      <c r="O358" s="157"/>
      <c r="P358" s="157" t="s">
        <v>4635</v>
      </c>
      <c r="Q358" s="164" t="s">
        <v>4575</v>
      </c>
      <c r="R358" s="342" t="s">
        <v>5502</v>
      </c>
    </row>
    <row r="359" spans="1:18" ht="16.5" x14ac:dyDescent="0.15">
      <c r="A359" s="632" t="s">
        <v>5503</v>
      </c>
      <c r="B359" s="143" t="s">
        <v>4635</v>
      </c>
      <c r="C359" s="164" t="s">
        <v>4575</v>
      </c>
      <c r="D359" s="2656" cm="1" t="n">
        <f t="array" ref="D359">INDEX('6층_부하량'!C3:C3000,MATCH(1,("6-DaHall 1-PDU-06"='6층_부하량'!A3:A3000)*(11='6층_부하량'!B3:B3000),0))</f>
        <v>0.0</v>
      </c>
      <c r="E359" s="157"/>
      <c r="F359" s="157"/>
      <c r="G359" s="157"/>
      <c r="H359" s="143" t="s">
        <v>4597</v>
      </c>
      <c r="I359" s="150" t="s">
        <v>4653</v>
      </c>
      <c r="J359" s="151" t="s">
        <v>4599</v>
      </c>
      <c r="K359" s="143" t="s">
        <v>4597</v>
      </c>
      <c r="L359" s="2656" cm="1" t="n">
        <f t="array" ref="L359">INDEX('6층_부하량'!C3:C3000,MATCH(1,("6-DaHall 1-PDU-06"='6층_부하량'!A3:A3000)*(12='6층_부하량'!B3:B3000),0))</f>
        <v>0.0</v>
      </c>
      <c r="M359" s="157"/>
      <c r="N359" s="157"/>
      <c r="O359" s="157"/>
      <c r="P359" s="157" t="s">
        <v>4635</v>
      </c>
      <c r="Q359" s="164" t="s">
        <v>4575</v>
      </c>
      <c r="R359" s="342" t="s">
        <v>5504</v>
      </c>
    </row>
    <row r="360" spans="1:18" ht="16.5" x14ac:dyDescent="0.15">
      <c r="A360" s="607" t="s">
        <v>5505</v>
      </c>
      <c r="B360" s="143" t="s">
        <v>4635</v>
      </c>
      <c r="C360" s="164" t="s">
        <v>4575</v>
      </c>
      <c r="D360" s="157"/>
      <c r="E360" s="2656" cm="1" t="n">
        <f t="array" ref="E360">INDEX('6층_부하량'!D3:D3000,MATCH(1,("6-DaHall 1-PDU-06"='6층_부하량'!A3:A3000)*(13='6층_부하량'!B3:B3000),0))</f>
        <v>1.96</v>
      </c>
      <c r="F360" s="157"/>
      <c r="G360" s="157"/>
      <c r="H360" s="143" t="s">
        <v>4597</v>
      </c>
      <c r="I360" s="150" t="s">
        <v>4657</v>
      </c>
      <c r="J360" s="155" t="s">
        <v>4601</v>
      </c>
      <c r="K360" s="143" t="s">
        <v>4597</v>
      </c>
      <c r="L360" s="157"/>
      <c r="M360" s="2656" cm="1" t="n">
        <f t="array" ref="M360">INDEX('6층_부하량'!D3:D3000,MATCH(1,("6-DaHall 1-PDU-06"='6층_부하량'!A3:A3000)*(14='6층_부하량'!B3:B3000),0))</f>
        <v>1.33</v>
      </c>
      <c r="N360" s="157"/>
      <c r="O360" s="157"/>
      <c r="P360" s="157" t="s">
        <v>4635</v>
      </c>
      <c r="Q360" s="164" t="s">
        <v>4575</v>
      </c>
      <c r="R360" s="342" t="s">
        <v>5506</v>
      </c>
    </row>
    <row r="361" spans="1:18" ht="16.5" x14ac:dyDescent="0.15">
      <c r="A361" s="632" t="s">
        <v>5507</v>
      </c>
      <c r="B361" s="143" t="s">
        <v>4635</v>
      </c>
      <c r="C361" s="164" t="s">
        <v>4575</v>
      </c>
      <c r="D361" s="157"/>
      <c r="E361" s="157"/>
      <c r="F361" s="2656" cm="1" t="n">
        <f t="array" ref="F361">INDEX('6층_부하량'!E3:E3000,MATCH(1,("6-DaHall 1-PDU-06"='6층_부하량'!A3:A3000)*(15='6층_부하량'!B3:B3000),0))</f>
        <v>0.66</v>
      </c>
      <c r="G361" s="157"/>
      <c r="H361" s="143" t="s">
        <v>4597</v>
      </c>
      <c r="I361" s="150" t="s">
        <v>4661</v>
      </c>
      <c r="J361" s="155" t="s">
        <v>4603</v>
      </c>
      <c r="K361" s="143" t="s">
        <v>4597</v>
      </c>
      <c r="L361" s="157"/>
      <c r="M361" s="157"/>
      <c r="N361" s="2656" cm="1" t="n">
        <f t="array" ref="N361">INDEX('6층_부하량'!E3:E3000,MATCH(1,("6-DaHall 1-PDU-06"='6층_부하량'!A3:A3000)*(16='6층_부하량'!B3:B3000),0))</f>
        <v>0.38</v>
      </c>
      <c r="O361" s="157"/>
      <c r="P361" s="157" t="s">
        <v>4635</v>
      </c>
      <c r="Q361" s="164" t="s">
        <v>4575</v>
      </c>
      <c r="R361" s="342" t="s">
        <v>5508</v>
      </c>
    </row>
    <row r="362" spans="1:18" ht="16.5" x14ac:dyDescent="0.15">
      <c r="A362" s="607" t="s">
        <v>5509</v>
      </c>
      <c r="B362" s="143" t="s">
        <v>4635</v>
      </c>
      <c r="C362" s="164" t="s">
        <v>4575</v>
      </c>
      <c r="D362" s="2656" cm="1" t="n">
        <f t="array" ref="D362">INDEX('6층_부하량'!C3:C3000,MATCH(1,("6-DaHall 1-PDU-06"='6층_부하량'!A3:A3000)*(17='6층_부하량'!B3:B3000),0))</f>
        <v>0.82</v>
      </c>
      <c r="E362" s="157"/>
      <c r="F362" s="157"/>
      <c r="G362" s="157"/>
      <c r="H362" s="143" t="s">
        <v>4597</v>
      </c>
      <c r="I362" s="150" t="s">
        <v>4665</v>
      </c>
      <c r="J362" s="1460" t="s">
        <v>4605</v>
      </c>
      <c r="K362" s="143" t="s">
        <v>4597</v>
      </c>
      <c r="L362" s="2656" cm="1" t="n">
        <f t="array" ref="L362">INDEX('6층_부하량'!C3:C3000,MATCH(1,("6-DaHall 1-PDU-06"='6층_부하량'!A3:A3000)*(18='6층_부하량'!B3:B3000),0))</f>
        <v>0.0</v>
      </c>
      <c r="M362" s="157"/>
      <c r="N362" s="157"/>
      <c r="O362" s="157"/>
      <c r="P362" s="157" t="s">
        <v>4635</v>
      </c>
      <c r="Q362" s="143" t="s">
        <v>4723</v>
      </c>
      <c r="R362" s="153" t="s">
        <v>5510</v>
      </c>
    </row>
    <row r="363" spans="1:18" ht="16.5" x14ac:dyDescent="0.15">
      <c r="A363" s="632" t="s">
        <v>5511</v>
      </c>
      <c r="B363" s="143" t="s">
        <v>4635</v>
      </c>
      <c r="C363" s="164" t="s">
        <v>4575</v>
      </c>
      <c r="D363" s="157"/>
      <c r="E363" s="2656" cm="1" t="n">
        <f t="array" ref="E363">INDEX('6층_부하량'!D3:D3000,MATCH(1,("6-DaHall 1-PDU-06"='6층_부하량'!A3:A3000)*(19='6층_부하량'!B3:B3000),0))</f>
        <v>0.0</v>
      </c>
      <c r="F363" s="157"/>
      <c r="G363" s="157"/>
      <c r="H363" s="143" t="s">
        <v>4597</v>
      </c>
      <c r="I363" s="150" t="s">
        <v>4670</v>
      </c>
      <c r="J363" s="1463" t="s">
        <v>4609</v>
      </c>
      <c r="K363" s="143" t="s">
        <v>4597</v>
      </c>
      <c r="L363" s="157"/>
      <c r="M363" s="2656" cm="1" t="n">
        <f t="array" ref="M363">INDEX('6층_부하량'!D3:D3000,MATCH(1,("6-DaHall 1-PDU-06"='6층_부하량'!A3:A3000)*(20='6층_부하량'!B3:B3000),0))</f>
        <v>0.0</v>
      </c>
      <c r="N363" s="157"/>
      <c r="O363" s="157"/>
      <c r="P363" s="157" t="s">
        <v>4635</v>
      </c>
      <c r="Q363" s="164" t="s">
        <v>4575</v>
      </c>
      <c r="R363" s="342" t="s">
        <v>5512</v>
      </c>
    </row>
    <row r="364" spans="1:18" ht="16.5" x14ac:dyDescent="0.15">
      <c r="A364" s="148" t="s">
        <v>5513</v>
      </c>
      <c r="B364" s="143" t="s">
        <v>4635</v>
      </c>
      <c r="C364" s="143" t="s">
        <v>4723</v>
      </c>
      <c r="D364" s="157"/>
      <c r="E364" s="157"/>
      <c r="F364" s="2656" cm="1" t="n">
        <f t="array" ref="F364">INDEX('6층_부하량'!E3:E3000,MATCH(1,("6-DaHall 1-PDU-06"='6층_부하량'!A3:A3000)*(21='6층_부하량'!B3:B3000),0))</f>
        <v>0.0</v>
      </c>
      <c r="G364" s="157"/>
      <c r="H364" s="143" t="s">
        <v>4597</v>
      </c>
      <c r="I364" s="1465" t="s">
        <v>4674</v>
      </c>
      <c r="J364" s="1463" t="s">
        <v>4613</v>
      </c>
      <c r="K364" s="143" t="s">
        <v>4597</v>
      </c>
      <c r="L364" s="157"/>
      <c r="M364" s="157"/>
      <c r="N364" s="2656" cm="1" t="n">
        <f t="array" ref="N364">INDEX('6층_부하량'!E3:E3000,MATCH(1,("6-DaHall 1-PDU-06"='6층_부하량'!A3:A3000)*(22='6층_부하량'!B3:B3000),0))</f>
        <v>0.0</v>
      </c>
      <c r="O364" s="157"/>
      <c r="P364" s="157" t="s">
        <v>4635</v>
      </c>
      <c r="Q364" s="164" t="s">
        <v>4575</v>
      </c>
      <c r="R364" s="342" t="s">
        <v>5514</v>
      </c>
    </row>
    <row r="365" spans="1:18" ht="16.5" x14ac:dyDescent="0.15">
      <c r="A365" s="2330" t="s">
        <v>5515</v>
      </c>
      <c r="B365" s="143" t="s">
        <v>4635</v>
      </c>
      <c r="C365" s="164" t="s">
        <v>4575</v>
      </c>
      <c r="D365" s="2656" cm="1" t="n">
        <f t="array" ref="D365">INDEX('6층_부하량'!C3:C3000,MATCH(1,("6-DaHall 1-PDU-06"='6층_부하량'!A3:A3000)*(23='6층_부하량'!B3:B3000),0))</f>
        <v>0.0</v>
      </c>
      <c r="E365" s="157"/>
      <c r="F365" s="157"/>
      <c r="G365" s="157"/>
      <c r="H365" s="143" t="s">
        <v>4597</v>
      </c>
      <c r="I365" s="150" t="s">
        <v>4678</v>
      </c>
      <c r="J365" s="1463" t="s">
        <v>4680</v>
      </c>
      <c r="K365" s="143" t="s">
        <v>4597</v>
      </c>
      <c r="L365" s="2656" cm="1" t="n">
        <f t="array" ref="L365">INDEX('6층_부하량'!C3:C3000,MATCH(1,("6-DaHall 1-PDU-06"='6층_부하량'!A3:A3000)*(24='6층_부하량'!B3:B3000),0))</f>
        <v>0.0</v>
      </c>
      <c r="M365" s="157"/>
      <c r="N365" s="157"/>
      <c r="O365" s="157"/>
      <c r="P365" s="157" t="s">
        <v>4635</v>
      </c>
      <c r="Q365" s="164" t="s">
        <v>4575</v>
      </c>
      <c r="R365" s="342" t="s">
        <v>5516</v>
      </c>
    </row>
    <row r="366" spans="1:18" ht="16.5" x14ac:dyDescent="0.15">
      <c r="A366" s="607" t="s">
        <v>5517</v>
      </c>
      <c r="B366" s="143" t="s">
        <v>4635</v>
      </c>
      <c r="C366" s="164" t="s">
        <v>4575</v>
      </c>
      <c r="D366" s="157"/>
      <c r="E366" s="2656" cm="1" t="n">
        <f t="array" ref="E366">INDEX('6층_부하량'!D3:D3000,MATCH(1,("6-DaHall 1-PDU-06"='6층_부하량'!A3:A3000)*(25='6층_부하량'!B3:B3000),0))</f>
        <v>0.39</v>
      </c>
      <c r="F366" s="157"/>
      <c r="G366" s="157"/>
      <c r="H366" s="143" t="s">
        <v>4597</v>
      </c>
      <c r="I366" s="150" t="s">
        <v>4683</v>
      </c>
      <c r="J366" s="1463" t="s">
        <v>4685</v>
      </c>
      <c r="K366" s="143" t="s">
        <v>4597</v>
      </c>
      <c r="L366" s="157"/>
      <c r="M366" s="2656" cm="1" t="n">
        <f t="array" ref="M366">INDEX('6층_부하량'!D3:D3000,MATCH(1,("6-DaHall 1-PDU-06"='6층_부하량'!A3:A3000)*(26='6층_부하량'!B3:B3000),0))</f>
        <v>0.0</v>
      </c>
      <c r="N366" s="157"/>
      <c r="O366" s="157"/>
      <c r="P366" s="157" t="s">
        <v>4635</v>
      </c>
      <c r="Q366" s="164" t="s">
        <v>4575</v>
      </c>
      <c r="R366" s="342" t="s">
        <v>5518</v>
      </c>
    </row>
    <row r="367" spans="1:18" ht="17.25" thickBot="1" x14ac:dyDescent="0.2">
      <c r="A367" s="623" t="s">
        <v>5519</v>
      </c>
      <c r="B367" s="176" t="s">
        <v>4635</v>
      </c>
      <c r="C367" s="185" t="s">
        <v>4575</v>
      </c>
      <c r="D367" s="177"/>
      <c r="E367" s="177"/>
      <c r="F367" s="2661" cm="1" t="n">
        <f t="array" ref="F367">INDEX('6층_부하량'!E3:E3000,MATCH(1,("6-DaHall 1-PDU-06"='6층_부하량'!A3:A3000)*(27='6층_부하량'!B3:B3000),0))</f>
        <v>0.23</v>
      </c>
      <c r="G367" s="177"/>
      <c r="H367" s="176" t="s">
        <v>4597</v>
      </c>
      <c r="I367" s="186" t="s">
        <v>4688</v>
      </c>
      <c r="J367" s="1477" t="s">
        <v>4689</v>
      </c>
      <c r="K367" s="176" t="s">
        <v>4597</v>
      </c>
      <c r="L367" s="177"/>
      <c r="M367" s="177"/>
      <c r="N367" s="2661" cm="1" t="n">
        <f t="array" ref="N367">INDEX('6층_부하량'!E3:E3000,MATCH(1,("6-DaHall 1-PDU-06"='6층_부하량'!A3:A3000)*(28='6층_부하량'!B3:B3000),0))</f>
        <v>0.0</v>
      </c>
      <c r="O367" s="177"/>
      <c r="P367" s="177" t="s">
        <v>4635</v>
      </c>
      <c r="Q367" s="185" t="s">
        <v>4575</v>
      </c>
      <c r="R367" s="477" t="s">
        <v>5520</v>
      </c>
    </row>
    <row r="368" spans="1:18" ht="17.25" thickTop="1" x14ac:dyDescent="0.15">
      <c r="A368" s="632" t="s">
        <v>5521</v>
      </c>
      <c r="B368" s="156" t="s">
        <v>4635</v>
      </c>
      <c r="C368" s="152" t="s">
        <v>4575</v>
      </c>
      <c r="D368" s="2658" cm="1" t="n">
        <f t="array" ref="D368">INDEX('6층_부하량'!C3:C3000,MATCH(1,("6-DaHall 1-PDU-06"='6층_부하량'!A3:A3000)*(29='6층_부하량'!B3:B3000),0))</f>
        <v>0.0</v>
      </c>
      <c r="E368" s="179"/>
      <c r="F368" s="179"/>
      <c r="G368" s="179"/>
      <c r="H368" s="156" t="s">
        <v>4597</v>
      </c>
      <c r="I368" s="193" t="s">
        <v>4691</v>
      </c>
      <c r="J368" s="1474" t="s">
        <v>4692</v>
      </c>
      <c r="K368" s="156" t="s">
        <v>4597</v>
      </c>
      <c r="L368" s="2658" cm="1" t="n">
        <f t="array" ref="L368">INDEX('6층_부하량'!C3:C3000,MATCH(1,("6-DaHall 1-PDU-06"='6층_부하량'!A3:A3000)*(30='6층_부하량'!B3:B3000),0))</f>
        <v>0.0</v>
      </c>
      <c r="M368" s="179"/>
      <c r="N368" s="179"/>
      <c r="O368" s="179"/>
      <c r="P368" s="179" t="s">
        <v>4635</v>
      </c>
      <c r="Q368" s="152" t="s">
        <v>4575</v>
      </c>
      <c r="R368" s="475" t="s">
        <v>5522</v>
      </c>
    </row>
    <row r="369" spans="1:18" ht="16.5" x14ac:dyDescent="0.15">
      <c r="A369" s="607" t="s">
        <v>5523</v>
      </c>
      <c r="B369" s="143" t="s">
        <v>4635</v>
      </c>
      <c r="C369" s="164" t="s">
        <v>4575</v>
      </c>
      <c r="D369" s="157"/>
      <c r="E369" s="2656" cm="1" t="n">
        <f t="array" ref="E369">INDEX('6층_부하량'!D3:D3000,MATCH(1,("6-DaHall 1-PDU-06"='6층_부하량'!A3:A3000)*(31='6층_부하량'!B3:B3000),0))</f>
        <v>0.38</v>
      </c>
      <c r="F369" s="157"/>
      <c r="G369" s="157"/>
      <c r="H369" s="143" t="s">
        <v>4597</v>
      </c>
      <c r="I369" s="150" t="s">
        <v>4693</v>
      </c>
      <c r="J369" s="1463" t="s">
        <v>4694</v>
      </c>
      <c r="K369" s="143" t="s">
        <v>4597</v>
      </c>
      <c r="L369" s="157"/>
      <c r="M369" s="2656" cm="1" t="n">
        <f t="array" ref="M369">INDEX('6층_부하량'!D3:D3000,MATCH(1,("6-DaHall 1-PDU-06"='6층_부하량'!A3:A3000)*(32='6층_부하량'!B3:B3000),0))</f>
        <v>0.0</v>
      </c>
      <c r="N369" s="157"/>
      <c r="O369" s="157"/>
      <c r="P369" s="157" t="s">
        <v>4635</v>
      </c>
      <c r="Q369" s="164" t="s">
        <v>4575</v>
      </c>
      <c r="R369" s="342" t="s">
        <v>5524</v>
      </c>
    </row>
    <row r="370" spans="1:18" ht="16.5" x14ac:dyDescent="0.15">
      <c r="A370" s="607" t="s">
        <v>5525</v>
      </c>
      <c r="B370" s="143" t="s">
        <v>4635</v>
      </c>
      <c r="C370" s="164" t="s">
        <v>4575</v>
      </c>
      <c r="D370" s="157"/>
      <c r="E370" s="157"/>
      <c r="F370" s="2656" cm="1" t="n">
        <f t="array" ref="F370">INDEX('6층_부하량'!E3:E3000,MATCH(1,("6-DaHall 1-PDU-06"='6층_부하량'!A3:A3000)*(33='6층_부하량'!B3:B3000),0))</f>
        <v>0.0</v>
      </c>
      <c r="G370" s="157"/>
      <c r="H370" s="143" t="s">
        <v>4597</v>
      </c>
      <c r="I370" s="150" t="s">
        <v>4697</v>
      </c>
      <c r="J370" s="1463" t="s">
        <v>4698</v>
      </c>
      <c r="K370" s="143" t="s">
        <v>4597</v>
      </c>
      <c r="L370" s="157"/>
      <c r="M370" s="157"/>
      <c r="N370" s="2656" cm="1" t="n">
        <f t="array" ref="N370">INDEX('6층_부하량'!E3:E3000,MATCH(1,("6-DaHall 1-PDU-06"='6층_부하량'!A3:A3000)*(34='6층_부하량'!B3:B3000),0))</f>
        <v>0.0</v>
      </c>
      <c r="O370" s="157"/>
      <c r="P370" s="157" t="s">
        <v>4635</v>
      </c>
      <c r="Q370" s="164" t="s">
        <v>4575</v>
      </c>
      <c r="R370" s="342" t="s">
        <v>5526</v>
      </c>
    </row>
    <row r="371" spans="1:18" ht="16.5" x14ac:dyDescent="0.15">
      <c r="A371" s="607" t="s">
        <v>5527</v>
      </c>
      <c r="B371" s="143" t="s">
        <v>4635</v>
      </c>
      <c r="C371" s="164" t="s">
        <v>4575</v>
      </c>
      <c r="D371" s="2656" cm="1" t="n">
        <f t="array" ref="D371">INDEX('6층_부하량'!C3:C3000,MATCH(1,("6-DaHall 1-PDU-06"='6층_부하량'!A3:A3000)*(35='6층_부하량'!B3:B3000),0))</f>
        <v>0.39</v>
      </c>
      <c r="E371" s="157"/>
      <c r="F371" s="157"/>
      <c r="G371" s="157"/>
      <c r="H371" s="143" t="s">
        <v>4597</v>
      </c>
      <c r="I371" s="150" t="s">
        <v>4701</v>
      </c>
      <c r="J371" s="1463" t="s">
        <v>4703</v>
      </c>
      <c r="K371" s="143" t="s">
        <v>4597</v>
      </c>
      <c r="L371" s="2656" cm="1" t="n">
        <f t="array" ref="L371">INDEX('6층_부하량'!C3:C3000,MATCH(1,("6-DaHall 1-PDU-06"='6층_부하량'!A3:A3000)*(36='6층_부하량'!B3:B3000),0))</f>
        <v>0.0</v>
      </c>
      <c r="M371" s="157"/>
      <c r="N371" s="157"/>
      <c r="O371" s="157"/>
      <c r="P371" s="157" t="s">
        <v>4635</v>
      </c>
      <c r="Q371" s="164" t="s">
        <v>4575</v>
      </c>
      <c r="R371" s="342" t="s">
        <v>5528</v>
      </c>
    </row>
    <row r="372" spans="1:18" ht="16.5" x14ac:dyDescent="0.15">
      <c r="A372" s="607" t="s">
        <v>5475</v>
      </c>
      <c r="B372" s="143" t="s">
        <v>4635</v>
      </c>
      <c r="C372" s="164" t="s">
        <v>4575</v>
      </c>
      <c r="D372" s="157"/>
      <c r="E372" s="2664" cm="1" t="n">
        <f t="array" ref="E372">INDEX('6층_부하량'!D3:D3000,MATCH(1,("6-DaHall 1-PDU-06"='6층_부하량'!A3:A3000)*(37='6층_부하량'!B3:B3000),0))</f>
        <v>0.0</v>
      </c>
      <c r="F372" s="157"/>
      <c r="G372" s="157"/>
      <c r="H372" s="143" t="s">
        <v>4597</v>
      </c>
      <c r="I372" s="150" t="s">
        <v>4706</v>
      </c>
      <c r="J372" s="1463" t="s">
        <v>4707</v>
      </c>
      <c r="K372" s="143" t="s">
        <v>4597</v>
      </c>
      <c r="L372" s="157"/>
      <c r="M372" s="2664" cm="1" t="n">
        <f t="array" ref="M372">INDEX('6층_부하량'!D3:D3000,MATCH(1,("6-DaHall 1-PDU-06"='6층_부하량'!A3:A3000)*(38='6층_부하량'!B3:B3000),0))</f>
        <v>0.0</v>
      </c>
      <c r="N372" s="157"/>
      <c r="O372" s="157"/>
      <c r="P372" s="157" t="s">
        <v>4635</v>
      </c>
      <c r="Q372" s="164" t="s">
        <v>4575</v>
      </c>
      <c r="R372" s="342" t="s">
        <v>5529</v>
      </c>
    </row>
    <row r="373" spans="1:18" ht="16.5" x14ac:dyDescent="0.15">
      <c r="A373" s="607" t="s">
        <v>5477</v>
      </c>
      <c r="B373" s="143" t="s">
        <v>4635</v>
      </c>
      <c r="C373" s="164" t="s">
        <v>4575</v>
      </c>
      <c r="D373" s="157"/>
      <c r="E373" s="157"/>
      <c r="F373" s="2656" cm="1" t="n">
        <f t="array" ref="F373">INDEX('6층_부하량'!E3:E3000,MATCH(1,("6-DaHall 1-PDU-06"='6층_부하량'!A3:A3000)*(39='6층_부하량'!B3:B3000),0))</f>
        <v>0.0</v>
      </c>
      <c r="G373" s="157"/>
      <c r="H373" s="143" t="s">
        <v>4597</v>
      </c>
      <c r="I373" s="293" t="s">
        <v>4710</v>
      </c>
      <c r="J373" s="1463" t="s">
        <v>4711</v>
      </c>
      <c r="K373" s="143" t="s">
        <v>4597</v>
      </c>
      <c r="L373" s="157"/>
      <c r="M373" s="157"/>
      <c r="N373" s="2656" cm="1" t="n">
        <f t="array" ref="N373">INDEX('6층_부하량'!E3:E3000,MATCH(1,("6-DaHall 1-PDU-06"='6층_부하량'!A3:A3000)*(40='6층_부하량'!B3:B3000),0))</f>
        <v>0.0</v>
      </c>
      <c r="O373" s="157"/>
      <c r="P373" s="157" t="s">
        <v>4635</v>
      </c>
      <c r="Q373" s="164" t="s">
        <v>4575</v>
      </c>
      <c r="R373" s="633" t="s">
        <v>5530</v>
      </c>
    </row>
    <row r="374" spans="1:18" ht="16.5" x14ac:dyDescent="0.15">
      <c r="A374" s="607" t="s">
        <v>5479</v>
      </c>
      <c r="B374" s="143" t="s">
        <v>4635</v>
      </c>
      <c r="C374" s="164" t="s">
        <v>4575</v>
      </c>
      <c r="D374" s="2656" cm="1" t="n">
        <f t="array" ref="D374">INDEX('6층_부하량'!C3:C3000,MATCH(1,("6-DaHall 1-PDU-06"='6층_부하량'!A3:A3000)*(41='6층_부하량'!B3:B3000),0))</f>
        <v>0.0</v>
      </c>
      <c r="E374" s="157"/>
      <c r="F374" s="157"/>
      <c r="G374" s="157"/>
      <c r="H374" s="143" t="s">
        <v>4597</v>
      </c>
      <c r="I374" s="293" t="s">
        <v>5055</v>
      </c>
      <c r="J374" s="1463" t="s">
        <v>4843</v>
      </c>
      <c r="K374" s="143" t="s">
        <v>4597</v>
      </c>
      <c r="L374" s="2656" cm="1" t="n">
        <f t="array" ref="L374">INDEX('6층_부하량'!C3:C3000,MATCH(1,("6-DaHall 1-PDU-06"='6층_부하량'!A3:A3000)*(42='6층_부하량'!B3:B3000),0))</f>
        <v>0.0</v>
      </c>
      <c r="M374" s="157"/>
      <c r="N374" s="157"/>
      <c r="O374" s="157"/>
      <c r="P374" s="157" t="s">
        <v>4635</v>
      </c>
      <c r="Q374" s="164" t="s">
        <v>4575</v>
      </c>
      <c r="R374" s="342" t="s">
        <v>5531</v>
      </c>
    </row>
    <row r="375" spans="1:18" ht="16.5" x14ac:dyDescent="0.15">
      <c r="A375" s="607" t="s">
        <v>5481</v>
      </c>
      <c r="B375" s="143" t="s">
        <v>4635</v>
      </c>
      <c r="C375" s="164" t="s">
        <v>4575</v>
      </c>
      <c r="D375" s="157"/>
      <c r="E375" s="2656" cm="1" t="n">
        <f t="array" ref="E375">INDEX('6층_부하량'!D3:D3000,MATCH(1,("6-DaHall 1-PDU-06"='6층_부하량'!A3:A3000)*(43='6층_부하량'!B3:B3000),0))</f>
        <v>0.0</v>
      </c>
      <c r="F375" s="157"/>
      <c r="G375" s="157"/>
      <c r="H375" s="143" t="s">
        <v>4597</v>
      </c>
      <c r="I375" s="293" t="s">
        <v>4845</v>
      </c>
      <c r="J375" s="1463" t="s">
        <v>4846</v>
      </c>
      <c r="K375" s="143" t="s">
        <v>4597</v>
      </c>
      <c r="L375" s="157"/>
      <c r="M375" s="2656" cm="1" t="n">
        <f t="array" ref="M375">INDEX('6층_부하량'!D3:D3000,MATCH(1,("6-DaHall 1-PDU-06"='6층_부하량'!A3:A3000)*(44='6층_부하량'!B3:B3000),0))</f>
        <v>0.0</v>
      </c>
      <c r="N375" s="157"/>
      <c r="O375" s="157"/>
      <c r="P375" s="157" t="s">
        <v>4635</v>
      </c>
      <c r="Q375" s="164" t="s">
        <v>4575</v>
      </c>
      <c r="R375" s="633" t="s">
        <v>5532</v>
      </c>
    </row>
    <row r="376" spans="1:18" ht="16.5" x14ac:dyDescent="0.15">
      <c r="A376" s="607" t="s">
        <v>5483</v>
      </c>
      <c r="B376" s="143" t="s">
        <v>4635</v>
      </c>
      <c r="C376" s="164" t="s">
        <v>4575</v>
      </c>
      <c r="D376" s="157"/>
      <c r="E376" s="157"/>
      <c r="F376" s="2656" cm="1" t="n">
        <f t="array" ref="F376">INDEX('6층_부하량'!E3:E3000,MATCH(1,("6-DaHall 1-PDU-06"='6층_부하량'!A3:A3000)*(45='6층_부하량'!B3:B3000),0))</f>
        <v>0.0</v>
      </c>
      <c r="G376" s="157"/>
      <c r="H376" s="143" t="s">
        <v>4597</v>
      </c>
      <c r="I376" s="293" t="s">
        <v>4847</v>
      </c>
      <c r="J376" s="1463" t="s">
        <v>4848</v>
      </c>
      <c r="K376" s="143" t="s">
        <v>4597</v>
      </c>
      <c r="L376" s="157"/>
      <c r="M376" s="157"/>
      <c r="N376" s="2656" cm="1" t="n">
        <f t="array" ref="N376">INDEX('6층_부하량'!E3:E3000,MATCH(1,("6-DaHall 1-PDU-06"='6층_부하량'!A3:A3000)*(46='6층_부하량'!B3:B3000),0))</f>
        <v>0.0</v>
      </c>
      <c r="O376" s="157"/>
      <c r="P376" s="157" t="s">
        <v>4635</v>
      </c>
      <c r="Q376" s="164" t="s">
        <v>4575</v>
      </c>
      <c r="R376" s="342" t="s">
        <v>5533</v>
      </c>
    </row>
    <row r="377" spans="1:18" ht="16.5" x14ac:dyDescent="0.15">
      <c r="A377" s="607" t="s">
        <v>5534</v>
      </c>
      <c r="B377" s="143" t="s">
        <v>4635</v>
      </c>
      <c r="C377" s="164" t="s">
        <v>4575</v>
      </c>
      <c r="D377" s="2664" cm="1" t="n">
        <f t="array" ref="D377">INDEX('6층_부하량'!C3:C3000,MATCH(1,("6-DaHall 1-PDU-06"='6층_부하량'!A3:A3000)*(47='6층_부하량'!B3:B3000),0))</f>
        <v>0.0</v>
      </c>
      <c r="E377" s="157"/>
      <c r="F377" s="157"/>
      <c r="G377" s="157"/>
      <c r="H377" s="143" t="s">
        <v>4597</v>
      </c>
      <c r="I377" s="293" t="s">
        <v>4849</v>
      </c>
      <c r="J377" s="151" t="s">
        <v>4850</v>
      </c>
      <c r="K377" s="143" t="s">
        <v>4597</v>
      </c>
      <c r="L377" s="2664" cm="1" t="n">
        <f t="array" ref="L377">INDEX('6층_부하량'!C3:C3000,MATCH(1,("6-DaHall 1-PDU-06"='6층_부하량'!A3:A3000)*(48='6층_부하량'!B3:B3000),0))</f>
        <v>0.0</v>
      </c>
      <c r="M377" s="157"/>
      <c r="N377" s="157"/>
      <c r="O377" s="157"/>
      <c r="P377" s="157" t="s">
        <v>4635</v>
      </c>
      <c r="Q377" s="164" t="s">
        <v>4575</v>
      </c>
      <c r="R377" s="279" t="s">
        <v>5535</v>
      </c>
    </row>
    <row r="378" spans="1:18" ht="16.5" x14ac:dyDescent="0.15">
      <c r="A378" s="607" t="s">
        <v>5487</v>
      </c>
      <c r="B378" s="143" t="s">
        <v>4635</v>
      </c>
      <c r="C378" s="164" t="s">
        <v>4575</v>
      </c>
      <c r="D378" s="157"/>
      <c r="E378" s="2656" cm="1" t="n">
        <f t="array" ref="E378">INDEX('6층_부하량'!D3:D3000,MATCH(1,("6-DaHall 1-PDU-06"='6층_부하량'!A3:A3000)*(49='6층_부하량'!B3:B3000),0))</f>
        <v>0.0</v>
      </c>
      <c r="F378" s="157"/>
      <c r="G378" s="157"/>
      <c r="H378" s="143" t="s">
        <v>4597</v>
      </c>
      <c r="I378" s="293" t="s">
        <v>4851</v>
      </c>
      <c r="J378" s="151" t="s">
        <v>4852</v>
      </c>
      <c r="K378" s="143" t="s">
        <v>4597</v>
      </c>
      <c r="L378" s="157"/>
      <c r="M378" s="2656" cm="1" t="n">
        <f t="array" ref="M378">INDEX('6층_부하량'!D3:D3000,MATCH(1,("6-DaHall 1-PDU-06"='6층_부하량'!A3:A3000)*(50='6층_부하량'!B3:B3000),0))</f>
        <v>0.0</v>
      </c>
      <c r="N378" s="157"/>
      <c r="O378" s="157"/>
      <c r="P378" s="157" t="s">
        <v>4635</v>
      </c>
      <c r="Q378" s="164" t="s">
        <v>4575</v>
      </c>
      <c r="R378" s="264" t="s">
        <v>5536</v>
      </c>
    </row>
    <row r="379" spans="1:18" ht="16.5" x14ac:dyDescent="0.15">
      <c r="A379" s="607" t="s">
        <v>5537</v>
      </c>
      <c r="B379" s="143" t="s">
        <v>4635</v>
      </c>
      <c r="C379" s="164" t="s">
        <v>4575</v>
      </c>
      <c r="D379" s="157"/>
      <c r="E379" s="157"/>
      <c r="F379" s="2664" cm="1" t="n">
        <f t="array" ref="F379">INDEX('6층_부하량'!E3:E3000,MATCH(1,("6-DaHall 1-PDU-06"='6층_부하량'!A3:A3000)*(51='6층_부하량'!B3:B3000),0))</f>
        <v>0.0</v>
      </c>
      <c r="G379" s="157"/>
      <c r="H379" s="143" t="s">
        <v>4597</v>
      </c>
      <c r="I379" s="293" t="s">
        <v>4791</v>
      </c>
      <c r="J379" s="1460" t="s">
        <v>4793</v>
      </c>
      <c r="K379" s="143" t="s">
        <v>4597</v>
      </c>
      <c r="L379" s="157"/>
      <c r="M379" s="157"/>
      <c r="N379" s="2664" cm="1" t="n">
        <f t="array" ref="N379">INDEX('6층_부하량'!E3:E3000,MATCH(1,("6-DaHall 1-PDU-06"='6층_부하량'!A3:A3000)*(52='6층_부하량'!B3:B3000),0))</f>
        <v>0.0</v>
      </c>
      <c r="O379" s="157"/>
      <c r="P379" s="157" t="s">
        <v>4635</v>
      </c>
      <c r="Q379" s="143" t="s">
        <v>4723</v>
      </c>
      <c r="R379" s="183" t="s">
        <v>5538</v>
      </c>
    </row>
    <row r="380" spans="1:18" ht="17.25" thickBot="1" x14ac:dyDescent="0.2">
      <c r="A380" s="280" t="s">
        <v>5539</v>
      </c>
      <c r="B380" s="166" t="s">
        <v>4635</v>
      </c>
      <c r="C380" s="184" t="s">
        <v>4575</v>
      </c>
      <c r="D380" s="2668" cm="1" t="n">
        <f t="array" ref="D380">INDEX('6층_부하량'!C3:C3000,MATCH(1,("6-DaHall 1-PDU-06"='6층_부하량'!A3:A3000)*(53='6층_부하량'!B3:B3000),0))</f>
        <v>0.0</v>
      </c>
      <c r="E380" s="167"/>
      <c r="F380" s="167"/>
      <c r="G380" s="167"/>
      <c r="H380" s="166" t="s">
        <v>4597</v>
      </c>
      <c r="I380" s="300" t="s">
        <v>4796</v>
      </c>
      <c r="J380" s="169" t="s">
        <v>4797</v>
      </c>
      <c r="K380" s="166" t="s">
        <v>4597</v>
      </c>
      <c r="L380" s="2668" cm="1" t="n">
        <f t="array" ref="L380">INDEX('6층_부하량'!C3:C3000,MATCH(1,("6-DaHall 1-PDU-06"='6층_부하량'!A3:A3000)*(54='6층_부하량'!B3:B3000),0))</f>
        <v>2.31</v>
      </c>
      <c r="M380" s="167"/>
      <c r="N380" s="167"/>
      <c r="O380" s="167"/>
      <c r="P380" s="166" t="s">
        <v>4635</v>
      </c>
      <c r="Q380" s="184" t="s">
        <v>4575</v>
      </c>
      <c r="R380" s="325" t="s">
        <v>5540</v>
      </c>
    </row>
    <row r="381" spans="1:18" ht="14.25" thickTop="1" x14ac:dyDescent="0.15">
      <c r="A381" s="128"/>
      <c r="B381" s="128"/>
      <c r="C381" s="128"/>
      <c r="D381" s="128"/>
      <c r="E381" s="128"/>
      <c r="F381" s="128"/>
      <c r="G381" s="128"/>
      <c r="H381" s="128"/>
      <c r="I381" s="128"/>
      <c r="J381" s="128"/>
      <c r="K381" s="128" t="s">
        <v>4713</v>
      </c>
      <c r="L381" s="128" t="n">
        <f>SUM(D354:D380,L354:L380)</f>
        <v>4.2</v>
      </c>
      <c r="M381" s="128" t="n">
        <f>SUM(E354:E380,M354:M380)</f>
        <v>7.15</v>
      </c>
      <c r="N381" s="128" t="n">
        <f>SUM(F354:F380,N354:N380)</f>
        <v>1.27</v>
      </c>
      <c r="O381" s="128"/>
      <c r="P381" s="128"/>
      <c r="Q381" s="128"/>
      <c r="R381" s="128"/>
    </row>
    <row r="382" spans="1:18" ht="14.25" thickBot="1" x14ac:dyDescent="0.2">
      <c r="A382" s="128"/>
      <c r="B382" s="128"/>
      <c r="C382" s="128"/>
      <c r="D382" s="128"/>
      <c r="E382" s="128"/>
      <c r="F382" s="128"/>
      <c r="G382" s="128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</row>
    <row r="383" spans="1:18" ht="15" thickTop="1" thickBot="1" x14ac:dyDescent="0.2">
      <c r="A383" s="173" t="s">
        <v>7009</v>
      </c>
      <c r="B383" s="128"/>
      <c r="C383" s="3660" t="s">
        <v>5541</v>
      </c>
      <c r="D383" s="3660"/>
      <c r="E383" s="3660"/>
      <c r="F383" s="173"/>
      <c r="G383" s="173"/>
      <c r="H383" s="133"/>
      <c r="I383" s="3665" t="s">
        <v>4715</v>
      </c>
      <c r="J383" s="3666"/>
      <c r="K383" s="133"/>
      <c r="L383" s="173"/>
      <c r="M383" s="173"/>
      <c r="N383" s="173"/>
      <c r="O383" s="173"/>
      <c r="P383" s="173"/>
      <c r="Q383" s="173"/>
      <c r="R383" s="128"/>
    </row>
    <row r="384" spans="1:18" ht="15" thickTop="1" thickBot="1" x14ac:dyDescent="0.2">
      <c r="A384" s="127"/>
      <c r="B384" s="128"/>
      <c r="C384" s="128"/>
      <c r="D384" s="129"/>
      <c r="E384" s="129"/>
      <c r="F384" s="130"/>
      <c r="G384" s="129"/>
      <c r="H384" s="131"/>
      <c r="I384" s="128"/>
      <c r="J384" s="132"/>
      <c r="K384" s="1371" t="s">
        <v>4562</v>
      </c>
      <c r="L384" s="1368">
        <v>0</v>
      </c>
      <c r="M384" s="1369">
        <v>0</v>
      </c>
      <c r="N384" s="1370">
        <v>0</v>
      </c>
      <c r="O384" s="508" t="s">
        <v>4563</v>
      </c>
      <c r="P384" s="133"/>
      <c r="Q384" s="128"/>
      <c r="R384" s="528"/>
    </row>
    <row r="385" spans="1:18" ht="15" thickTop="1" thickBot="1" x14ac:dyDescent="0.2">
      <c r="A385" s="134" t="s">
        <v>4564</v>
      </c>
      <c r="B385" s="135" t="s">
        <v>5031</v>
      </c>
      <c r="C385" s="136" t="s">
        <v>4566</v>
      </c>
      <c r="D385" s="135" t="s">
        <v>5032</v>
      </c>
      <c r="E385" s="135" t="s">
        <v>5033</v>
      </c>
      <c r="F385" s="135" t="s">
        <v>5034</v>
      </c>
      <c r="G385" s="135" t="s">
        <v>5035</v>
      </c>
      <c r="H385" s="135" t="s">
        <v>5036</v>
      </c>
      <c r="I385" s="138" t="s">
        <v>5037</v>
      </c>
      <c r="J385" s="139" t="s">
        <v>5037</v>
      </c>
      <c r="K385" s="135" t="s">
        <v>5036</v>
      </c>
      <c r="L385" s="135" t="s">
        <v>5032</v>
      </c>
      <c r="M385" s="135" t="s">
        <v>5033</v>
      </c>
      <c r="N385" s="135" t="s">
        <v>5034</v>
      </c>
      <c r="O385" s="135" t="s">
        <v>5035</v>
      </c>
      <c r="P385" s="135" t="s">
        <v>5031</v>
      </c>
      <c r="Q385" s="136" t="s">
        <v>4566</v>
      </c>
      <c r="R385" s="140" t="s">
        <v>4564</v>
      </c>
    </row>
    <row r="386" spans="1:18" ht="14.25" thickTop="1" x14ac:dyDescent="0.15">
      <c r="A386" s="141" t="s">
        <v>5542</v>
      </c>
      <c r="B386" s="142" t="s">
        <v>4635</v>
      </c>
      <c r="C386" s="142" t="s">
        <v>4723</v>
      </c>
      <c r="D386" s="144"/>
      <c r="E386" s="2654" cm="1" t="n">
        <f t="array" ref="E386">INDEX('6층_부하량'!D3:D3000,MATCH(1,("6-DaHall 1-PDU-07"='6층_부하량'!A3:A3000)*(1='6층_부하량'!B3:B3000),0))</f>
        <v>0.0</v>
      </c>
      <c r="F386" s="144"/>
      <c r="G386" s="144"/>
      <c r="H386" s="142" t="s">
        <v>4597</v>
      </c>
      <c r="I386" s="1469" t="s">
        <v>4633</v>
      </c>
      <c r="J386" s="1476" t="s">
        <v>4578</v>
      </c>
      <c r="K386" s="142" t="s">
        <v>4597</v>
      </c>
      <c r="L386" s="144"/>
      <c r="M386" s="2654" cm="1" t="n">
        <f t="array" ref="M386">INDEX('6층_부하량'!D3:D3000,MATCH(1,("6-DaHall 1-PDU-07"='6층_부하량'!A3:A3000)*(2='6층_부하량'!B3:B3000),0))</f>
        <v>0.0</v>
      </c>
      <c r="N386" s="144"/>
      <c r="O386" s="144"/>
      <c r="P386" s="144" t="s">
        <v>4635</v>
      </c>
      <c r="Q386" s="143" t="s">
        <v>4723</v>
      </c>
      <c r="R386" s="147" t="s">
        <v>5543</v>
      </c>
    </row>
    <row r="387" spans="1:18" x14ac:dyDescent="0.15">
      <c r="A387" s="158" t="s">
        <v>5544</v>
      </c>
      <c r="B387" s="143" t="s">
        <v>4635</v>
      </c>
      <c r="C387" s="143" t="s">
        <v>4723</v>
      </c>
      <c r="D387" s="149"/>
      <c r="E387" s="149"/>
      <c r="F387" s="2655" cm="1" t="n">
        <f t="array" ref="F387">INDEX('6층_부하량'!E3:E3000,MATCH(1,("6-DaHall 1-PDU-07"='6층_부하량'!A3:A3000)*(3='6층_부하량'!B3:B3000),0))</f>
        <v>0.0</v>
      </c>
      <c r="G387" s="149"/>
      <c r="H387" s="143" t="s">
        <v>4597</v>
      </c>
      <c r="I387" s="1465" t="s">
        <v>4638</v>
      </c>
      <c r="J387" s="1463" t="s">
        <v>4583</v>
      </c>
      <c r="K387" s="143" t="s">
        <v>4597</v>
      </c>
      <c r="L387" s="149"/>
      <c r="M387" s="149"/>
      <c r="N387" s="2655" cm="1" t="n">
        <f t="array" ref="N387">INDEX('6층_부하량'!E3:E3000,MATCH(1,("6-DaHall 1-PDU-07"='6층_부하량'!A3:A3000)*(4='6층_부하량'!B3:B3000),0))</f>
        <v>0.0</v>
      </c>
      <c r="O387" s="149"/>
      <c r="P387" s="149" t="s">
        <v>4635</v>
      </c>
      <c r="Q387" s="143" t="s">
        <v>4723</v>
      </c>
      <c r="R387" s="153" t="s">
        <v>5545</v>
      </c>
    </row>
    <row r="388" spans="1:18" x14ac:dyDescent="0.15">
      <c r="A388" s="148" t="s">
        <v>5546</v>
      </c>
      <c r="B388" s="143" t="s">
        <v>4635</v>
      </c>
      <c r="C388" s="143" t="s">
        <v>4723</v>
      </c>
      <c r="D388" s="2656" cm="1" t="n">
        <f t="array" ref="D388">INDEX('6층_부하량'!C3:C3000,MATCH(1,("6-DaHall 1-PDU-07"='6층_부하량'!A3:A3000)*(5='6층_부하량'!B3:B3000),0))</f>
        <v>0.0</v>
      </c>
      <c r="E388" s="157"/>
      <c r="F388" s="157"/>
      <c r="G388" s="157"/>
      <c r="H388" s="143" t="s">
        <v>4597</v>
      </c>
      <c r="I388" s="1471" t="s">
        <v>4641</v>
      </c>
      <c r="J388" s="1460" t="s">
        <v>4588</v>
      </c>
      <c r="K388" s="143" t="s">
        <v>4597</v>
      </c>
      <c r="L388" s="2656" cm="1" t="n">
        <f t="array" ref="L388">INDEX('6층_부하량'!C3:C3000,MATCH(1,("6-DaHall 1-PDU-07"='6층_부하량'!A3:A3000)*(6='6층_부하량'!B3:B3000),0))</f>
        <v>0.0</v>
      </c>
      <c r="M388" s="157"/>
      <c r="N388" s="157"/>
      <c r="O388" s="157"/>
      <c r="P388" s="157" t="s">
        <v>4635</v>
      </c>
      <c r="Q388" s="143" t="s">
        <v>4723</v>
      </c>
      <c r="R388" s="153" t="s">
        <v>5547</v>
      </c>
    </row>
    <row r="389" spans="1:18" ht="16.5" x14ac:dyDescent="0.15">
      <c r="A389" s="174" t="s">
        <v>5548</v>
      </c>
      <c r="B389" s="143" t="s">
        <v>4635</v>
      </c>
      <c r="C389" s="143" t="s">
        <v>4723</v>
      </c>
      <c r="D389" s="157"/>
      <c r="E389" s="2656" cm="1" t="n">
        <f t="array" ref="E389">INDEX('6층_부하량'!D3:D3000,MATCH(1,("6-DaHall 1-PDU-07"='6층_부하량'!A3:A3000)*(7='6층_부하량'!B3:B3000),0))</f>
        <v>0.0</v>
      </c>
      <c r="F389" s="157"/>
      <c r="G389" s="157"/>
      <c r="H389" s="143" t="s">
        <v>4597</v>
      </c>
      <c r="I389" s="1471" t="s">
        <v>4645</v>
      </c>
      <c r="J389" s="151" t="s">
        <v>4593</v>
      </c>
      <c r="K389" s="143" t="s">
        <v>4597</v>
      </c>
      <c r="L389" s="157"/>
      <c r="M389" s="2656" cm="1" t="n">
        <f t="array" ref="M389">INDEX('6층_부하량'!D3:D3000,MATCH(1,("6-DaHall 1-PDU-07"='6층_부하량'!A3:A3000)*(8='6층_부하량'!B3:B3000),0))</f>
        <v>0.0</v>
      </c>
      <c r="N389" s="157"/>
      <c r="O389" s="157"/>
      <c r="P389" s="157" t="s">
        <v>4635</v>
      </c>
      <c r="Q389" s="164" t="s">
        <v>4575</v>
      </c>
      <c r="R389" s="342" t="s">
        <v>5549</v>
      </c>
    </row>
    <row r="390" spans="1:18" ht="16.5" x14ac:dyDescent="0.15">
      <c r="A390" s="148" t="s">
        <v>5550</v>
      </c>
      <c r="B390" s="143" t="s">
        <v>4635</v>
      </c>
      <c r="C390" s="143" t="s">
        <v>4723</v>
      </c>
      <c r="D390" s="157"/>
      <c r="E390" s="157"/>
      <c r="F390" s="2656" cm="1" t="n">
        <f t="array" ref="F390">INDEX('6층_부하량'!E3:E3000,MATCH(1,("6-DaHall 1-PDU-07"='6층_부하량'!A3:A3000)*(9='6층_부하량'!B3:B3000),0))</f>
        <v>0.0</v>
      </c>
      <c r="G390" s="157"/>
      <c r="H390" s="143" t="s">
        <v>4597</v>
      </c>
      <c r="I390" s="1471" t="s">
        <v>4648</v>
      </c>
      <c r="J390" s="151" t="s">
        <v>4596</v>
      </c>
      <c r="K390" s="143" t="s">
        <v>4597</v>
      </c>
      <c r="L390" s="157"/>
      <c r="M390" s="157"/>
      <c r="N390" s="2656" cm="1" t="n">
        <f t="array" ref="N390">INDEX('6층_부하량'!E3:E3000,MATCH(1,("6-DaHall 1-PDU-07"='6층_부하량'!A3:A3000)*(10='6층_부하량'!B3:B3000),0))</f>
        <v>0.0</v>
      </c>
      <c r="O390" s="157"/>
      <c r="P390" s="157" t="s">
        <v>4635</v>
      </c>
      <c r="Q390" s="164" t="s">
        <v>4575</v>
      </c>
      <c r="R390" s="342" t="s">
        <v>5551</v>
      </c>
    </row>
    <row r="391" spans="1:18" ht="16.5" x14ac:dyDescent="0.15">
      <c r="A391" s="174" t="s">
        <v>5552</v>
      </c>
      <c r="B391" s="143" t="s">
        <v>4635</v>
      </c>
      <c r="C391" s="143" t="s">
        <v>4723</v>
      </c>
      <c r="D391" s="2656" cm="1" t="n">
        <f t="array" ref="D391">INDEX('6층_부하량'!C3:C3000,MATCH(1,("6-DaHall 1-PDU-07"='6층_부하량'!A3:A3000)*(11='6층_부하량'!B3:B3000),0))</f>
        <v>0.0</v>
      </c>
      <c r="E391" s="157"/>
      <c r="F391" s="157"/>
      <c r="G391" s="157"/>
      <c r="H391" s="143" t="s">
        <v>4597</v>
      </c>
      <c r="I391" s="1471" t="s">
        <v>4653</v>
      </c>
      <c r="J391" s="151" t="s">
        <v>4599</v>
      </c>
      <c r="K391" s="143" t="s">
        <v>4597</v>
      </c>
      <c r="L391" s="2656" cm="1" t="n">
        <f t="array" ref="L391">INDEX('6층_부하량'!C3:C3000,MATCH(1,("6-DaHall 1-PDU-07"='6층_부하량'!A3:A3000)*(12='6층_부하량'!B3:B3000),0))</f>
        <v>0.0</v>
      </c>
      <c r="M391" s="157"/>
      <c r="N391" s="157"/>
      <c r="O391" s="157"/>
      <c r="P391" s="157" t="s">
        <v>4635</v>
      </c>
      <c r="Q391" s="164" t="s">
        <v>4575</v>
      </c>
      <c r="R391" s="342" t="s">
        <v>5553</v>
      </c>
    </row>
    <row r="392" spans="1:18" ht="16.5" x14ac:dyDescent="0.15">
      <c r="A392" s="148" t="s">
        <v>5554</v>
      </c>
      <c r="B392" s="143" t="s">
        <v>4635</v>
      </c>
      <c r="C392" s="143" t="s">
        <v>4723</v>
      </c>
      <c r="D392" s="157"/>
      <c r="E392" s="2656" cm="1" t="n">
        <f t="array" ref="E392">INDEX('6층_부하량'!D3:D3000,MATCH(1,("6-DaHall 1-PDU-07"='6층_부하량'!A3:A3000)*(13='6층_부하량'!B3:B3000),0))</f>
        <v>0.0</v>
      </c>
      <c r="F392" s="157"/>
      <c r="G392" s="157"/>
      <c r="H392" s="143" t="s">
        <v>4597</v>
      </c>
      <c r="I392" s="1471" t="s">
        <v>4657</v>
      </c>
      <c r="J392" s="151" t="s">
        <v>4601</v>
      </c>
      <c r="K392" s="143" t="s">
        <v>4597</v>
      </c>
      <c r="L392" s="157"/>
      <c r="M392" s="2656" cm="1" t="n">
        <f t="array" ref="M392">INDEX('6층_부하량'!D3:D3000,MATCH(1,("6-DaHall 1-PDU-07"='6층_부하량'!A3:A3000)*(14='6층_부하량'!B3:B3000),0))</f>
        <v>0.0</v>
      </c>
      <c r="N392" s="157"/>
      <c r="O392" s="157"/>
      <c r="P392" s="157" t="s">
        <v>4635</v>
      </c>
      <c r="Q392" s="164" t="s">
        <v>4575</v>
      </c>
      <c r="R392" s="342" t="s">
        <v>5555</v>
      </c>
    </row>
    <row r="393" spans="1:18" x14ac:dyDescent="0.15">
      <c r="A393" s="174" t="s">
        <v>5556</v>
      </c>
      <c r="B393" s="143" t="s">
        <v>4635</v>
      </c>
      <c r="C393" s="143" t="s">
        <v>4723</v>
      </c>
      <c r="D393" s="157"/>
      <c r="E393" s="157"/>
      <c r="F393" s="2656" cm="1" t="n">
        <f t="array" ref="F393">INDEX('6층_부하량'!E3:E3000,MATCH(1,("6-DaHall 1-PDU-07"='6층_부하량'!A3:A3000)*(15='6층_부하량'!B3:B3000),0))</f>
        <v>0.0</v>
      </c>
      <c r="G393" s="157"/>
      <c r="H393" s="143" t="s">
        <v>4597</v>
      </c>
      <c r="I393" s="1471" t="s">
        <v>4661</v>
      </c>
      <c r="J393" s="1460" t="s">
        <v>4603</v>
      </c>
      <c r="K393" s="143" t="s">
        <v>4597</v>
      </c>
      <c r="L393" s="157"/>
      <c r="M393" s="157"/>
      <c r="N393" s="2656" cm="1" t="n">
        <f t="array" ref="N393">INDEX('6층_부하량'!E3:E3000,MATCH(1,("6-DaHall 1-PDU-07"='6층_부하량'!A3:A3000)*(16='6층_부하량'!B3:B3000),0))</f>
        <v>0.0</v>
      </c>
      <c r="O393" s="157"/>
      <c r="P393" s="157" t="s">
        <v>4635</v>
      </c>
      <c r="Q393" s="143" t="s">
        <v>4723</v>
      </c>
      <c r="R393" s="153" t="s">
        <v>5557</v>
      </c>
    </row>
    <row r="394" spans="1:18" x14ac:dyDescent="0.15">
      <c r="A394" s="148" t="s">
        <v>5558</v>
      </c>
      <c r="B394" s="143" t="s">
        <v>4635</v>
      </c>
      <c r="C394" s="143" t="s">
        <v>4723</v>
      </c>
      <c r="D394" s="2656" cm="1" t="n">
        <f t="array" ref="D394">INDEX('6층_부하량'!C3:C3000,MATCH(1,("6-DaHall 1-PDU-07"='6층_부하량'!A3:A3000)*(17='6층_부하량'!B3:B3000),0))</f>
        <v>0.0</v>
      </c>
      <c r="E394" s="157"/>
      <c r="F394" s="157"/>
      <c r="G394" s="157"/>
      <c r="H394" s="143" t="s">
        <v>4597</v>
      </c>
      <c r="I394" s="1471" t="s">
        <v>4665</v>
      </c>
      <c r="J394" s="1460" t="s">
        <v>4605</v>
      </c>
      <c r="K394" s="143" t="s">
        <v>4597</v>
      </c>
      <c r="L394" s="2656" cm="1" t="n">
        <f t="array" ref="L394">INDEX('6층_부하량'!C3:C3000,MATCH(1,("6-DaHall 1-PDU-07"='6층_부하량'!A3:A3000)*(18='6층_부하량'!B3:B3000),0))</f>
        <v>0.0</v>
      </c>
      <c r="M394" s="157"/>
      <c r="N394" s="157"/>
      <c r="O394" s="157"/>
      <c r="P394" s="157" t="s">
        <v>4635</v>
      </c>
      <c r="Q394" s="143" t="s">
        <v>4723</v>
      </c>
      <c r="R394" s="153" t="s">
        <v>5559</v>
      </c>
    </row>
    <row r="395" spans="1:18" x14ac:dyDescent="0.15">
      <c r="A395" s="174" t="s">
        <v>5560</v>
      </c>
      <c r="B395" s="143" t="s">
        <v>4635</v>
      </c>
      <c r="C395" s="143" t="s">
        <v>4723</v>
      </c>
      <c r="D395" s="157"/>
      <c r="E395" s="2656" cm="1" t="n">
        <f t="array" ref="E395">INDEX('6층_부하량'!D3:D3000,MATCH(1,("6-DaHall 1-PDU-07"='6층_부하량'!A3:A3000)*(19='6층_부하량'!B3:B3000),0))</f>
        <v>0.0</v>
      </c>
      <c r="F395" s="157"/>
      <c r="G395" s="157"/>
      <c r="H395" s="143" t="s">
        <v>4597</v>
      </c>
      <c r="I395" s="1471" t="s">
        <v>4670</v>
      </c>
      <c r="J395" s="1460" t="s">
        <v>4609</v>
      </c>
      <c r="K395" s="143" t="s">
        <v>4597</v>
      </c>
      <c r="L395" s="157"/>
      <c r="M395" s="2656" cm="1" t="n">
        <f t="array" ref="M395">INDEX('6층_부하량'!D3:D3000,MATCH(1,("6-DaHall 1-PDU-07"='6층_부하량'!A3:A3000)*(20='6층_부하량'!B3:B3000),0))</f>
        <v>0.0</v>
      </c>
      <c r="N395" s="157"/>
      <c r="O395" s="157"/>
      <c r="P395" s="157" t="s">
        <v>4635</v>
      </c>
      <c r="Q395" s="143" t="s">
        <v>4723</v>
      </c>
      <c r="R395" s="153" t="s">
        <v>5561</v>
      </c>
    </row>
    <row r="396" spans="1:18" ht="16.5" x14ac:dyDescent="0.15">
      <c r="A396" s="148" t="s">
        <v>5562</v>
      </c>
      <c r="B396" s="143" t="s">
        <v>4635</v>
      </c>
      <c r="C396" s="143" t="s">
        <v>4723</v>
      </c>
      <c r="D396" s="157"/>
      <c r="E396" s="157"/>
      <c r="F396" s="2656" cm="1" t="n">
        <f t="array" ref="F396">INDEX('6층_부하량'!E3:E3000,MATCH(1,("6-DaHall 1-PDU-07"='6층_부하량'!A3:A3000)*(21='6층_부하량'!B3:B3000),0))</f>
        <v>0.0</v>
      </c>
      <c r="G396" s="157"/>
      <c r="H396" s="143" t="s">
        <v>4597</v>
      </c>
      <c r="I396" s="1471" t="s">
        <v>4674</v>
      </c>
      <c r="J396" s="151" t="s">
        <v>4613</v>
      </c>
      <c r="K396" s="143" t="s">
        <v>4597</v>
      </c>
      <c r="L396" s="157"/>
      <c r="M396" s="157"/>
      <c r="N396" s="2656" cm="1" t="n">
        <f t="array" ref="N396">INDEX('6층_부하량'!E3:E3000,MATCH(1,("6-DaHall 1-PDU-07"='6층_부하량'!A3:A3000)*(22='6층_부하량'!B3:B3000),0))</f>
        <v>0.0</v>
      </c>
      <c r="O396" s="157"/>
      <c r="P396" s="157" t="s">
        <v>4635</v>
      </c>
      <c r="Q396" s="164" t="s">
        <v>4575</v>
      </c>
      <c r="R396" s="342" t="s">
        <v>5563</v>
      </c>
    </row>
    <row r="397" spans="1:18" ht="16.5" x14ac:dyDescent="0.15">
      <c r="A397" s="148" t="s">
        <v>5564</v>
      </c>
      <c r="B397" s="143" t="s">
        <v>4635</v>
      </c>
      <c r="C397" s="143" t="s">
        <v>4723</v>
      </c>
      <c r="D397" s="2656" cm="1" t="n">
        <f t="array" ref="D397">INDEX('6층_부하량'!C3:C3000,MATCH(1,("6-DaHall 1-PDU-07"='6층_부하량'!A3:A3000)*(23='6층_부하량'!B3:B3000),0))</f>
        <v>0.0</v>
      </c>
      <c r="E397" s="157"/>
      <c r="F397" s="157"/>
      <c r="G397" s="157"/>
      <c r="H397" s="143" t="s">
        <v>4597</v>
      </c>
      <c r="I397" s="1471" t="s">
        <v>4678</v>
      </c>
      <c r="J397" s="151" t="s">
        <v>4680</v>
      </c>
      <c r="K397" s="143" t="s">
        <v>4597</v>
      </c>
      <c r="L397" s="2656" cm="1" t="n">
        <f t="array" ref="L397">INDEX('6층_부하량'!C3:C3000,MATCH(1,("6-DaHall 1-PDU-07"='6층_부하량'!A3:A3000)*(24='6층_부하량'!B3:B3000),0))</f>
        <v>0.0</v>
      </c>
      <c r="M397" s="157"/>
      <c r="N397" s="157"/>
      <c r="O397" s="157"/>
      <c r="P397" s="157" t="s">
        <v>4635</v>
      </c>
      <c r="Q397" s="164" t="s">
        <v>4575</v>
      </c>
      <c r="R397" s="342" t="s">
        <v>5565</v>
      </c>
    </row>
    <row r="398" spans="1:18" ht="16.5" x14ac:dyDescent="0.15">
      <c r="A398" s="148" t="s">
        <v>5566</v>
      </c>
      <c r="B398" s="143" t="s">
        <v>4635</v>
      </c>
      <c r="C398" s="143" t="s">
        <v>4723</v>
      </c>
      <c r="D398" s="157"/>
      <c r="E398" s="2656" cm="1" t="n">
        <f t="array" ref="E398">INDEX('6층_부하량'!D3:D3000,MATCH(1,("6-DaHall 1-PDU-07"='6층_부하량'!A3:A3000)*(25='6층_부하량'!B3:B3000),0))</f>
        <v>0.0</v>
      </c>
      <c r="F398" s="157"/>
      <c r="G398" s="157"/>
      <c r="H398" s="143" t="s">
        <v>4597</v>
      </c>
      <c r="I398" s="1471" t="s">
        <v>4683</v>
      </c>
      <c r="J398" s="151" t="s">
        <v>4685</v>
      </c>
      <c r="K398" s="143" t="s">
        <v>4597</v>
      </c>
      <c r="L398" s="157"/>
      <c r="M398" s="2656" cm="1" t="n">
        <f t="array" ref="M398">INDEX('6층_부하량'!D3:D3000,MATCH(1,("6-DaHall 1-PDU-07"='6층_부하량'!A3:A3000)*(26='6층_부하량'!B3:B3000),0))</f>
        <v>0.0</v>
      </c>
      <c r="N398" s="157"/>
      <c r="O398" s="157"/>
      <c r="P398" s="157" t="s">
        <v>4635</v>
      </c>
      <c r="Q398" s="164" t="s">
        <v>4575</v>
      </c>
      <c r="R398" s="342" t="s">
        <v>5567</v>
      </c>
    </row>
    <row r="399" spans="1:18" ht="17.25" thickBot="1" x14ac:dyDescent="0.2">
      <c r="A399" s="175" t="s">
        <v>5568</v>
      </c>
      <c r="B399" s="176" t="s">
        <v>4635</v>
      </c>
      <c r="C399" s="176" t="s">
        <v>4723</v>
      </c>
      <c r="D399" s="177"/>
      <c r="E399" s="177"/>
      <c r="F399" s="2661" cm="1" t="n">
        <f t="array" ref="F399">INDEX('6층_부하량'!E3:E3000,MATCH(1,("6-DaHall 1-PDU-07"='6층_부하량'!A3:A3000)*(27='6층_부하량'!B3:B3000),0))</f>
        <v>0.0</v>
      </c>
      <c r="G399" s="177"/>
      <c r="H399" s="176" t="s">
        <v>4597</v>
      </c>
      <c r="I399" s="1483" t="s">
        <v>4688</v>
      </c>
      <c r="J399" s="187" t="s">
        <v>4689</v>
      </c>
      <c r="K399" s="176" t="s">
        <v>4597</v>
      </c>
      <c r="L399" s="177"/>
      <c r="M399" s="177"/>
      <c r="N399" s="2661" cm="1" t="n">
        <f t="array" ref="N399">INDEX('6층_부하량'!E3:E3000,MATCH(1,("6-DaHall 1-PDU-07"='6층_부하량'!A3:A3000)*(28='6층_부하량'!B3:B3000),0))</f>
        <v>0.0</v>
      </c>
      <c r="O399" s="177"/>
      <c r="P399" s="177" t="s">
        <v>4635</v>
      </c>
      <c r="Q399" s="191" t="s">
        <v>4575</v>
      </c>
      <c r="R399" s="477" t="s">
        <v>5569</v>
      </c>
    </row>
    <row r="400" spans="1:18" ht="14.25" thickTop="1" x14ac:dyDescent="0.15">
      <c r="A400" s="174" t="s">
        <v>5570</v>
      </c>
      <c r="B400" s="156" t="s">
        <v>4635</v>
      </c>
      <c r="C400" s="156" t="s">
        <v>4723</v>
      </c>
      <c r="D400" s="2658" cm="1" t="n">
        <f t="array" ref="D400">INDEX('6층_부하량'!C3:C3000,MATCH(1,("6-DaHall 1-PDU-07"='6층_부하량'!A3:A3000)*(29='6층_부하량'!B3:B3000),0))</f>
        <v>0.0</v>
      </c>
      <c r="E400" s="179"/>
      <c r="F400" s="179"/>
      <c r="G400" s="179"/>
      <c r="H400" s="156" t="s">
        <v>4597</v>
      </c>
      <c r="I400" s="1470" t="s">
        <v>4691</v>
      </c>
      <c r="J400" s="1462" t="s">
        <v>4692</v>
      </c>
      <c r="K400" s="156" t="s">
        <v>4597</v>
      </c>
      <c r="L400" s="2658" cm="1" t="n">
        <f t="array" ref="L400">INDEX('6층_부하량'!C3:C3000,MATCH(1,("6-DaHall 1-PDU-07"='6층_부하량'!A3:A3000)*(30='6층_부하량'!B3:B3000),0))</f>
        <v>0.0</v>
      </c>
      <c r="M400" s="179"/>
      <c r="N400" s="179"/>
      <c r="O400" s="179"/>
      <c r="P400" s="179" t="s">
        <v>4635</v>
      </c>
      <c r="Q400" s="143" t="s">
        <v>4723</v>
      </c>
      <c r="R400" s="182" t="s">
        <v>5571</v>
      </c>
    </row>
    <row r="401" spans="1:18" x14ac:dyDescent="0.15">
      <c r="A401" s="148" t="s">
        <v>5572</v>
      </c>
      <c r="B401" s="143" t="s">
        <v>4635</v>
      </c>
      <c r="C401" s="143" t="s">
        <v>4723</v>
      </c>
      <c r="D401" s="157"/>
      <c r="E401" s="2656" cm="1" t="n">
        <f t="array" ref="E401">INDEX('6층_부하량'!D3:D3000,MATCH(1,("6-DaHall 1-PDU-07"='6층_부하량'!A3:A3000)*(31='6층_부하량'!B3:B3000),0))</f>
        <v>0.0</v>
      </c>
      <c r="F401" s="157"/>
      <c r="G401" s="157"/>
      <c r="H401" s="143" t="s">
        <v>4597</v>
      </c>
      <c r="I401" s="1471" t="s">
        <v>4693</v>
      </c>
      <c r="J401" s="1460" t="s">
        <v>4694</v>
      </c>
      <c r="K401" s="143" t="s">
        <v>4597</v>
      </c>
      <c r="L401" s="157"/>
      <c r="M401" s="2656" cm="1" t="n">
        <f t="array" ref="M401">INDEX('6층_부하량'!D3:D3000,MATCH(1,("6-DaHall 1-PDU-07"='6층_부하량'!A3:A3000)*(32='6층_부하량'!B3:B3000),0))</f>
        <v>0.0</v>
      </c>
      <c r="N401" s="157"/>
      <c r="O401" s="157"/>
      <c r="P401" s="157" t="s">
        <v>4635</v>
      </c>
      <c r="Q401" s="143" t="s">
        <v>4723</v>
      </c>
      <c r="R401" s="153" t="s">
        <v>5573</v>
      </c>
    </row>
    <row r="402" spans="1:18" x14ac:dyDescent="0.15">
      <c r="A402" s="148" t="s">
        <v>5574</v>
      </c>
      <c r="B402" s="143" t="s">
        <v>4635</v>
      </c>
      <c r="C402" s="143" t="s">
        <v>4723</v>
      </c>
      <c r="D402" s="157"/>
      <c r="E402" s="157"/>
      <c r="F402" s="2656" cm="1" t="n">
        <f t="array" ref="F402">INDEX('6층_부하량'!E3:E3000,MATCH(1,("6-DaHall 1-PDU-07"='6층_부하량'!A3:A3000)*(33='6층_부하량'!B3:B3000),0))</f>
        <v>0.0</v>
      </c>
      <c r="G402" s="157"/>
      <c r="H402" s="143" t="s">
        <v>4597</v>
      </c>
      <c r="I402" s="1471" t="s">
        <v>4697</v>
      </c>
      <c r="J402" s="1460" t="s">
        <v>4698</v>
      </c>
      <c r="K402" s="143" t="s">
        <v>4597</v>
      </c>
      <c r="L402" s="157"/>
      <c r="M402" s="157"/>
      <c r="N402" s="2656" cm="1" t="n">
        <f t="array" ref="N402">INDEX('6층_부하량'!E3:E3000,MATCH(1,("6-DaHall 1-PDU-07"='6층_부하량'!A3:A3000)*(34='6층_부하량'!B3:B3000),0))</f>
        <v>0.0</v>
      </c>
      <c r="O402" s="157"/>
      <c r="P402" s="157" t="s">
        <v>4635</v>
      </c>
      <c r="Q402" s="143" t="s">
        <v>4723</v>
      </c>
      <c r="R402" s="182" t="s">
        <v>5575</v>
      </c>
    </row>
    <row r="403" spans="1:18" ht="16.5" x14ac:dyDescent="0.15">
      <c r="A403" s="148" t="s">
        <v>5576</v>
      </c>
      <c r="B403" s="143" t="s">
        <v>4635</v>
      </c>
      <c r="C403" s="143" t="s">
        <v>4723</v>
      </c>
      <c r="D403" s="2656" cm="1" t="n">
        <f t="array" ref="D403">INDEX('6층_부하량'!C3:C3000,MATCH(1,("6-DaHall 1-PDU-07"='6층_부하량'!A3:A3000)*(35='6층_부하량'!B3:B3000),0))</f>
        <v>0.0</v>
      </c>
      <c r="E403" s="157"/>
      <c r="F403" s="157"/>
      <c r="G403" s="157"/>
      <c r="H403" s="143" t="s">
        <v>4597</v>
      </c>
      <c r="I403" s="1471" t="s">
        <v>4701</v>
      </c>
      <c r="J403" s="151" t="s">
        <v>4703</v>
      </c>
      <c r="K403" s="143" t="s">
        <v>4597</v>
      </c>
      <c r="L403" s="2656" cm="1" t="n">
        <f t="array" ref="L403">INDEX('6층_부하량'!C3:C3000,MATCH(1,("6-DaHall 1-PDU-07"='6층_부하량'!A3:A3000)*(36='6층_부하량'!B3:B3000),0))</f>
        <v>0.0</v>
      </c>
      <c r="M403" s="157"/>
      <c r="N403" s="157"/>
      <c r="O403" s="157"/>
      <c r="P403" s="157" t="s">
        <v>4635</v>
      </c>
      <c r="Q403" s="164" t="s">
        <v>4575</v>
      </c>
      <c r="R403" s="342" t="s">
        <v>5577</v>
      </c>
    </row>
    <row r="404" spans="1:18" ht="16.5" x14ac:dyDescent="0.15">
      <c r="A404" s="148" t="s">
        <v>5578</v>
      </c>
      <c r="B404" s="143" t="s">
        <v>4635</v>
      </c>
      <c r="C404" s="143" t="s">
        <v>4723</v>
      </c>
      <c r="D404" s="157"/>
      <c r="E404" s="2664" cm="1" t="n">
        <f t="array" ref="E404">INDEX('6층_부하량'!D3:D3000,MATCH(1,("6-DaHall 1-PDU-07"='6층_부하량'!A3:A3000)*(37='6층_부하량'!B3:B3000),0))</f>
        <v>0.0</v>
      </c>
      <c r="F404" s="157"/>
      <c r="G404" s="157"/>
      <c r="H404" s="143" t="s">
        <v>4597</v>
      </c>
      <c r="I404" s="1471" t="s">
        <v>4706</v>
      </c>
      <c r="J404" s="151" t="s">
        <v>4707</v>
      </c>
      <c r="K404" s="143" t="s">
        <v>4597</v>
      </c>
      <c r="L404" s="157"/>
      <c r="M404" s="2664" cm="1" t="n">
        <f t="array" ref="M404">INDEX('6층_부하량'!D3:D3000,MATCH(1,("6-DaHall 1-PDU-07"='6층_부하량'!A3:A3000)*(38='6층_부하량'!B3:B3000),0))</f>
        <v>0.0</v>
      </c>
      <c r="N404" s="157"/>
      <c r="O404" s="157"/>
      <c r="P404" s="157" t="s">
        <v>4635</v>
      </c>
      <c r="Q404" s="164" t="s">
        <v>4575</v>
      </c>
      <c r="R404" s="475" t="s">
        <v>5579</v>
      </c>
    </row>
    <row r="405" spans="1:18" ht="16.5" x14ac:dyDescent="0.15">
      <c r="A405" s="148" t="s">
        <v>5580</v>
      </c>
      <c r="B405" s="143" t="s">
        <v>4635</v>
      </c>
      <c r="C405" s="143" t="s">
        <v>4723</v>
      </c>
      <c r="D405" s="157"/>
      <c r="E405" s="157"/>
      <c r="F405" s="2656" cm="1" t="n">
        <f t="array" ref="F405">INDEX('6층_부하량'!E3:E3000,MATCH(1,("6-DaHall 1-PDU-07"='6층_부하량'!A3:A3000)*(39='6층_부하량'!B3:B3000),0))</f>
        <v>0.0</v>
      </c>
      <c r="G405" s="157"/>
      <c r="H405" s="143" t="s">
        <v>4597</v>
      </c>
      <c r="I405" s="1471" t="s">
        <v>4710</v>
      </c>
      <c r="J405" s="151" t="s">
        <v>4711</v>
      </c>
      <c r="K405" s="143" t="s">
        <v>4597</v>
      </c>
      <c r="L405" s="157"/>
      <c r="M405" s="157"/>
      <c r="N405" s="2656" cm="1" t="n">
        <f t="array" ref="N405">INDEX('6층_부하량'!E3:E3000,MATCH(1,("6-DaHall 1-PDU-07"='6층_부하량'!A3:A3000)*(40='6층_부하량'!B3:B3000),0))</f>
        <v>0.0</v>
      </c>
      <c r="O405" s="157"/>
      <c r="P405" s="157" t="s">
        <v>4635</v>
      </c>
      <c r="Q405" s="164" t="s">
        <v>4575</v>
      </c>
      <c r="R405" s="342" t="s">
        <v>5581</v>
      </c>
    </row>
    <row r="406" spans="1:18" ht="16.5" x14ac:dyDescent="0.15">
      <c r="A406" s="257" t="s">
        <v>5582</v>
      </c>
      <c r="B406" s="143" t="s">
        <v>5583</v>
      </c>
      <c r="C406" s="164" t="s">
        <v>4575</v>
      </c>
      <c r="D406" s="2656" cm="1" t="n">
        <f t="array" ref="D406">INDEX('6층_부하량'!C3:C3000,MATCH(1,("6-DaHall 1-PDU-07"='6층_부하량'!A3:A3000)*(41='6층_부하량'!B3:B3000),0))</f>
        <v>0.0</v>
      </c>
      <c r="E406" s="157"/>
      <c r="F406" s="157"/>
      <c r="G406" s="157"/>
      <c r="H406" s="143" t="s">
        <v>4597</v>
      </c>
      <c r="I406" s="154" t="s">
        <v>5055</v>
      </c>
      <c r="J406" s="151" t="s">
        <v>4843</v>
      </c>
      <c r="K406" s="143" t="s">
        <v>4597</v>
      </c>
      <c r="L406" s="2656" cm="1" t="n">
        <f t="array" ref="L406">INDEX('6층_부하량'!C3:C3000,MATCH(1,("6-DaHall 1-PDU-07"='6층_부하량'!A3:A3000)*(42='6층_부하량'!B3:B3000),0))</f>
        <v>0.0</v>
      </c>
      <c r="M406" s="157"/>
      <c r="N406" s="157"/>
      <c r="O406" s="157"/>
      <c r="P406" s="157" t="s">
        <v>4635</v>
      </c>
      <c r="Q406" s="164" t="s">
        <v>4575</v>
      </c>
      <c r="R406" s="475" t="s">
        <v>5584</v>
      </c>
    </row>
    <row r="407" spans="1:18" ht="16.5" x14ac:dyDescent="0.15">
      <c r="A407" s="257" t="s">
        <v>5585</v>
      </c>
      <c r="B407" s="143" t="s">
        <v>5583</v>
      </c>
      <c r="C407" s="164" t="s">
        <v>4575</v>
      </c>
      <c r="D407" s="157"/>
      <c r="E407" s="2656" cm="1" t="n">
        <f t="array" ref="E407">INDEX('6층_부하량'!D3:D3000,MATCH(1,("6-DaHall 1-PDU-07"='6층_부하량'!A3:A3000)*(43='6층_부하량'!B3:B3000),0))</f>
        <v>0.0</v>
      </c>
      <c r="F407" s="157"/>
      <c r="G407" s="157"/>
      <c r="H407" s="143" t="s">
        <v>4597</v>
      </c>
      <c r="I407" s="154" t="s">
        <v>4845</v>
      </c>
      <c r="J407" s="151" t="s">
        <v>4846</v>
      </c>
      <c r="K407" s="143" t="s">
        <v>4597</v>
      </c>
      <c r="L407" s="157"/>
      <c r="M407" s="2656" cm="1" t="n">
        <f t="array" ref="M407">INDEX('6층_부하량'!D3:D3000,MATCH(1,("6-DaHall 1-PDU-07"='6층_부하량'!A3:A3000)*(44='6층_부하량'!B3:B3000),0))</f>
        <v>0.0</v>
      </c>
      <c r="N407" s="157"/>
      <c r="O407" s="157"/>
      <c r="P407" s="157" t="s">
        <v>4635</v>
      </c>
      <c r="Q407" s="164" t="s">
        <v>4575</v>
      </c>
      <c r="R407" s="342" t="s">
        <v>5586</v>
      </c>
    </row>
    <row r="408" spans="1:18" ht="16.5" x14ac:dyDescent="0.15">
      <c r="A408" s="257" t="s">
        <v>5587</v>
      </c>
      <c r="B408" s="143" t="s">
        <v>5583</v>
      </c>
      <c r="C408" s="164" t="s">
        <v>4575</v>
      </c>
      <c r="D408" s="157"/>
      <c r="E408" s="157"/>
      <c r="F408" s="2656" cm="1" t="n">
        <f t="array" ref="F408">INDEX('6층_부하량'!E3:E3000,MATCH(1,("6-DaHall 1-PDU-07"='6층_부하량'!A3:A3000)*(45='6층_부하량'!B3:B3000),0))</f>
        <v>0.0</v>
      </c>
      <c r="G408" s="157"/>
      <c r="H408" s="143" t="s">
        <v>4597</v>
      </c>
      <c r="I408" s="154" t="s">
        <v>4847</v>
      </c>
      <c r="J408" s="151" t="s">
        <v>4848</v>
      </c>
      <c r="K408" s="143" t="s">
        <v>4597</v>
      </c>
      <c r="L408" s="157"/>
      <c r="M408" s="157"/>
      <c r="N408" s="2656" cm="1" t="n">
        <f t="array" ref="N408">INDEX('6층_부하량'!E3:E3000,MATCH(1,("6-DaHall 1-PDU-07"='6층_부하량'!A3:A3000)*(46='6층_부하량'!B3:B3000),0))</f>
        <v>0.0</v>
      </c>
      <c r="O408" s="157"/>
      <c r="P408" s="157" t="s">
        <v>4635</v>
      </c>
      <c r="Q408" s="164" t="s">
        <v>4575</v>
      </c>
      <c r="R408" s="475" t="s">
        <v>5588</v>
      </c>
    </row>
    <row r="409" spans="1:18" x14ac:dyDescent="0.15">
      <c r="A409" s="257" t="s">
        <v>5589</v>
      </c>
      <c r="B409" s="143" t="s">
        <v>565</v>
      </c>
      <c r="C409" s="143" t="s">
        <v>4723</v>
      </c>
      <c r="D409" s="2664" cm="1" t="n">
        <f t="array" ref="D409">INDEX('6층_부하량'!C3:C3000,MATCH(1,("6-DaHall 1-PDU-07"='6층_부하량'!A3:A3000)*(47='6층_부하량'!B3:B3000),0))</f>
        <v>0.0</v>
      </c>
      <c r="E409" s="157"/>
      <c r="F409" s="157"/>
      <c r="G409" s="157"/>
      <c r="H409" s="143" t="s">
        <v>4597</v>
      </c>
      <c r="I409" s="1471" t="s">
        <v>4849</v>
      </c>
      <c r="J409" s="1460" t="s">
        <v>4850</v>
      </c>
      <c r="K409" s="143" t="s">
        <v>4597</v>
      </c>
      <c r="L409" s="2664" cm="1" t="n">
        <f t="array" ref="L409">INDEX('6층_부하량'!C3:C3000,MATCH(1,("6-DaHall 1-PDU-07"='6층_부하량'!A3:A3000)*(48='6층_부하량'!B3:B3000),0))</f>
        <v>0.0</v>
      </c>
      <c r="M409" s="157"/>
      <c r="N409" s="157"/>
      <c r="O409" s="157"/>
      <c r="P409" s="157" t="s">
        <v>4635</v>
      </c>
      <c r="Q409" s="143" t="s">
        <v>4723</v>
      </c>
      <c r="R409" s="183" t="s">
        <v>5590</v>
      </c>
    </row>
    <row r="410" spans="1:18" ht="16.5" x14ac:dyDescent="0.15">
      <c r="A410" s="607" t="s">
        <v>5591</v>
      </c>
      <c r="B410" s="143" t="s">
        <v>4635</v>
      </c>
      <c r="C410" s="164" t="s">
        <v>4575</v>
      </c>
      <c r="D410" s="157"/>
      <c r="E410" s="2656" cm="1" t="n">
        <f t="array" ref="E410">INDEX('6층_부하량'!D3:D3000,MATCH(1,("6-DaHall 1-PDU-07"='6층_부하량'!A3:A3000)*(49='6층_부하량'!B3:B3000),0))</f>
        <v>0.0</v>
      </c>
      <c r="F410" s="157"/>
      <c r="G410" s="157"/>
      <c r="H410" s="143" t="s">
        <v>4597</v>
      </c>
      <c r="I410" s="150" t="s">
        <v>4851</v>
      </c>
      <c r="J410" s="1460" t="s">
        <v>4852</v>
      </c>
      <c r="K410" s="143" t="s">
        <v>4597</v>
      </c>
      <c r="L410" s="157"/>
      <c r="M410" s="2656" cm="1" t="n">
        <f t="array" ref="M410">INDEX('6층_부하량'!D3:D3000,MATCH(1,("6-DaHall 1-PDU-07"='6층_부하량'!A3:A3000)*(50='6층_부하량'!B3:B3000),0))</f>
        <v>0.0</v>
      </c>
      <c r="N410" s="157"/>
      <c r="O410" s="157"/>
      <c r="P410" s="157" t="s">
        <v>4635</v>
      </c>
      <c r="Q410" s="143" t="s">
        <v>4723</v>
      </c>
      <c r="R410" s="153" t="s">
        <v>5592</v>
      </c>
    </row>
    <row r="411" spans="1:18" ht="16.5" x14ac:dyDescent="0.15">
      <c r="A411" s="607" t="s">
        <v>5593</v>
      </c>
      <c r="B411" s="143" t="s">
        <v>4635</v>
      </c>
      <c r="C411" s="164" t="s">
        <v>4575</v>
      </c>
      <c r="D411" s="157"/>
      <c r="E411" s="157"/>
      <c r="F411" s="2664" cm="1" t="n">
        <f t="array" ref="F411">INDEX('6층_부하량'!E3:E3000,MATCH(1,("6-DaHall 1-PDU-07"='6층_부하량'!A3:A3000)*(51='6층_부하량'!B3:B3000),0))</f>
        <v>0.0</v>
      </c>
      <c r="G411" s="157"/>
      <c r="H411" s="143" t="s">
        <v>4597</v>
      </c>
      <c r="I411" s="150" t="s">
        <v>4791</v>
      </c>
      <c r="J411" s="1460" t="s">
        <v>4793</v>
      </c>
      <c r="K411" s="143" t="s">
        <v>4597</v>
      </c>
      <c r="L411" s="157"/>
      <c r="M411" s="157"/>
      <c r="N411" s="2664" cm="1" t="n">
        <f t="array" ref="N411">INDEX('6층_부하량'!E3:E3000,MATCH(1,("6-DaHall 1-PDU-07"='6층_부하량'!A3:A3000)*(52='6층_부하량'!B3:B3000),0))</f>
        <v>0.0</v>
      </c>
      <c r="O411" s="157"/>
      <c r="P411" s="157" t="s">
        <v>4635</v>
      </c>
      <c r="Q411" s="143" t="s">
        <v>4723</v>
      </c>
      <c r="R411" s="183" t="s">
        <v>5594</v>
      </c>
    </row>
    <row r="412" spans="1:18" ht="17.25" thickBot="1" x14ac:dyDescent="0.2">
      <c r="A412" s="275" t="s">
        <v>5595</v>
      </c>
      <c r="B412" s="166" t="s">
        <v>4635</v>
      </c>
      <c r="C412" s="184" t="s">
        <v>4575</v>
      </c>
      <c r="D412" s="2668" cm="1" t="n">
        <f t="array" ref="D412">INDEX('6층_부하량'!C3:C3000,MATCH(1,("6-DaHall 1-PDU-07"='6층_부하량'!A3:A3000)*(53='6층_부하량'!B3:B3000),0))</f>
        <v>0.0</v>
      </c>
      <c r="E412" s="167"/>
      <c r="F412" s="167"/>
      <c r="G412" s="167"/>
      <c r="H412" s="166" t="s">
        <v>4597</v>
      </c>
      <c r="I412" s="194" t="s">
        <v>4796</v>
      </c>
      <c r="J412" s="190" t="s">
        <v>4797</v>
      </c>
      <c r="K412" s="166" t="s">
        <v>4597</v>
      </c>
      <c r="L412" s="2668" cm="1" t="n">
        <f t="array" ref="L412">INDEX('6층_부하량'!C3:C3000,MATCH(1,("6-DaHall 1-PDU-07"='6층_부하량'!A3:A3000)*(54='6층_부하량'!B3:B3000),0))</f>
        <v>0.0</v>
      </c>
      <c r="M412" s="167"/>
      <c r="N412" s="167"/>
      <c r="O412" s="167"/>
      <c r="P412" s="167" t="s">
        <v>4635</v>
      </c>
      <c r="Q412" s="184" t="s">
        <v>4575</v>
      </c>
      <c r="R412" s="634" t="s">
        <v>5596</v>
      </c>
    </row>
    <row r="413" spans="1:18" ht="14.25" thickTop="1" x14ac:dyDescent="0.15">
      <c r="A413" s="128"/>
      <c r="C413" s="128"/>
      <c r="D413" s="128"/>
      <c r="E413" s="128"/>
      <c r="F413" s="128"/>
      <c r="G413" s="128"/>
      <c r="H413" s="128"/>
      <c r="I413" s="128"/>
      <c r="J413" s="128"/>
      <c r="K413" s="128" t="s">
        <v>4713</v>
      </c>
      <c r="L413" s="128" t="n">
        <f>SUM(D386:D412,L386:L412)</f>
        <v>0.0</v>
      </c>
      <c r="M413" s="128" t="n">
        <f>SUM(E386:E412,M386:M412)</f>
        <v>0.0</v>
      </c>
      <c r="N413" s="128" t="n">
        <f>SUM(F386:F412,N386:N412)</f>
        <v>0.0</v>
      </c>
      <c r="O413" s="128"/>
      <c r="P413" s="128"/>
      <c r="Q413" s="128"/>
      <c r="R413" s="128"/>
    </row>
    <row r="414" spans="1:18" ht="14.25" thickBot="1" x14ac:dyDescent="0.2">
      <c r="A414" s="128"/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</row>
    <row r="415" spans="1:18" ht="15" thickTop="1" thickBot="1" x14ac:dyDescent="0.2">
      <c r="A415" s="173" t="s">
        <v>7010</v>
      </c>
      <c r="B415" s="128"/>
      <c r="C415" s="3660" t="s">
        <v>5597</v>
      </c>
      <c r="D415" s="3660"/>
      <c r="E415" s="3660"/>
      <c r="F415" s="173"/>
      <c r="G415" s="173"/>
      <c r="H415" s="133"/>
      <c r="I415" s="3665" t="s">
        <v>4715</v>
      </c>
      <c r="J415" s="3666"/>
      <c r="K415" s="133"/>
      <c r="L415" s="173"/>
      <c r="M415" s="173"/>
      <c r="N415" s="173"/>
      <c r="O415" s="173"/>
      <c r="P415" s="173"/>
      <c r="Q415" s="173"/>
      <c r="R415" s="128"/>
    </row>
    <row r="416" spans="1:18" ht="15" thickTop="1" thickBot="1" x14ac:dyDescent="0.2">
      <c r="A416" s="127"/>
      <c r="B416" s="128"/>
      <c r="C416" s="128"/>
      <c r="D416" s="129"/>
      <c r="E416" s="129"/>
      <c r="F416" s="130"/>
      <c r="G416" s="129"/>
      <c r="H416" s="131"/>
      <c r="I416" s="128"/>
      <c r="J416" s="132"/>
      <c r="K416" s="1371" t="s">
        <v>4562</v>
      </c>
      <c r="L416" s="1368">
        <v>0</v>
      </c>
      <c r="M416" s="1369">
        <v>0</v>
      </c>
      <c r="N416" s="1370">
        <v>0</v>
      </c>
      <c r="O416" s="508" t="s">
        <v>4563</v>
      </c>
      <c r="P416" s="133"/>
      <c r="Q416" s="128"/>
      <c r="R416" s="528"/>
    </row>
    <row r="417" spans="1:18" ht="15" thickTop="1" thickBot="1" x14ac:dyDescent="0.2">
      <c r="A417" s="134" t="s">
        <v>4564</v>
      </c>
      <c r="B417" s="135" t="s">
        <v>5031</v>
      </c>
      <c r="C417" s="136" t="s">
        <v>4566</v>
      </c>
      <c r="D417" s="135" t="s">
        <v>5032</v>
      </c>
      <c r="E417" s="135" t="s">
        <v>5033</v>
      </c>
      <c r="F417" s="135" t="s">
        <v>5034</v>
      </c>
      <c r="G417" s="135" t="s">
        <v>5035</v>
      </c>
      <c r="H417" s="135" t="s">
        <v>5036</v>
      </c>
      <c r="I417" s="138" t="s">
        <v>5037</v>
      </c>
      <c r="J417" s="139" t="s">
        <v>5037</v>
      </c>
      <c r="K417" s="135" t="s">
        <v>5036</v>
      </c>
      <c r="L417" s="135" t="s">
        <v>5032</v>
      </c>
      <c r="M417" s="135" t="s">
        <v>5033</v>
      </c>
      <c r="N417" s="135" t="s">
        <v>5034</v>
      </c>
      <c r="O417" s="135" t="s">
        <v>5035</v>
      </c>
      <c r="P417" s="135" t="s">
        <v>5031</v>
      </c>
      <c r="Q417" s="136" t="s">
        <v>4566</v>
      </c>
      <c r="R417" s="140" t="s">
        <v>4564</v>
      </c>
    </row>
    <row r="418" spans="1:18" ht="14.25" thickTop="1" x14ac:dyDescent="0.15">
      <c r="A418" s="141" t="s">
        <v>5598</v>
      </c>
      <c r="B418" s="142" t="s">
        <v>565</v>
      </c>
      <c r="C418" s="143" t="s">
        <v>4723</v>
      </c>
      <c r="D418" s="144"/>
      <c r="E418" s="2654" cm="1" t="n">
        <f t="array" ref="E418">INDEX('6층_부하량'!D3:D3000,MATCH(1,("6-DaHall 1-PDU-08"='6층_부하량'!A3:A3000)*(1='6층_부하량'!B3:B3000),0))</f>
        <v>0.0</v>
      </c>
      <c r="F418" s="144"/>
      <c r="G418" s="144"/>
      <c r="H418" s="142" t="s">
        <v>4597</v>
      </c>
      <c r="I418" s="1469" t="s">
        <v>4633</v>
      </c>
      <c r="J418" s="1476" t="s">
        <v>4578</v>
      </c>
      <c r="K418" s="142" t="s">
        <v>4597</v>
      </c>
      <c r="L418" s="144"/>
      <c r="M418" s="2654" cm="1" t="n">
        <f t="array" ref="M418">INDEX('6층_부하량'!D3:D3000,MATCH(1,("6-DaHall 1-PDU-08"='6층_부하량'!A3:A3000)*(2='6층_부하량'!B3:B3000),0))</f>
        <v>0.0</v>
      </c>
      <c r="N418" s="144"/>
      <c r="O418" s="144"/>
      <c r="P418" s="144" t="s">
        <v>4635</v>
      </c>
      <c r="Q418" s="143" t="s">
        <v>4723</v>
      </c>
      <c r="R418" s="147" t="s">
        <v>5599</v>
      </c>
    </row>
    <row r="419" spans="1:18" x14ac:dyDescent="0.15">
      <c r="A419" s="158" t="s">
        <v>5600</v>
      </c>
      <c r="B419" s="143" t="s">
        <v>565</v>
      </c>
      <c r="C419" s="143" t="s">
        <v>4723</v>
      </c>
      <c r="D419" s="149"/>
      <c r="E419" s="149"/>
      <c r="F419" s="2655" cm="1" t="n">
        <f t="array" ref="F419">INDEX('6층_부하량'!E3:E3000,MATCH(1,("6-DaHall 1-PDU-08"='6층_부하량'!A3:A3000)*(3='6층_부하량'!B3:B3000),0))</f>
        <v>0.0</v>
      </c>
      <c r="G419" s="149"/>
      <c r="H419" s="143" t="s">
        <v>4597</v>
      </c>
      <c r="I419" s="1465" t="s">
        <v>4638</v>
      </c>
      <c r="J419" s="1463" t="s">
        <v>4583</v>
      </c>
      <c r="K419" s="143" t="s">
        <v>4597</v>
      </c>
      <c r="L419" s="149"/>
      <c r="M419" s="149"/>
      <c r="N419" s="2655" cm="1" t="n">
        <f t="array" ref="N419">INDEX('6층_부하량'!E3:E3000,MATCH(1,("6-DaHall 1-PDU-08"='6층_부하량'!A3:A3000)*(4='6층_부하량'!B3:B3000),0))</f>
        <v>0.0</v>
      </c>
      <c r="O419" s="149"/>
      <c r="P419" s="149" t="s">
        <v>4635</v>
      </c>
      <c r="Q419" s="143" t="s">
        <v>4723</v>
      </c>
      <c r="R419" s="153" t="s">
        <v>5601</v>
      </c>
    </row>
    <row r="420" spans="1:18" x14ac:dyDescent="0.15">
      <c r="A420" s="148" t="s">
        <v>5602</v>
      </c>
      <c r="B420" s="143" t="s">
        <v>565</v>
      </c>
      <c r="C420" s="143" t="s">
        <v>4723</v>
      </c>
      <c r="D420" s="2656" cm="1" t="n">
        <f t="array" ref="D420">INDEX('6층_부하량'!C3:C3000,MATCH(1,("6-DaHall 1-PDU-08"='6층_부하량'!A3:A3000)*(5='6층_부하량'!B3:B3000),0))</f>
        <v>0.0</v>
      </c>
      <c r="E420" s="157"/>
      <c r="F420" s="157"/>
      <c r="G420" s="157"/>
      <c r="H420" s="143" t="s">
        <v>4597</v>
      </c>
      <c r="I420" s="1471" t="s">
        <v>4641</v>
      </c>
      <c r="J420" s="1460" t="s">
        <v>4588</v>
      </c>
      <c r="K420" s="143" t="s">
        <v>4597</v>
      </c>
      <c r="L420" s="2656" cm="1" t="n">
        <f t="array" ref="L420">INDEX('6층_부하량'!C3:C3000,MATCH(1,("6-DaHall 1-PDU-08"='6층_부하량'!A3:A3000)*(6='6층_부하량'!B3:B3000),0))</f>
        <v>0.0</v>
      </c>
      <c r="M420" s="157"/>
      <c r="N420" s="157"/>
      <c r="O420" s="157"/>
      <c r="P420" s="157" t="s">
        <v>4635</v>
      </c>
      <c r="Q420" s="143" t="s">
        <v>4723</v>
      </c>
      <c r="R420" s="153" t="s">
        <v>5603</v>
      </c>
    </row>
    <row r="421" spans="1:18" ht="16.5" x14ac:dyDescent="0.15">
      <c r="A421" s="174" t="s">
        <v>5604</v>
      </c>
      <c r="B421" s="143" t="s">
        <v>565</v>
      </c>
      <c r="C421" s="143" t="s">
        <v>4723</v>
      </c>
      <c r="D421" s="157"/>
      <c r="E421" s="2656" cm="1" t="n">
        <f t="array" ref="E421">INDEX('6층_부하량'!D3:D3000,MATCH(1,("6-DaHall 1-PDU-08"='6층_부하량'!A3:A3000)*(7='6층_부하량'!B3:B3000),0))</f>
        <v>0.0</v>
      </c>
      <c r="F421" s="157"/>
      <c r="G421" s="157"/>
      <c r="H421" s="143" t="s">
        <v>4597</v>
      </c>
      <c r="I421" s="1471" t="s">
        <v>4645</v>
      </c>
      <c r="J421" s="151" t="s">
        <v>4593</v>
      </c>
      <c r="K421" s="143" t="s">
        <v>4597</v>
      </c>
      <c r="L421" s="157"/>
      <c r="M421" s="2656" cm="1" t="n">
        <f t="array" ref="M421">INDEX('6층_부하량'!D3:D3000,MATCH(1,("6-DaHall 1-PDU-08"='6층_부하량'!A3:A3000)*(8='6층_부하량'!B3:B3000),0))</f>
        <v>0.0</v>
      </c>
      <c r="N421" s="157"/>
      <c r="O421" s="157"/>
      <c r="P421" s="157" t="s">
        <v>4635</v>
      </c>
      <c r="Q421" s="164" t="s">
        <v>4575</v>
      </c>
      <c r="R421" s="342" t="s">
        <v>5605</v>
      </c>
    </row>
    <row r="422" spans="1:18" ht="16.5" x14ac:dyDescent="0.15">
      <c r="A422" s="148" t="s">
        <v>5606</v>
      </c>
      <c r="B422" s="143" t="s">
        <v>565</v>
      </c>
      <c r="C422" s="143" t="s">
        <v>4723</v>
      </c>
      <c r="D422" s="157"/>
      <c r="E422" s="157"/>
      <c r="F422" s="2656" cm="1" t="n">
        <f t="array" ref="F422">INDEX('6층_부하량'!E3:E3000,MATCH(1,("6-DaHall 1-PDU-08"='6층_부하량'!A3:A3000)*(9='6층_부하량'!B3:B3000),0))</f>
        <v>0.0</v>
      </c>
      <c r="G422" s="157"/>
      <c r="H422" s="143" t="s">
        <v>4597</v>
      </c>
      <c r="I422" s="1471" t="s">
        <v>4648</v>
      </c>
      <c r="J422" s="151" t="s">
        <v>4596</v>
      </c>
      <c r="K422" s="143" t="s">
        <v>4597</v>
      </c>
      <c r="L422" s="157"/>
      <c r="M422" s="157"/>
      <c r="N422" s="2656" cm="1" t="n">
        <f t="array" ref="N422">INDEX('6층_부하량'!E3:E3000,MATCH(1,("6-DaHall 1-PDU-08"='6층_부하량'!A3:A3000)*(10='6층_부하량'!B3:B3000),0))</f>
        <v>0.0</v>
      </c>
      <c r="O422" s="157"/>
      <c r="P422" s="157" t="s">
        <v>4635</v>
      </c>
      <c r="Q422" s="164" t="s">
        <v>4575</v>
      </c>
      <c r="R422" s="342" t="s">
        <v>5607</v>
      </c>
    </row>
    <row r="423" spans="1:18" ht="16.5" x14ac:dyDescent="0.15">
      <c r="A423" s="174" t="s">
        <v>5608</v>
      </c>
      <c r="B423" s="143" t="s">
        <v>565</v>
      </c>
      <c r="C423" s="143" t="s">
        <v>4723</v>
      </c>
      <c r="D423" s="2656" cm="1" t="n">
        <f t="array" ref="D423">INDEX('6층_부하량'!C3:C3000,MATCH(1,("6-DaHall 1-PDU-08"='6층_부하량'!A3:A3000)*(11='6층_부하량'!B3:B3000),0))</f>
        <v>0.0</v>
      </c>
      <c r="E423" s="157"/>
      <c r="F423" s="157"/>
      <c r="G423" s="157"/>
      <c r="H423" s="143" t="s">
        <v>4597</v>
      </c>
      <c r="I423" s="1471" t="s">
        <v>4653</v>
      </c>
      <c r="J423" s="151" t="s">
        <v>4599</v>
      </c>
      <c r="K423" s="143" t="s">
        <v>4597</v>
      </c>
      <c r="L423" s="2656" cm="1" t="n">
        <f t="array" ref="L423">INDEX('6층_부하량'!C3:C3000,MATCH(1,("6-DaHall 1-PDU-08"='6층_부하량'!A3:A3000)*(12='6층_부하량'!B3:B3000),0))</f>
        <v>0.0</v>
      </c>
      <c r="M423" s="157"/>
      <c r="N423" s="157"/>
      <c r="O423" s="157"/>
      <c r="P423" s="157" t="s">
        <v>4635</v>
      </c>
      <c r="Q423" s="164" t="s">
        <v>4575</v>
      </c>
      <c r="R423" s="342" t="s">
        <v>5609</v>
      </c>
    </row>
    <row r="424" spans="1:18" ht="16.5" x14ac:dyDescent="0.15">
      <c r="A424" s="148" t="s">
        <v>5610</v>
      </c>
      <c r="B424" s="143" t="s">
        <v>565</v>
      </c>
      <c r="C424" s="143" t="s">
        <v>4723</v>
      </c>
      <c r="D424" s="157"/>
      <c r="E424" s="2656" cm="1" t="n">
        <f t="array" ref="E424">INDEX('6층_부하량'!D3:D3000,MATCH(1,("6-DaHall 1-PDU-08"='6층_부하량'!A3:A3000)*(13='6층_부하량'!B3:B3000),0))</f>
        <v>0.0</v>
      </c>
      <c r="F424" s="157"/>
      <c r="G424" s="157"/>
      <c r="H424" s="143" t="s">
        <v>4597</v>
      </c>
      <c r="I424" s="1471" t="s">
        <v>4657</v>
      </c>
      <c r="J424" s="151" t="s">
        <v>4601</v>
      </c>
      <c r="K424" s="143" t="s">
        <v>4597</v>
      </c>
      <c r="L424" s="157"/>
      <c r="M424" s="2656" cm="1" t="n">
        <f t="array" ref="M424">INDEX('6층_부하량'!D3:D3000,MATCH(1,("6-DaHall 1-PDU-08"='6층_부하량'!A3:A3000)*(14='6층_부하량'!B3:B3000),0))</f>
        <v>0.0</v>
      </c>
      <c r="N424" s="157"/>
      <c r="O424" s="157"/>
      <c r="P424" s="157" t="s">
        <v>4635</v>
      </c>
      <c r="Q424" s="164" t="s">
        <v>4575</v>
      </c>
      <c r="R424" s="342" t="s">
        <v>5611</v>
      </c>
    </row>
    <row r="425" spans="1:18" x14ac:dyDescent="0.15">
      <c r="A425" s="174" t="s">
        <v>5612</v>
      </c>
      <c r="B425" s="143" t="s">
        <v>565</v>
      </c>
      <c r="C425" s="143" t="s">
        <v>4723</v>
      </c>
      <c r="D425" s="157"/>
      <c r="E425" s="157"/>
      <c r="F425" s="2656" cm="1" t="n">
        <f t="array" ref="F425">INDEX('6층_부하량'!E3:E3000,MATCH(1,("6-DaHall 1-PDU-08"='6층_부하량'!A3:A3000)*(15='6층_부하량'!B3:B3000),0))</f>
        <v>0.0</v>
      </c>
      <c r="G425" s="157"/>
      <c r="H425" s="143" t="s">
        <v>4597</v>
      </c>
      <c r="I425" s="1471" t="s">
        <v>4661</v>
      </c>
      <c r="J425" s="1460" t="s">
        <v>4603</v>
      </c>
      <c r="K425" s="143" t="s">
        <v>4597</v>
      </c>
      <c r="L425" s="157"/>
      <c r="M425" s="157"/>
      <c r="N425" s="2656" cm="1" t="n">
        <f t="array" ref="N425">INDEX('6층_부하량'!E3:E3000,MATCH(1,("6-DaHall 1-PDU-08"='6층_부하량'!A3:A3000)*(16='6층_부하량'!B3:B3000),0))</f>
        <v>0.0</v>
      </c>
      <c r="O425" s="157"/>
      <c r="P425" s="157" t="s">
        <v>4635</v>
      </c>
      <c r="Q425" s="143" t="s">
        <v>4723</v>
      </c>
      <c r="R425" s="153" t="s">
        <v>5613</v>
      </c>
    </row>
    <row r="426" spans="1:18" x14ac:dyDescent="0.15">
      <c r="A426" s="148" t="s">
        <v>5614</v>
      </c>
      <c r="B426" s="143" t="s">
        <v>565</v>
      </c>
      <c r="C426" s="143" t="s">
        <v>4723</v>
      </c>
      <c r="D426" s="2656" cm="1" t="n">
        <f t="array" ref="D426">INDEX('6층_부하량'!C3:C3000,MATCH(1,("6-DaHall 1-PDU-08"='6층_부하량'!A3:A3000)*(17='6층_부하량'!B3:B3000),0))</f>
        <v>0.0</v>
      </c>
      <c r="E426" s="157"/>
      <c r="F426" s="157"/>
      <c r="G426" s="157"/>
      <c r="H426" s="143" t="s">
        <v>4597</v>
      </c>
      <c r="I426" s="1471" t="s">
        <v>4665</v>
      </c>
      <c r="J426" s="1460" t="s">
        <v>4605</v>
      </c>
      <c r="K426" s="143" t="s">
        <v>4597</v>
      </c>
      <c r="L426" s="2656" cm="1" t="n">
        <f t="array" ref="L426">INDEX('6층_부하량'!C3:C3000,MATCH(1,("6-DaHall 1-PDU-08"='6층_부하량'!A3:A3000)*(18='6층_부하량'!B3:B3000),0))</f>
        <v>0.0</v>
      </c>
      <c r="M426" s="157"/>
      <c r="N426" s="157"/>
      <c r="O426" s="157"/>
      <c r="P426" s="157" t="s">
        <v>4635</v>
      </c>
      <c r="Q426" s="143" t="s">
        <v>4723</v>
      </c>
      <c r="R426" s="153" t="s">
        <v>5615</v>
      </c>
    </row>
    <row r="427" spans="1:18" x14ac:dyDescent="0.15">
      <c r="A427" s="174" t="s">
        <v>5616</v>
      </c>
      <c r="B427" s="143" t="s">
        <v>565</v>
      </c>
      <c r="C427" s="143" t="s">
        <v>4723</v>
      </c>
      <c r="D427" s="157"/>
      <c r="E427" s="2656" cm="1" t="n">
        <f t="array" ref="E427">INDEX('6층_부하량'!D3:D3000,MATCH(1,("6-DaHall 1-PDU-08"='6층_부하량'!A3:A3000)*(19='6층_부하량'!B3:B3000),0))</f>
        <v>0.0</v>
      </c>
      <c r="F427" s="157"/>
      <c r="G427" s="157"/>
      <c r="H427" s="143" t="s">
        <v>4597</v>
      </c>
      <c r="I427" s="1471" t="s">
        <v>4670</v>
      </c>
      <c r="J427" s="1460" t="s">
        <v>4609</v>
      </c>
      <c r="K427" s="143" t="s">
        <v>4597</v>
      </c>
      <c r="L427" s="157"/>
      <c r="M427" s="2656" cm="1" t="n">
        <f t="array" ref="M427">INDEX('6층_부하량'!D3:D3000,MATCH(1,("6-DaHall 1-PDU-08"='6층_부하량'!A3:A3000)*(20='6층_부하량'!B3:B3000),0))</f>
        <v>0.0</v>
      </c>
      <c r="N427" s="157"/>
      <c r="O427" s="157"/>
      <c r="P427" s="157" t="s">
        <v>4635</v>
      </c>
      <c r="Q427" s="143" t="s">
        <v>4723</v>
      </c>
      <c r="R427" s="153" t="s">
        <v>5617</v>
      </c>
    </row>
    <row r="428" spans="1:18" ht="16.5" x14ac:dyDescent="0.15">
      <c r="A428" s="148" t="s">
        <v>5618</v>
      </c>
      <c r="B428" s="143" t="s">
        <v>565</v>
      </c>
      <c r="C428" s="143" t="s">
        <v>4723</v>
      </c>
      <c r="D428" s="157"/>
      <c r="E428" s="157"/>
      <c r="F428" s="2656" cm="1" t="n">
        <f t="array" ref="F428">INDEX('6층_부하량'!E3:E3000,MATCH(1,("6-DaHall 1-PDU-08"='6층_부하량'!A3:A3000)*(21='6층_부하량'!B3:B3000),0))</f>
        <v>0.0</v>
      </c>
      <c r="G428" s="157"/>
      <c r="H428" s="143" t="s">
        <v>4597</v>
      </c>
      <c r="I428" s="1471" t="s">
        <v>4674</v>
      </c>
      <c r="J428" s="151" t="s">
        <v>4613</v>
      </c>
      <c r="K428" s="143" t="s">
        <v>4597</v>
      </c>
      <c r="L428" s="157"/>
      <c r="M428" s="157"/>
      <c r="N428" s="2656" cm="1" t="n">
        <f t="array" ref="N428">INDEX('6층_부하량'!E3:E3000,MATCH(1,("6-DaHall 1-PDU-08"='6층_부하량'!A3:A3000)*(22='6층_부하량'!B3:B3000),0))</f>
        <v>0.0</v>
      </c>
      <c r="O428" s="157"/>
      <c r="P428" s="157" t="s">
        <v>4635</v>
      </c>
      <c r="Q428" s="164" t="s">
        <v>4575</v>
      </c>
      <c r="R428" s="342" t="s">
        <v>5619</v>
      </c>
    </row>
    <row r="429" spans="1:18" ht="16.5" x14ac:dyDescent="0.15">
      <c r="A429" s="148" t="s">
        <v>5620</v>
      </c>
      <c r="B429" s="143" t="s">
        <v>565</v>
      </c>
      <c r="C429" s="143" t="s">
        <v>4723</v>
      </c>
      <c r="D429" s="2656" cm="1" t="n">
        <f t="array" ref="D429">INDEX('6층_부하량'!C3:C3000,MATCH(1,("6-DaHall 1-PDU-08"='6층_부하량'!A3:A3000)*(23='6층_부하량'!B3:B3000),0))</f>
        <v>0.0</v>
      </c>
      <c r="E429" s="157"/>
      <c r="F429" s="157"/>
      <c r="G429" s="157"/>
      <c r="H429" s="143" t="s">
        <v>4597</v>
      </c>
      <c r="I429" s="1471" t="s">
        <v>4678</v>
      </c>
      <c r="J429" s="151" t="s">
        <v>4680</v>
      </c>
      <c r="K429" s="143" t="s">
        <v>4597</v>
      </c>
      <c r="L429" s="2656" cm="1" t="n">
        <f t="array" ref="L429">INDEX('6층_부하량'!C3:C3000,MATCH(1,("6-DaHall 1-PDU-08"='6층_부하량'!A3:A3000)*(24='6층_부하량'!B3:B3000),0))</f>
        <v>0.0</v>
      </c>
      <c r="M429" s="157"/>
      <c r="N429" s="157"/>
      <c r="O429" s="157"/>
      <c r="P429" s="157" t="s">
        <v>4635</v>
      </c>
      <c r="Q429" s="164" t="s">
        <v>4575</v>
      </c>
      <c r="R429" s="342" t="s">
        <v>5621</v>
      </c>
    </row>
    <row r="430" spans="1:18" ht="16.5" x14ac:dyDescent="0.15">
      <c r="A430" s="148"/>
      <c r="B430" s="143" t="s">
        <v>565</v>
      </c>
      <c r="C430" s="143" t="s">
        <v>4723</v>
      </c>
      <c r="D430" s="157"/>
      <c r="E430" s="2656" cm="1" t="n">
        <f t="array" ref="E430">INDEX('6층_부하량'!D3:D3000,MATCH(1,("6-DaHall 1-PDU-08"='6층_부하량'!A3:A3000)*(25='6층_부하량'!B3:B3000),0))</f>
        <v>0.0</v>
      </c>
      <c r="F430" s="157"/>
      <c r="G430" s="157"/>
      <c r="H430" s="143" t="s">
        <v>4597</v>
      </c>
      <c r="I430" s="1471" t="s">
        <v>4683</v>
      </c>
      <c r="J430" s="151" t="s">
        <v>4685</v>
      </c>
      <c r="K430" s="143" t="s">
        <v>4597</v>
      </c>
      <c r="L430" s="157"/>
      <c r="M430" s="2656" cm="1" t="n">
        <f t="array" ref="M430">INDEX('6층_부하량'!D3:D3000,MATCH(1,("6-DaHall 1-PDU-08"='6층_부하량'!A3:A3000)*(26='6층_부하량'!B3:B3000),0))</f>
        <v>0.0</v>
      </c>
      <c r="N430" s="157"/>
      <c r="O430" s="157"/>
      <c r="P430" s="157" t="s">
        <v>4635</v>
      </c>
      <c r="Q430" s="164" t="s">
        <v>4575</v>
      </c>
      <c r="R430" s="342" t="s">
        <v>5622</v>
      </c>
    </row>
    <row r="431" spans="1:18" ht="17.25" thickBot="1" x14ac:dyDescent="0.2">
      <c r="A431" s="175"/>
      <c r="B431" s="176" t="s">
        <v>565</v>
      </c>
      <c r="C431" s="176" t="s">
        <v>4723</v>
      </c>
      <c r="D431" s="177"/>
      <c r="E431" s="177"/>
      <c r="F431" s="2661" cm="1" t="n">
        <f t="array" ref="F431">INDEX('6층_부하량'!E3:E3000,MATCH(1,("6-DaHall 1-PDU-08"='6층_부하량'!A3:A3000)*(27='6층_부하량'!B3:B3000),0))</f>
        <v>0.0</v>
      </c>
      <c r="G431" s="177"/>
      <c r="H431" s="176" t="s">
        <v>4597</v>
      </c>
      <c r="I431" s="1483" t="s">
        <v>4688</v>
      </c>
      <c r="J431" s="187" t="s">
        <v>4689</v>
      </c>
      <c r="K431" s="176" t="s">
        <v>4597</v>
      </c>
      <c r="L431" s="177"/>
      <c r="M431" s="177"/>
      <c r="N431" s="2661" cm="1" t="n">
        <f t="array" ref="N431">INDEX('6층_부하량'!E3:E3000,MATCH(1,("6-DaHall 1-PDU-08"='6층_부하량'!A3:A3000)*(28='6층_부하량'!B3:B3000),0))</f>
        <v>0.0</v>
      </c>
      <c r="O431" s="177"/>
      <c r="P431" s="177" t="s">
        <v>4635</v>
      </c>
      <c r="Q431" s="191" t="s">
        <v>4575</v>
      </c>
      <c r="R431" s="477" t="s">
        <v>5623</v>
      </c>
    </row>
    <row r="432" spans="1:18" ht="14.25" thickTop="1" x14ac:dyDescent="0.15">
      <c r="A432" s="174"/>
      <c r="B432" s="156" t="s">
        <v>565</v>
      </c>
      <c r="C432" s="156" t="s">
        <v>4723</v>
      </c>
      <c r="D432" s="2658" cm="1" t="n">
        <f t="array" ref="D432">INDEX('6층_부하량'!C3:C3000,MATCH(1,("6-DaHall 1-PDU-08"='6층_부하량'!A3:A3000)*(29='6층_부하량'!B3:B3000),0))</f>
        <v>0.0</v>
      </c>
      <c r="E432" s="179"/>
      <c r="F432" s="179"/>
      <c r="G432" s="179"/>
      <c r="H432" s="156" t="s">
        <v>4597</v>
      </c>
      <c r="I432" s="1470" t="s">
        <v>4691</v>
      </c>
      <c r="J432" s="1462" t="s">
        <v>4692</v>
      </c>
      <c r="K432" s="156" t="s">
        <v>4597</v>
      </c>
      <c r="L432" s="2658" cm="1" t="n">
        <f t="array" ref="L432">INDEX('6층_부하량'!C3:C3000,MATCH(1,("6-DaHall 1-PDU-08"='6층_부하량'!A3:A3000)*(30='6층_부하량'!B3:B3000),0))</f>
        <v>0.0</v>
      </c>
      <c r="M432" s="179"/>
      <c r="N432" s="179"/>
      <c r="O432" s="179"/>
      <c r="P432" s="179" t="s">
        <v>4635</v>
      </c>
      <c r="Q432" s="143" t="s">
        <v>4723</v>
      </c>
      <c r="R432" s="182" t="s">
        <v>5624</v>
      </c>
    </row>
    <row r="433" spans="1:18" x14ac:dyDescent="0.15">
      <c r="A433" s="148"/>
      <c r="B433" s="143" t="s">
        <v>565</v>
      </c>
      <c r="C433" s="143" t="s">
        <v>4723</v>
      </c>
      <c r="D433" s="157"/>
      <c r="E433" s="2656" cm="1" t="n">
        <f t="array" ref="E433">INDEX('6층_부하량'!D3:D3000,MATCH(1,("6-DaHall 1-PDU-08"='6층_부하량'!A3:A3000)*(31='6층_부하량'!B3:B3000),0))</f>
        <v>0.0</v>
      </c>
      <c r="F433" s="157"/>
      <c r="G433" s="157"/>
      <c r="H433" s="143" t="s">
        <v>4597</v>
      </c>
      <c r="I433" s="1471" t="s">
        <v>4693</v>
      </c>
      <c r="J433" s="1460" t="s">
        <v>4694</v>
      </c>
      <c r="K433" s="143" t="s">
        <v>4597</v>
      </c>
      <c r="L433" s="157"/>
      <c r="M433" s="2656" cm="1" t="n">
        <f t="array" ref="M433">INDEX('6층_부하량'!D3:D3000,MATCH(1,("6-DaHall 1-PDU-08"='6층_부하량'!A3:A3000)*(32='6층_부하량'!B3:B3000),0))</f>
        <v>0.0</v>
      </c>
      <c r="N433" s="157"/>
      <c r="O433" s="157"/>
      <c r="P433" s="157" t="s">
        <v>4635</v>
      </c>
      <c r="Q433" s="143" t="s">
        <v>4723</v>
      </c>
      <c r="R433" s="153" t="s">
        <v>5625</v>
      </c>
    </row>
    <row r="434" spans="1:18" x14ac:dyDescent="0.15">
      <c r="A434" s="148"/>
      <c r="B434" s="143" t="s">
        <v>565</v>
      </c>
      <c r="C434" s="143" t="s">
        <v>4723</v>
      </c>
      <c r="D434" s="157"/>
      <c r="E434" s="157"/>
      <c r="F434" s="2656" cm="1" t="n">
        <f t="array" ref="F434">INDEX('6층_부하량'!E3:E3000,MATCH(1,("6-DaHall 1-PDU-08"='6층_부하량'!A3:A3000)*(33='6층_부하량'!B3:B3000),0))</f>
        <v>0.0</v>
      </c>
      <c r="G434" s="157"/>
      <c r="H434" s="143" t="s">
        <v>4597</v>
      </c>
      <c r="I434" s="1471" t="s">
        <v>4697</v>
      </c>
      <c r="J434" s="1460" t="s">
        <v>4698</v>
      </c>
      <c r="K434" s="143" t="s">
        <v>4597</v>
      </c>
      <c r="L434" s="157"/>
      <c r="M434" s="157"/>
      <c r="N434" s="2656" cm="1" t="n">
        <f t="array" ref="N434">INDEX('6층_부하량'!E3:E3000,MATCH(1,("6-DaHall 1-PDU-08"='6층_부하량'!A3:A3000)*(34='6층_부하량'!B3:B3000),0))</f>
        <v>0.0</v>
      </c>
      <c r="O434" s="157"/>
      <c r="P434" s="157" t="s">
        <v>4635</v>
      </c>
      <c r="Q434" s="143" t="s">
        <v>4723</v>
      </c>
      <c r="R434" s="182" t="s">
        <v>5626</v>
      </c>
    </row>
    <row r="435" spans="1:18" ht="16.5" x14ac:dyDescent="0.15">
      <c r="A435" s="148"/>
      <c r="B435" s="143" t="s">
        <v>565</v>
      </c>
      <c r="C435" s="143" t="s">
        <v>4723</v>
      </c>
      <c r="D435" s="2656" cm="1" t="n">
        <f t="array" ref="D435">INDEX('6층_부하량'!C3:C3000,MATCH(1,("6-DaHall 1-PDU-08"='6층_부하량'!A3:A3000)*(35='6층_부하량'!B3:B3000),0))</f>
        <v>0.0</v>
      </c>
      <c r="E435" s="157"/>
      <c r="F435" s="157"/>
      <c r="G435" s="157"/>
      <c r="H435" s="143" t="s">
        <v>4597</v>
      </c>
      <c r="I435" s="1471" t="s">
        <v>4701</v>
      </c>
      <c r="J435" s="151" t="s">
        <v>4703</v>
      </c>
      <c r="K435" s="143" t="s">
        <v>4597</v>
      </c>
      <c r="L435" s="2656" cm="1" t="n">
        <f t="array" ref="L435">INDEX('6층_부하량'!C3:C3000,MATCH(1,("6-DaHall 1-PDU-08"='6층_부하량'!A3:A3000)*(36='6층_부하량'!B3:B3000),0))</f>
        <v>0.0</v>
      </c>
      <c r="M435" s="157"/>
      <c r="N435" s="157"/>
      <c r="O435" s="157"/>
      <c r="P435" s="157" t="s">
        <v>4635</v>
      </c>
      <c r="Q435" s="164" t="s">
        <v>4575</v>
      </c>
      <c r="R435" s="342" t="s">
        <v>5627</v>
      </c>
    </row>
    <row r="436" spans="1:18" ht="16.5" x14ac:dyDescent="0.15">
      <c r="A436" s="148"/>
      <c r="B436" s="143" t="s">
        <v>565</v>
      </c>
      <c r="C436" s="143" t="s">
        <v>4723</v>
      </c>
      <c r="D436" s="157"/>
      <c r="E436" s="2664" cm="1" t="n">
        <f t="array" ref="E436">INDEX('6층_부하량'!D3:D3000,MATCH(1,("6-DaHall 1-PDU-08"='6층_부하량'!A3:A3000)*(37='6층_부하량'!B3:B3000),0))</f>
        <v>0.0</v>
      </c>
      <c r="F436" s="157"/>
      <c r="G436" s="157"/>
      <c r="H436" s="143" t="s">
        <v>4597</v>
      </c>
      <c r="I436" s="1471" t="s">
        <v>4706</v>
      </c>
      <c r="J436" s="151" t="s">
        <v>4707</v>
      </c>
      <c r="K436" s="143" t="s">
        <v>4597</v>
      </c>
      <c r="L436" s="157"/>
      <c r="M436" s="2664" cm="1" t="n">
        <f t="array" ref="M436">INDEX('6층_부하량'!D3:D3000,MATCH(1,("6-DaHall 1-PDU-08"='6층_부하량'!A3:A3000)*(38='6층_부하량'!B3:B3000),0))</f>
        <v>0.0</v>
      </c>
      <c r="N436" s="157"/>
      <c r="O436" s="157"/>
      <c r="P436" s="157" t="s">
        <v>4635</v>
      </c>
      <c r="Q436" s="164" t="s">
        <v>4575</v>
      </c>
      <c r="R436" s="475" t="s">
        <v>5628</v>
      </c>
    </row>
    <row r="437" spans="1:18" ht="16.5" x14ac:dyDescent="0.15">
      <c r="A437" s="148"/>
      <c r="B437" s="143" t="s">
        <v>565</v>
      </c>
      <c r="C437" s="143" t="s">
        <v>4723</v>
      </c>
      <c r="D437" s="157"/>
      <c r="E437" s="157"/>
      <c r="F437" s="2656" cm="1" t="n">
        <f t="array" ref="F437">INDEX('6층_부하량'!E3:E3000,MATCH(1,("6-DaHall 1-PDU-08"='6층_부하량'!A3:A3000)*(39='6층_부하량'!B3:B3000),0))</f>
        <v>0.0</v>
      </c>
      <c r="G437" s="157"/>
      <c r="H437" s="143" t="s">
        <v>4597</v>
      </c>
      <c r="I437" s="1471" t="s">
        <v>4710</v>
      </c>
      <c r="J437" s="151" t="s">
        <v>4711</v>
      </c>
      <c r="K437" s="143" t="s">
        <v>4597</v>
      </c>
      <c r="L437" s="157"/>
      <c r="M437" s="157"/>
      <c r="N437" s="2656" cm="1" t="n">
        <f t="array" ref="N437">INDEX('6층_부하량'!E3:E3000,MATCH(1,("6-DaHall 1-PDU-08"='6층_부하량'!A3:A3000)*(40='6층_부하량'!B3:B3000),0))</f>
        <v>0.0</v>
      </c>
      <c r="O437" s="157"/>
      <c r="P437" s="157" t="s">
        <v>4635</v>
      </c>
      <c r="Q437" s="164" t="s">
        <v>4575</v>
      </c>
      <c r="R437" s="342" t="s">
        <v>5629</v>
      </c>
    </row>
    <row r="438" spans="1:18" ht="16.5" x14ac:dyDescent="0.15">
      <c r="A438" s="148"/>
      <c r="B438" s="143" t="s">
        <v>565</v>
      </c>
      <c r="C438" s="143" t="s">
        <v>4723</v>
      </c>
      <c r="D438" s="2656" cm="1" t="n">
        <f t="array" ref="D438">INDEX('6층_부하량'!C3:C3000,MATCH(1,("6-DaHall 1-PDU-08"='6층_부하량'!A3:A3000)*(41='6층_부하량'!B3:B3000),0))</f>
        <v>0.0</v>
      </c>
      <c r="E438" s="157"/>
      <c r="F438" s="157"/>
      <c r="G438" s="157"/>
      <c r="H438" s="143" t="s">
        <v>4597</v>
      </c>
      <c r="I438" s="1471" t="s">
        <v>5055</v>
      </c>
      <c r="J438" s="151" t="s">
        <v>4843</v>
      </c>
      <c r="K438" s="143" t="s">
        <v>4597</v>
      </c>
      <c r="L438" s="2656" cm="1" t="n">
        <f t="array" ref="L438">INDEX('6층_부하량'!C3:C3000,MATCH(1,("6-DaHall 1-PDU-08"='6층_부하량'!A3:A3000)*(42='6층_부하량'!B3:B3000),0))</f>
        <v>0.0</v>
      </c>
      <c r="M438" s="157"/>
      <c r="N438" s="157"/>
      <c r="O438" s="157"/>
      <c r="P438" s="157" t="s">
        <v>4635</v>
      </c>
      <c r="Q438" s="164" t="s">
        <v>4575</v>
      </c>
      <c r="R438" s="475" t="s">
        <v>5630</v>
      </c>
    </row>
    <row r="439" spans="1:18" ht="16.5" x14ac:dyDescent="0.15">
      <c r="A439" s="257" t="s">
        <v>5631</v>
      </c>
      <c r="B439" s="143" t="s">
        <v>5583</v>
      </c>
      <c r="C439" s="164" t="s">
        <v>4575</v>
      </c>
      <c r="D439" s="157"/>
      <c r="E439" s="2656" cm="1" t="n">
        <f t="array" ref="E439">INDEX('6층_부하량'!D3:D3000,MATCH(1,("6-DaHall 1-PDU-08"='6층_부하량'!A3:A3000)*(43='6층_부하량'!B3:B3000),0))</f>
        <v>0.0</v>
      </c>
      <c r="F439" s="157"/>
      <c r="G439" s="157"/>
      <c r="H439" s="143" t="s">
        <v>4597</v>
      </c>
      <c r="I439" s="154" t="s">
        <v>4845</v>
      </c>
      <c r="J439" s="151" t="s">
        <v>4846</v>
      </c>
      <c r="K439" s="143" t="s">
        <v>4597</v>
      </c>
      <c r="L439" s="157"/>
      <c r="M439" s="2656" cm="1" t="n">
        <f t="array" ref="M439">INDEX('6층_부하량'!D3:D3000,MATCH(1,("6-DaHall 1-PDU-08"='6층_부하량'!A3:A3000)*(44='6층_부하량'!B3:B3000),0))</f>
        <v>0.0</v>
      </c>
      <c r="N439" s="157"/>
      <c r="O439" s="157"/>
      <c r="P439" s="157" t="s">
        <v>4635</v>
      </c>
      <c r="Q439" s="164" t="s">
        <v>4575</v>
      </c>
      <c r="R439" s="342" t="s">
        <v>5632</v>
      </c>
    </row>
    <row r="440" spans="1:18" ht="16.5" x14ac:dyDescent="0.15">
      <c r="A440" s="257" t="s">
        <v>5633</v>
      </c>
      <c r="B440" s="143" t="s">
        <v>5583</v>
      </c>
      <c r="C440" s="164" t="s">
        <v>4575</v>
      </c>
      <c r="D440" s="157"/>
      <c r="E440" s="157"/>
      <c r="F440" s="2656" cm="1" t="n">
        <f t="array" ref="F440">INDEX('6층_부하량'!E3:E3000,MATCH(1,("6-DaHall 1-PDU-08"='6층_부하량'!A3:A3000)*(45='6층_부하량'!B3:B3000),0))</f>
        <v>0.0</v>
      </c>
      <c r="G440" s="157"/>
      <c r="H440" s="143" t="s">
        <v>4597</v>
      </c>
      <c r="I440" s="154" t="s">
        <v>4847</v>
      </c>
      <c r="J440" s="151" t="s">
        <v>4848</v>
      </c>
      <c r="K440" s="143" t="s">
        <v>4597</v>
      </c>
      <c r="L440" s="157"/>
      <c r="M440" s="157"/>
      <c r="N440" s="2656" cm="1" t="n">
        <f t="array" ref="N440">INDEX('6층_부하량'!E3:E3000,MATCH(1,("6-DaHall 1-PDU-08"='6층_부하량'!A3:A3000)*(46='6층_부하량'!B3:B3000),0))</f>
        <v>0.0</v>
      </c>
      <c r="O440" s="157"/>
      <c r="P440" s="157" t="s">
        <v>4635</v>
      </c>
      <c r="Q440" s="164" t="s">
        <v>4575</v>
      </c>
      <c r="R440" s="475" t="s">
        <v>5634</v>
      </c>
    </row>
    <row r="441" spans="1:18" ht="16.5" x14ac:dyDescent="0.15">
      <c r="A441" s="257" t="s">
        <v>5635</v>
      </c>
      <c r="B441" s="143" t="s">
        <v>4635</v>
      </c>
      <c r="C441" s="164" t="s">
        <v>4575</v>
      </c>
      <c r="D441" s="2664" cm="1" t="n">
        <f t="array" ref="D441">INDEX('6층_부하량'!C3:C3000,MATCH(1,("6-DaHall 1-PDU-08"='6층_부하량'!A3:A3000)*(47='6층_부하량'!B3:B3000),0))</f>
        <v>0.0</v>
      </c>
      <c r="E441" s="157"/>
      <c r="F441" s="157"/>
      <c r="G441" s="157"/>
      <c r="H441" s="143" t="s">
        <v>4597</v>
      </c>
      <c r="I441" s="154" t="s">
        <v>4849</v>
      </c>
      <c r="J441" s="1460" t="s">
        <v>4850</v>
      </c>
      <c r="K441" s="143" t="s">
        <v>4597</v>
      </c>
      <c r="L441" s="2664" cm="1" t="n">
        <f t="array" ref="L441">INDEX('6층_부하량'!C3:C3000,MATCH(1,("6-DaHall 1-PDU-08"='6층_부하량'!A3:A3000)*(48='6층_부하량'!B3:B3000),0))</f>
        <v>0.0</v>
      </c>
      <c r="M441" s="157"/>
      <c r="N441" s="157"/>
      <c r="O441" s="157"/>
      <c r="P441" s="157" t="s">
        <v>4635</v>
      </c>
      <c r="Q441" s="143" t="s">
        <v>4723</v>
      </c>
      <c r="R441" s="183" t="s">
        <v>5636</v>
      </c>
    </row>
    <row r="442" spans="1:18" ht="16.5" x14ac:dyDescent="0.15">
      <c r="A442" s="607" t="s">
        <v>5637</v>
      </c>
      <c r="B442" s="143" t="s">
        <v>4635</v>
      </c>
      <c r="C442" s="164" t="s">
        <v>4575</v>
      </c>
      <c r="D442" s="157"/>
      <c r="E442" s="2656" cm="1" t="n">
        <f t="array" ref="E442">INDEX('6층_부하량'!D3:D3000,MATCH(1,("6-DaHall 1-PDU-08"='6층_부하량'!A3:A3000)*(49='6층_부하량'!B3:B3000),0))</f>
        <v>0.0</v>
      </c>
      <c r="F442" s="157"/>
      <c r="G442" s="157"/>
      <c r="H442" s="143" t="s">
        <v>4597</v>
      </c>
      <c r="I442" s="150" t="s">
        <v>4851</v>
      </c>
      <c r="J442" s="1460" t="s">
        <v>4852</v>
      </c>
      <c r="K442" s="143" t="s">
        <v>4597</v>
      </c>
      <c r="L442" s="157"/>
      <c r="M442" s="2656" cm="1" t="n">
        <f t="array" ref="M442">INDEX('6층_부하량'!D3:D3000,MATCH(1,("6-DaHall 1-PDU-08"='6층_부하량'!A3:A3000)*(50='6층_부하량'!B3:B3000),0))</f>
        <v>0.0</v>
      </c>
      <c r="N442" s="157"/>
      <c r="O442" s="157"/>
      <c r="P442" s="157" t="s">
        <v>4635</v>
      </c>
      <c r="Q442" s="143" t="s">
        <v>4723</v>
      </c>
      <c r="R442" s="153" t="s">
        <v>5638</v>
      </c>
    </row>
    <row r="443" spans="1:18" ht="16.5" x14ac:dyDescent="0.15">
      <c r="A443" s="607" t="s">
        <v>5639</v>
      </c>
      <c r="B443" s="143" t="s">
        <v>4635</v>
      </c>
      <c r="C443" s="164" t="s">
        <v>4575</v>
      </c>
      <c r="D443" s="157"/>
      <c r="E443" s="157"/>
      <c r="F443" s="2664" cm="1" t="n">
        <f t="array" ref="F443">INDEX('6층_부하량'!E3:E3000,MATCH(1,("6-DaHall 1-PDU-08"='6층_부하량'!A3:A3000)*(51='6층_부하량'!B3:B3000),0))</f>
        <v>0.0</v>
      </c>
      <c r="G443" s="157"/>
      <c r="H443" s="143" t="s">
        <v>4597</v>
      </c>
      <c r="I443" s="150" t="s">
        <v>4853</v>
      </c>
      <c r="J443" s="1460" t="s">
        <v>4854</v>
      </c>
      <c r="K443" s="143" t="s">
        <v>4597</v>
      </c>
      <c r="L443" s="157"/>
      <c r="M443" s="157"/>
      <c r="N443" s="2664" cm="1" t="n">
        <f t="array" ref="N443">INDEX('6층_부하량'!E3:E3000,MATCH(1,("6-DaHall 1-PDU-08"='6층_부하량'!A3:A3000)*(52='6층_부하량'!B3:B3000),0))</f>
        <v>0.0</v>
      </c>
      <c r="O443" s="157"/>
      <c r="P443" s="157" t="s">
        <v>4635</v>
      </c>
      <c r="Q443" s="143" t="s">
        <v>4723</v>
      </c>
      <c r="R443" s="183" t="s">
        <v>5640</v>
      </c>
    </row>
    <row r="444" spans="1:18" ht="17.25" thickBot="1" x14ac:dyDescent="0.2">
      <c r="A444" s="275" t="s">
        <v>5641</v>
      </c>
      <c r="B444" s="166" t="s">
        <v>4635</v>
      </c>
      <c r="C444" s="184" t="s">
        <v>4575</v>
      </c>
      <c r="D444" s="2668" cm="1" t="n">
        <f t="array" ref="D444">INDEX('6층_부하량'!C3:C3000,MATCH(1,("6-DaHall 1-PDU-08"='6층_부하량'!A3:A3000)*(53='6층_부하량'!B3:B3000),0))</f>
        <v>0.0</v>
      </c>
      <c r="E444" s="167"/>
      <c r="F444" s="167"/>
      <c r="G444" s="167"/>
      <c r="H444" s="166" t="s">
        <v>4597</v>
      </c>
      <c r="I444" s="194" t="s">
        <v>4856</v>
      </c>
      <c r="J444" s="190" t="s">
        <v>4857</v>
      </c>
      <c r="K444" s="166" t="s">
        <v>4597</v>
      </c>
      <c r="L444" s="2668" cm="1" t="n">
        <f t="array" ref="L444">INDEX('6층_부하량'!C3:C3000,MATCH(1,("6-DaHall 1-PDU-08"='6층_부하량'!A3:A3000)*(54='6층_부하량'!B3:B3000),0))</f>
        <v>0.0</v>
      </c>
      <c r="M444" s="167"/>
      <c r="N444" s="167"/>
      <c r="O444" s="167"/>
      <c r="P444" s="167" t="s">
        <v>4635</v>
      </c>
      <c r="Q444" s="184" t="s">
        <v>4575</v>
      </c>
      <c r="R444" s="634" t="s">
        <v>5642</v>
      </c>
    </row>
    <row r="445" spans="1:18" ht="14.25" thickTop="1" x14ac:dyDescent="0.15">
      <c r="A445" s="128"/>
      <c r="B445" s="128"/>
      <c r="C445" s="128"/>
      <c r="D445" s="128"/>
      <c r="E445" s="128"/>
      <c r="F445" s="128"/>
      <c r="G445" s="128"/>
      <c r="H445" s="128"/>
      <c r="I445" s="128"/>
      <c r="J445" s="128"/>
      <c r="K445" s="128" t="s">
        <v>4713</v>
      </c>
      <c r="L445" s="128" t="n">
        <f>SUM(D418:D444,L418:L444)</f>
        <v>0.0</v>
      </c>
      <c r="M445" s="128" t="n">
        <f>SUM(E418:E444,M418:M444)</f>
        <v>0.0</v>
      </c>
      <c r="N445" s="128" t="n">
        <f>SUM(F418:F444,N418:N444)</f>
        <v>0.0</v>
      </c>
      <c r="O445" s="128"/>
      <c r="P445" s="128"/>
      <c r="Q445" s="128"/>
      <c r="R445" s="128"/>
    </row>
    <row r="446" spans="1:18" x14ac:dyDescent="0.15">
      <c r="A446" s="128"/>
      <c r="B446" s="128"/>
      <c r="C446" s="128"/>
      <c r="D446" s="128"/>
      <c r="E446" s="128"/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</row>
    <row r="447" spans="1:18" x14ac:dyDescent="0.15">
      <c r="A447" s="128"/>
      <c r="B447" s="50" t="s">
        <v>4649</v>
      </c>
      <c r="C447" s="50" t="n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70.99</v>
      </c>
      <c r="D447" s="128"/>
      <c r="E447" s="128"/>
      <c r="F447" s="51"/>
      <c r="G447" s="128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</row>
    <row r="448" spans="1:18" x14ac:dyDescent="0.15">
      <c r="A448" s="128"/>
      <c r="B448" s="50"/>
      <c r="C448" s="50"/>
      <c r="D448" s="128"/>
      <c r="E448" s="128"/>
      <c r="F448" s="51"/>
      <c r="G448" s="128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</row>
    <row r="449" spans="1:18" x14ac:dyDescent="0.15">
      <c r="A449" s="128"/>
      <c r="B449" s="50"/>
      <c r="C449" s="50"/>
      <c r="D449" s="128"/>
      <c r="E449" s="128"/>
      <c r="F449" s="51"/>
      <c r="G449" s="128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</row>
    <row r="450" spans="1:18" x14ac:dyDescent="0.15">
      <c r="A450" s="128"/>
      <c r="B450" s="50"/>
      <c r="C450" s="50"/>
      <c r="D450" s="128"/>
      <c r="E450" s="128"/>
      <c r="F450" s="51"/>
      <c r="G450" s="128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</row>
    <row r="451" spans="1:18" x14ac:dyDescent="0.15">
      <c r="A451" s="128"/>
      <c r="B451" s="50"/>
      <c r="C451" s="50"/>
      <c r="D451" s="128"/>
      <c r="E451" s="128"/>
      <c r="F451" s="51"/>
      <c r="G451" s="128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</row>
    <row r="452" spans="1:18" x14ac:dyDescent="0.15">
      <c r="A452" s="128"/>
      <c r="B452" s="50"/>
      <c r="C452" s="50"/>
      <c r="D452" s="128"/>
      <c r="E452" s="128"/>
      <c r="F452" s="51"/>
      <c r="G452" s="128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</row>
    <row r="453" spans="1:18" x14ac:dyDescent="0.15">
      <c r="A453" s="128"/>
      <c r="B453" s="50"/>
      <c r="C453" s="50"/>
      <c r="D453" s="128"/>
      <c r="E453" s="128"/>
      <c r="F453" s="51"/>
      <c r="G453" s="128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</row>
    <row r="454" spans="1:18" x14ac:dyDescent="0.15">
      <c r="A454" s="128"/>
      <c r="B454" s="50"/>
      <c r="C454" s="50"/>
      <c r="D454" s="128"/>
      <c r="E454" s="128"/>
      <c r="F454" s="51"/>
      <c r="G454" s="128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</row>
    <row r="455" spans="1:18" x14ac:dyDescent="0.15">
      <c r="A455" s="128"/>
      <c r="B455" s="50"/>
      <c r="C455" s="50"/>
      <c r="D455" s="128"/>
      <c r="E455" s="128"/>
      <c r="F455" s="51"/>
      <c r="G455" s="128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</row>
    <row r="456" spans="1:18" x14ac:dyDescent="0.15">
      <c r="A456" s="128"/>
      <c r="B456" s="50"/>
      <c r="C456" s="50"/>
      <c r="D456" s="128"/>
      <c r="E456" s="128"/>
      <c r="F456" s="51"/>
      <c r="G456" s="128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</row>
    <row r="457" spans="1:18" x14ac:dyDescent="0.15">
      <c r="A457" s="128"/>
      <c r="B457" s="50"/>
      <c r="C457" s="50"/>
      <c r="D457" s="128"/>
      <c r="E457" s="128"/>
      <c r="F457" s="51"/>
      <c r="G457" s="128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</row>
    <row r="458" spans="1:18" x14ac:dyDescent="0.15">
      <c r="B458" s="50"/>
      <c r="C458" s="50"/>
      <c r="E458" s="128"/>
      <c r="F458" s="51"/>
    </row>
    <row r="459" spans="1:18" x14ac:dyDescent="0.15">
      <c r="B459" s="50"/>
      <c r="C459" s="50"/>
      <c r="E459" s="128"/>
      <c r="F459" s="51"/>
    </row>
    <row r="460" spans="1:18" x14ac:dyDescent="0.15">
      <c r="B460" s="50"/>
      <c r="C460" s="50"/>
      <c r="E460" s="128"/>
      <c r="F460" s="51"/>
    </row>
    <row r="461" spans="1:18" x14ac:dyDescent="0.15">
      <c r="B461" s="50"/>
      <c r="C461" s="50"/>
      <c r="E461" s="128"/>
      <c r="F461" s="51"/>
    </row>
    <row r="462" spans="1:18" x14ac:dyDescent="0.15">
      <c r="B462" s="50"/>
      <c r="C462" s="50"/>
      <c r="E462" s="128"/>
      <c r="F462" s="51"/>
    </row>
    <row r="463" spans="1:18" x14ac:dyDescent="0.15">
      <c r="B463" s="50"/>
      <c r="C463" s="50"/>
      <c r="E463" s="128"/>
      <c r="F463" s="51"/>
    </row>
    <row r="464" spans="1:18" x14ac:dyDescent="0.15">
      <c r="B464" s="50"/>
      <c r="C464" s="50"/>
      <c r="E464" s="128"/>
      <c r="F464" s="51"/>
    </row>
    <row r="465" spans="2:6" ht="14.25" thickBot="1" x14ac:dyDescent="0.2">
      <c r="B465" s="195"/>
      <c r="C465" s="195"/>
      <c r="E465" s="128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1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3.5" x14ac:dyDescent="0.15"/>
  <cols>
    <col min="1" max="1" bestFit="true" customWidth="true" width="20.44140625" collapsed="false"/>
    <col min="2" max="2" customWidth="true" width="28.109375" collapsed="false"/>
    <col min="3" max="4" bestFit="true" customWidth="true" width="21.33203125" collapsed="false"/>
  </cols>
  <sheetData>
    <row r="1" spans="1:2" x14ac:dyDescent="0.15">
      <c r="A1" s="3657" t="s">
        <v>7966</v>
      </c>
      <c r="B1" s="3657" t="s">
        <v>8923</v>
      </c>
    </row>
    <row r="2" spans="1:2" x14ac:dyDescent="0.15">
      <c r="A2" s="3657"/>
      <c r="B2" s="3657"/>
    </row>
    <row r="3" spans="1:2" x14ac:dyDescent="0.15">
      <c r="A3" s="2652" t="s">
        <v>7962</v>
      </c>
      <c r="B3" s="2651" t="s">
        <v>8924</v>
      </c>
    </row>
    <row r="4" spans="1:2" x14ac:dyDescent="0.15">
      <c r="A4" t="s">
        <v>7968</v>
      </c>
      <c r="B4" s="2651" t="s">
        <v>8926</v>
      </c>
    </row>
    <row r="5" spans="1:2" x14ac:dyDescent="0.15">
      <c r="A5" t="s">
        <v>7969</v>
      </c>
      <c r="B5" s="2651" t="s">
        <v>8927</v>
      </c>
    </row>
    <row r="6" spans="1:2" x14ac:dyDescent="0.15">
      <c r="A6" t="s">
        <v>7970</v>
      </c>
      <c r="B6" s="2651" t="s">
        <v>8928</v>
      </c>
    </row>
    <row r="7" spans="1:2" x14ac:dyDescent="0.15">
      <c r="A7" t="s">
        <v>7971</v>
      </c>
      <c r="B7" s="2651" t="s">
        <v>8929</v>
      </c>
    </row>
    <row r="8" spans="1:2" x14ac:dyDescent="0.15">
      <c r="A8" t="s">
        <v>7972</v>
      </c>
      <c r="B8" s="2651" t="s">
        <v>8930</v>
      </c>
    </row>
    <row r="9" spans="1:2" x14ac:dyDescent="0.15">
      <c r="A9" t="s">
        <v>7973</v>
      </c>
      <c r="B9" s="2651" t="s">
        <v>8931</v>
      </c>
    </row>
    <row r="10" spans="1:2" x14ac:dyDescent="0.15">
      <c r="A10" t="s">
        <v>7974</v>
      </c>
      <c r="B10" s="2651" t="s">
        <v>8932</v>
      </c>
    </row>
    <row r="11" spans="1:2" x14ac:dyDescent="0.15">
      <c r="A11" t="s">
        <v>7975</v>
      </c>
      <c r="B11" s="2651" t="s">
        <v>8933</v>
      </c>
    </row>
    <row r="12" spans="1:2" x14ac:dyDescent="0.15">
      <c r="A12" t="s">
        <v>7976</v>
      </c>
      <c r="B12" s="2651" t="s">
        <v>8934</v>
      </c>
    </row>
    <row r="13" spans="1:2" x14ac:dyDescent="0.15">
      <c r="A13" t="s">
        <v>7977</v>
      </c>
      <c r="B13" s="2651" t="s">
        <v>8935</v>
      </c>
    </row>
    <row r="14" spans="1:2" x14ac:dyDescent="0.15">
      <c r="A14" t="s">
        <v>7978</v>
      </c>
      <c r="B14" s="2651" t="s">
        <v>8936</v>
      </c>
    </row>
    <row r="15" spans="1:2" x14ac:dyDescent="0.15">
      <c r="A15" t="s">
        <v>7979</v>
      </c>
      <c r="B15" s="2651" t="s">
        <v>8937</v>
      </c>
    </row>
    <row r="16" spans="1:2" x14ac:dyDescent="0.15">
      <c r="A16" t="s">
        <v>7980</v>
      </c>
      <c r="B16" s="2651" t="s">
        <v>8938</v>
      </c>
    </row>
    <row r="17" spans="1:2" x14ac:dyDescent="0.15">
      <c r="A17" t="s">
        <v>7981</v>
      </c>
      <c r="B17" s="2651" t="s">
        <v>8939</v>
      </c>
    </row>
    <row r="18" spans="1:2" x14ac:dyDescent="0.15">
      <c r="A18" t="s">
        <v>7982</v>
      </c>
      <c r="B18" s="2651" t="s">
        <v>8940</v>
      </c>
    </row>
    <row r="19" spans="1:2" x14ac:dyDescent="0.15">
      <c r="A19" t="s">
        <v>7983</v>
      </c>
      <c r="B19" s="2651" t="s">
        <v>8941</v>
      </c>
    </row>
    <row r="20" spans="1:2" x14ac:dyDescent="0.15">
      <c r="A20" t="s">
        <v>7984</v>
      </c>
      <c r="B20" s="2651" t="s">
        <v>8942</v>
      </c>
    </row>
    <row r="21" spans="1:2" x14ac:dyDescent="0.15">
      <c r="A21" t="s">
        <v>7985</v>
      </c>
      <c r="B21" s="2651" t="s">
        <v>8943</v>
      </c>
    </row>
    <row r="22" spans="1:2" x14ac:dyDescent="0.15">
      <c r="A22" t="s">
        <v>7986</v>
      </c>
      <c r="B22" s="2651" t="s">
        <v>8944</v>
      </c>
    </row>
    <row r="23" spans="1:2" x14ac:dyDescent="0.15">
      <c r="A23" t="s">
        <v>7987</v>
      </c>
      <c r="B23" s="2651" t="s">
        <v>8945</v>
      </c>
    </row>
    <row r="24" spans="1:2" x14ac:dyDescent="0.15">
      <c r="A24" t="s">
        <v>7988</v>
      </c>
      <c r="B24" s="2651" t="s">
        <v>8946</v>
      </c>
    </row>
    <row r="25" spans="1:2" x14ac:dyDescent="0.15">
      <c r="A25" t="s">
        <v>7989</v>
      </c>
      <c r="B25" s="2651" t="s">
        <v>8947</v>
      </c>
    </row>
    <row r="26" spans="1:2" x14ac:dyDescent="0.15">
      <c r="A26" t="s">
        <v>7990</v>
      </c>
      <c r="B26" s="2651" t="s">
        <v>8948</v>
      </c>
    </row>
    <row r="27" spans="1:2" x14ac:dyDescent="0.15">
      <c r="A27" t="s">
        <v>7991</v>
      </c>
      <c r="B27" s="2651" t="s">
        <v>8949</v>
      </c>
    </row>
    <row r="28" spans="1:2" x14ac:dyDescent="0.15">
      <c r="A28" t="s">
        <v>7992</v>
      </c>
      <c r="B28" s="2651" t="s">
        <v>8950</v>
      </c>
    </row>
    <row r="29" spans="1:2" x14ac:dyDescent="0.15">
      <c r="A29" t="s">
        <v>7993</v>
      </c>
      <c r="B29" s="2651" t="s">
        <v>8951</v>
      </c>
    </row>
    <row r="30" spans="1:2" x14ac:dyDescent="0.15">
      <c r="A30" t="s">
        <v>7994</v>
      </c>
      <c r="B30" s="2651" t="s">
        <v>8952</v>
      </c>
    </row>
    <row r="31" spans="1:2" x14ac:dyDescent="0.15">
      <c r="A31" t="s">
        <v>7995</v>
      </c>
      <c r="B31" s="2651" t="s">
        <v>8953</v>
      </c>
    </row>
    <row r="32" spans="1:2" x14ac:dyDescent="0.15">
      <c r="A32" t="s">
        <v>7996</v>
      </c>
      <c r="B32" s="2651" t="s">
        <v>8954</v>
      </c>
    </row>
    <row r="33" spans="1:2" x14ac:dyDescent="0.15">
      <c r="A33" t="s">
        <v>7997</v>
      </c>
      <c r="B33" s="2651" t="s">
        <v>8955</v>
      </c>
    </row>
    <row r="34" spans="1:2" x14ac:dyDescent="0.15">
      <c r="A34" t="s">
        <v>7998</v>
      </c>
      <c r="B34" s="2651" t="s">
        <v>8956</v>
      </c>
    </row>
    <row r="35" spans="1:2" x14ac:dyDescent="0.15">
      <c r="A35" t="s">
        <v>7999</v>
      </c>
      <c r="B35" s="2651" t="s">
        <v>8957</v>
      </c>
    </row>
    <row r="36" spans="1:2" x14ac:dyDescent="0.15">
      <c r="A36" t="s">
        <v>8000</v>
      </c>
      <c r="B36" s="2651" t="s">
        <v>8958</v>
      </c>
    </row>
    <row r="37" spans="1:2" x14ac:dyDescent="0.15">
      <c r="A37" t="s">
        <v>8001</v>
      </c>
      <c r="B37" s="2651" t="s">
        <v>8959</v>
      </c>
    </row>
    <row r="38" spans="1:2" x14ac:dyDescent="0.15">
      <c r="A38" t="s">
        <v>8002</v>
      </c>
      <c r="B38" s="2651" t="s">
        <v>8960</v>
      </c>
    </row>
    <row r="39" spans="1:2" x14ac:dyDescent="0.15">
      <c r="A39" t="s">
        <v>8003</v>
      </c>
      <c r="B39" s="2651" t="s">
        <v>8961</v>
      </c>
    </row>
    <row r="40" spans="1:2" x14ac:dyDescent="0.15">
      <c r="A40" t="s">
        <v>8004</v>
      </c>
      <c r="B40" s="2651" t="s">
        <v>8962</v>
      </c>
    </row>
    <row r="41" spans="1:2" x14ac:dyDescent="0.15">
      <c r="A41" t="s">
        <v>8005</v>
      </c>
      <c r="B41" s="2651" t="s">
        <v>8963</v>
      </c>
    </row>
    <row r="42" spans="1:2" x14ac:dyDescent="0.15">
      <c r="A42" t="s">
        <v>8006</v>
      </c>
      <c r="B42" s="2651" t="s">
        <v>8964</v>
      </c>
    </row>
    <row r="43" spans="1:2" x14ac:dyDescent="0.15">
      <c r="A43" t="s">
        <v>8007</v>
      </c>
      <c r="B43" s="2651" t="s">
        <v>8965</v>
      </c>
    </row>
    <row r="44" spans="1:2" x14ac:dyDescent="0.15">
      <c r="A44" t="s">
        <v>8008</v>
      </c>
      <c r="B44" s="2651" t="s">
        <v>8966</v>
      </c>
    </row>
    <row r="45" spans="1:2" x14ac:dyDescent="0.15">
      <c r="A45" t="s">
        <v>8009</v>
      </c>
      <c r="B45" s="2651" t="s">
        <v>8967</v>
      </c>
    </row>
    <row r="46" spans="1:2" x14ac:dyDescent="0.15">
      <c r="A46" t="s">
        <v>8010</v>
      </c>
      <c r="B46" s="2651" t="s">
        <v>8968</v>
      </c>
    </row>
    <row r="47" spans="1:2" x14ac:dyDescent="0.15">
      <c r="A47" t="s">
        <v>8011</v>
      </c>
      <c r="B47" s="2651" t="s">
        <v>8969</v>
      </c>
    </row>
    <row r="48" spans="1:2" x14ac:dyDescent="0.15">
      <c r="A48" t="s">
        <v>8012</v>
      </c>
      <c r="B48" s="2651" t="s">
        <v>8970</v>
      </c>
    </row>
    <row r="49" spans="1:2" x14ac:dyDescent="0.15">
      <c r="A49" t="s">
        <v>8013</v>
      </c>
      <c r="B49" s="2651" t="s">
        <v>8971</v>
      </c>
    </row>
    <row r="50" spans="1:2" x14ac:dyDescent="0.15">
      <c r="A50" t="s">
        <v>8014</v>
      </c>
      <c r="B50" s="2651" t="s">
        <v>8972</v>
      </c>
    </row>
    <row r="51" spans="1:2" x14ac:dyDescent="0.15">
      <c r="A51" t="s">
        <v>8015</v>
      </c>
      <c r="B51" s="2651" t="s">
        <v>8973</v>
      </c>
    </row>
    <row r="52" spans="1:2" x14ac:dyDescent="0.15">
      <c r="A52" t="s">
        <v>8016</v>
      </c>
      <c r="B52" s="2651" t="s">
        <v>8974</v>
      </c>
    </row>
    <row r="53" spans="1:2" x14ac:dyDescent="0.15">
      <c r="A53" s="2652" t="s">
        <v>7963</v>
      </c>
      <c r="B53" s="2651" t="s">
        <v>8924</v>
      </c>
    </row>
    <row r="54" spans="1:2" x14ac:dyDescent="0.15">
      <c r="A54" t="s">
        <v>8017</v>
      </c>
      <c r="B54" s="2651" t="s">
        <v>8926</v>
      </c>
    </row>
    <row r="55" spans="1:2" x14ac:dyDescent="0.15">
      <c r="A55" t="s">
        <v>8018</v>
      </c>
      <c r="B55" s="2651" t="s">
        <v>8927</v>
      </c>
    </row>
    <row r="56" spans="1:2" x14ac:dyDescent="0.15">
      <c r="A56" t="s">
        <v>8019</v>
      </c>
      <c r="B56" s="2651" t="s">
        <v>8928</v>
      </c>
    </row>
    <row r="57" spans="1:2" x14ac:dyDescent="0.15">
      <c r="A57" t="s">
        <v>8020</v>
      </c>
      <c r="B57" s="2651" t="s">
        <v>8929</v>
      </c>
    </row>
    <row r="58" spans="1:2" x14ac:dyDescent="0.15">
      <c r="A58" t="s">
        <v>8021</v>
      </c>
      <c r="B58" s="2651" t="s">
        <v>8930</v>
      </c>
    </row>
    <row r="59" spans="1:2" x14ac:dyDescent="0.15">
      <c r="A59" t="s">
        <v>8022</v>
      </c>
      <c r="B59" s="2651" t="s">
        <v>8931</v>
      </c>
    </row>
    <row r="60" spans="1:2" x14ac:dyDescent="0.15">
      <c r="A60" t="s">
        <v>8023</v>
      </c>
      <c r="B60" s="2651" t="s">
        <v>8932</v>
      </c>
    </row>
    <row r="61" spans="1:2" x14ac:dyDescent="0.15">
      <c r="A61" t="s">
        <v>8024</v>
      </c>
      <c r="B61" s="2651" t="s">
        <v>8933</v>
      </c>
    </row>
    <row r="62" spans="1:2" x14ac:dyDescent="0.15">
      <c r="A62" t="s">
        <v>8025</v>
      </c>
      <c r="B62" s="2651" t="s">
        <v>8934</v>
      </c>
    </row>
    <row r="63" spans="1:2" x14ac:dyDescent="0.15">
      <c r="A63" t="s">
        <v>8026</v>
      </c>
      <c r="B63" s="2651" t="s">
        <v>8935</v>
      </c>
    </row>
    <row r="64" spans="1:2" x14ac:dyDescent="0.15">
      <c r="A64" t="s">
        <v>8027</v>
      </c>
      <c r="B64" s="2651" t="s">
        <v>8936</v>
      </c>
    </row>
    <row r="65" spans="1:2" x14ac:dyDescent="0.15">
      <c r="A65" t="s">
        <v>8028</v>
      </c>
      <c r="B65" s="2651" t="s">
        <v>8937</v>
      </c>
    </row>
    <row r="66" spans="1:2" x14ac:dyDescent="0.15">
      <c r="A66" t="s">
        <v>8029</v>
      </c>
      <c r="B66" s="2651" t="s">
        <v>8938</v>
      </c>
    </row>
    <row r="67" spans="1:2" x14ac:dyDescent="0.15">
      <c r="A67" t="s">
        <v>8030</v>
      </c>
      <c r="B67" s="2651" t="s">
        <v>8939</v>
      </c>
    </row>
    <row r="68" spans="1:2" x14ac:dyDescent="0.15">
      <c r="A68" t="s">
        <v>8031</v>
      </c>
      <c r="B68" s="2651" t="s">
        <v>8940</v>
      </c>
    </row>
    <row r="69" spans="1:2" x14ac:dyDescent="0.15">
      <c r="A69" t="s">
        <v>8032</v>
      </c>
      <c r="B69" s="2651" t="s">
        <v>8941</v>
      </c>
    </row>
    <row r="70" spans="1:2" x14ac:dyDescent="0.15">
      <c r="A70" t="s">
        <v>8033</v>
      </c>
      <c r="B70" s="2651" t="s">
        <v>8942</v>
      </c>
    </row>
    <row r="71" spans="1:2" x14ac:dyDescent="0.15">
      <c r="A71" t="s">
        <v>8034</v>
      </c>
      <c r="B71" s="2651" t="s">
        <v>8943</v>
      </c>
    </row>
    <row r="72" spans="1:2" x14ac:dyDescent="0.15">
      <c r="A72" t="s">
        <v>8035</v>
      </c>
      <c r="B72" s="2651" t="s">
        <v>8944</v>
      </c>
    </row>
    <row r="73" spans="1:2" x14ac:dyDescent="0.15">
      <c r="A73" t="s">
        <v>8036</v>
      </c>
      <c r="B73" s="2651" t="s">
        <v>8945</v>
      </c>
    </row>
    <row r="74" spans="1:2" x14ac:dyDescent="0.15">
      <c r="A74" t="s">
        <v>8037</v>
      </c>
      <c r="B74" s="2651" t="s">
        <v>8946</v>
      </c>
    </row>
    <row r="75" spans="1:2" x14ac:dyDescent="0.15">
      <c r="A75" t="s">
        <v>8038</v>
      </c>
      <c r="B75" s="2651" t="s">
        <v>8947</v>
      </c>
    </row>
    <row r="76" spans="1:2" x14ac:dyDescent="0.15">
      <c r="A76" t="s">
        <v>8039</v>
      </c>
      <c r="B76" s="2651" t="s">
        <v>8948</v>
      </c>
    </row>
    <row r="77" spans="1:2" x14ac:dyDescent="0.15">
      <c r="A77" t="s">
        <v>8040</v>
      </c>
      <c r="B77" s="2651" t="s">
        <v>8949</v>
      </c>
    </row>
    <row r="78" spans="1:2" x14ac:dyDescent="0.15">
      <c r="A78" t="s">
        <v>8041</v>
      </c>
      <c r="B78" s="2651" t="s">
        <v>8950</v>
      </c>
    </row>
    <row r="79" spans="1:2" x14ac:dyDescent="0.15">
      <c r="A79" t="s">
        <v>8042</v>
      </c>
      <c r="B79" s="2651" t="s">
        <v>8951</v>
      </c>
    </row>
    <row r="80" spans="1:2" x14ac:dyDescent="0.15">
      <c r="A80" t="s">
        <v>8043</v>
      </c>
      <c r="B80" s="2651" t="s">
        <v>8952</v>
      </c>
    </row>
    <row r="81" spans="1:2" x14ac:dyDescent="0.15">
      <c r="A81" t="s">
        <v>8044</v>
      </c>
      <c r="B81" s="2651" t="s">
        <v>8953</v>
      </c>
    </row>
    <row r="82" spans="1:2" x14ac:dyDescent="0.15">
      <c r="A82" t="s">
        <v>8045</v>
      </c>
      <c r="B82" s="2651" t="s">
        <v>8954</v>
      </c>
    </row>
    <row r="83" spans="1:2" x14ac:dyDescent="0.15">
      <c r="A83" t="s">
        <v>8046</v>
      </c>
      <c r="B83" s="2651" t="s">
        <v>8955</v>
      </c>
    </row>
    <row r="84" spans="1:2" x14ac:dyDescent="0.15">
      <c r="A84" t="s">
        <v>8047</v>
      </c>
      <c r="B84" s="2651" t="s">
        <v>8956</v>
      </c>
    </row>
    <row r="85" spans="1:2" x14ac:dyDescent="0.15">
      <c r="A85" t="s">
        <v>8048</v>
      </c>
      <c r="B85" s="2651" t="s">
        <v>8957</v>
      </c>
    </row>
    <row r="86" spans="1:2" x14ac:dyDescent="0.15">
      <c r="A86" t="s">
        <v>8049</v>
      </c>
      <c r="B86" s="2651" t="s">
        <v>8958</v>
      </c>
    </row>
    <row r="87" spans="1:2" x14ac:dyDescent="0.15">
      <c r="A87" t="s">
        <v>8050</v>
      </c>
      <c r="B87" s="2651" t="s">
        <v>8959</v>
      </c>
    </row>
    <row r="88" spans="1:2" x14ac:dyDescent="0.15">
      <c r="A88" t="s">
        <v>8051</v>
      </c>
      <c r="B88" s="2651" t="s">
        <v>8960</v>
      </c>
    </row>
    <row r="89" spans="1:2" x14ac:dyDescent="0.15">
      <c r="A89" t="s">
        <v>8052</v>
      </c>
      <c r="B89" s="2651" t="s">
        <v>8961</v>
      </c>
    </row>
    <row r="90" spans="1:2" x14ac:dyDescent="0.15">
      <c r="A90" t="s">
        <v>8053</v>
      </c>
      <c r="B90" s="2651" t="s">
        <v>8962</v>
      </c>
    </row>
    <row r="91" spans="1:2" x14ac:dyDescent="0.15">
      <c r="A91" t="s">
        <v>8054</v>
      </c>
      <c r="B91" s="2651" t="s">
        <v>8963</v>
      </c>
    </row>
    <row r="92" spans="1:2" x14ac:dyDescent="0.15">
      <c r="A92" t="s">
        <v>8055</v>
      </c>
      <c r="B92" s="2651" t="s">
        <v>8964</v>
      </c>
    </row>
    <row r="93" spans="1:2" x14ac:dyDescent="0.15">
      <c r="A93" t="s">
        <v>8056</v>
      </c>
      <c r="B93" s="2651" t="s">
        <v>8965</v>
      </c>
    </row>
    <row r="94" spans="1:2" x14ac:dyDescent="0.15">
      <c r="A94" t="s">
        <v>8057</v>
      </c>
      <c r="B94" s="2651" t="s">
        <v>8966</v>
      </c>
    </row>
    <row r="95" spans="1:2" x14ac:dyDescent="0.15">
      <c r="A95" t="s">
        <v>8058</v>
      </c>
      <c r="B95" s="2651" t="s">
        <v>8967</v>
      </c>
    </row>
    <row r="96" spans="1:2" x14ac:dyDescent="0.15">
      <c r="A96" t="s">
        <v>8059</v>
      </c>
      <c r="B96" s="2651" t="s">
        <v>8968</v>
      </c>
    </row>
    <row r="97" spans="1:2" x14ac:dyDescent="0.15">
      <c r="A97" t="s">
        <v>8060</v>
      </c>
      <c r="B97" s="2651" t="s">
        <v>8969</v>
      </c>
    </row>
    <row r="98" spans="1:2" x14ac:dyDescent="0.15">
      <c r="A98" t="s">
        <v>8061</v>
      </c>
      <c r="B98" s="2651" t="s">
        <v>8970</v>
      </c>
    </row>
    <row r="99" spans="1:2" x14ac:dyDescent="0.15">
      <c r="A99" t="s">
        <v>8062</v>
      </c>
      <c r="B99" s="2651" t="s">
        <v>8971</v>
      </c>
    </row>
    <row r="100" spans="1:2" x14ac:dyDescent="0.15">
      <c r="A100" t="s">
        <v>8063</v>
      </c>
      <c r="B100" s="2651" t="s">
        <v>8972</v>
      </c>
    </row>
    <row r="101" spans="1:2" x14ac:dyDescent="0.15">
      <c r="A101" t="s">
        <v>8064</v>
      </c>
      <c r="B101" s="2651" t="s">
        <v>8973</v>
      </c>
    </row>
    <row r="102" spans="1:2" x14ac:dyDescent="0.15">
      <c r="A102" t="s">
        <v>8065</v>
      </c>
      <c r="B102" s="2651" t="s">
        <v>8974</v>
      </c>
    </row>
    <row r="103" spans="1:2" x14ac:dyDescent="0.15">
      <c r="A103" s="2652" t="s">
        <v>7964</v>
      </c>
      <c r="B103" s="2651" t="s">
        <v>8924</v>
      </c>
    </row>
    <row r="104" spans="1:2" x14ac:dyDescent="0.15">
      <c r="A104" t="s">
        <v>8066</v>
      </c>
      <c r="B104" s="2651" t="s">
        <v>8926</v>
      </c>
    </row>
    <row r="105" spans="1:2" x14ac:dyDescent="0.15">
      <c r="A105" t="s">
        <v>8067</v>
      </c>
      <c r="B105" s="2651" t="s">
        <v>8927</v>
      </c>
    </row>
    <row r="106" spans="1:2" x14ac:dyDescent="0.15">
      <c r="A106" t="s">
        <v>8068</v>
      </c>
      <c r="B106" s="2651" t="s">
        <v>8928</v>
      </c>
    </row>
    <row r="107" spans="1:2" x14ac:dyDescent="0.15">
      <c r="A107" t="s">
        <v>8069</v>
      </c>
      <c r="B107" s="2651" t="s">
        <v>8929</v>
      </c>
    </row>
    <row r="108" spans="1:2" x14ac:dyDescent="0.15">
      <c r="A108" t="s">
        <v>8070</v>
      </c>
      <c r="B108" s="2651" t="s">
        <v>8930</v>
      </c>
    </row>
    <row r="109" spans="1:2" x14ac:dyDescent="0.15">
      <c r="A109" t="s">
        <v>8071</v>
      </c>
      <c r="B109" s="2651" t="s">
        <v>8931</v>
      </c>
    </row>
    <row r="110" spans="1:2" x14ac:dyDescent="0.15">
      <c r="A110" t="s">
        <v>8072</v>
      </c>
      <c r="B110" s="2651" t="s">
        <v>8932</v>
      </c>
    </row>
    <row r="111" spans="1:2" x14ac:dyDescent="0.15">
      <c r="A111" t="s">
        <v>8073</v>
      </c>
      <c r="B111" s="2651" t="s">
        <v>8933</v>
      </c>
    </row>
    <row r="112" spans="1:2" x14ac:dyDescent="0.15">
      <c r="A112" t="s">
        <v>8074</v>
      </c>
      <c r="B112" s="2651" t="s">
        <v>8934</v>
      </c>
    </row>
    <row r="113" spans="1:2" x14ac:dyDescent="0.15">
      <c r="A113" t="s">
        <v>8075</v>
      </c>
      <c r="B113" s="2651" t="s">
        <v>8935</v>
      </c>
    </row>
    <row r="114" spans="1:2" x14ac:dyDescent="0.15">
      <c r="A114" t="s">
        <v>8076</v>
      </c>
      <c r="B114" s="2651" t="s">
        <v>8936</v>
      </c>
    </row>
    <row r="115" spans="1:2" x14ac:dyDescent="0.15">
      <c r="A115" t="s">
        <v>8077</v>
      </c>
      <c r="B115" s="2651" t="s">
        <v>8937</v>
      </c>
    </row>
    <row r="116" spans="1:2" x14ac:dyDescent="0.15">
      <c r="A116" t="s">
        <v>8078</v>
      </c>
      <c r="B116" s="2651" t="s">
        <v>8938</v>
      </c>
    </row>
    <row r="117" spans="1:2" x14ac:dyDescent="0.15">
      <c r="A117" t="s">
        <v>8079</v>
      </c>
      <c r="B117" s="2651" t="s">
        <v>8939</v>
      </c>
    </row>
    <row r="118" spans="1:2" x14ac:dyDescent="0.15">
      <c r="A118" t="s">
        <v>8080</v>
      </c>
      <c r="B118" s="2651" t="s">
        <v>8940</v>
      </c>
    </row>
    <row r="119" spans="1:2" x14ac:dyDescent="0.15">
      <c r="A119" t="s">
        <v>8081</v>
      </c>
      <c r="B119" s="2651" t="s">
        <v>8941</v>
      </c>
    </row>
    <row r="120" spans="1:2" x14ac:dyDescent="0.15">
      <c r="A120" t="s">
        <v>8082</v>
      </c>
      <c r="B120" s="2651" t="s">
        <v>8942</v>
      </c>
    </row>
    <row r="121" spans="1:2" x14ac:dyDescent="0.15">
      <c r="A121" t="s">
        <v>8083</v>
      </c>
      <c r="B121" s="2651" t="s">
        <v>8943</v>
      </c>
    </row>
    <row r="122" spans="1:2" x14ac:dyDescent="0.15">
      <c r="A122" t="s">
        <v>8084</v>
      </c>
      <c r="B122" s="2651" t="s">
        <v>8944</v>
      </c>
    </row>
    <row r="123" spans="1:2" x14ac:dyDescent="0.15">
      <c r="A123" t="s">
        <v>8085</v>
      </c>
      <c r="B123" s="2651" t="s">
        <v>8945</v>
      </c>
    </row>
    <row r="124" spans="1:2" x14ac:dyDescent="0.15">
      <c r="A124" t="s">
        <v>8086</v>
      </c>
      <c r="B124" s="2651" t="s">
        <v>8946</v>
      </c>
    </row>
    <row r="125" spans="1:2" x14ac:dyDescent="0.15">
      <c r="A125" t="s">
        <v>8087</v>
      </c>
      <c r="B125" s="2651" t="s">
        <v>8947</v>
      </c>
    </row>
    <row r="126" spans="1:2" x14ac:dyDescent="0.15">
      <c r="A126" t="s">
        <v>8088</v>
      </c>
      <c r="B126" s="2651" t="s">
        <v>8948</v>
      </c>
    </row>
    <row r="127" spans="1:2" x14ac:dyDescent="0.15">
      <c r="A127" t="s">
        <v>8089</v>
      </c>
      <c r="B127" s="2651" t="s">
        <v>8949</v>
      </c>
    </row>
    <row r="128" spans="1:2" x14ac:dyDescent="0.15">
      <c r="A128" t="s">
        <v>8090</v>
      </c>
      <c r="B128" s="2651" t="s">
        <v>8950</v>
      </c>
    </row>
    <row r="129" spans="1:2" x14ac:dyDescent="0.15">
      <c r="A129" t="s">
        <v>8091</v>
      </c>
      <c r="B129" s="2651" t="s">
        <v>8951</v>
      </c>
    </row>
    <row r="130" spans="1:2" x14ac:dyDescent="0.15">
      <c r="A130" t="s">
        <v>8092</v>
      </c>
      <c r="B130" s="2651" t="s">
        <v>8952</v>
      </c>
    </row>
    <row r="131" spans="1:2" x14ac:dyDescent="0.15">
      <c r="A131" t="s">
        <v>8093</v>
      </c>
      <c r="B131" s="2651" t="s">
        <v>8953</v>
      </c>
    </row>
    <row r="132" spans="1:2" x14ac:dyDescent="0.15">
      <c r="A132" t="s">
        <v>8094</v>
      </c>
      <c r="B132" s="2651" t="s">
        <v>8954</v>
      </c>
    </row>
    <row r="133" spans="1:2" x14ac:dyDescent="0.15">
      <c r="A133" t="s">
        <v>8095</v>
      </c>
      <c r="B133" s="2651" t="s">
        <v>8955</v>
      </c>
    </row>
    <row r="134" spans="1:2" x14ac:dyDescent="0.15">
      <c r="A134" t="s">
        <v>8096</v>
      </c>
      <c r="B134" s="2651" t="s">
        <v>8956</v>
      </c>
    </row>
    <row r="135" spans="1:2" x14ac:dyDescent="0.15">
      <c r="A135" t="s">
        <v>8097</v>
      </c>
      <c r="B135" s="2651" t="s">
        <v>8957</v>
      </c>
    </row>
    <row r="136" spans="1:2" x14ac:dyDescent="0.15">
      <c r="A136" t="s">
        <v>8098</v>
      </c>
      <c r="B136" s="2651" t="s">
        <v>8958</v>
      </c>
    </row>
    <row r="137" spans="1:2" x14ac:dyDescent="0.15">
      <c r="A137" t="s">
        <v>8099</v>
      </c>
      <c r="B137" s="2651" t="s">
        <v>8959</v>
      </c>
    </row>
    <row r="138" spans="1:2" x14ac:dyDescent="0.15">
      <c r="A138" t="s">
        <v>8100</v>
      </c>
      <c r="B138" s="2651" t="s">
        <v>8960</v>
      </c>
    </row>
    <row r="139" spans="1:2" x14ac:dyDescent="0.15">
      <c r="A139" t="s">
        <v>8101</v>
      </c>
      <c r="B139" s="2651" t="s">
        <v>8961</v>
      </c>
    </row>
    <row r="140" spans="1:2" x14ac:dyDescent="0.15">
      <c r="A140" t="s">
        <v>8102</v>
      </c>
      <c r="B140" s="2651" t="s">
        <v>8962</v>
      </c>
    </row>
    <row r="141" spans="1:2" x14ac:dyDescent="0.15">
      <c r="A141" t="s">
        <v>8103</v>
      </c>
      <c r="B141" s="2651" t="s">
        <v>8963</v>
      </c>
    </row>
    <row r="142" spans="1:2" x14ac:dyDescent="0.15">
      <c r="A142" t="s">
        <v>8104</v>
      </c>
      <c r="B142" s="2651" t="s">
        <v>8964</v>
      </c>
    </row>
    <row r="143" spans="1:2" x14ac:dyDescent="0.15">
      <c r="A143" t="s">
        <v>8105</v>
      </c>
      <c r="B143" s="2651" t="s">
        <v>8965</v>
      </c>
    </row>
    <row r="144" spans="1:2" x14ac:dyDescent="0.15">
      <c r="A144" t="s">
        <v>8106</v>
      </c>
      <c r="B144" s="2651" t="s">
        <v>8966</v>
      </c>
    </row>
    <row r="145" spans="1:2" x14ac:dyDescent="0.15">
      <c r="A145" t="s">
        <v>8107</v>
      </c>
      <c r="B145" s="2651" t="s">
        <v>8967</v>
      </c>
    </row>
    <row r="146" spans="1:2" x14ac:dyDescent="0.15">
      <c r="A146" t="s">
        <v>8108</v>
      </c>
      <c r="B146" s="2651" t="s">
        <v>8968</v>
      </c>
    </row>
    <row r="147" spans="1:2" x14ac:dyDescent="0.15">
      <c r="A147" t="s">
        <v>8109</v>
      </c>
      <c r="B147" s="2651" t="s">
        <v>8969</v>
      </c>
    </row>
    <row r="148" spans="1:2" x14ac:dyDescent="0.15">
      <c r="A148" t="s">
        <v>8110</v>
      </c>
      <c r="B148" s="2651" t="s">
        <v>8970</v>
      </c>
    </row>
    <row r="149" spans="1:2" x14ac:dyDescent="0.15">
      <c r="A149" t="s">
        <v>8111</v>
      </c>
      <c r="B149" s="2651" t="s">
        <v>8971</v>
      </c>
    </row>
    <row r="150" spans="1:2" x14ac:dyDescent="0.15">
      <c r="A150" t="s">
        <v>8112</v>
      </c>
      <c r="B150" s="2651" t="s">
        <v>8972</v>
      </c>
    </row>
    <row r="151" spans="1:2" x14ac:dyDescent="0.15">
      <c r="A151" t="s">
        <v>8113</v>
      </c>
      <c r="B151" s="2651" t="s">
        <v>8973</v>
      </c>
    </row>
    <row r="152" spans="1:2" x14ac:dyDescent="0.15">
      <c r="A152" t="s">
        <v>8114</v>
      </c>
      <c r="B152" s="2651" t="s">
        <v>8974</v>
      </c>
    </row>
    <row r="153" spans="1:2" x14ac:dyDescent="0.15">
      <c r="A153" s="2652" t="s">
        <v>7965</v>
      </c>
      <c r="B153" s="2651" t="s">
        <v>8924</v>
      </c>
    </row>
    <row r="154" spans="1:2" x14ac:dyDescent="0.15">
      <c r="A154" t="s">
        <v>8115</v>
      </c>
      <c r="B154" s="2651" t="s">
        <v>8926</v>
      </c>
    </row>
    <row r="155" spans="1:2" x14ac:dyDescent="0.15">
      <c r="A155" t="s">
        <v>8116</v>
      </c>
      <c r="B155" s="2651" t="s">
        <v>8927</v>
      </c>
    </row>
    <row r="156" spans="1:2" x14ac:dyDescent="0.15">
      <c r="A156" t="s">
        <v>8117</v>
      </c>
      <c r="B156" s="2651" t="s">
        <v>8928</v>
      </c>
    </row>
    <row r="157" spans="1:2" x14ac:dyDescent="0.15">
      <c r="A157" t="s">
        <v>8118</v>
      </c>
      <c r="B157" s="2651" t="s">
        <v>8929</v>
      </c>
    </row>
    <row r="158" spans="1:2" x14ac:dyDescent="0.15">
      <c r="A158" t="s">
        <v>8119</v>
      </c>
      <c r="B158" s="2651" t="s">
        <v>8930</v>
      </c>
    </row>
    <row r="159" spans="1:2" x14ac:dyDescent="0.15">
      <c r="A159" t="s">
        <v>8120</v>
      </c>
      <c r="B159" s="2651" t="s">
        <v>8931</v>
      </c>
    </row>
    <row r="160" spans="1:2" x14ac:dyDescent="0.15">
      <c r="A160" t="s">
        <v>8121</v>
      </c>
      <c r="B160" s="2651" t="s">
        <v>8932</v>
      </c>
    </row>
    <row r="161" spans="1:2" x14ac:dyDescent="0.15">
      <c r="A161" t="s">
        <v>8122</v>
      </c>
      <c r="B161" s="2651" t="s">
        <v>8933</v>
      </c>
    </row>
    <row r="162" spans="1:2" x14ac:dyDescent="0.15">
      <c r="A162" t="s">
        <v>8123</v>
      </c>
      <c r="B162" s="2651" t="s">
        <v>8934</v>
      </c>
    </row>
    <row r="163" spans="1:2" x14ac:dyDescent="0.15">
      <c r="A163" t="s">
        <v>8124</v>
      </c>
      <c r="B163" s="2651" t="s">
        <v>8935</v>
      </c>
    </row>
    <row r="164" spans="1:2" x14ac:dyDescent="0.15">
      <c r="A164" t="s">
        <v>8125</v>
      </c>
      <c r="B164" s="2651" t="s">
        <v>8936</v>
      </c>
    </row>
    <row r="165" spans="1:2" x14ac:dyDescent="0.15">
      <c r="A165" t="s">
        <v>8126</v>
      </c>
      <c r="B165" s="2651" t="s">
        <v>8937</v>
      </c>
    </row>
    <row r="166" spans="1:2" x14ac:dyDescent="0.15">
      <c r="A166" t="s">
        <v>8127</v>
      </c>
      <c r="B166" s="2651" t="s">
        <v>8938</v>
      </c>
    </row>
    <row r="167" spans="1:2" x14ac:dyDescent="0.15">
      <c r="A167" t="s">
        <v>8128</v>
      </c>
      <c r="B167" s="2651" t="s">
        <v>8939</v>
      </c>
    </row>
    <row r="168" spans="1:2" x14ac:dyDescent="0.15">
      <c r="A168" t="s">
        <v>8129</v>
      </c>
      <c r="B168" s="2651" t="s">
        <v>8940</v>
      </c>
    </row>
    <row r="169" spans="1:2" x14ac:dyDescent="0.15">
      <c r="A169" t="s">
        <v>8130</v>
      </c>
      <c r="B169" s="2651" t="s">
        <v>8941</v>
      </c>
    </row>
    <row r="170" spans="1:2" x14ac:dyDescent="0.15">
      <c r="A170" t="s">
        <v>8131</v>
      </c>
      <c r="B170" s="2651" t="s">
        <v>8942</v>
      </c>
    </row>
    <row r="171" spans="1:2" x14ac:dyDescent="0.15">
      <c r="A171" t="s">
        <v>8132</v>
      </c>
      <c r="B171" s="2651" t="s">
        <v>8943</v>
      </c>
    </row>
    <row r="172" spans="1:2" x14ac:dyDescent="0.15">
      <c r="A172" t="s">
        <v>8133</v>
      </c>
      <c r="B172" s="2651" t="s">
        <v>8944</v>
      </c>
    </row>
    <row r="173" spans="1:2" x14ac:dyDescent="0.15">
      <c r="A173" t="s">
        <v>8134</v>
      </c>
      <c r="B173" s="2651" t="s">
        <v>8945</v>
      </c>
    </row>
    <row r="174" spans="1:2" x14ac:dyDescent="0.15">
      <c r="A174" t="s">
        <v>8135</v>
      </c>
      <c r="B174" s="2651" t="s">
        <v>8946</v>
      </c>
    </row>
    <row r="175" spans="1:2" x14ac:dyDescent="0.15">
      <c r="A175" t="s">
        <v>8136</v>
      </c>
      <c r="B175" s="2651" t="s">
        <v>8947</v>
      </c>
    </row>
    <row r="176" spans="1:2" x14ac:dyDescent="0.15">
      <c r="A176" t="s">
        <v>8137</v>
      </c>
      <c r="B176" s="2651" t="s">
        <v>8948</v>
      </c>
    </row>
    <row r="177" spans="1:2" x14ac:dyDescent="0.15">
      <c r="A177" t="s">
        <v>8138</v>
      </c>
      <c r="B177" s="2651" t="s">
        <v>8949</v>
      </c>
    </row>
    <row r="178" spans="1:2" x14ac:dyDescent="0.15">
      <c r="A178" t="s">
        <v>8139</v>
      </c>
      <c r="B178" s="2651" t="s">
        <v>8950</v>
      </c>
    </row>
    <row r="179" spans="1:2" x14ac:dyDescent="0.15">
      <c r="A179" t="s">
        <v>8140</v>
      </c>
      <c r="B179" s="2651" t="s">
        <v>8951</v>
      </c>
    </row>
    <row r="180" spans="1:2" x14ac:dyDescent="0.15">
      <c r="A180" t="s">
        <v>8141</v>
      </c>
      <c r="B180" s="2651" t="s">
        <v>8952</v>
      </c>
    </row>
    <row r="181" spans="1:2" x14ac:dyDescent="0.15">
      <c r="A181" t="s">
        <v>8142</v>
      </c>
      <c r="B181" s="2651" t="s">
        <v>8953</v>
      </c>
    </row>
    <row r="182" spans="1:2" x14ac:dyDescent="0.15">
      <c r="A182" t="s">
        <v>8143</v>
      </c>
      <c r="B182" s="2651" t="s">
        <v>8954</v>
      </c>
    </row>
    <row r="183" spans="1:2" x14ac:dyDescent="0.15">
      <c r="A183" t="s">
        <v>8144</v>
      </c>
      <c r="B183" s="2651" t="s">
        <v>8955</v>
      </c>
    </row>
    <row r="184" spans="1:2" x14ac:dyDescent="0.15">
      <c r="A184" t="s">
        <v>8145</v>
      </c>
      <c r="B184" s="2651" t="s">
        <v>8956</v>
      </c>
    </row>
    <row r="185" spans="1:2" x14ac:dyDescent="0.15">
      <c r="A185" t="s">
        <v>8146</v>
      </c>
      <c r="B185" s="2651" t="s">
        <v>8957</v>
      </c>
    </row>
    <row r="186" spans="1:2" x14ac:dyDescent="0.15">
      <c r="A186" t="s">
        <v>8147</v>
      </c>
      <c r="B186" s="2651" t="s">
        <v>8958</v>
      </c>
    </row>
    <row r="187" spans="1:2" x14ac:dyDescent="0.15">
      <c r="A187" t="s">
        <v>8148</v>
      </c>
      <c r="B187" s="2651" t="s">
        <v>8959</v>
      </c>
    </row>
    <row r="188" spans="1:2" x14ac:dyDescent="0.15">
      <c r="A188" t="s">
        <v>8149</v>
      </c>
      <c r="B188" s="2651" t="s">
        <v>8960</v>
      </c>
    </row>
    <row r="189" spans="1:2" x14ac:dyDescent="0.15">
      <c r="A189" t="s">
        <v>8150</v>
      </c>
      <c r="B189" s="2651" t="s">
        <v>8961</v>
      </c>
    </row>
    <row r="190" spans="1:2" x14ac:dyDescent="0.15">
      <c r="A190" t="s">
        <v>8151</v>
      </c>
      <c r="B190" s="2651" t="s">
        <v>8962</v>
      </c>
    </row>
    <row r="191" spans="1:2" x14ac:dyDescent="0.15">
      <c r="A191" t="s">
        <v>8152</v>
      </c>
      <c r="B191" s="2651" t="s">
        <v>8963</v>
      </c>
    </row>
    <row r="192" spans="1:2" x14ac:dyDescent="0.15">
      <c r="A192" t="s">
        <v>8153</v>
      </c>
      <c r="B192" s="2651" t="s">
        <v>8964</v>
      </c>
    </row>
    <row r="193" spans="1:2" x14ac:dyDescent="0.15">
      <c r="A193" t="s">
        <v>8154</v>
      </c>
      <c r="B193" s="2651" t="s">
        <v>8965</v>
      </c>
    </row>
    <row r="194" spans="1:2" x14ac:dyDescent="0.15">
      <c r="A194" t="s">
        <v>8155</v>
      </c>
      <c r="B194" s="2651" t="s">
        <v>8966</v>
      </c>
    </row>
    <row r="195" spans="1:2" x14ac:dyDescent="0.15">
      <c r="A195" t="s">
        <v>8156</v>
      </c>
      <c r="B195" s="2651" t="s">
        <v>8967</v>
      </c>
    </row>
    <row r="196" spans="1:2" x14ac:dyDescent="0.15">
      <c r="A196" t="s">
        <v>8157</v>
      </c>
      <c r="B196" s="2651" t="s">
        <v>8968</v>
      </c>
    </row>
    <row r="197" spans="1:2" x14ac:dyDescent="0.15">
      <c r="A197" t="s">
        <v>8158</v>
      </c>
      <c r="B197" s="2651" t="s">
        <v>8969</v>
      </c>
    </row>
    <row r="198" spans="1:2" x14ac:dyDescent="0.15">
      <c r="A198" t="s">
        <v>8159</v>
      </c>
      <c r="B198" s="2651" t="s">
        <v>8970</v>
      </c>
    </row>
    <row r="199" spans="1:2" x14ac:dyDescent="0.15">
      <c r="A199" t="s">
        <v>8160</v>
      </c>
      <c r="B199" s="2651" t="s">
        <v>8971</v>
      </c>
    </row>
    <row r="200" spans="1:2" x14ac:dyDescent="0.15">
      <c r="A200" t="s">
        <v>8161</v>
      </c>
      <c r="B200" s="2651" t="s">
        <v>8972</v>
      </c>
    </row>
    <row r="201" spans="1:2" x14ac:dyDescent="0.15">
      <c r="A201" t="s">
        <v>8162</v>
      </c>
      <c r="B201" s="2651" t="s">
        <v>8973</v>
      </c>
    </row>
    <row r="202" spans="1:2" x14ac:dyDescent="0.15">
      <c r="A202" t="s">
        <v>8163</v>
      </c>
      <c r="B202" s="2651" t="s">
        <v>8974</v>
      </c>
    </row>
    <row r="203" spans="1:2" x14ac:dyDescent="0.15">
      <c r="A203" s="2652" t="s">
        <v>8164</v>
      </c>
      <c r="B203" s="2651" t="s">
        <v>8924</v>
      </c>
    </row>
    <row r="204" spans="1:2" x14ac:dyDescent="0.15">
      <c r="A204" t="s">
        <v>8165</v>
      </c>
      <c r="B204" s="2651" t="s">
        <v>8926</v>
      </c>
    </row>
    <row r="205" spans="1:2" x14ac:dyDescent="0.15">
      <c r="A205" t="s">
        <v>8166</v>
      </c>
      <c r="B205" s="2651" t="s">
        <v>8927</v>
      </c>
    </row>
    <row r="206" spans="1:2" x14ac:dyDescent="0.15">
      <c r="A206" t="s">
        <v>8167</v>
      </c>
      <c r="B206" s="2651" t="s">
        <v>8928</v>
      </c>
    </row>
    <row r="207" spans="1:2" x14ac:dyDescent="0.15">
      <c r="A207" t="s">
        <v>8168</v>
      </c>
      <c r="B207" s="2651" t="s">
        <v>8929</v>
      </c>
    </row>
    <row r="208" spans="1:2" x14ac:dyDescent="0.15">
      <c r="A208" t="s">
        <v>8169</v>
      </c>
      <c r="B208" s="2651" t="s">
        <v>8930</v>
      </c>
    </row>
    <row r="209" spans="1:2" x14ac:dyDescent="0.15">
      <c r="A209" t="s">
        <v>8170</v>
      </c>
      <c r="B209" s="2651" t="s">
        <v>8931</v>
      </c>
    </row>
    <row r="210" spans="1:2" x14ac:dyDescent="0.15">
      <c r="A210" t="s">
        <v>8171</v>
      </c>
      <c r="B210" s="2651" t="s">
        <v>8932</v>
      </c>
    </row>
    <row r="211" spans="1:2" x14ac:dyDescent="0.15">
      <c r="A211" t="s">
        <v>8172</v>
      </c>
      <c r="B211" s="2651" t="s">
        <v>8933</v>
      </c>
    </row>
    <row r="212" spans="1:2" x14ac:dyDescent="0.15">
      <c r="A212" t="s">
        <v>8173</v>
      </c>
      <c r="B212" s="2651" t="s">
        <v>8934</v>
      </c>
    </row>
    <row r="213" spans="1:2" x14ac:dyDescent="0.15">
      <c r="A213" t="s">
        <v>8174</v>
      </c>
      <c r="B213" s="2651" t="s">
        <v>8935</v>
      </c>
    </row>
    <row r="214" spans="1:2" x14ac:dyDescent="0.15">
      <c r="A214" t="s">
        <v>8175</v>
      </c>
      <c r="B214" s="2651" t="s">
        <v>8936</v>
      </c>
    </row>
    <row r="215" spans="1:2" x14ac:dyDescent="0.15">
      <c r="A215" t="s">
        <v>8176</v>
      </c>
      <c r="B215" s="2651" t="s">
        <v>8937</v>
      </c>
    </row>
    <row r="216" spans="1:2" x14ac:dyDescent="0.15">
      <c r="A216" t="s">
        <v>8177</v>
      </c>
      <c r="B216" s="2651" t="s">
        <v>8938</v>
      </c>
    </row>
    <row r="217" spans="1:2" x14ac:dyDescent="0.15">
      <c r="A217" t="s">
        <v>8178</v>
      </c>
      <c r="B217" s="2651" t="s">
        <v>8939</v>
      </c>
    </row>
    <row r="218" spans="1:2" x14ac:dyDescent="0.15">
      <c r="A218" t="s">
        <v>8179</v>
      </c>
      <c r="B218" s="2651" t="s">
        <v>8940</v>
      </c>
    </row>
    <row r="219" spans="1:2" x14ac:dyDescent="0.15">
      <c r="A219" t="s">
        <v>8180</v>
      </c>
      <c r="B219" s="2651" t="s">
        <v>8941</v>
      </c>
    </row>
    <row r="220" spans="1:2" x14ac:dyDescent="0.15">
      <c r="A220" t="s">
        <v>8181</v>
      </c>
      <c r="B220" s="2651" t="s">
        <v>8942</v>
      </c>
    </row>
    <row r="221" spans="1:2" x14ac:dyDescent="0.15">
      <c r="A221" t="s">
        <v>8182</v>
      </c>
      <c r="B221" s="2651" t="s">
        <v>8943</v>
      </c>
    </row>
    <row r="222" spans="1:2" x14ac:dyDescent="0.15">
      <c r="A222" t="s">
        <v>8183</v>
      </c>
      <c r="B222" s="2651" t="s">
        <v>8944</v>
      </c>
    </row>
    <row r="223" spans="1:2" x14ac:dyDescent="0.15">
      <c r="A223" t="s">
        <v>8184</v>
      </c>
      <c r="B223" s="2651" t="s">
        <v>8945</v>
      </c>
    </row>
    <row r="224" spans="1:2" x14ac:dyDescent="0.15">
      <c r="A224" t="s">
        <v>8185</v>
      </c>
      <c r="B224" s="2651" t="s">
        <v>8946</v>
      </c>
    </row>
    <row r="225" spans="1:2" x14ac:dyDescent="0.15">
      <c r="A225" t="s">
        <v>8186</v>
      </c>
      <c r="B225" s="2651" t="s">
        <v>8947</v>
      </c>
    </row>
    <row r="226" spans="1:2" x14ac:dyDescent="0.15">
      <c r="A226" t="s">
        <v>8187</v>
      </c>
      <c r="B226" s="2651" t="s">
        <v>8948</v>
      </c>
    </row>
    <row r="227" spans="1:2" x14ac:dyDescent="0.15">
      <c r="A227" t="s">
        <v>8188</v>
      </c>
      <c r="B227" s="2651" t="s">
        <v>8949</v>
      </c>
    </row>
    <row r="228" spans="1:2" x14ac:dyDescent="0.15">
      <c r="A228" t="s">
        <v>8189</v>
      </c>
      <c r="B228" s="2651" t="s">
        <v>8950</v>
      </c>
    </row>
    <row r="229" spans="1:2" x14ac:dyDescent="0.15">
      <c r="A229" t="s">
        <v>8190</v>
      </c>
      <c r="B229" s="2651" t="s">
        <v>8951</v>
      </c>
    </row>
    <row r="230" spans="1:2" x14ac:dyDescent="0.15">
      <c r="A230" t="s">
        <v>8191</v>
      </c>
      <c r="B230" s="2651" t="s">
        <v>8952</v>
      </c>
    </row>
    <row r="231" spans="1:2" x14ac:dyDescent="0.15">
      <c r="A231" t="s">
        <v>8192</v>
      </c>
      <c r="B231" s="2651" t="s">
        <v>8953</v>
      </c>
    </row>
    <row r="232" spans="1:2" x14ac:dyDescent="0.15">
      <c r="A232" t="s">
        <v>8193</v>
      </c>
      <c r="B232" s="2651" t="s">
        <v>8954</v>
      </c>
    </row>
    <row r="233" spans="1:2" x14ac:dyDescent="0.15">
      <c r="A233" t="s">
        <v>8194</v>
      </c>
      <c r="B233" s="2651" t="s">
        <v>8955</v>
      </c>
    </row>
    <row r="234" spans="1:2" x14ac:dyDescent="0.15">
      <c r="A234" t="s">
        <v>8195</v>
      </c>
      <c r="B234" s="2651" t="s">
        <v>8956</v>
      </c>
    </row>
    <row r="235" spans="1:2" x14ac:dyDescent="0.15">
      <c r="A235" t="s">
        <v>8196</v>
      </c>
      <c r="B235" s="2651" t="s">
        <v>8957</v>
      </c>
    </row>
    <row r="236" spans="1:2" x14ac:dyDescent="0.15">
      <c r="A236" t="s">
        <v>8197</v>
      </c>
      <c r="B236" s="2651" t="s">
        <v>8958</v>
      </c>
    </row>
    <row r="237" spans="1:2" x14ac:dyDescent="0.15">
      <c r="A237" t="s">
        <v>8198</v>
      </c>
      <c r="B237" s="2651" t="s">
        <v>8959</v>
      </c>
    </row>
    <row r="238" spans="1:2" x14ac:dyDescent="0.15">
      <c r="A238" t="s">
        <v>8199</v>
      </c>
      <c r="B238" s="2651" t="s">
        <v>8960</v>
      </c>
    </row>
    <row r="239" spans="1:2" x14ac:dyDescent="0.15">
      <c r="A239" t="s">
        <v>8200</v>
      </c>
      <c r="B239" s="2651" t="s">
        <v>8961</v>
      </c>
    </row>
    <row r="240" spans="1:2" x14ac:dyDescent="0.15">
      <c r="A240" t="s">
        <v>8201</v>
      </c>
      <c r="B240" s="2651" t="s">
        <v>8962</v>
      </c>
    </row>
    <row r="241" spans="1:2" x14ac:dyDescent="0.15">
      <c r="A241" t="s">
        <v>8202</v>
      </c>
      <c r="B241" s="2651" t="s">
        <v>8963</v>
      </c>
    </row>
    <row r="242" spans="1:2" x14ac:dyDescent="0.15">
      <c r="A242" t="s">
        <v>8203</v>
      </c>
      <c r="B242" s="2651" t="s">
        <v>8964</v>
      </c>
    </row>
    <row r="243" spans="1:2" x14ac:dyDescent="0.15">
      <c r="A243" t="s">
        <v>8204</v>
      </c>
      <c r="B243" s="2651" t="s">
        <v>8965</v>
      </c>
    </row>
    <row r="244" spans="1:2" x14ac:dyDescent="0.15">
      <c r="A244" t="s">
        <v>8205</v>
      </c>
      <c r="B244" s="2651" t="s">
        <v>8966</v>
      </c>
    </row>
    <row r="245" spans="1:2" x14ac:dyDescent="0.15">
      <c r="A245" t="s">
        <v>8206</v>
      </c>
      <c r="B245" s="2651" t="s">
        <v>8967</v>
      </c>
    </row>
    <row r="246" spans="1:2" x14ac:dyDescent="0.15">
      <c r="A246" t="s">
        <v>8207</v>
      </c>
      <c r="B246" s="2651" t="s">
        <v>8968</v>
      </c>
    </row>
    <row r="247" spans="1:2" x14ac:dyDescent="0.15">
      <c r="A247" t="s">
        <v>8208</v>
      </c>
      <c r="B247" s="2651" t="s">
        <v>8969</v>
      </c>
    </row>
    <row r="248" spans="1:2" x14ac:dyDescent="0.15">
      <c r="A248" t="s">
        <v>8209</v>
      </c>
      <c r="B248" s="2651" t="s">
        <v>8970</v>
      </c>
    </row>
    <row r="249" spans="1:2" x14ac:dyDescent="0.15">
      <c r="A249" t="s">
        <v>8210</v>
      </c>
      <c r="B249" s="2651" t="s">
        <v>8971</v>
      </c>
    </row>
    <row r="250" spans="1:2" x14ac:dyDescent="0.15">
      <c r="A250" t="s">
        <v>8211</v>
      </c>
      <c r="B250" s="2651" t="s">
        <v>8972</v>
      </c>
    </row>
    <row r="251" spans="1:2" x14ac:dyDescent="0.15">
      <c r="A251" t="s">
        <v>8212</v>
      </c>
      <c r="B251" s="2651" t="s">
        <v>8973</v>
      </c>
    </row>
    <row r="252" spans="1:2" x14ac:dyDescent="0.15">
      <c r="A252" t="s">
        <v>8213</v>
      </c>
      <c r="B252" s="2651" t="s">
        <v>8974</v>
      </c>
    </row>
    <row r="253" spans="1:2" x14ac:dyDescent="0.15">
      <c r="A253" t="s">
        <v>8214</v>
      </c>
      <c r="B253" s="2651" t="s">
        <v>8975</v>
      </c>
    </row>
    <row r="254" spans="1:2" x14ac:dyDescent="0.15">
      <c r="A254" t="s">
        <v>8215</v>
      </c>
      <c r="B254" s="2651" t="s">
        <v>8976</v>
      </c>
    </row>
    <row r="255" spans="1:2" x14ac:dyDescent="0.15">
      <c r="A255" t="s">
        <v>8216</v>
      </c>
      <c r="B255" s="2651" t="s">
        <v>8977</v>
      </c>
    </row>
    <row r="256" spans="1:2" x14ac:dyDescent="0.15">
      <c r="A256" t="s">
        <v>8217</v>
      </c>
      <c r="B256" s="2651" t="s">
        <v>8978</v>
      </c>
    </row>
    <row r="257" spans="1:2" x14ac:dyDescent="0.15">
      <c r="A257" s="2652" t="s">
        <v>8218</v>
      </c>
      <c r="B257" s="2651" t="s">
        <v>8924</v>
      </c>
    </row>
    <row r="258" spans="1:2" x14ac:dyDescent="0.15">
      <c r="A258" t="s">
        <v>8219</v>
      </c>
      <c r="B258" s="2651" t="s">
        <v>8926</v>
      </c>
    </row>
    <row r="259" spans="1:2" x14ac:dyDescent="0.15">
      <c r="A259" t="s">
        <v>8220</v>
      </c>
      <c r="B259" s="2651" t="s">
        <v>8927</v>
      </c>
    </row>
    <row r="260" spans="1:2" x14ac:dyDescent="0.15">
      <c r="A260" t="s">
        <v>8221</v>
      </c>
      <c r="B260" s="2651" t="s">
        <v>8928</v>
      </c>
    </row>
    <row r="261" spans="1:2" x14ac:dyDescent="0.15">
      <c r="A261" t="s">
        <v>8222</v>
      </c>
      <c r="B261" s="2651" t="s">
        <v>8929</v>
      </c>
    </row>
    <row r="262" spans="1:2" x14ac:dyDescent="0.15">
      <c r="A262" t="s">
        <v>8223</v>
      </c>
      <c r="B262" s="2651" t="s">
        <v>8930</v>
      </c>
    </row>
    <row r="263" spans="1:2" x14ac:dyDescent="0.15">
      <c r="A263" t="s">
        <v>8224</v>
      </c>
      <c r="B263" s="2651" t="s">
        <v>8931</v>
      </c>
    </row>
    <row r="264" spans="1:2" x14ac:dyDescent="0.15">
      <c r="A264" t="s">
        <v>8225</v>
      </c>
      <c r="B264" s="2651" t="s">
        <v>8932</v>
      </c>
    </row>
    <row r="265" spans="1:2" x14ac:dyDescent="0.15">
      <c r="A265" t="s">
        <v>8226</v>
      </c>
      <c r="B265" s="2651" t="s">
        <v>8933</v>
      </c>
    </row>
    <row r="266" spans="1:2" x14ac:dyDescent="0.15">
      <c r="A266" t="s">
        <v>8227</v>
      </c>
      <c r="B266" s="2651" t="s">
        <v>8934</v>
      </c>
    </row>
    <row r="267" spans="1:2" x14ac:dyDescent="0.15">
      <c r="A267" t="s">
        <v>8228</v>
      </c>
      <c r="B267" s="2651" t="s">
        <v>8935</v>
      </c>
    </row>
    <row r="268" spans="1:2" x14ac:dyDescent="0.15">
      <c r="A268" t="s">
        <v>8229</v>
      </c>
      <c r="B268" s="2651" t="s">
        <v>8936</v>
      </c>
    </row>
    <row r="269" spans="1:2" x14ac:dyDescent="0.15">
      <c r="A269" t="s">
        <v>8230</v>
      </c>
      <c r="B269" s="2651" t="s">
        <v>8937</v>
      </c>
    </row>
    <row r="270" spans="1:2" x14ac:dyDescent="0.15">
      <c r="A270" t="s">
        <v>8231</v>
      </c>
      <c r="B270" s="2651" t="s">
        <v>8938</v>
      </c>
    </row>
    <row r="271" spans="1:2" x14ac:dyDescent="0.15">
      <c r="A271" t="s">
        <v>8232</v>
      </c>
      <c r="B271" s="2651" t="s">
        <v>8939</v>
      </c>
    </row>
    <row r="272" spans="1:2" x14ac:dyDescent="0.15">
      <c r="A272" t="s">
        <v>8233</v>
      </c>
      <c r="B272" s="2651" t="s">
        <v>8940</v>
      </c>
    </row>
    <row r="273" spans="1:2" x14ac:dyDescent="0.15">
      <c r="A273" t="s">
        <v>8234</v>
      </c>
      <c r="B273" s="2651" t="s">
        <v>8941</v>
      </c>
    </row>
    <row r="274" spans="1:2" x14ac:dyDescent="0.15">
      <c r="A274" t="s">
        <v>8235</v>
      </c>
      <c r="B274" s="2651" t="s">
        <v>8942</v>
      </c>
    </row>
    <row r="275" spans="1:2" x14ac:dyDescent="0.15">
      <c r="A275" t="s">
        <v>8236</v>
      </c>
      <c r="B275" s="2651" t="s">
        <v>8943</v>
      </c>
    </row>
    <row r="276" spans="1:2" x14ac:dyDescent="0.15">
      <c r="A276" t="s">
        <v>8237</v>
      </c>
      <c r="B276" s="2651" t="s">
        <v>8944</v>
      </c>
    </row>
    <row r="277" spans="1:2" x14ac:dyDescent="0.15">
      <c r="A277" t="s">
        <v>8238</v>
      </c>
      <c r="B277" s="2651" t="s">
        <v>8945</v>
      </c>
    </row>
    <row r="278" spans="1:2" x14ac:dyDescent="0.15">
      <c r="A278" t="s">
        <v>8239</v>
      </c>
      <c r="B278" s="2651" t="s">
        <v>8946</v>
      </c>
    </row>
    <row r="279" spans="1:2" x14ac:dyDescent="0.15">
      <c r="A279" t="s">
        <v>8240</v>
      </c>
      <c r="B279" s="2651" t="s">
        <v>8947</v>
      </c>
    </row>
    <row r="280" spans="1:2" x14ac:dyDescent="0.15">
      <c r="A280" t="s">
        <v>8241</v>
      </c>
      <c r="B280" s="2651" t="s">
        <v>8948</v>
      </c>
    </row>
    <row r="281" spans="1:2" x14ac:dyDescent="0.15">
      <c r="A281" t="s">
        <v>8242</v>
      </c>
      <c r="B281" s="2651" t="s">
        <v>8949</v>
      </c>
    </row>
    <row r="282" spans="1:2" x14ac:dyDescent="0.15">
      <c r="A282" t="s">
        <v>8243</v>
      </c>
      <c r="B282" s="2651" t="s">
        <v>8950</v>
      </c>
    </row>
    <row r="283" spans="1:2" x14ac:dyDescent="0.15">
      <c r="A283" t="s">
        <v>8244</v>
      </c>
      <c r="B283" s="2651" t="s">
        <v>8951</v>
      </c>
    </row>
    <row r="284" spans="1:2" x14ac:dyDescent="0.15">
      <c r="A284" t="s">
        <v>8245</v>
      </c>
      <c r="B284" s="2651" t="s">
        <v>8952</v>
      </c>
    </row>
    <row r="285" spans="1:2" x14ac:dyDescent="0.15">
      <c r="A285" t="s">
        <v>8246</v>
      </c>
      <c r="B285" s="2651" t="s">
        <v>8953</v>
      </c>
    </row>
    <row r="286" spans="1:2" x14ac:dyDescent="0.15">
      <c r="A286" t="s">
        <v>8247</v>
      </c>
      <c r="B286" s="2651" t="s">
        <v>8954</v>
      </c>
    </row>
    <row r="287" spans="1:2" x14ac:dyDescent="0.15">
      <c r="A287" t="s">
        <v>8248</v>
      </c>
      <c r="B287" s="2651" t="s">
        <v>8955</v>
      </c>
    </row>
    <row r="288" spans="1:2" x14ac:dyDescent="0.15">
      <c r="A288" t="s">
        <v>8249</v>
      </c>
      <c r="B288" s="2651" t="s">
        <v>8956</v>
      </c>
    </row>
    <row r="289" spans="1:2" x14ac:dyDescent="0.15">
      <c r="A289" t="s">
        <v>8250</v>
      </c>
      <c r="B289" s="2651" t="s">
        <v>8957</v>
      </c>
    </row>
    <row r="290" spans="1:2" x14ac:dyDescent="0.15">
      <c r="A290" t="s">
        <v>8251</v>
      </c>
      <c r="B290" s="2651" t="s">
        <v>8958</v>
      </c>
    </row>
    <row r="291" spans="1:2" x14ac:dyDescent="0.15">
      <c r="A291" t="s">
        <v>8252</v>
      </c>
      <c r="B291" s="2651" t="s">
        <v>8959</v>
      </c>
    </row>
    <row r="292" spans="1:2" x14ac:dyDescent="0.15">
      <c r="A292" t="s">
        <v>8253</v>
      </c>
      <c r="B292" s="2651" t="s">
        <v>8960</v>
      </c>
    </row>
    <row r="293" spans="1:2" x14ac:dyDescent="0.15">
      <c r="A293" t="s">
        <v>8254</v>
      </c>
      <c r="B293" s="2651" t="s">
        <v>8961</v>
      </c>
    </row>
    <row r="294" spans="1:2" x14ac:dyDescent="0.15">
      <c r="A294" t="s">
        <v>8255</v>
      </c>
      <c r="B294" s="2651" t="s">
        <v>8962</v>
      </c>
    </row>
    <row r="295" spans="1:2" x14ac:dyDescent="0.15">
      <c r="A295" t="s">
        <v>8256</v>
      </c>
      <c r="B295" s="2651" t="s">
        <v>8963</v>
      </c>
    </row>
    <row r="296" spans="1:2" x14ac:dyDescent="0.15">
      <c r="A296" t="s">
        <v>8257</v>
      </c>
      <c r="B296" s="2651" t="s">
        <v>8964</v>
      </c>
    </row>
    <row r="297" spans="1:2" x14ac:dyDescent="0.15">
      <c r="A297" t="s">
        <v>8258</v>
      </c>
      <c r="B297" s="2651" t="s">
        <v>8965</v>
      </c>
    </row>
    <row r="298" spans="1:2" x14ac:dyDescent="0.15">
      <c r="A298" t="s">
        <v>8259</v>
      </c>
      <c r="B298" s="2651" t="s">
        <v>8966</v>
      </c>
    </row>
    <row r="299" spans="1:2" x14ac:dyDescent="0.15">
      <c r="A299" t="s">
        <v>8260</v>
      </c>
      <c r="B299" s="2651" t="s">
        <v>8967</v>
      </c>
    </row>
    <row r="300" spans="1:2" x14ac:dyDescent="0.15">
      <c r="A300" t="s">
        <v>8261</v>
      </c>
      <c r="B300" s="2651" t="s">
        <v>8968</v>
      </c>
    </row>
    <row r="301" spans="1:2" x14ac:dyDescent="0.15">
      <c r="A301" t="s">
        <v>8262</v>
      </c>
      <c r="B301" s="2651" t="s">
        <v>8969</v>
      </c>
    </row>
    <row r="302" spans="1:2" x14ac:dyDescent="0.15">
      <c r="A302" t="s">
        <v>8263</v>
      </c>
      <c r="B302" s="2651" t="s">
        <v>8970</v>
      </c>
    </row>
    <row r="303" spans="1:2" x14ac:dyDescent="0.15">
      <c r="A303" t="s">
        <v>8264</v>
      </c>
      <c r="B303" s="2651" t="s">
        <v>8971</v>
      </c>
    </row>
    <row r="304" spans="1:2" x14ac:dyDescent="0.15">
      <c r="A304" t="s">
        <v>8265</v>
      </c>
      <c r="B304" s="2651" t="s">
        <v>8972</v>
      </c>
    </row>
    <row r="305" spans="1:2" x14ac:dyDescent="0.15">
      <c r="A305" t="s">
        <v>8266</v>
      </c>
      <c r="B305" s="2651" t="s">
        <v>8973</v>
      </c>
    </row>
    <row r="306" spans="1:2" x14ac:dyDescent="0.15">
      <c r="A306" t="s">
        <v>8267</v>
      </c>
      <c r="B306" s="2651" t="s">
        <v>8974</v>
      </c>
    </row>
    <row r="307" spans="1:2" x14ac:dyDescent="0.15">
      <c r="A307" t="s">
        <v>8268</v>
      </c>
      <c r="B307" s="2651" t="s">
        <v>8975</v>
      </c>
    </row>
    <row r="308" spans="1:2" x14ac:dyDescent="0.15">
      <c r="A308" t="s">
        <v>8269</v>
      </c>
      <c r="B308" s="2651" t="s">
        <v>8976</v>
      </c>
    </row>
    <row r="309" spans="1:2" x14ac:dyDescent="0.15">
      <c r="A309" t="s">
        <v>8270</v>
      </c>
      <c r="B309" s="2651" t="s">
        <v>8977</v>
      </c>
    </row>
    <row r="310" spans="1:2" x14ac:dyDescent="0.15">
      <c r="A310" t="s">
        <v>8271</v>
      </c>
      <c r="B310" s="2651" t="s">
        <v>8978</v>
      </c>
    </row>
    <row r="311" spans="1:2" x14ac:dyDescent="0.15">
      <c r="A311" s="2652" t="s">
        <v>8272</v>
      </c>
      <c r="B311" s="2651" t="s">
        <v>8924</v>
      </c>
    </row>
    <row r="312" spans="1:2" x14ac:dyDescent="0.15">
      <c r="A312" t="s">
        <v>8273</v>
      </c>
      <c r="B312" s="2651" t="s">
        <v>8926</v>
      </c>
    </row>
    <row r="313" spans="1:2" x14ac:dyDescent="0.15">
      <c r="A313" t="s">
        <v>8274</v>
      </c>
      <c r="B313" s="2651" t="s">
        <v>8927</v>
      </c>
    </row>
    <row r="314" spans="1:2" x14ac:dyDescent="0.15">
      <c r="A314" t="s">
        <v>8275</v>
      </c>
      <c r="B314" s="2651" t="s">
        <v>8928</v>
      </c>
    </row>
    <row r="315" spans="1:2" x14ac:dyDescent="0.15">
      <c r="A315" t="s">
        <v>8276</v>
      </c>
      <c r="B315" s="2651" t="s">
        <v>8929</v>
      </c>
    </row>
    <row r="316" spans="1:2" x14ac:dyDescent="0.15">
      <c r="A316" t="s">
        <v>8277</v>
      </c>
      <c r="B316" s="2651" t="s">
        <v>8930</v>
      </c>
    </row>
    <row r="317" spans="1:2" x14ac:dyDescent="0.15">
      <c r="A317" t="s">
        <v>8278</v>
      </c>
      <c r="B317" s="2651" t="s">
        <v>8931</v>
      </c>
    </row>
    <row r="318" spans="1:2" x14ac:dyDescent="0.15">
      <c r="A318" t="s">
        <v>8279</v>
      </c>
      <c r="B318" s="2651" t="s">
        <v>8932</v>
      </c>
    </row>
    <row r="319" spans="1:2" x14ac:dyDescent="0.15">
      <c r="A319" t="s">
        <v>8280</v>
      </c>
      <c r="B319" s="2651" t="s">
        <v>8933</v>
      </c>
    </row>
    <row r="320" spans="1:2" x14ac:dyDescent="0.15">
      <c r="A320" t="s">
        <v>8281</v>
      </c>
      <c r="B320" s="2651" t="s">
        <v>8934</v>
      </c>
    </row>
    <row r="321" spans="1:2" x14ac:dyDescent="0.15">
      <c r="A321" t="s">
        <v>8282</v>
      </c>
      <c r="B321" s="2651" t="s">
        <v>8935</v>
      </c>
    </row>
    <row r="322" spans="1:2" x14ac:dyDescent="0.15">
      <c r="A322" t="s">
        <v>8283</v>
      </c>
      <c r="B322" s="2651" t="s">
        <v>8936</v>
      </c>
    </row>
    <row r="323" spans="1:2" x14ac:dyDescent="0.15">
      <c r="A323" t="s">
        <v>8284</v>
      </c>
      <c r="B323" s="2651" t="s">
        <v>8937</v>
      </c>
    </row>
    <row r="324" spans="1:2" x14ac:dyDescent="0.15">
      <c r="A324" t="s">
        <v>8285</v>
      </c>
      <c r="B324" s="2651" t="s">
        <v>8938</v>
      </c>
    </row>
    <row r="325" spans="1:2" x14ac:dyDescent="0.15">
      <c r="A325" t="s">
        <v>8286</v>
      </c>
      <c r="B325" s="2651" t="s">
        <v>8939</v>
      </c>
    </row>
    <row r="326" spans="1:2" x14ac:dyDescent="0.15">
      <c r="A326" t="s">
        <v>8287</v>
      </c>
      <c r="B326" s="2651" t="s">
        <v>8940</v>
      </c>
    </row>
    <row r="327" spans="1:2" x14ac:dyDescent="0.15">
      <c r="A327" t="s">
        <v>8288</v>
      </c>
      <c r="B327" s="2651" t="s">
        <v>8941</v>
      </c>
    </row>
    <row r="328" spans="1:2" x14ac:dyDescent="0.15">
      <c r="A328" t="s">
        <v>8289</v>
      </c>
      <c r="B328" s="2651" t="s">
        <v>8942</v>
      </c>
    </row>
    <row r="329" spans="1:2" x14ac:dyDescent="0.15">
      <c r="A329" t="s">
        <v>8290</v>
      </c>
      <c r="B329" s="2651" t="s">
        <v>8943</v>
      </c>
    </row>
    <row r="330" spans="1:2" x14ac:dyDescent="0.15">
      <c r="A330" t="s">
        <v>8291</v>
      </c>
      <c r="B330" s="2651" t="s">
        <v>8944</v>
      </c>
    </row>
    <row r="331" spans="1:2" x14ac:dyDescent="0.15">
      <c r="A331" t="s">
        <v>8292</v>
      </c>
      <c r="B331" s="2651" t="s">
        <v>8945</v>
      </c>
    </row>
    <row r="332" spans="1:2" x14ac:dyDescent="0.15">
      <c r="A332" t="s">
        <v>8293</v>
      </c>
      <c r="B332" s="2651" t="s">
        <v>8946</v>
      </c>
    </row>
    <row r="333" spans="1:2" x14ac:dyDescent="0.15">
      <c r="A333" t="s">
        <v>8294</v>
      </c>
      <c r="B333" s="2651" t="s">
        <v>8947</v>
      </c>
    </row>
    <row r="334" spans="1:2" x14ac:dyDescent="0.15">
      <c r="A334" t="s">
        <v>8295</v>
      </c>
      <c r="B334" s="2651" t="s">
        <v>8948</v>
      </c>
    </row>
    <row r="335" spans="1:2" x14ac:dyDescent="0.15">
      <c r="A335" t="s">
        <v>8296</v>
      </c>
      <c r="B335" s="2651" t="s">
        <v>8949</v>
      </c>
    </row>
    <row r="336" spans="1:2" x14ac:dyDescent="0.15">
      <c r="A336" t="s">
        <v>8297</v>
      </c>
      <c r="B336" s="2651" t="s">
        <v>8950</v>
      </c>
    </row>
    <row r="337" spans="1:2" x14ac:dyDescent="0.15">
      <c r="A337" t="s">
        <v>8298</v>
      </c>
      <c r="B337" s="2651" t="s">
        <v>8951</v>
      </c>
    </row>
    <row r="338" spans="1:2" x14ac:dyDescent="0.15">
      <c r="A338" t="s">
        <v>8299</v>
      </c>
      <c r="B338" s="2651" t="s">
        <v>8952</v>
      </c>
    </row>
    <row r="339" spans="1:2" x14ac:dyDescent="0.15">
      <c r="A339" t="s">
        <v>8300</v>
      </c>
      <c r="B339" s="2651" t="s">
        <v>8953</v>
      </c>
    </row>
    <row r="340" spans="1:2" x14ac:dyDescent="0.15">
      <c r="A340" t="s">
        <v>8301</v>
      </c>
      <c r="B340" s="2651" t="s">
        <v>8954</v>
      </c>
    </row>
    <row r="341" spans="1:2" x14ac:dyDescent="0.15">
      <c r="A341" t="s">
        <v>8302</v>
      </c>
      <c r="B341" s="2651" t="s">
        <v>8955</v>
      </c>
    </row>
    <row r="342" spans="1:2" x14ac:dyDescent="0.15">
      <c r="A342" t="s">
        <v>8303</v>
      </c>
      <c r="B342" s="2651" t="s">
        <v>8956</v>
      </c>
    </row>
    <row r="343" spans="1:2" x14ac:dyDescent="0.15">
      <c r="A343" t="s">
        <v>8304</v>
      </c>
      <c r="B343" s="2651" t="s">
        <v>8957</v>
      </c>
    </row>
    <row r="344" spans="1:2" x14ac:dyDescent="0.15">
      <c r="A344" t="s">
        <v>8305</v>
      </c>
      <c r="B344" s="2651" t="s">
        <v>8958</v>
      </c>
    </row>
    <row r="345" spans="1:2" x14ac:dyDescent="0.15">
      <c r="A345" t="s">
        <v>8306</v>
      </c>
      <c r="B345" s="2651" t="s">
        <v>8959</v>
      </c>
    </row>
    <row r="346" spans="1:2" x14ac:dyDescent="0.15">
      <c r="A346" t="s">
        <v>8307</v>
      </c>
      <c r="B346" s="2651" t="s">
        <v>8960</v>
      </c>
    </row>
    <row r="347" spans="1:2" x14ac:dyDescent="0.15">
      <c r="A347" t="s">
        <v>8308</v>
      </c>
      <c r="B347" s="2651" t="s">
        <v>8961</v>
      </c>
    </row>
    <row r="348" spans="1:2" x14ac:dyDescent="0.15">
      <c r="A348" t="s">
        <v>8309</v>
      </c>
      <c r="B348" s="2651" t="s">
        <v>8962</v>
      </c>
    </row>
    <row r="349" spans="1:2" x14ac:dyDescent="0.15">
      <c r="A349" t="s">
        <v>8310</v>
      </c>
      <c r="B349" s="2651" t="s">
        <v>8963</v>
      </c>
    </row>
    <row r="350" spans="1:2" x14ac:dyDescent="0.15">
      <c r="A350" t="s">
        <v>8311</v>
      </c>
      <c r="B350" s="2651" t="s">
        <v>8964</v>
      </c>
    </row>
    <row r="351" spans="1:2" x14ac:dyDescent="0.15">
      <c r="A351" t="s">
        <v>8312</v>
      </c>
      <c r="B351" s="2651" t="s">
        <v>8965</v>
      </c>
    </row>
    <row r="352" spans="1:2" x14ac:dyDescent="0.15">
      <c r="A352" t="s">
        <v>8313</v>
      </c>
      <c r="B352" s="2651" t="s">
        <v>8966</v>
      </c>
    </row>
    <row r="353" spans="1:2" x14ac:dyDescent="0.15">
      <c r="A353" t="s">
        <v>8314</v>
      </c>
      <c r="B353" s="2651" t="s">
        <v>8967</v>
      </c>
    </row>
    <row r="354" spans="1:2" x14ac:dyDescent="0.15">
      <c r="A354" t="s">
        <v>8315</v>
      </c>
      <c r="B354" s="2651" t="s">
        <v>8968</v>
      </c>
    </row>
    <row r="355" spans="1:2" x14ac:dyDescent="0.15">
      <c r="A355" t="s">
        <v>8316</v>
      </c>
      <c r="B355" s="2651" t="s">
        <v>8969</v>
      </c>
    </row>
    <row r="356" spans="1:2" x14ac:dyDescent="0.15">
      <c r="A356" t="s">
        <v>8317</v>
      </c>
      <c r="B356" s="2651" t="s">
        <v>8970</v>
      </c>
    </row>
    <row r="357" spans="1:2" x14ac:dyDescent="0.15">
      <c r="A357" t="s">
        <v>8318</v>
      </c>
      <c r="B357" s="2651" t="s">
        <v>8971</v>
      </c>
    </row>
    <row r="358" spans="1:2" x14ac:dyDescent="0.15">
      <c r="A358" t="s">
        <v>8319</v>
      </c>
      <c r="B358" s="2651" t="s">
        <v>8972</v>
      </c>
    </row>
    <row r="359" spans="1:2" x14ac:dyDescent="0.15">
      <c r="A359" t="s">
        <v>8320</v>
      </c>
      <c r="B359" s="2651" t="s">
        <v>8973</v>
      </c>
    </row>
    <row r="360" spans="1:2" x14ac:dyDescent="0.15">
      <c r="A360" t="s">
        <v>8321</v>
      </c>
      <c r="B360" s="2651" t="s">
        <v>8974</v>
      </c>
    </row>
    <row r="361" spans="1:2" x14ac:dyDescent="0.15">
      <c r="A361" t="s">
        <v>8322</v>
      </c>
      <c r="B361" s="2651" t="s">
        <v>8975</v>
      </c>
    </row>
    <row r="362" spans="1:2" x14ac:dyDescent="0.15">
      <c r="A362" t="s">
        <v>8323</v>
      </c>
      <c r="B362" s="2651" t="s">
        <v>8976</v>
      </c>
    </row>
    <row r="363" spans="1:2" x14ac:dyDescent="0.15">
      <c r="A363" t="s">
        <v>8324</v>
      </c>
      <c r="B363" s="2651" t="s">
        <v>8977</v>
      </c>
    </row>
    <row r="364" spans="1:2" x14ac:dyDescent="0.15">
      <c r="A364" t="s">
        <v>8325</v>
      </c>
      <c r="B364" s="2651" t="s">
        <v>8978</v>
      </c>
    </row>
    <row r="365" spans="1:2" x14ac:dyDescent="0.15">
      <c r="A365" s="2652" t="s">
        <v>8326</v>
      </c>
      <c r="B365" s="2651" t="s">
        <v>8924</v>
      </c>
    </row>
    <row r="366" spans="1:2" x14ac:dyDescent="0.15">
      <c r="A366" t="s">
        <v>8327</v>
      </c>
      <c r="B366" s="2651" t="s">
        <v>8926</v>
      </c>
    </row>
    <row r="367" spans="1:2" x14ac:dyDescent="0.15">
      <c r="A367" t="s">
        <v>8328</v>
      </c>
      <c r="B367" s="2651" t="s">
        <v>8927</v>
      </c>
    </row>
    <row r="368" spans="1:2" x14ac:dyDescent="0.15">
      <c r="A368" t="s">
        <v>8329</v>
      </c>
      <c r="B368" s="2651" t="s">
        <v>8928</v>
      </c>
    </row>
    <row r="369" spans="1:2" x14ac:dyDescent="0.15">
      <c r="A369" t="s">
        <v>8330</v>
      </c>
      <c r="B369" s="2651" t="s">
        <v>8929</v>
      </c>
    </row>
    <row r="370" spans="1:2" x14ac:dyDescent="0.15">
      <c r="A370" t="s">
        <v>8331</v>
      </c>
      <c r="B370" s="2651" t="s">
        <v>8930</v>
      </c>
    </row>
    <row r="371" spans="1:2" x14ac:dyDescent="0.15">
      <c r="A371" t="s">
        <v>8332</v>
      </c>
      <c r="B371" s="2651" t="s">
        <v>8931</v>
      </c>
    </row>
    <row r="372" spans="1:2" x14ac:dyDescent="0.15">
      <c r="A372" t="s">
        <v>8333</v>
      </c>
      <c r="B372" s="2651" t="s">
        <v>8932</v>
      </c>
    </row>
    <row r="373" spans="1:2" x14ac:dyDescent="0.15">
      <c r="A373" t="s">
        <v>8334</v>
      </c>
      <c r="B373" s="2651" t="s">
        <v>8933</v>
      </c>
    </row>
    <row r="374" spans="1:2" x14ac:dyDescent="0.15">
      <c r="A374" t="s">
        <v>8335</v>
      </c>
      <c r="B374" s="2651" t="s">
        <v>8934</v>
      </c>
    </row>
    <row r="375" spans="1:2" x14ac:dyDescent="0.15">
      <c r="A375" t="s">
        <v>8336</v>
      </c>
      <c r="B375" s="2651" t="s">
        <v>8935</v>
      </c>
    </row>
    <row r="376" spans="1:2" x14ac:dyDescent="0.15">
      <c r="A376" t="s">
        <v>8337</v>
      </c>
      <c r="B376" s="2651" t="s">
        <v>8936</v>
      </c>
    </row>
    <row r="377" spans="1:2" x14ac:dyDescent="0.15">
      <c r="A377" t="s">
        <v>8338</v>
      </c>
      <c r="B377" s="2651" t="s">
        <v>8937</v>
      </c>
    </row>
    <row r="378" spans="1:2" x14ac:dyDescent="0.15">
      <c r="A378" t="s">
        <v>8339</v>
      </c>
      <c r="B378" s="2651" t="s">
        <v>8938</v>
      </c>
    </row>
    <row r="379" spans="1:2" x14ac:dyDescent="0.15">
      <c r="A379" t="s">
        <v>8340</v>
      </c>
      <c r="B379" s="2651" t="s">
        <v>8939</v>
      </c>
    </row>
    <row r="380" spans="1:2" x14ac:dyDescent="0.15">
      <c r="A380" t="s">
        <v>8341</v>
      </c>
      <c r="B380" s="2651" t="s">
        <v>8940</v>
      </c>
    </row>
    <row r="381" spans="1:2" x14ac:dyDescent="0.15">
      <c r="A381" t="s">
        <v>8342</v>
      </c>
      <c r="B381" s="2651" t="s">
        <v>8941</v>
      </c>
    </row>
    <row r="382" spans="1:2" x14ac:dyDescent="0.15">
      <c r="A382" t="s">
        <v>8343</v>
      </c>
      <c r="B382" s="2651" t="s">
        <v>8942</v>
      </c>
    </row>
    <row r="383" spans="1:2" x14ac:dyDescent="0.15">
      <c r="A383" t="s">
        <v>8344</v>
      </c>
      <c r="B383" s="2651" t="s">
        <v>8943</v>
      </c>
    </row>
    <row r="384" spans="1:2" x14ac:dyDescent="0.15">
      <c r="A384" t="s">
        <v>8345</v>
      </c>
      <c r="B384" s="2651" t="s">
        <v>8944</v>
      </c>
    </row>
    <row r="385" spans="1:2" x14ac:dyDescent="0.15">
      <c r="A385" t="s">
        <v>8346</v>
      </c>
      <c r="B385" s="2651" t="s">
        <v>8945</v>
      </c>
    </row>
    <row r="386" spans="1:2" x14ac:dyDescent="0.15">
      <c r="A386" t="s">
        <v>8347</v>
      </c>
      <c r="B386" s="2651" t="s">
        <v>8946</v>
      </c>
    </row>
    <row r="387" spans="1:2" x14ac:dyDescent="0.15">
      <c r="A387" t="s">
        <v>8348</v>
      </c>
      <c r="B387" s="2651" t="s">
        <v>8947</v>
      </c>
    </row>
    <row r="388" spans="1:2" x14ac:dyDescent="0.15">
      <c r="A388" t="s">
        <v>8349</v>
      </c>
      <c r="B388" s="2651" t="s">
        <v>8948</v>
      </c>
    </row>
    <row r="389" spans="1:2" x14ac:dyDescent="0.15">
      <c r="A389" t="s">
        <v>8350</v>
      </c>
      <c r="B389" s="2651" t="s">
        <v>8949</v>
      </c>
    </row>
    <row r="390" spans="1:2" x14ac:dyDescent="0.15">
      <c r="A390" t="s">
        <v>8351</v>
      </c>
      <c r="B390" s="2651" t="s">
        <v>8950</v>
      </c>
    </row>
    <row r="391" spans="1:2" x14ac:dyDescent="0.15">
      <c r="A391" t="s">
        <v>8352</v>
      </c>
      <c r="B391" s="2651" t="s">
        <v>8951</v>
      </c>
    </row>
    <row r="392" spans="1:2" x14ac:dyDescent="0.15">
      <c r="A392" t="s">
        <v>8353</v>
      </c>
      <c r="B392" s="2651" t="s">
        <v>8952</v>
      </c>
    </row>
    <row r="393" spans="1:2" x14ac:dyDescent="0.15">
      <c r="A393" t="s">
        <v>8354</v>
      </c>
      <c r="B393" s="2651" t="s">
        <v>8953</v>
      </c>
    </row>
    <row r="394" spans="1:2" x14ac:dyDescent="0.15">
      <c r="A394" t="s">
        <v>8355</v>
      </c>
      <c r="B394" s="2651" t="s">
        <v>8954</v>
      </c>
    </row>
    <row r="395" spans="1:2" x14ac:dyDescent="0.15">
      <c r="A395" t="s">
        <v>8356</v>
      </c>
      <c r="B395" s="2651" t="s">
        <v>8955</v>
      </c>
    </row>
    <row r="396" spans="1:2" x14ac:dyDescent="0.15">
      <c r="A396" t="s">
        <v>8357</v>
      </c>
      <c r="B396" s="2651" t="s">
        <v>8956</v>
      </c>
    </row>
    <row r="397" spans="1:2" x14ac:dyDescent="0.15">
      <c r="A397" t="s">
        <v>8358</v>
      </c>
      <c r="B397" s="2651" t="s">
        <v>8957</v>
      </c>
    </row>
    <row r="398" spans="1:2" x14ac:dyDescent="0.15">
      <c r="A398" t="s">
        <v>8359</v>
      </c>
      <c r="B398" s="2651" t="s">
        <v>8958</v>
      </c>
    </row>
    <row r="399" spans="1:2" x14ac:dyDescent="0.15">
      <c r="A399" t="s">
        <v>8360</v>
      </c>
      <c r="B399" s="2651" t="s">
        <v>8959</v>
      </c>
    </row>
    <row r="400" spans="1:2" x14ac:dyDescent="0.15">
      <c r="A400" t="s">
        <v>8361</v>
      </c>
      <c r="B400" s="2651" t="s">
        <v>8960</v>
      </c>
    </row>
    <row r="401" spans="1:2" x14ac:dyDescent="0.15">
      <c r="A401" t="s">
        <v>8362</v>
      </c>
      <c r="B401" s="2651" t="s">
        <v>8961</v>
      </c>
    </row>
    <row r="402" spans="1:2" x14ac:dyDescent="0.15">
      <c r="A402" t="s">
        <v>8363</v>
      </c>
      <c r="B402" s="2651" t="s">
        <v>8962</v>
      </c>
    </row>
    <row r="403" spans="1:2" x14ac:dyDescent="0.15">
      <c r="A403" t="s">
        <v>8364</v>
      </c>
      <c r="B403" s="2651" t="s">
        <v>8963</v>
      </c>
    </row>
    <row r="404" spans="1:2" x14ac:dyDescent="0.15">
      <c r="A404" t="s">
        <v>8365</v>
      </c>
      <c r="B404" s="2651" t="s">
        <v>8964</v>
      </c>
    </row>
    <row r="405" spans="1:2" x14ac:dyDescent="0.15">
      <c r="A405" t="s">
        <v>8366</v>
      </c>
      <c r="B405" s="2651" t="s">
        <v>8965</v>
      </c>
    </row>
    <row r="406" spans="1:2" x14ac:dyDescent="0.15">
      <c r="A406" t="s">
        <v>8367</v>
      </c>
      <c r="B406" s="2651" t="s">
        <v>8966</v>
      </c>
    </row>
    <row r="407" spans="1:2" x14ac:dyDescent="0.15">
      <c r="A407" t="s">
        <v>8368</v>
      </c>
      <c r="B407" s="2651" t="s">
        <v>8967</v>
      </c>
    </row>
    <row r="408" spans="1:2" x14ac:dyDescent="0.15">
      <c r="A408" t="s">
        <v>8369</v>
      </c>
      <c r="B408" s="2651" t="s">
        <v>8968</v>
      </c>
    </row>
    <row r="409" spans="1:2" x14ac:dyDescent="0.15">
      <c r="A409" t="s">
        <v>8370</v>
      </c>
      <c r="B409" s="2651" t="s">
        <v>8969</v>
      </c>
    </row>
    <row r="410" spans="1:2" x14ac:dyDescent="0.15">
      <c r="A410" t="s">
        <v>8371</v>
      </c>
      <c r="B410" s="2651" t="s">
        <v>8970</v>
      </c>
    </row>
    <row r="411" spans="1:2" x14ac:dyDescent="0.15">
      <c r="A411" t="s">
        <v>8372</v>
      </c>
      <c r="B411" s="2651" t="s">
        <v>8971</v>
      </c>
    </row>
    <row r="412" spans="1:2" x14ac:dyDescent="0.15">
      <c r="A412" t="s">
        <v>8373</v>
      </c>
      <c r="B412" s="2651" t="s">
        <v>8972</v>
      </c>
    </row>
    <row r="413" spans="1:2" x14ac:dyDescent="0.15">
      <c r="A413" t="s">
        <v>8374</v>
      </c>
      <c r="B413" s="2651" t="s">
        <v>8973</v>
      </c>
    </row>
    <row r="414" spans="1:2" x14ac:dyDescent="0.15">
      <c r="A414" t="s">
        <v>8375</v>
      </c>
      <c r="B414" s="2651" t="s">
        <v>8974</v>
      </c>
    </row>
    <row r="415" spans="1:2" x14ac:dyDescent="0.15">
      <c r="A415" t="s">
        <v>8376</v>
      </c>
      <c r="B415" s="2651" t="s">
        <v>8975</v>
      </c>
    </row>
    <row r="416" spans="1:2" x14ac:dyDescent="0.15">
      <c r="A416" t="s">
        <v>8377</v>
      </c>
      <c r="B416" s="2651" t="s">
        <v>8976</v>
      </c>
    </row>
    <row r="417" spans="1:2" x14ac:dyDescent="0.15">
      <c r="A417" t="s">
        <v>8378</v>
      </c>
      <c r="B417" s="2651" t="s">
        <v>8977</v>
      </c>
    </row>
    <row r="418" spans="1:2" x14ac:dyDescent="0.15">
      <c r="A418" t="s">
        <v>8379</v>
      </c>
      <c r="B418" s="2651" t="s">
        <v>8978</v>
      </c>
    </row>
    <row r="419" spans="1:2" x14ac:dyDescent="0.15">
      <c r="A419" s="2652" t="s">
        <v>8380</v>
      </c>
      <c r="B419" s="2651" t="s">
        <v>8924</v>
      </c>
    </row>
    <row r="420" spans="1:2" x14ac:dyDescent="0.15">
      <c r="A420" t="s">
        <v>8382</v>
      </c>
      <c r="B420" s="2651" t="s">
        <v>8926</v>
      </c>
    </row>
    <row r="421" spans="1:2" x14ac:dyDescent="0.15">
      <c r="A421" t="s">
        <v>8383</v>
      </c>
      <c r="B421" s="2651" t="s">
        <v>8927</v>
      </c>
    </row>
    <row r="422" spans="1:2" x14ac:dyDescent="0.15">
      <c r="A422" t="s">
        <v>8384</v>
      </c>
      <c r="B422" s="2651" t="s">
        <v>8928</v>
      </c>
    </row>
    <row r="423" spans="1:2" x14ac:dyDescent="0.15">
      <c r="A423" t="s">
        <v>8385</v>
      </c>
      <c r="B423" s="2651" t="s">
        <v>8929</v>
      </c>
    </row>
    <row r="424" spans="1:2" x14ac:dyDescent="0.15">
      <c r="A424" t="s">
        <v>8386</v>
      </c>
      <c r="B424" s="2651" t="s">
        <v>8930</v>
      </c>
    </row>
    <row r="425" spans="1:2" x14ac:dyDescent="0.15">
      <c r="A425" t="s">
        <v>8387</v>
      </c>
      <c r="B425" s="2651" t="s">
        <v>8931</v>
      </c>
    </row>
    <row r="426" spans="1:2" x14ac:dyDescent="0.15">
      <c r="A426" t="s">
        <v>8388</v>
      </c>
      <c r="B426" s="2651" t="s">
        <v>8932</v>
      </c>
    </row>
    <row r="427" spans="1:2" x14ac:dyDescent="0.15">
      <c r="A427" t="s">
        <v>8389</v>
      </c>
      <c r="B427" s="2651" t="s">
        <v>8933</v>
      </c>
    </row>
    <row r="428" spans="1:2" x14ac:dyDescent="0.15">
      <c r="A428" t="s">
        <v>8390</v>
      </c>
      <c r="B428" s="2651" t="s">
        <v>8934</v>
      </c>
    </row>
    <row r="429" spans="1:2" x14ac:dyDescent="0.15">
      <c r="A429" t="s">
        <v>8391</v>
      </c>
      <c r="B429" s="2651" t="s">
        <v>8935</v>
      </c>
    </row>
    <row r="430" spans="1:2" x14ac:dyDescent="0.15">
      <c r="A430" t="s">
        <v>8392</v>
      </c>
      <c r="B430" s="2651" t="s">
        <v>8936</v>
      </c>
    </row>
    <row r="431" spans="1:2" x14ac:dyDescent="0.15">
      <c r="A431" t="s">
        <v>8393</v>
      </c>
      <c r="B431" s="2651" t="s">
        <v>8937</v>
      </c>
    </row>
    <row r="432" spans="1:2" x14ac:dyDescent="0.15">
      <c r="A432" t="s">
        <v>8394</v>
      </c>
      <c r="B432" s="2651" t="s">
        <v>8938</v>
      </c>
    </row>
    <row r="433" spans="1:2" x14ac:dyDescent="0.15">
      <c r="A433" t="s">
        <v>8395</v>
      </c>
      <c r="B433" s="2651" t="s">
        <v>8939</v>
      </c>
    </row>
    <row r="434" spans="1:2" x14ac:dyDescent="0.15">
      <c r="A434" t="s">
        <v>8396</v>
      </c>
      <c r="B434" s="2651" t="s">
        <v>8940</v>
      </c>
    </row>
    <row r="435" spans="1:2" x14ac:dyDescent="0.15">
      <c r="A435" t="s">
        <v>8397</v>
      </c>
      <c r="B435" s="2651" t="s">
        <v>8941</v>
      </c>
    </row>
    <row r="436" spans="1:2" x14ac:dyDescent="0.15">
      <c r="A436" t="s">
        <v>8398</v>
      </c>
      <c r="B436" s="2651" t="s">
        <v>8942</v>
      </c>
    </row>
    <row r="437" spans="1:2" x14ac:dyDescent="0.15">
      <c r="A437" t="s">
        <v>8399</v>
      </c>
      <c r="B437" s="2651" t="s">
        <v>8943</v>
      </c>
    </row>
    <row r="438" spans="1:2" x14ac:dyDescent="0.15">
      <c r="A438" t="s">
        <v>8400</v>
      </c>
      <c r="B438" s="2651" t="s">
        <v>8944</v>
      </c>
    </row>
    <row r="439" spans="1:2" x14ac:dyDescent="0.15">
      <c r="A439" t="s">
        <v>8401</v>
      </c>
      <c r="B439" s="2651" t="s">
        <v>8945</v>
      </c>
    </row>
    <row r="440" spans="1:2" x14ac:dyDescent="0.15">
      <c r="A440" t="s">
        <v>8402</v>
      </c>
      <c r="B440" s="2651" t="s">
        <v>8946</v>
      </c>
    </row>
    <row r="441" spans="1:2" x14ac:dyDescent="0.15">
      <c r="A441" t="s">
        <v>8403</v>
      </c>
      <c r="B441" s="2651" t="s">
        <v>8947</v>
      </c>
    </row>
    <row r="442" spans="1:2" x14ac:dyDescent="0.15">
      <c r="A442" t="s">
        <v>8404</v>
      </c>
      <c r="B442" s="2651" t="s">
        <v>8948</v>
      </c>
    </row>
    <row r="443" spans="1:2" x14ac:dyDescent="0.15">
      <c r="A443" t="s">
        <v>8405</v>
      </c>
      <c r="B443" s="2651" t="s">
        <v>8949</v>
      </c>
    </row>
    <row r="444" spans="1:2" x14ac:dyDescent="0.15">
      <c r="A444" t="s">
        <v>8406</v>
      </c>
      <c r="B444" s="2651" t="s">
        <v>8950</v>
      </c>
    </row>
    <row r="445" spans="1:2" x14ac:dyDescent="0.15">
      <c r="A445" t="s">
        <v>8407</v>
      </c>
      <c r="B445" s="2651" t="s">
        <v>8951</v>
      </c>
    </row>
    <row r="446" spans="1:2" x14ac:dyDescent="0.15">
      <c r="A446" t="s">
        <v>8408</v>
      </c>
      <c r="B446" s="2651" t="s">
        <v>8952</v>
      </c>
    </row>
    <row r="447" spans="1:2" x14ac:dyDescent="0.15">
      <c r="A447" t="s">
        <v>8409</v>
      </c>
      <c r="B447" s="2651" t="s">
        <v>8953</v>
      </c>
    </row>
    <row r="448" spans="1:2" x14ac:dyDescent="0.15">
      <c r="A448" t="s">
        <v>8410</v>
      </c>
      <c r="B448" s="2651" t="s">
        <v>8954</v>
      </c>
    </row>
    <row r="449" spans="1:2" x14ac:dyDescent="0.15">
      <c r="A449" t="s">
        <v>8411</v>
      </c>
      <c r="B449" s="2651" t="s">
        <v>8955</v>
      </c>
    </row>
    <row r="450" spans="1:2" x14ac:dyDescent="0.15">
      <c r="A450" t="s">
        <v>8412</v>
      </c>
      <c r="B450" s="2651" t="s">
        <v>8956</v>
      </c>
    </row>
    <row r="451" spans="1:2" x14ac:dyDescent="0.15">
      <c r="A451" t="s">
        <v>8413</v>
      </c>
      <c r="B451" s="2651" t="s">
        <v>8957</v>
      </c>
    </row>
    <row r="452" spans="1:2" x14ac:dyDescent="0.15">
      <c r="A452" t="s">
        <v>8414</v>
      </c>
      <c r="B452" s="2651" t="s">
        <v>8958</v>
      </c>
    </row>
    <row r="453" spans="1:2" x14ac:dyDescent="0.15">
      <c r="A453" t="s">
        <v>8415</v>
      </c>
      <c r="B453" s="2651" t="s">
        <v>8959</v>
      </c>
    </row>
    <row r="454" spans="1:2" x14ac:dyDescent="0.15">
      <c r="A454" t="s">
        <v>8416</v>
      </c>
      <c r="B454" s="2651" t="s">
        <v>8960</v>
      </c>
    </row>
    <row r="455" spans="1:2" x14ac:dyDescent="0.15">
      <c r="A455" t="s">
        <v>8417</v>
      </c>
      <c r="B455" s="2651" t="s">
        <v>8961</v>
      </c>
    </row>
    <row r="456" spans="1:2" x14ac:dyDescent="0.15">
      <c r="A456" t="s">
        <v>8418</v>
      </c>
      <c r="B456" s="2651" t="s">
        <v>8962</v>
      </c>
    </row>
    <row r="457" spans="1:2" x14ac:dyDescent="0.15">
      <c r="A457" t="s">
        <v>8419</v>
      </c>
      <c r="B457" s="2651" t="s">
        <v>8963</v>
      </c>
    </row>
    <row r="458" spans="1:2" x14ac:dyDescent="0.15">
      <c r="A458" t="s">
        <v>8420</v>
      </c>
      <c r="B458" s="2651" t="s">
        <v>8964</v>
      </c>
    </row>
    <row r="459" spans="1:2" x14ac:dyDescent="0.15">
      <c r="A459" t="s">
        <v>8421</v>
      </c>
      <c r="B459" s="2651" t="s">
        <v>8965</v>
      </c>
    </row>
    <row r="460" spans="1:2" x14ac:dyDescent="0.15">
      <c r="A460" t="s">
        <v>8422</v>
      </c>
      <c r="B460" s="2651" t="s">
        <v>8966</v>
      </c>
    </row>
    <row r="461" spans="1:2" x14ac:dyDescent="0.15">
      <c r="A461" t="s">
        <v>8423</v>
      </c>
      <c r="B461" s="2651" t="s">
        <v>8967</v>
      </c>
    </row>
    <row r="462" spans="1:2" x14ac:dyDescent="0.15">
      <c r="A462" t="s">
        <v>8424</v>
      </c>
      <c r="B462" s="2651" t="s">
        <v>8968</v>
      </c>
    </row>
    <row r="463" spans="1:2" x14ac:dyDescent="0.15">
      <c r="A463" t="s">
        <v>8425</v>
      </c>
      <c r="B463" s="2651" t="s">
        <v>8969</v>
      </c>
    </row>
    <row r="464" spans="1:2" x14ac:dyDescent="0.15">
      <c r="A464" t="s">
        <v>8426</v>
      </c>
      <c r="B464" s="2651" t="s">
        <v>8970</v>
      </c>
    </row>
    <row r="465" spans="1:2" x14ac:dyDescent="0.15">
      <c r="A465" t="s">
        <v>8427</v>
      </c>
      <c r="B465" s="2651" t="s">
        <v>8971</v>
      </c>
    </row>
    <row r="466" spans="1:2" x14ac:dyDescent="0.15">
      <c r="A466" t="s">
        <v>8428</v>
      </c>
      <c r="B466" s="2651" t="s">
        <v>8972</v>
      </c>
    </row>
    <row r="467" spans="1:2" x14ac:dyDescent="0.15">
      <c r="A467" t="s">
        <v>8429</v>
      </c>
      <c r="B467" s="2651" t="s">
        <v>8973</v>
      </c>
    </row>
    <row r="468" spans="1:2" x14ac:dyDescent="0.15">
      <c r="A468" t="s">
        <v>8430</v>
      </c>
      <c r="B468" s="2651" t="s">
        <v>8974</v>
      </c>
    </row>
    <row r="469" spans="1:2" x14ac:dyDescent="0.15">
      <c r="A469" s="2652" t="s">
        <v>8381</v>
      </c>
      <c r="B469" s="2651" t="s">
        <v>8924</v>
      </c>
    </row>
    <row r="470" spans="1:2" x14ac:dyDescent="0.15">
      <c r="A470" t="s">
        <v>8431</v>
      </c>
      <c r="B470" s="2651" t="s">
        <v>8926</v>
      </c>
    </row>
    <row r="471" spans="1:2" x14ac:dyDescent="0.15">
      <c r="A471" t="s">
        <v>8432</v>
      </c>
      <c r="B471" s="2651" t="s">
        <v>8927</v>
      </c>
    </row>
    <row r="472" spans="1:2" x14ac:dyDescent="0.15">
      <c r="A472" t="s">
        <v>8433</v>
      </c>
      <c r="B472" s="2651" t="s">
        <v>8928</v>
      </c>
    </row>
    <row r="473" spans="1:2" x14ac:dyDescent="0.15">
      <c r="A473" t="s">
        <v>8434</v>
      </c>
      <c r="B473" s="2651" t="s">
        <v>8929</v>
      </c>
    </row>
    <row r="474" spans="1:2" x14ac:dyDescent="0.15">
      <c r="A474" t="s">
        <v>8435</v>
      </c>
      <c r="B474" s="2651" t="s">
        <v>8930</v>
      </c>
    </row>
    <row r="475" spans="1:2" x14ac:dyDescent="0.15">
      <c r="A475" t="s">
        <v>8436</v>
      </c>
      <c r="B475" s="2651" t="s">
        <v>8931</v>
      </c>
    </row>
    <row r="476" spans="1:2" x14ac:dyDescent="0.15">
      <c r="A476" t="s">
        <v>8437</v>
      </c>
      <c r="B476" s="2651" t="s">
        <v>8932</v>
      </c>
    </row>
    <row r="477" spans="1:2" x14ac:dyDescent="0.15">
      <c r="A477" t="s">
        <v>8438</v>
      </c>
      <c r="B477" s="2651" t="s">
        <v>8933</v>
      </c>
    </row>
    <row r="478" spans="1:2" x14ac:dyDescent="0.15">
      <c r="A478" t="s">
        <v>8439</v>
      </c>
      <c r="B478" s="2651" t="s">
        <v>8934</v>
      </c>
    </row>
    <row r="479" spans="1:2" x14ac:dyDescent="0.15">
      <c r="A479" t="s">
        <v>8440</v>
      </c>
      <c r="B479" s="2651" t="s">
        <v>8935</v>
      </c>
    </row>
    <row r="480" spans="1:2" x14ac:dyDescent="0.15">
      <c r="A480" t="s">
        <v>8441</v>
      </c>
      <c r="B480" s="2651" t="s">
        <v>8936</v>
      </c>
    </row>
    <row r="481" spans="1:2" x14ac:dyDescent="0.15">
      <c r="A481" t="s">
        <v>8442</v>
      </c>
      <c r="B481" s="2651" t="s">
        <v>8937</v>
      </c>
    </row>
    <row r="482" spans="1:2" x14ac:dyDescent="0.15">
      <c r="A482" t="s">
        <v>8443</v>
      </c>
      <c r="B482" s="2651" t="s">
        <v>8938</v>
      </c>
    </row>
    <row r="483" spans="1:2" x14ac:dyDescent="0.15">
      <c r="A483" t="s">
        <v>8444</v>
      </c>
      <c r="B483" s="2651" t="s">
        <v>8939</v>
      </c>
    </row>
    <row r="484" spans="1:2" x14ac:dyDescent="0.15">
      <c r="A484" t="s">
        <v>8445</v>
      </c>
      <c r="B484" s="2651" t="s">
        <v>8940</v>
      </c>
    </row>
    <row r="485" spans="1:2" x14ac:dyDescent="0.15">
      <c r="A485" t="s">
        <v>8446</v>
      </c>
      <c r="B485" s="2651" t="s">
        <v>8941</v>
      </c>
    </row>
    <row r="486" spans="1:2" x14ac:dyDescent="0.15">
      <c r="A486" t="s">
        <v>8447</v>
      </c>
      <c r="B486" s="2651" t="s">
        <v>8942</v>
      </c>
    </row>
    <row r="487" spans="1:2" x14ac:dyDescent="0.15">
      <c r="A487" t="s">
        <v>8448</v>
      </c>
      <c r="B487" s="2651" t="s">
        <v>8943</v>
      </c>
    </row>
    <row r="488" spans="1:2" x14ac:dyDescent="0.15">
      <c r="A488" t="s">
        <v>8449</v>
      </c>
      <c r="B488" s="2651" t="s">
        <v>8944</v>
      </c>
    </row>
    <row r="489" spans="1:2" x14ac:dyDescent="0.15">
      <c r="A489" t="s">
        <v>8450</v>
      </c>
      <c r="B489" s="2651" t="s">
        <v>8945</v>
      </c>
    </row>
    <row r="490" spans="1:2" x14ac:dyDescent="0.15">
      <c r="A490" t="s">
        <v>8451</v>
      </c>
      <c r="B490" s="2651" t="s">
        <v>8946</v>
      </c>
    </row>
    <row r="491" spans="1:2" x14ac:dyDescent="0.15">
      <c r="A491" t="s">
        <v>8452</v>
      </c>
      <c r="B491" s="2651" t="s">
        <v>8947</v>
      </c>
    </row>
    <row r="492" spans="1:2" x14ac:dyDescent="0.15">
      <c r="A492" t="s">
        <v>8453</v>
      </c>
      <c r="B492" s="2651" t="s">
        <v>8948</v>
      </c>
    </row>
    <row r="493" spans="1:2" x14ac:dyDescent="0.15">
      <c r="A493" t="s">
        <v>8454</v>
      </c>
      <c r="B493" s="2651" t="s">
        <v>8949</v>
      </c>
    </row>
    <row r="494" spans="1:2" x14ac:dyDescent="0.15">
      <c r="A494" t="s">
        <v>8455</v>
      </c>
      <c r="B494" s="2651" t="s">
        <v>8950</v>
      </c>
    </row>
    <row r="495" spans="1:2" x14ac:dyDescent="0.15">
      <c r="A495" t="s">
        <v>8456</v>
      </c>
      <c r="B495" s="2651" t="s">
        <v>8951</v>
      </c>
    </row>
    <row r="496" spans="1:2" x14ac:dyDescent="0.15">
      <c r="A496" t="s">
        <v>8457</v>
      </c>
      <c r="B496" s="2651" t="s">
        <v>8952</v>
      </c>
    </row>
    <row r="497" spans="1:2" x14ac:dyDescent="0.15">
      <c r="A497" t="s">
        <v>8458</v>
      </c>
      <c r="B497" s="2651" t="s">
        <v>8953</v>
      </c>
    </row>
    <row r="498" spans="1:2" x14ac:dyDescent="0.15">
      <c r="A498" t="s">
        <v>8459</v>
      </c>
      <c r="B498" s="2651" t="s">
        <v>8954</v>
      </c>
    </row>
    <row r="499" spans="1:2" x14ac:dyDescent="0.15">
      <c r="A499" t="s">
        <v>8460</v>
      </c>
      <c r="B499" s="2651" t="s">
        <v>8955</v>
      </c>
    </row>
    <row r="500" spans="1:2" x14ac:dyDescent="0.15">
      <c r="A500" t="s">
        <v>8461</v>
      </c>
      <c r="B500" s="2651" t="s">
        <v>8956</v>
      </c>
    </row>
    <row r="501" spans="1:2" x14ac:dyDescent="0.15">
      <c r="A501" t="s">
        <v>8462</v>
      </c>
      <c r="B501" s="2651" t="s">
        <v>8957</v>
      </c>
    </row>
    <row r="502" spans="1:2" x14ac:dyDescent="0.15">
      <c r="A502" t="s">
        <v>8463</v>
      </c>
      <c r="B502" s="2651" t="s">
        <v>8958</v>
      </c>
    </row>
    <row r="503" spans="1:2" x14ac:dyDescent="0.15">
      <c r="A503" t="s">
        <v>8464</v>
      </c>
      <c r="B503" s="2651" t="s">
        <v>8959</v>
      </c>
    </row>
    <row r="504" spans="1:2" x14ac:dyDescent="0.15">
      <c r="A504" t="s">
        <v>8465</v>
      </c>
      <c r="B504" s="2651" t="s">
        <v>8960</v>
      </c>
    </row>
    <row r="505" spans="1:2" x14ac:dyDescent="0.15">
      <c r="A505" t="s">
        <v>8466</v>
      </c>
      <c r="B505" s="2651" t="s">
        <v>8961</v>
      </c>
    </row>
    <row r="506" spans="1:2" x14ac:dyDescent="0.15">
      <c r="A506" t="s">
        <v>8467</v>
      </c>
      <c r="B506" s="2651" t="s">
        <v>8962</v>
      </c>
    </row>
    <row r="507" spans="1:2" x14ac:dyDescent="0.15">
      <c r="A507" t="s">
        <v>8468</v>
      </c>
      <c r="B507" s="2651" t="s">
        <v>8963</v>
      </c>
    </row>
    <row r="508" spans="1:2" x14ac:dyDescent="0.15">
      <c r="A508" t="s">
        <v>8469</v>
      </c>
      <c r="B508" s="2651" t="s">
        <v>8964</v>
      </c>
    </row>
    <row r="509" spans="1:2" x14ac:dyDescent="0.15">
      <c r="A509" t="s">
        <v>8470</v>
      </c>
      <c r="B509" s="2651" t="s">
        <v>8965</v>
      </c>
    </row>
    <row r="510" spans="1:2" x14ac:dyDescent="0.15">
      <c r="A510" t="s">
        <v>8471</v>
      </c>
      <c r="B510" s="2651" t="s">
        <v>8966</v>
      </c>
    </row>
    <row r="511" spans="1:2" x14ac:dyDescent="0.15">
      <c r="A511" t="s">
        <v>8472</v>
      </c>
      <c r="B511" s="2651" t="s">
        <v>8967</v>
      </c>
    </row>
    <row r="512" spans="1:2" x14ac:dyDescent="0.15">
      <c r="A512" t="s">
        <v>8473</v>
      </c>
      <c r="B512" s="2651" t="s">
        <v>8968</v>
      </c>
    </row>
    <row r="513" spans="1:2" x14ac:dyDescent="0.15">
      <c r="A513" t="s">
        <v>8474</v>
      </c>
      <c r="B513" s="2651" t="s">
        <v>8969</v>
      </c>
    </row>
    <row r="514" spans="1:2" x14ac:dyDescent="0.15">
      <c r="A514" t="s">
        <v>8475</v>
      </c>
      <c r="B514" s="2651" t="s">
        <v>8970</v>
      </c>
    </row>
    <row r="515" spans="1:2" x14ac:dyDescent="0.15">
      <c r="A515" t="s">
        <v>8476</v>
      </c>
      <c r="B515" s="2651" t="s">
        <v>8971</v>
      </c>
    </row>
    <row r="516" spans="1:2" x14ac:dyDescent="0.15">
      <c r="A516" t="s">
        <v>8477</v>
      </c>
      <c r="B516" s="2651" t="s">
        <v>8972</v>
      </c>
    </row>
    <row r="517" spans="1:2" x14ac:dyDescent="0.15">
      <c r="A517" t="s">
        <v>8478</v>
      </c>
      <c r="B517" s="2651" t="s">
        <v>8973</v>
      </c>
    </row>
    <row r="518" spans="1:2" x14ac:dyDescent="0.15">
      <c r="A518" t="s">
        <v>8479</v>
      </c>
      <c r="B518" s="2651" t="s">
        <v>8974</v>
      </c>
    </row>
    <row r="519" spans="1:2" x14ac:dyDescent="0.15">
      <c r="A519" s="2652" t="s">
        <v>8480</v>
      </c>
      <c r="B519" s="2651" t="s">
        <v>8924</v>
      </c>
    </row>
    <row r="520" spans="1:2" x14ac:dyDescent="0.15">
      <c r="A520" t="s">
        <v>8481</v>
      </c>
      <c r="B520" s="2651" t="s">
        <v>8926</v>
      </c>
    </row>
    <row r="521" spans="1:2" x14ac:dyDescent="0.15">
      <c r="A521" t="s">
        <v>8482</v>
      </c>
      <c r="B521" s="2651" t="s">
        <v>8927</v>
      </c>
    </row>
    <row r="522" spans="1:2" x14ac:dyDescent="0.15">
      <c r="A522" t="s">
        <v>8483</v>
      </c>
      <c r="B522" s="2651" t="s">
        <v>8928</v>
      </c>
    </row>
    <row r="523" spans="1:2" x14ac:dyDescent="0.15">
      <c r="A523" t="s">
        <v>8484</v>
      </c>
      <c r="B523" s="2651" t="s">
        <v>8929</v>
      </c>
    </row>
    <row r="524" spans="1:2" x14ac:dyDescent="0.15">
      <c r="A524" t="s">
        <v>8485</v>
      </c>
      <c r="B524" s="2651" t="s">
        <v>8930</v>
      </c>
    </row>
    <row r="525" spans="1:2" x14ac:dyDescent="0.15">
      <c r="A525" t="s">
        <v>8486</v>
      </c>
      <c r="B525" s="2651" t="s">
        <v>8931</v>
      </c>
    </row>
    <row r="526" spans="1:2" x14ac:dyDescent="0.15">
      <c r="A526" t="s">
        <v>8487</v>
      </c>
      <c r="B526" s="2651" t="s">
        <v>8932</v>
      </c>
    </row>
    <row r="527" spans="1:2" x14ac:dyDescent="0.15">
      <c r="A527" t="s">
        <v>8488</v>
      </c>
      <c r="B527" s="2651" t="s">
        <v>8933</v>
      </c>
    </row>
    <row r="528" spans="1:2" x14ac:dyDescent="0.15">
      <c r="A528" t="s">
        <v>8489</v>
      </c>
      <c r="B528" s="2651" t="s">
        <v>8934</v>
      </c>
    </row>
    <row r="529" spans="1:2" x14ac:dyDescent="0.15">
      <c r="A529" t="s">
        <v>8490</v>
      </c>
      <c r="B529" s="2651" t="s">
        <v>8935</v>
      </c>
    </row>
    <row r="530" spans="1:2" x14ac:dyDescent="0.15">
      <c r="A530" t="s">
        <v>8491</v>
      </c>
      <c r="B530" s="2651" t="s">
        <v>8936</v>
      </c>
    </row>
    <row r="531" spans="1:2" x14ac:dyDescent="0.15">
      <c r="A531" t="s">
        <v>8492</v>
      </c>
      <c r="B531" s="2651" t="s">
        <v>8937</v>
      </c>
    </row>
    <row r="532" spans="1:2" x14ac:dyDescent="0.15">
      <c r="A532" t="s">
        <v>8493</v>
      </c>
      <c r="B532" s="2651" t="s">
        <v>8938</v>
      </c>
    </row>
    <row r="533" spans="1:2" x14ac:dyDescent="0.15">
      <c r="A533" t="s">
        <v>8494</v>
      </c>
      <c r="B533" s="2651" t="s">
        <v>8939</v>
      </c>
    </row>
    <row r="534" spans="1:2" x14ac:dyDescent="0.15">
      <c r="A534" t="s">
        <v>8495</v>
      </c>
      <c r="B534" s="2651" t="s">
        <v>8940</v>
      </c>
    </row>
    <row r="535" spans="1:2" x14ac:dyDescent="0.15">
      <c r="A535" t="s">
        <v>8496</v>
      </c>
      <c r="B535" s="2651" t="s">
        <v>8941</v>
      </c>
    </row>
    <row r="536" spans="1:2" x14ac:dyDescent="0.15">
      <c r="A536" t="s">
        <v>8497</v>
      </c>
      <c r="B536" s="2651" t="s">
        <v>8942</v>
      </c>
    </row>
    <row r="537" spans="1:2" x14ac:dyDescent="0.15">
      <c r="A537" t="s">
        <v>8498</v>
      </c>
      <c r="B537" s="2651" t="s">
        <v>8943</v>
      </c>
    </row>
    <row r="538" spans="1:2" x14ac:dyDescent="0.15">
      <c r="A538" t="s">
        <v>8499</v>
      </c>
      <c r="B538" s="2651" t="s">
        <v>8944</v>
      </c>
    </row>
    <row r="539" spans="1:2" x14ac:dyDescent="0.15">
      <c r="A539" t="s">
        <v>8500</v>
      </c>
      <c r="B539" s="2651" t="s">
        <v>8945</v>
      </c>
    </row>
    <row r="540" spans="1:2" x14ac:dyDescent="0.15">
      <c r="A540" t="s">
        <v>8501</v>
      </c>
      <c r="B540" s="2651" t="s">
        <v>8946</v>
      </c>
    </row>
    <row r="541" spans="1:2" x14ac:dyDescent="0.15">
      <c r="A541" t="s">
        <v>8502</v>
      </c>
      <c r="B541" s="2651" t="s">
        <v>8947</v>
      </c>
    </row>
    <row r="542" spans="1:2" x14ac:dyDescent="0.15">
      <c r="A542" t="s">
        <v>8503</v>
      </c>
      <c r="B542" s="2651" t="s">
        <v>8948</v>
      </c>
    </row>
    <row r="543" spans="1:2" x14ac:dyDescent="0.15">
      <c r="A543" t="s">
        <v>8504</v>
      </c>
      <c r="B543" s="2651" t="s">
        <v>8949</v>
      </c>
    </row>
    <row r="544" spans="1:2" x14ac:dyDescent="0.15">
      <c r="A544" t="s">
        <v>8505</v>
      </c>
      <c r="B544" s="2651" t="s">
        <v>8950</v>
      </c>
    </row>
    <row r="545" spans="1:2" x14ac:dyDescent="0.15">
      <c r="A545" t="s">
        <v>8506</v>
      </c>
      <c r="B545" s="2651" t="s">
        <v>8951</v>
      </c>
    </row>
    <row r="546" spans="1:2" x14ac:dyDescent="0.15">
      <c r="A546" t="s">
        <v>8507</v>
      </c>
      <c r="B546" s="2651" t="s">
        <v>8952</v>
      </c>
    </row>
    <row r="547" spans="1:2" x14ac:dyDescent="0.15">
      <c r="A547" t="s">
        <v>8508</v>
      </c>
      <c r="B547" s="2651" t="s">
        <v>8953</v>
      </c>
    </row>
    <row r="548" spans="1:2" x14ac:dyDescent="0.15">
      <c r="A548" t="s">
        <v>8509</v>
      </c>
      <c r="B548" s="2651" t="s">
        <v>8954</v>
      </c>
    </row>
    <row r="549" spans="1:2" x14ac:dyDescent="0.15">
      <c r="A549" t="s">
        <v>8510</v>
      </c>
      <c r="B549" s="2651" t="s">
        <v>8955</v>
      </c>
    </row>
    <row r="550" spans="1:2" x14ac:dyDescent="0.15">
      <c r="A550" t="s">
        <v>8511</v>
      </c>
      <c r="B550" s="2651" t="s">
        <v>8956</v>
      </c>
    </row>
    <row r="551" spans="1:2" x14ac:dyDescent="0.15">
      <c r="A551" t="s">
        <v>8512</v>
      </c>
      <c r="B551" s="2651" t="s">
        <v>8957</v>
      </c>
    </row>
    <row r="552" spans="1:2" x14ac:dyDescent="0.15">
      <c r="A552" t="s">
        <v>8513</v>
      </c>
      <c r="B552" s="2651" t="s">
        <v>8958</v>
      </c>
    </row>
    <row r="553" spans="1:2" x14ac:dyDescent="0.15">
      <c r="A553" t="s">
        <v>8514</v>
      </c>
      <c r="B553" s="2651" t="s">
        <v>8959</v>
      </c>
    </row>
    <row r="554" spans="1:2" x14ac:dyDescent="0.15">
      <c r="A554" t="s">
        <v>8515</v>
      </c>
      <c r="B554" s="2651" t="s">
        <v>8960</v>
      </c>
    </row>
    <row r="555" spans="1:2" x14ac:dyDescent="0.15">
      <c r="A555" t="s">
        <v>8516</v>
      </c>
      <c r="B555" s="2651" t="s">
        <v>8961</v>
      </c>
    </row>
    <row r="556" spans="1:2" x14ac:dyDescent="0.15">
      <c r="A556" t="s">
        <v>8517</v>
      </c>
      <c r="B556" s="2651" t="s">
        <v>8962</v>
      </c>
    </row>
    <row r="557" spans="1:2" x14ac:dyDescent="0.15">
      <c r="A557" t="s">
        <v>8518</v>
      </c>
      <c r="B557" s="2651" t="s">
        <v>8963</v>
      </c>
    </row>
    <row r="558" spans="1:2" x14ac:dyDescent="0.15">
      <c r="A558" t="s">
        <v>8519</v>
      </c>
      <c r="B558" s="2651" t="s">
        <v>8964</v>
      </c>
    </row>
    <row r="559" spans="1:2" x14ac:dyDescent="0.15">
      <c r="A559" t="s">
        <v>8520</v>
      </c>
      <c r="B559" s="2651" t="s">
        <v>8965</v>
      </c>
    </row>
    <row r="560" spans="1:2" x14ac:dyDescent="0.15">
      <c r="A560" t="s">
        <v>8521</v>
      </c>
      <c r="B560" s="2651" t="s">
        <v>8966</v>
      </c>
    </row>
    <row r="561" spans="1:2" x14ac:dyDescent="0.15">
      <c r="A561" t="s">
        <v>8522</v>
      </c>
      <c r="B561" s="2651" t="s">
        <v>8967</v>
      </c>
    </row>
    <row r="562" spans="1:2" x14ac:dyDescent="0.15">
      <c r="A562" t="s">
        <v>8523</v>
      </c>
      <c r="B562" s="2651" t="s">
        <v>8968</v>
      </c>
    </row>
    <row r="563" spans="1:2" x14ac:dyDescent="0.15">
      <c r="A563" t="s">
        <v>8524</v>
      </c>
      <c r="B563" s="2651" t="s">
        <v>8969</v>
      </c>
    </row>
    <row r="564" spans="1:2" x14ac:dyDescent="0.15">
      <c r="A564" t="s">
        <v>8525</v>
      </c>
      <c r="B564" s="2651" t="s">
        <v>8970</v>
      </c>
    </row>
    <row r="565" spans="1:2" x14ac:dyDescent="0.15">
      <c r="A565" t="s">
        <v>8526</v>
      </c>
      <c r="B565" s="2651" t="s">
        <v>8971</v>
      </c>
    </row>
    <row r="566" spans="1:2" x14ac:dyDescent="0.15">
      <c r="A566" t="s">
        <v>8527</v>
      </c>
      <c r="B566" s="2651" t="s">
        <v>8972</v>
      </c>
    </row>
    <row r="567" spans="1:2" x14ac:dyDescent="0.15">
      <c r="A567" t="s">
        <v>8528</v>
      </c>
      <c r="B567" s="2651" t="s">
        <v>8973</v>
      </c>
    </row>
    <row r="568" spans="1:2" x14ac:dyDescent="0.15">
      <c r="A568" t="s">
        <v>8529</v>
      </c>
      <c r="B568" s="2651" t="s">
        <v>8974</v>
      </c>
    </row>
    <row r="569" spans="1:2" x14ac:dyDescent="0.15">
      <c r="A569" s="2652" t="s">
        <v>8530</v>
      </c>
      <c r="B569" s="2651" t="s">
        <v>8924</v>
      </c>
    </row>
    <row r="570" spans="1:2" x14ac:dyDescent="0.15">
      <c r="A570" t="s">
        <v>8531</v>
      </c>
      <c r="B570" s="2651" t="s">
        <v>8926</v>
      </c>
    </row>
    <row r="571" spans="1:2" x14ac:dyDescent="0.15">
      <c r="A571" t="s">
        <v>8532</v>
      </c>
      <c r="B571" s="2651" t="s">
        <v>8927</v>
      </c>
    </row>
    <row r="572" spans="1:2" x14ac:dyDescent="0.15">
      <c r="A572" t="s">
        <v>8533</v>
      </c>
      <c r="B572" s="2651" t="s">
        <v>8928</v>
      </c>
    </row>
    <row r="573" spans="1:2" x14ac:dyDescent="0.15">
      <c r="A573" t="s">
        <v>8534</v>
      </c>
      <c r="B573" s="2651" t="s">
        <v>8929</v>
      </c>
    </row>
    <row r="574" spans="1:2" x14ac:dyDescent="0.15">
      <c r="A574" t="s">
        <v>8535</v>
      </c>
      <c r="B574" s="2651" t="s">
        <v>8930</v>
      </c>
    </row>
    <row r="575" spans="1:2" x14ac:dyDescent="0.15">
      <c r="A575" t="s">
        <v>8536</v>
      </c>
      <c r="B575" s="2651" t="s">
        <v>8931</v>
      </c>
    </row>
    <row r="576" spans="1:2" x14ac:dyDescent="0.15">
      <c r="A576" t="s">
        <v>8537</v>
      </c>
      <c r="B576" s="2651" t="s">
        <v>8932</v>
      </c>
    </row>
    <row r="577" spans="1:2" x14ac:dyDescent="0.15">
      <c r="A577" t="s">
        <v>8538</v>
      </c>
      <c r="B577" s="2651" t="s">
        <v>8933</v>
      </c>
    </row>
    <row r="578" spans="1:2" x14ac:dyDescent="0.15">
      <c r="A578" t="s">
        <v>8539</v>
      </c>
      <c r="B578" s="2651" t="s">
        <v>8934</v>
      </c>
    </row>
    <row r="579" spans="1:2" x14ac:dyDescent="0.15">
      <c r="A579" t="s">
        <v>8540</v>
      </c>
      <c r="B579" s="2651" t="s">
        <v>8935</v>
      </c>
    </row>
    <row r="580" spans="1:2" x14ac:dyDescent="0.15">
      <c r="A580" t="s">
        <v>8541</v>
      </c>
      <c r="B580" s="2651" t="s">
        <v>8936</v>
      </c>
    </row>
    <row r="581" spans="1:2" x14ac:dyDescent="0.15">
      <c r="A581" t="s">
        <v>8542</v>
      </c>
      <c r="B581" s="2651" t="s">
        <v>8937</v>
      </c>
    </row>
    <row r="582" spans="1:2" x14ac:dyDescent="0.15">
      <c r="A582" t="s">
        <v>8543</v>
      </c>
      <c r="B582" s="2651" t="s">
        <v>8938</v>
      </c>
    </row>
    <row r="583" spans="1:2" x14ac:dyDescent="0.15">
      <c r="A583" t="s">
        <v>8544</v>
      </c>
      <c r="B583" s="2651" t="s">
        <v>8939</v>
      </c>
    </row>
    <row r="584" spans="1:2" x14ac:dyDescent="0.15">
      <c r="A584" t="s">
        <v>8545</v>
      </c>
      <c r="B584" s="2651" t="s">
        <v>8940</v>
      </c>
    </row>
    <row r="585" spans="1:2" x14ac:dyDescent="0.15">
      <c r="A585" t="s">
        <v>8546</v>
      </c>
      <c r="B585" s="2651" t="s">
        <v>8941</v>
      </c>
    </row>
    <row r="586" spans="1:2" x14ac:dyDescent="0.15">
      <c r="A586" t="s">
        <v>8547</v>
      </c>
      <c r="B586" s="2651" t="s">
        <v>8942</v>
      </c>
    </row>
    <row r="587" spans="1:2" x14ac:dyDescent="0.15">
      <c r="A587" t="s">
        <v>8548</v>
      </c>
      <c r="B587" s="2651" t="s">
        <v>8943</v>
      </c>
    </row>
    <row r="588" spans="1:2" x14ac:dyDescent="0.15">
      <c r="A588" t="s">
        <v>8549</v>
      </c>
      <c r="B588" s="2651" t="s">
        <v>8944</v>
      </c>
    </row>
    <row r="589" spans="1:2" x14ac:dyDescent="0.15">
      <c r="A589" t="s">
        <v>8550</v>
      </c>
      <c r="B589" s="2651" t="s">
        <v>8945</v>
      </c>
    </row>
    <row r="590" spans="1:2" x14ac:dyDescent="0.15">
      <c r="A590" t="s">
        <v>8551</v>
      </c>
      <c r="B590" s="2651" t="s">
        <v>8946</v>
      </c>
    </row>
    <row r="591" spans="1:2" x14ac:dyDescent="0.15">
      <c r="A591" t="s">
        <v>8552</v>
      </c>
      <c r="B591" s="2651" t="s">
        <v>8947</v>
      </c>
    </row>
    <row r="592" spans="1:2" x14ac:dyDescent="0.15">
      <c r="A592" t="s">
        <v>8553</v>
      </c>
      <c r="B592" s="2651" t="s">
        <v>8948</v>
      </c>
    </row>
    <row r="593" spans="1:2" x14ac:dyDescent="0.15">
      <c r="A593" t="s">
        <v>8554</v>
      </c>
      <c r="B593" s="2651" t="s">
        <v>8949</v>
      </c>
    </row>
    <row r="594" spans="1:2" x14ac:dyDescent="0.15">
      <c r="A594" t="s">
        <v>8555</v>
      </c>
      <c r="B594" s="2651" t="s">
        <v>8950</v>
      </c>
    </row>
    <row r="595" spans="1:2" x14ac:dyDescent="0.15">
      <c r="A595" t="s">
        <v>8556</v>
      </c>
      <c r="B595" s="2651" t="s">
        <v>8951</v>
      </c>
    </row>
    <row r="596" spans="1:2" x14ac:dyDescent="0.15">
      <c r="A596" t="s">
        <v>8557</v>
      </c>
      <c r="B596" s="2651" t="s">
        <v>8952</v>
      </c>
    </row>
    <row r="597" spans="1:2" x14ac:dyDescent="0.15">
      <c r="A597" t="s">
        <v>8558</v>
      </c>
      <c r="B597" s="2651" t="s">
        <v>8953</v>
      </c>
    </row>
    <row r="598" spans="1:2" x14ac:dyDescent="0.15">
      <c r="A598" t="s">
        <v>8559</v>
      </c>
      <c r="B598" s="2651" t="s">
        <v>8954</v>
      </c>
    </row>
    <row r="599" spans="1:2" x14ac:dyDescent="0.15">
      <c r="A599" t="s">
        <v>8560</v>
      </c>
      <c r="B599" s="2651" t="s">
        <v>8955</v>
      </c>
    </row>
    <row r="600" spans="1:2" x14ac:dyDescent="0.15">
      <c r="A600" t="s">
        <v>8561</v>
      </c>
      <c r="B600" s="2651" t="s">
        <v>8956</v>
      </c>
    </row>
    <row r="601" spans="1:2" x14ac:dyDescent="0.15">
      <c r="A601" t="s">
        <v>8562</v>
      </c>
      <c r="B601" s="2651" t="s">
        <v>8957</v>
      </c>
    </row>
    <row r="602" spans="1:2" x14ac:dyDescent="0.15">
      <c r="A602" t="s">
        <v>8563</v>
      </c>
      <c r="B602" s="2651" t="s">
        <v>8958</v>
      </c>
    </row>
    <row r="603" spans="1:2" x14ac:dyDescent="0.15">
      <c r="A603" t="s">
        <v>8564</v>
      </c>
      <c r="B603" s="2651" t="s">
        <v>8959</v>
      </c>
    </row>
    <row r="604" spans="1:2" x14ac:dyDescent="0.15">
      <c r="A604" t="s">
        <v>8565</v>
      </c>
      <c r="B604" s="2651" t="s">
        <v>8960</v>
      </c>
    </row>
    <row r="605" spans="1:2" x14ac:dyDescent="0.15">
      <c r="A605" t="s">
        <v>8566</v>
      </c>
      <c r="B605" s="2651" t="s">
        <v>8961</v>
      </c>
    </row>
    <row r="606" spans="1:2" x14ac:dyDescent="0.15">
      <c r="A606" t="s">
        <v>8567</v>
      </c>
      <c r="B606" s="2651" t="s">
        <v>8962</v>
      </c>
    </row>
    <row r="607" spans="1:2" x14ac:dyDescent="0.15">
      <c r="A607" t="s">
        <v>8568</v>
      </c>
      <c r="B607" s="2651" t="s">
        <v>8963</v>
      </c>
    </row>
    <row r="608" spans="1:2" x14ac:dyDescent="0.15">
      <c r="A608" t="s">
        <v>8569</v>
      </c>
      <c r="B608" s="2651" t="s">
        <v>8964</v>
      </c>
    </row>
    <row r="609" spans="1:2" x14ac:dyDescent="0.15">
      <c r="A609" t="s">
        <v>8570</v>
      </c>
      <c r="B609" s="2651" t="s">
        <v>8965</v>
      </c>
    </row>
    <row r="610" spans="1:2" x14ac:dyDescent="0.15">
      <c r="A610" t="s">
        <v>8571</v>
      </c>
      <c r="B610" s="2651" t="s">
        <v>8966</v>
      </c>
    </row>
    <row r="611" spans="1:2" x14ac:dyDescent="0.15">
      <c r="A611" t="s">
        <v>8572</v>
      </c>
      <c r="B611" s="2651" t="s">
        <v>8967</v>
      </c>
    </row>
    <row r="612" spans="1:2" x14ac:dyDescent="0.15">
      <c r="A612" t="s">
        <v>8573</v>
      </c>
      <c r="B612" s="2651" t="s">
        <v>8968</v>
      </c>
    </row>
    <row r="613" spans="1:2" x14ac:dyDescent="0.15">
      <c r="A613" t="s">
        <v>8574</v>
      </c>
      <c r="B613" s="2651" t="s">
        <v>8969</v>
      </c>
    </row>
    <row r="614" spans="1:2" x14ac:dyDescent="0.15">
      <c r="A614" t="s">
        <v>8575</v>
      </c>
      <c r="B614" s="2651" t="s">
        <v>8970</v>
      </c>
    </row>
    <row r="615" spans="1:2" x14ac:dyDescent="0.15">
      <c r="A615" t="s">
        <v>8576</v>
      </c>
      <c r="B615" s="2651" t="s">
        <v>8971</v>
      </c>
    </row>
    <row r="616" spans="1:2" x14ac:dyDescent="0.15">
      <c r="A616" t="s">
        <v>8577</v>
      </c>
      <c r="B616" s="2651" t="s">
        <v>8972</v>
      </c>
    </row>
    <row r="617" spans="1:2" x14ac:dyDescent="0.15">
      <c r="A617" t="s">
        <v>8578</v>
      </c>
      <c r="B617" s="2651" t="s">
        <v>8973</v>
      </c>
    </row>
    <row r="618" spans="1:2" x14ac:dyDescent="0.15">
      <c r="A618" t="s">
        <v>8579</v>
      </c>
      <c r="B618" s="2651" t="s">
        <v>8974</v>
      </c>
    </row>
    <row r="619" spans="1:2" x14ac:dyDescent="0.15">
      <c r="A619" s="2652" t="s">
        <v>8580</v>
      </c>
      <c r="B619" s="2651" t="s">
        <v>8924</v>
      </c>
    </row>
    <row r="620" spans="1:2" x14ac:dyDescent="0.15">
      <c r="A620" t="s">
        <v>8581</v>
      </c>
      <c r="B620" s="2651" t="s">
        <v>8926</v>
      </c>
    </row>
    <row r="621" spans="1:2" x14ac:dyDescent="0.15">
      <c r="A621" t="s">
        <v>8582</v>
      </c>
      <c r="B621" s="2651" t="s">
        <v>8927</v>
      </c>
    </row>
    <row r="622" spans="1:2" x14ac:dyDescent="0.15">
      <c r="A622" t="s">
        <v>8583</v>
      </c>
      <c r="B622" s="2651" t="s">
        <v>8928</v>
      </c>
    </row>
    <row r="623" spans="1:2" x14ac:dyDescent="0.15">
      <c r="A623" t="s">
        <v>8584</v>
      </c>
      <c r="B623" s="2651" t="s">
        <v>8929</v>
      </c>
    </row>
    <row r="624" spans="1:2" x14ac:dyDescent="0.15">
      <c r="A624" t="s">
        <v>8585</v>
      </c>
      <c r="B624" s="2651" t="s">
        <v>8930</v>
      </c>
    </row>
    <row r="625" spans="1:2" x14ac:dyDescent="0.15">
      <c r="A625" t="s">
        <v>8586</v>
      </c>
      <c r="B625" s="2651" t="s">
        <v>8931</v>
      </c>
    </row>
    <row r="626" spans="1:2" x14ac:dyDescent="0.15">
      <c r="A626" t="s">
        <v>8587</v>
      </c>
      <c r="B626" s="2651" t="s">
        <v>8932</v>
      </c>
    </row>
    <row r="627" spans="1:2" x14ac:dyDescent="0.15">
      <c r="A627" t="s">
        <v>8588</v>
      </c>
      <c r="B627" s="2651" t="s">
        <v>8933</v>
      </c>
    </row>
    <row r="628" spans="1:2" x14ac:dyDescent="0.15">
      <c r="A628" t="s">
        <v>8589</v>
      </c>
      <c r="B628" s="2651" t="s">
        <v>8934</v>
      </c>
    </row>
    <row r="629" spans="1:2" x14ac:dyDescent="0.15">
      <c r="A629" t="s">
        <v>8590</v>
      </c>
      <c r="B629" s="2651" t="s">
        <v>8935</v>
      </c>
    </row>
    <row r="630" spans="1:2" x14ac:dyDescent="0.15">
      <c r="A630" t="s">
        <v>8591</v>
      </c>
      <c r="B630" s="2651" t="s">
        <v>8936</v>
      </c>
    </row>
    <row r="631" spans="1:2" x14ac:dyDescent="0.15">
      <c r="A631" t="s">
        <v>8592</v>
      </c>
      <c r="B631" s="2651" t="s">
        <v>8937</v>
      </c>
    </row>
    <row r="632" spans="1:2" x14ac:dyDescent="0.15">
      <c r="A632" t="s">
        <v>8593</v>
      </c>
      <c r="B632" s="2651" t="s">
        <v>8938</v>
      </c>
    </row>
    <row r="633" spans="1:2" x14ac:dyDescent="0.15">
      <c r="A633" t="s">
        <v>8594</v>
      </c>
      <c r="B633" s="2651" t="s">
        <v>8939</v>
      </c>
    </row>
    <row r="634" spans="1:2" x14ac:dyDescent="0.15">
      <c r="A634" t="s">
        <v>8595</v>
      </c>
      <c r="B634" s="2651" t="s">
        <v>8940</v>
      </c>
    </row>
    <row r="635" spans="1:2" x14ac:dyDescent="0.15">
      <c r="A635" t="s">
        <v>8596</v>
      </c>
      <c r="B635" s="2651" t="s">
        <v>8941</v>
      </c>
    </row>
    <row r="636" spans="1:2" x14ac:dyDescent="0.15">
      <c r="A636" t="s">
        <v>8597</v>
      </c>
      <c r="B636" s="2651" t="s">
        <v>8942</v>
      </c>
    </row>
    <row r="637" spans="1:2" x14ac:dyDescent="0.15">
      <c r="A637" t="s">
        <v>8598</v>
      </c>
      <c r="B637" s="2651" t="s">
        <v>8943</v>
      </c>
    </row>
    <row r="638" spans="1:2" x14ac:dyDescent="0.15">
      <c r="A638" t="s">
        <v>8599</v>
      </c>
      <c r="B638" s="2651" t="s">
        <v>8944</v>
      </c>
    </row>
    <row r="639" spans="1:2" x14ac:dyDescent="0.15">
      <c r="A639" t="s">
        <v>8600</v>
      </c>
      <c r="B639" s="2651" t="s">
        <v>8945</v>
      </c>
    </row>
    <row r="640" spans="1:2" x14ac:dyDescent="0.15">
      <c r="A640" t="s">
        <v>8601</v>
      </c>
      <c r="B640" s="2651" t="s">
        <v>8946</v>
      </c>
    </row>
    <row r="641" spans="1:2" x14ac:dyDescent="0.15">
      <c r="A641" t="s">
        <v>8602</v>
      </c>
      <c r="B641" s="2651" t="s">
        <v>8947</v>
      </c>
    </row>
    <row r="642" spans="1:2" x14ac:dyDescent="0.15">
      <c r="A642" t="s">
        <v>8603</v>
      </c>
      <c r="B642" s="2651" t="s">
        <v>8948</v>
      </c>
    </row>
    <row r="643" spans="1:2" x14ac:dyDescent="0.15">
      <c r="A643" t="s">
        <v>8604</v>
      </c>
      <c r="B643" s="2651" t="s">
        <v>8949</v>
      </c>
    </row>
    <row r="644" spans="1:2" x14ac:dyDescent="0.15">
      <c r="A644" t="s">
        <v>8605</v>
      </c>
      <c r="B644" s="2651" t="s">
        <v>8950</v>
      </c>
    </row>
    <row r="645" spans="1:2" x14ac:dyDescent="0.15">
      <c r="A645" t="s">
        <v>8606</v>
      </c>
      <c r="B645" s="2651" t="s">
        <v>8951</v>
      </c>
    </row>
    <row r="646" spans="1:2" x14ac:dyDescent="0.15">
      <c r="A646" t="s">
        <v>8607</v>
      </c>
      <c r="B646" s="2651" t="s">
        <v>8952</v>
      </c>
    </row>
    <row r="647" spans="1:2" x14ac:dyDescent="0.15">
      <c r="A647" t="s">
        <v>8608</v>
      </c>
      <c r="B647" s="2651" t="s">
        <v>8953</v>
      </c>
    </row>
    <row r="648" spans="1:2" x14ac:dyDescent="0.15">
      <c r="A648" t="s">
        <v>8609</v>
      </c>
      <c r="B648" s="2651" t="s">
        <v>8954</v>
      </c>
    </row>
    <row r="649" spans="1:2" x14ac:dyDescent="0.15">
      <c r="A649" t="s">
        <v>8610</v>
      </c>
      <c r="B649" s="2651" t="s">
        <v>8955</v>
      </c>
    </row>
    <row r="650" spans="1:2" x14ac:dyDescent="0.15">
      <c r="A650" t="s">
        <v>8611</v>
      </c>
      <c r="B650" s="2651" t="s">
        <v>8956</v>
      </c>
    </row>
    <row r="651" spans="1:2" x14ac:dyDescent="0.15">
      <c r="A651" t="s">
        <v>8612</v>
      </c>
      <c r="B651" s="2651" t="s">
        <v>8957</v>
      </c>
    </row>
    <row r="652" spans="1:2" x14ac:dyDescent="0.15">
      <c r="A652" t="s">
        <v>8613</v>
      </c>
      <c r="B652" s="2651" t="s">
        <v>8958</v>
      </c>
    </row>
    <row r="653" spans="1:2" x14ac:dyDescent="0.15">
      <c r="A653" t="s">
        <v>8614</v>
      </c>
      <c r="B653" s="2651" t="s">
        <v>8959</v>
      </c>
    </row>
    <row r="654" spans="1:2" x14ac:dyDescent="0.15">
      <c r="A654" t="s">
        <v>8615</v>
      </c>
      <c r="B654" s="2651" t="s">
        <v>8960</v>
      </c>
    </row>
    <row r="655" spans="1:2" x14ac:dyDescent="0.15">
      <c r="A655" t="s">
        <v>8616</v>
      </c>
      <c r="B655" s="2651" t="s">
        <v>8961</v>
      </c>
    </row>
    <row r="656" spans="1:2" x14ac:dyDescent="0.15">
      <c r="A656" t="s">
        <v>8617</v>
      </c>
      <c r="B656" s="2651" t="s">
        <v>8962</v>
      </c>
    </row>
    <row r="657" spans="1:2" x14ac:dyDescent="0.15">
      <c r="A657" t="s">
        <v>8618</v>
      </c>
      <c r="B657" s="2651" t="s">
        <v>8963</v>
      </c>
    </row>
    <row r="658" spans="1:2" x14ac:dyDescent="0.15">
      <c r="A658" t="s">
        <v>8619</v>
      </c>
      <c r="B658" s="2651" t="s">
        <v>8964</v>
      </c>
    </row>
    <row r="659" spans="1:2" x14ac:dyDescent="0.15">
      <c r="A659" t="s">
        <v>8620</v>
      </c>
      <c r="B659" s="2651" t="s">
        <v>8965</v>
      </c>
    </row>
    <row r="660" spans="1:2" x14ac:dyDescent="0.15">
      <c r="A660" t="s">
        <v>8621</v>
      </c>
      <c r="B660" s="2651" t="s">
        <v>8966</v>
      </c>
    </row>
    <row r="661" spans="1:2" x14ac:dyDescent="0.15">
      <c r="A661" t="s">
        <v>8622</v>
      </c>
      <c r="B661" s="2651" t="s">
        <v>8967</v>
      </c>
    </row>
    <row r="662" spans="1:2" x14ac:dyDescent="0.15">
      <c r="A662" t="s">
        <v>8623</v>
      </c>
      <c r="B662" s="2651" t="s">
        <v>8968</v>
      </c>
    </row>
    <row r="663" spans="1:2" x14ac:dyDescent="0.15">
      <c r="A663" t="s">
        <v>8624</v>
      </c>
      <c r="B663" s="2651" t="s">
        <v>8969</v>
      </c>
    </row>
    <row r="664" spans="1:2" x14ac:dyDescent="0.15">
      <c r="A664" t="s">
        <v>8625</v>
      </c>
      <c r="B664" s="2651" t="s">
        <v>8970</v>
      </c>
    </row>
    <row r="665" spans="1:2" x14ac:dyDescent="0.15">
      <c r="A665" t="s">
        <v>8626</v>
      </c>
      <c r="B665" s="2651" t="s">
        <v>8971</v>
      </c>
    </row>
    <row r="666" spans="1:2" x14ac:dyDescent="0.15">
      <c r="A666" t="s">
        <v>8627</v>
      </c>
      <c r="B666" s="2651" t="s">
        <v>8972</v>
      </c>
    </row>
    <row r="667" spans="1:2" x14ac:dyDescent="0.15">
      <c r="A667" t="s">
        <v>8628</v>
      </c>
      <c r="B667" s="2651" t="s">
        <v>8973</v>
      </c>
    </row>
    <row r="668" spans="1:2" x14ac:dyDescent="0.15">
      <c r="A668" t="s">
        <v>8629</v>
      </c>
      <c r="B668" s="2651" t="s">
        <v>8974</v>
      </c>
    </row>
    <row r="669" spans="1:2" x14ac:dyDescent="0.15">
      <c r="A669" t="s">
        <v>8630</v>
      </c>
      <c r="B669" s="2651" t="s">
        <v>8975</v>
      </c>
    </row>
    <row r="670" spans="1:2" x14ac:dyDescent="0.15">
      <c r="A670" t="s">
        <v>8631</v>
      </c>
      <c r="B670" s="2651" t="s">
        <v>8976</v>
      </c>
    </row>
    <row r="671" spans="1:2" x14ac:dyDescent="0.15">
      <c r="A671" t="s">
        <v>8632</v>
      </c>
      <c r="B671" s="2651" t="s">
        <v>8977</v>
      </c>
    </row>
    <row r="672" spans="1:2" x14ac:dyDescent="0.15">
      <c r="A672" t="s">
        <v>8633</v>
      </c>
      <c r="B672" s="2651" t="s">
        <v>8978</v>
      </c>
    </row>
    <row r="673" spans="1:2" x14ac:dyDescent="0.15">
      <c r="A673" s="2652" t="s">
        <v>8634</v>
      </c>
      <c r="B673" s="2651" t="s">
        <v>8924</v>
      </c>
    </row>
    <row r="674" spans="1:2" x14ac:dyDescent="0.15">
      <c r="A674" t="s">
        <v>8635</v>
      </c>
      <c r="B674" s="2651" t="s">
        <v>8926</v>
      </c>
    </row>
    <row r="675" spans="1:2" x14ac:dyDescent="0.15">
      <c r="A675" t="s">
        <v>8636</v>
      </c>
      <c r="B675" s="2651" t="s">
        <v>8927</v>
      </c>
    </row>
    <row r="676" spans="1:2" x14ac:dyDescent="0.15">
      <c r="A676" t="s">
        <v>8637</v>
      </c>
      <c r="B676" s="2651" t="s">
        <v>8928</v>
      </c>
    </row>
    <row r="677" spans="1:2" x14ac:dyDescent="0.15">
      <c r="A677" t="s">
        <v>8638</v>
      </c>
      <c r="B677" s="2651" t="s">
        <v>8929</v>
      </c>
    </row>
    <row r="678" spans="1:2" x14ac:dyDescent="0.15">
      <c r="A678" t="s">
        <v>8639</v>
      </c>
      <c r="B678" s="2651" t="s">
        <v>8930</v>
      </c>
    </row>
    <row r="679" spans="1:2" x14ac:dyDescent="0.15">
      <c r="A679" t="s">
        <v>8640</v>
      </c>
      <c r="B679" s="2651" t="s">
        <v>8931</v>
      </c>
    </row>
    <row r="680" spans="1:2" x14ac:dyDescent="0.15">
      <c r="A680" t="s">
        <v>8641</v>
      </c>
      <c r="B680" s="2651" t="s">
        <v>8932</v>
      </c>
    </row>
    <row r="681" spans="1:2" x14ac:dyDescent="0.15">
      <c r="A681" t="s">
        <v>8642</v>
      </c>
      <c r="B681" s="2651" t="s">
        <v>8933</v>
      </c>
    </row>
    <row r="682" spans="1:2" x14ac:dyDescent="0.15">
      <c r="A682" t="s">
        <v>8643</v>
      </c>
      <c r="B682" s="2651" t="s">
        <v>8934</v>
      </c>
    </row>
    <row r="683" spans="1:2" x14ac:dyDescent="0.15">
      <c r="A683" t="s">
        <v>8644</v>
      </c>
      <c r="B683" s="2651" t="s">
        <v>8935</v>
      </c>
    </row>
    <row r="684" spans="1:2" x14ac:dyDescent="0.15">
      <c r="A684" t="s">
        <v>8645</v>
      </c>
      <c r="B684" s="2651" t="s">
        <v>8936</v>
      </c>
    </row>
    <row r="685" spans="1:2" x14ac:dyDescent="0.15">
      <c r="A685" t="s">
        <v>8646</v>
      </c>
      <c r="B685" s="2651" t="s">
        <v>8937</v>
      </c>
    </row>
    <row r="686" spans="1:2" x14ac:dyDescent="0.15">
      <c r="A686" t="s">
        <v>8647</v>
      </c>
      <c r="B686" s="2651" t="s">
        <v>8938</v>
      </c>
    </row>
    <row r="687" spans="1:2" x14ac:dyDescent="0.15">
      <c r="A687" t="s">
        <v>8648</v>
      </c>
      <c r="B687" s="2651" t="s">
        <v>8939</v>
      </c>
    </row>
    <row r="688" spans="1:2" x14ac:dyDescent="0.15">
      <c r="A688" t="s">
        <v>8649</v>
      </c>
      <c r="B688" s="2651" t="s">
        <v>8940</v>
      </c>
    </row>
    <row r="689" spans="1:2" x14ac:dyDescent="0.15">
      <c r="A689" t="s">
        <v>8650</v>
      </c>
      <c r="B689" s="2651" t="s">
        <v>8941</v>
      </c>
    </row>
    <row r="690" spans="1:2" x14ac:dyDescent="0.15">
      <c r="A690" t="s">
        <v>8651</v>
      </c>
      <c r="B690" s="2651" t="s">
        <v>8942</v>
      </c>
    </row>
    <row r="691" spans="1:2" x14ac:dyDescent="0.15">
      <c r="A691" t="s">
        <v>8652</v>
      </c>
      <c r="B691" s="2651" t="s">
        <v>8943</v>
      </c>
    </row>
    <row r="692" spans="1:2" x14ac:dyDescent="0.15">
      <c r="A692" t="s">
        <v>8653</v>
      </c>
      <c r="B692" s="2651" t="s">
        <v>8944</v>
      </c>
    </row>
    <row r="693" spans="1:2" x14ac:dyDescent="0.15">
      <c r="A693" t="s">
        <v>8654</v>
      </c>
      <c r="B693" s="2651" t="s">
        <v>8945</v>
      </c>
    </row>
    <row r="694" spans="1:2" x14ac:dyDescent="0.15">
      <c r="A694" t="s">
        <v>8655</v>
      </c>
      <c r="B694" s="2651" t="s">
        <v>8946</v>
      </c>
    </row>
    <row r="695" spans="1:2" x14ac:dyDescent="0.15">
      <c r="A695" t="s">
        <v>8656</v>
      </c>
      <c r="B695" s="2651" t="s">
        <v>8947</v>
      </c>
    </row>
    <row r="696" spans="1:2" x14ac:dyDescent="0.15">
      <c r="A696" t="s">
        <v>8657</v>
      </c>
      <c r="B696" s="2651" t="s">
        <v>8948</v>
      </c>
    </row>
    <row r="697" spans="1:2" x14ac:dyDescent="0.15">
      <c r="A697" t="s">
        <v>8658</v>
      </c>
      <c r="B697" s="2651" t="s">
        <v>8949</v>
      </c>
    </row>
    <row r="698" spans="1:2" x14ac:dyDescent="0.15">
      <c r="A698" t="s">
        <v>8659</v>
      </c>
      <c r="B698" s="2651" t="s">
        <v>8950</v>
      </c>
    </row>
    <row r="699" spans="1:2" x14ac:dyDescent="0.15">
      <c r="A699" t="s">
        <v>8660</v>
      </c>
      <c r="B699" s="2651" t="s">
        <v>8951</v>
      </c>
    </row>
    <row r="700" spans="1:2" x14ac:dyDescent="0.15">
      <c r="A700" t="s">
        <v>8661</v>
      </c>
      <c r="B700" s="2651" t="s">
        <v>8952</v>
      </c>
    </row>
    <row r="701" spans="1:2" x14ac:dyDescent="0.15">
      <c r="A701" t="s">
        <v>8662</v>
      </c>
      <c r="B701" s="2651" t="s">
        <v>8953</v>
      </c>
    </row>
    <row r="702" spans="1:2" x14ac:dyDescent="0.15">
      <c r="A702" t="s">
        <v>8663</v>
      </c>
      <c r="B702" s="2651" t="s">
        <v>8954</v>
      </c>
    </row>
    <row r="703" spans="1:2" x14ac:dyDescent="0.15">
      <c r="A703" t="s">
        <v>8664</v>
      </c>
      <c r="B703" s="2651" t="s">
        <v>8955</v>
      </c>
    </row>
    <row r="704" spans="1:2" x14ac:dyDescent="0.15">
      <c r="A704" t="s">
        <v>8665</v>
      </c>
      <c r="B704" s="2651" t="s">
        <v>8956</v>
      </c>
    </row>
    <row r="705" spans="1:2" x14ac:dyDescent="0.15">
      <c r="A705" t="s">
        <v>8666</v>
      </c>
      <c r="B705" s="2651" t="s">
        <v>8957</v>
      </c>
    </row>
    <row r="706" spans="1:2" x14ac:dyDescent="0.15">
      <c r="A706" t="s">
        <v>8667</v>
      </c>
      <c r="B706" s="2651" t="s">
        <v>8958</v>
      </c>
    </row>
    <row r="707" spans="1:2" x14ac:dyDescent="0.15">
      <c r="A707" t="s">
        <v>8668</v>
      </c>
      <c r="B707" s="2651" t="s">
        <v>8959</v>
      </c>
    </row>
    <row r="708" spans="1:2" x14ac:dyDescent="0.15">
      <c r="A708" t="s">
        <v>8669</v>
      </c>
      <c r="B708" s="2651" t="s">
        <v>8960</v>
      </c>
    </row>
    <row r="709" spans="1:2" x14ac:dyDescent="0.15">
      <c r="A709" t="s">
        <v>8670</v>
      </c>
      <c r="B709" s="2651" t="s">
        <v>8961</v>
      </c>
    </row>
    <row r="710" spans="1:2" x14ac:dyDescent="0.15">
      <c r="A710" t="s">
        <v>8671</v>
      </c>
      <c r="B710" s="2651" t="s">
        <v>8962</v>
      </c>
    </row>
    <row r="711" spans="1:2" x14ac:dyDescent="0.15">
      <c r="A711" t="s">
        <v>8672</v>
      </c>
      <c r="B711" s="2651" t="s">
        <v>8963</v>
      </c>
    </row>
    <row r="712" spans="1:2" x14ac:dyDescent="0.15">
      <c r="A712" t="s">
        <v>8673</v>
      </c>
      <c r="B712" s="2651" t="s">
        <v>8964</v>
      </c>
    </row>
    <row r="713" spans="1:2" x14ac:dyDescent="0.15">
      <c r="A713" t="s">
        <v>8674</v>
      </c>
      <c r="B713" s="2651" t="s">
        <v>8965</v>
      </c>
    </row>
    <row r="714" spans="1:2" x14ac:dyDescent="0.15">
      <c r="A714" t="s">
        <v>8675</v>
      </c>
      <c r="B714" s="2651" t="s">
        <v>8966</v>
      </c>
    </row>
    <row r="715" spans="1:2" x14ac:dyDescent="0.15">
      <c r="A715" t="s">
        <v>8676</v>
      </c>
      <c r="B715" s="2651" t="s">
        <v>8967</v>
      </c>
    </row>
    <row r="716" spans="1:2" x14ac:dyDescent="0.15">
      <c r="A716" t="s">
        <v>8677</v>
      </c>
      <c r="B716" s="2651" t="s">
        <v>8968</v>
      </c>
    </row>
    <row r="717" spans="1:2" x14ac:dyDescent="0.15">
      <c r="A717" t="s">
        <v>8678</v>
      </c>
      <c r="B717" s="2651" t="s">
        <v>8969</v>
      </c>
    </row>
    <row r="718" spans="1:2" x14ac:dyDescent="0.15">
      <c r="A718" t="s">
        <v>8679</v>
      </c>
      <c r="B718" s="2651" t="s">
        <v>8970</v>
      </c>
    </row>
    <row r="719" spans="1:2" x14ac:dyDescent="0.15">
      <c r="A719" t="s">
        <v>8680</v>
      </c>
      <c r="B719" s="2651" t="s">
        <v>8971</v>
      </c>
    </row>
    <row r="720" spans="1:2" x14ac:dyDescent="0.15">
      <c r="A720" t="s">
        <v>8681</v>
      </c>
      <c r="B720" s="2651" t="s">
        <v>8972</v>
      </c>
    </row>
    <row r="721" spans="1:4" x14ac:dyDescent="0.15">
      <c r="A721" t="s">
        <v>8682</v>
      </c>
      <c r="B721" s="2651" t="s">
        <v>8973</v>
      </c>
    </row>
    <row r="722" spans="1:4" x14ac:dyDescent="0.15">
      <c r="A722" t="s">
        <v>8683</v>
      </c>
      <c r="B722" s="2651" t="s">
        <v>8974</v>
      </c>
    </row>
    <row r="723" spans="1:4" x14ac:dyDescent="0.15">
      <c r="A723" t="s">
        <v>8684</v>
      </c>
      <c r="B723" s="2651" t="s">
        <v>8975</v>
      </c>
    </row>
    <row r="724" spans="1:4" x14ac:dyDescent="0.15">
      <c r="A724" t="s">
        <v>8685</v>
      </c>
      <c r="B724" s="2651" t="s">
        <v>8976</v>
      </c>
    </row>
    <row r="725" spans="1:4" x14ac:dyDescent="0.15">
      <c r="A725" t="s">
        <v>8686</v>
      </c>
      <c r="B725" s="2651" t="s">
        <v>8977</v>
      </c>
    </row>
    <row r="726" spans="1:4" x14ac:dyDescent="0.15">
      <c r="A726" t="s">
        <v>8687</v>
      </c>
      <c r="B726" s="2676" t="s">
        <v>8978</v>
      </c>
    </row>
    <row r="727" spans="1:4" x14ac:dyDescent="0.15">
      <c r="A727" t="s">
        <v>9083</v>
      </c>
      <c r="B727" s="2651" t="s">
        <v>9048</v>
      </c>
      <c r="C727" s="2677" t="s">
        <v>9050</v>
      </c>
      <c r="D727" s="2677" t="s">
        <v>9052</v>
      </c>
    </row>
    <row r="728" spans="1:4" x14ac:dyDescent="0.15">
      <c r="A728" t="s">
        <v>9084</v>
      </c>
      <c r="B728" s="2651" t="s">
        <v>9053</v>
      </c>
      <c r="C728" s="2651" t="s">
        <v>9062</v>
      </c>
      <c r="D728" s="2651" t="s">
        <v>9071</v>
      </c>
    </row>
    <row r="729" spans="1:4" x14ac:dyDescent="0.15">
      <c r="A729" t="s">
        <v>9085</v>
      </c>
      <c r="B729" s="2651" t="s">
        <v>9054</v>
      </c>
      <c r="C729" s="2651" t="s">
        <v>9063</v>
      </c>
      <c r="D729" s="2651" t="s">
        <v>9072</v>
      </c>
    </row>
    <row r="730" spans="1:4" x14ac:dyDescent="0.15">
      <c r="A730" t="s">
        <v>9086</v>
      </c>
      <c r="B730" s="2651" t="s">
        <v>9055</v>
      </c>
      <c r="C730" s="2651" t="s">
        <v>9064</v>
      </c>
      <c r="D730" s="2651" t="s">
        <v>9073</v>
      </c>
    </row>
    <row r="731" spans="1:4" x14ac:dyDescent="0.15">
      <c r="A731" t="s">
        <v>9087</v>
      </c>
      <c r="B731" s="2651" t="s">
        <v>9056</v>
      </c>
      <c r="C731" s="2651" t="s">
        <v>9065</v>
      </c>
      <c r="D731" s="2651" t="s">
        <v>9074</v>
      </c>
    </row>
    <row r="732" spans="1:4" x14ac:dyDescent="0.15">
      <c r="A732" t="s">
        <v>9088</v>
      </c>
      <c r="B732" s="2651" t="s">
        <v>9057</v>
      </c>
      <c r="C732" s="2651" t="s">
        <v>9066</v>
      </c>
      <c r="D732" s="2651" t="s">
        <v>9075</v>
      </c>
    </row>
    <row r="733" spans="1:4" x14ac:dyDescent="0.15">
      <c r="A733" t="s">
        <v>9089</v>
      </c>
      <c r="B733" s="2651" t="s">
        <v>9058</v>
      </c>
      <c r="C733" s="2651" t="s">
        <v>9067</v>
      </c>
      <c r="D733" s="2651" t="s">
        <v>9076</v>
      </c>
    </row>
    <row r="734" spans="1:4" x14ac:dyDescent="0.15">
      <c r="A734" t="s">
        <v>9090</v>
      </c>
      <c r="B734" s="2651" t="s">
        <v>9059</v>
      </c>
      <c r="C734" s="2651" t="s">
        <v>9068</v>
      </c>
      <c r="D734" s="2651" t="s">
        <v>9077</v>
      </c>
    </row>
    <row r="735" spans="1:4" x14ac:dyDescent="0.15">
      <c r="A735" t="s">
        <v>9091</v>
      </c>
      <c r="B735" s="2651" t="s">
        <v>9060</v>
      </c>
      <c r="C735" s="2651" t="s">
        <v>9069</v>
      </c>
      <c r="D735" s="2651" t="s">
        <v>9078</v>
      </c>
    </row>
    <row r="736" spans="1:4" x14ac:dyDescent="0.15">
      <c r="A736" t="s">
        <v>9092</v>
      </c>
      <c r="B736" s="2651" t="s">
        <v>9061</v>
      </c>
      <c r="C736" s="2651" t="s">
        <v>9070</v>
      </c>
      <c r="D736" s="2651" t="s">
        <v>9079</v>
      </c>
    </row>
    <row r="737" spans="1:4" x14ac:dyDescent="0.15">
      <c r="A737" t="s">
        <v>9093</v>
      </c>
      <c r="B737" s="2651" t="s">
        <v>9082</v>
      </c>
      <c r="C737" s="2651" t="s">
        <v>9081</v>
      </c>
      <c r="D737" s="2651" t="s">
        <v>9080</v>
      </c>
    </row>
    <row r="738" spans="1:4" x14ac:dyDescent="0.15">
      <c r="A738" t="s">
        <v>9094</v>
      </c>
      <c r="B738" s="2651" t="s">
        <v>8936</v>
      </c>
    </row>
    <row r="739" spans="1:4" x14ac:dyDescent="0.15">
      <c r="A739" t="s">
        <v>9095</v>
      </c>
      <c r="B739" s="2651" t="s">
        <v>8937</v>
      </c>
    </row>
    <row r="740" spans="1:4" x14ac:dyDescent="0.15">
      <c r="A740" t="s">
        <v>9096</v>
      </c>
      <c r="B740" s="2651" t="s">
        <v>8938</v>
      </c>
    </row>
    <row r="741" spans="1:4" x14ac:dyDescent="0.15">
      <c r="A741" t="s">
        <v>9097</v>
      </c>
      <c r="B741" s="2651" t="s">
        <v>8939</v>
      </c>
    </row>
    <row r="742" spans="1:4" x14ac:dyDescent="0.15">
      <c r="A742" t="s">
        <v>9098</v>
      </c>
      <c r="B742" s="2651" t="s">
        <v>8940</v>
      </c>
    </row>
    <row r="743" spans="1:4" x14ac:dyDescent="0.15">
      <c r="A743" t="s">
        <v>9099</v>
      </c>
      <c r="B743" s="2651" t="s">
        <v>8941</v>
      </c>
    </row>
  </sheetData>
  <mergeCells count="2">
    <mergeCell ref="A1:A2"/>
    <mergeCell ref="B1:B2"/>
  </mergeCells>
  <phoneticPr fontId="1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3.5" x14ac:dyDescent="0.15"/>
  <cols>
    <col min="1" max="1" customWidth="true" width="18.33203125" collapsed="false"/>
    <col min="2" max="3" customWidth="true" width="6.77734375" collapsed="false"/>
    <col min="4" max="7" customWidth="true" width="8.109375" collapsed="false"/>
    <col min="8" max="11" customWidth="true" width="10.33203125" collapsed="false"/>
    <col min="12" max="15" customWidth="true" width="8.109375" collapsed="false"/>
    <col min="16" max="17" customWidth="true" width="6.77734375" collapsed="false"/>
    <col min="18" max="18" customWidth="true" width="18.33203125" collapsed="false"/>
  </cols>
  <sheetData>
    <row r="1" spans="1:21" x14ac:dyDescent="0.15">
      <c r="A1" s="2694" t="s">
        <v>9602</v>
      </c>
    </row>
    <row r="2" spans="1:21" ht="14.25" thickBot="1" x14ac:dyDescent="0.2">
      <c r="A2" s="124"/>
      <c r="D2" s="125"/>
      <c r="E2" s="125"/>
      <c r="F2" s="125"/>
      <c r="G2" s="125"/>
      <c r="H2" s="124"/>
      <c r="I2" s="124"/>
      <c r="J2" s="124"/>
      <c r="K2" s="124"/>
      <c r="L2" s="125"/>
      <c r="M2" s="125"/>
      <c r="N2" s="125"/>
      <c r="O2" s="125"/>
      <c r="P2" s="125"/>
      <c r="Q2" s="125"/>
      <c r="S2" s="2147"/>
    </row>
    <row r="3" spans="1:21" ht="15" thickTop="1" thickBot="1" x14ac:dyDescent="0.2">
      <c r="A3" s="126" t="s">
        <v>6978</v>
      </c>
      <c r="D3" s="126"/>
      <c r="E3" s="126"/>
      <c r="F3" s="126"/>
      <c r="G3" s="126"/>
      <c r="H3" s="124"/>
      <c r="I3" s="3661" t="s">
        <v>4989</v>
      </c>
      <c r="J3" s="3667"/>
      <c r="K3" s="124"/>
      <c r="L3" s="126"/>
      <c r="M3" s="126"/>
      <c r="N3" s="126"/>
      <c r="O3" s="126"/>
      <c r="P3" s="126"/>
      <c r="Q3" s="126"/>
    </row>
    <row r="4" spans="1:21" ht="30" customHeight="1" thickTop="1" thickBot="1" x14ac:dyDescent="0.2">
      <c r="A4" s="127"/>
      <c r="B4" s="128"/>
      <c r="C4" s="128"/>
      <c r="D4" s="129"/>
      <c r="E4" s="129"/>
      <c r="F4" s="130"/>
      <c r="G4" s="129"/>
      <c r="H4" s="131"/>
      <c r="I4" s="128"/>
      <c r="J4" s="132"/>
      <c r="K4" s="1371" t="s">
        <v>4562</v>
      </c>
      <c r="L4" s="1368">
        <v>2.2999999999999998</v>
      </c>
      <c r="M4" s="1369">
        <v>2.1</v>
      </c>
      <c r="N4" s="1370">
        <v>2.9</v>
      </c>
      <c r="O4" s="508" t="s">
        <v>4563</v>
      </c>
      <c r="P4" s="133"/>
      <c r="Q4" s="128"/>
      <c r="R4" s="528" t="s">
        <v>6980</v>
      </c>
    </row>
    <row r="5" spans="1:21" ht="20.100000000000001" customHeight="1" thickTop="1" thickBot="1" x14ac:dyDescent="0.2">
      <c r="A5" s="134" t="s">
        <v>4629</v>
      </c>
      <c r="B5" s="135" t="s">
        <v>4565</v>
      </c>
      <c r="C5" s="136" t="s">
        <v>4566</v>
      </c>
      <c r="D5" s="135" t="s">
        <v>4567</v>
      </c>
      <c r="E5" s="135" t="s">
        <v>4568</v>
      </c>
      <c r="F5" s="135" t="s">
        <v>4569</v>
      </c>
      <c r="G5" s="135" t="s">
        <v>4570</v>
      </c>
      <c r="H5" s="137" t="s">
        <v>4571</v>
      </c>
      <c r="I5" s="138" t="s">
        <v>4572</v>
      </c>
      <c r="J5" s="139" t="s">
        <v>4572</v>
      </c>
      <c r="K5" s="135" t="s">
        <v>4571</v>
      </c>
      <c r="L5" s="135" t="s">
        <v>4567</v>
      </c>
      <c r="M5" s="135" t="s">
        <v>4568</v>
      </c>
      <c r="N5" s="135" t="s">
        <v>4569</v>
      </c>
      <c r="O5" s="135" t="s">
        <v>4570</v>
      </c>
      <c r="P5" s="135" t="s">
        <v>4565</v>
      </c>
      <c r="Q5" s="136" t="s">
        <v>4566</v>
      </c>
      <c r="R5" s="140" t="s">
        <v>4629</v>
      </c>
      <c r="S5" s="2691"/>
      <c r="U5" s="2691"/>
    </row>
    <row r="6" spans="1:21" ht="20.100000000000001" customHeight="1" thickTop="1" x14ac:dyDescent="0.15">
      <c r="A6" s="636" t="s">
        <v>6944</v>
      </c>
      <c r="B6" s="142" t="s">
        <v>4631</v>
      </c>
      <c r="C6" s="152" t="s">
        <v>4575</v>
      </c>
      <c r="D6" s="2654" cm="1" t="n">
        <f t="array" ref="D6">INDEX('6층_부하량'!F3:F3000,MATCH(1,("6-DaHall 1-CEP-05"='6층_부하량'!A3:A3000)*(1='6층_부하량'!B3:B3000),0))</f>
        <v>59.42</v>
      </c>
      <c r="E6" s="2654" cm="1" t="n">
        <f t="array" ref="E6">INDEX('6층_부하량'!G3:G3000,MATCH(1,("6-DaHall 1-CEP-05"='6층_부하량'!A3:A3000)*(1='6층_부하량'!B3:B3000),0))</f>
        <v>60.51</v>
      </c>
      <c r="F6" s="2654" cm="1" t="n">
        <f t="array" ref="F6">INDEX('6층_부하량'!H3:H3000,MATCH(1,("6-DaHall 1-CEP-05"='6층_부하량'!A3:A3000)*(1='6층_부하량'!B3:B3000),0))</f>
        <v>58.78</v>
      </c>
      <c r="G6" s="352"/>
      <c r="H6" s="142" t="s">
        <v>4990</v>
      </c>
      <c r="I6" s="145" t="s">
        <v>4633</v>
      </c>
      <c r="J6" s="1289"/>
      <c r="K6" s="1289"/>
      <c r="L6" s="1290"/>
      <c r="M6" s="1290"/>
      <c r="N6" s="1290"/>
      <c r="O6" s="1290"/>
      <c r="P6" s="1289"/>
      <c r="Q6" s="1291"/>
      <c r="R6" s="1292"/>
    </row>
    <row r="7" spans="1:21" ht="20.100000000000001" customHeight="1" x14ac:dyDescent="0.15">
      <c r="A7" s="1293"/>
      <c r="B7" s="143" t="s">
        <v>565</v>
      </c>
      <c r="C7" s="189" t="s">
        <v>4723</v>
      </c>
      <c r="D7" s="1294" t="s">
        <v>4991</v>
      </c>
      <c r="E7" s="1294" t="s">
        <v>4992</v>
      </c>
      <c r="F7" s="1294" t="s">
        <v>4993</v>
      </c>
      <c r="G7" s="1294" t="s">
        <v>4994</v>
      </c>
      <c r="H7" s="143" t="s">
        <v>4995</v>
      </c>
      <c r="I7" s="150" t="s">
        <v>4863</v>
      </c>
      <c r="J7" s="151" t="s">
        <v>4582</v>
      </c>
      <c r="K7" s="143" t="s">
        <v>4968</v>
      </c>
      <c r="L7" s="2655" cm="1" t="n">
        <f t="array" ref="L7">INDEX('6층_부하량'!F3:F3000,MATCH(1,("6-DaHall 1-CEP-05"='6층_부하량'!A3:A3000)*(3='6층_부하량'!B3:B3000),0))</f>
        <v>0.0</v>
      </c>
      <c r="M7" s="2655" cm="1" t="n">
        <f t="array" ref="M7">INDEX('6층_부하량'!G3:G3000,MATCH(1,("6-DaHall 1-CEP-05"='6층_부하량'!A3:A3000)*(3='6층_부하량'!B3:B3000),0))</f>
        <v>0.0</v>
      </c>
      <c r="N7" s="2655" cm="1" t="n">
        <f t="array" ref="N7">INDEX('6층_부하량'!H3:H3000,MATCH(1,("6-DaHall 1-CEP-05"='6층_부하량'!A3:A3000)*(3='6층_부하량'!B3:B3000),0))</f>
        <v>0.0</v>
      </c>
      <c r="O7" s="149"/>
      <c r="P7" s="143" t="s">
        <v>565</v>
      </c>
      <c r="Q7" s="143" t="s">
        <v>4642</v>
      </c>
      <c r="R7" s="153"/>
    </row>
    <row r="8" spans="1:21" ht="27" x14ac:dyDescent="0.15">
      <c r="A8" s="2538" t="s">
        <v>6979</v>
      </c>
      <c r="B8" s="143" t="s">
        <v>4631</v>
      </c>
      <c r="C8" s="189" t="s">
        <v>4575</v>
      </c>
      <c r="D8" s="2656" cm="1" t="n">
        <f t="array" ref="D8">INDEX('6층_부하량'!F3:F3000,MATCH(1,("6-DaHall 1-CEP-05"='6층_부하량'!A3:A3000)*(4='6층_부하량'!B3:B3000),0))</f>
        <v>0.0</v>
      </c>
      <c r="E8" s="2656" cm="1" t="n">
        <f t="array" ref="E8">INDEX('6층_부하량'!G3:G3000,MATCH(1,("6-DaHall 1-CEP-05"='6층_부하량'!A3:A3000)*(4='6층_부하량'!B3:B3000),0))</f>
        <v>0.0</v>
      </c>
      <c r="F8" s="2656" cm="1" t="n">
        <f t="array" ref="F8">INDEX('6층_부하량'!H3:H3000,MATCH(1,("6-DaHall 1-CEP-05"='6층_부하량'!A3:A3000)*(4='6층_부하량'!B3:B3000),0))</f>
        <v>0.0</v>
      </c>
      <c r="G8" s="343"/>
      <c r="H8" s="143" t="s">
        <v>4996</v>
      </c>
      <c r="I8" s="154" t="s">
        <v>4865</v>
      </c>
      <c r="J8" s="155" t="s">
        <v>4587</v>
      </c>
      <c r="K8" s="156" t="s">
        <v>4996</v>
      </c>
      <c r="L8" s="2656" cm="1" t="n">
        <f t="array" ref="L8">INDEX('6층_부하량'!F3:F3000,MATCH(1,("6-DaHall 1-CEP-05"='6층_부하량'!A3:A3000)*(5='6층_부하량'!B3:B3000),0))</f>
        <v>0.0</v>
      </c>
      <c r="M8" s="2656" cm="1" t="n">
        <f t="array" ref="M8">INDEX('6층_부하량'!G3:G3000,MATCH(1,("6-DaHall 1-CEP-05"='6층_부하량'!A3:A3000)*(5='6층_부하량'!B3:B3000),0))</f>
        <v>0.0</v>
      </c>
      <c r="N8" s="2656" cm="1" t="n">
        <f t="array" ref="N8">INDEX('6층_부하량'!H3:H3000,MATCH(1,("6-DaHall 1-CEP-05"='6층_부하량'!A3:A3000)*(5='6층_부하량'!B3:B3000),0))</f>
        <v>0.0</v>
      </c>
      <c r="O8" s="157"/>
      <c r="P8" s="143" t="s">
        <v>565</v>
      </c>
      <c r="Q8" s="143" t="s">
        <v>4642</v>
      </c>
      <c r="R8" s="153"/>
    </row>
    <row r="9" spans="1:21" ht="20.100000000000001" customHeight="1" x14ac:dyDescent="0.15">
      <c r="A9" s="257"/>
      <c r="B9" s="143" t="s">
        <v>565</v>
      </c>
      <c r="C9" s="143" t="s">
        <v>4642</v>
      </c>
      <c r="D9" s="2656" cm="1" t="n">
        <f t="array" ref="D9">INDEX('6층_부하량'!F3:F3000,MATCH(1,("6-DaHall 1-CEP-05"='6층_부하량'!A3:A3000)*(6='6층_부하량'!B3:B3000),0))</f>
        <v>0.0</v>
      </c>
      <c r="E9" s="2656" cm="1" t="n">
        <f t="array" ref="E9">INDEX('6층_부하량'!G3:G3000,MATCH(1,("6-DaHall 1-CEP-05"='6층_부하량'!A3:A3000)*(6='6층_부하량'!B3:B3000),0))</f>
        <v>0.0</v>
      </c>
      <c r="F9" s="2656" cm="1" t="n">
        <f t="array" ref="F9">INDEX('6층_부하량'!H3:H3000,MATCH(1,("6-DaHall 1-CEP-05"='6층_부하량'!A3:A3000)*(6='6층_부하량'!B3:B3000),0))</f>
        <v>0.0</v>
      </c>
      <c r="G9" s="157"/>
      <c r="H9" s="143" t="s">
        <v>4996</v>
      </c>
      <c r="I9" s="154" t="s">
        <v>4868</v>
      </c>
      <c r="J9" s="155" t="s">
        <v>4592</v>
      </c>
      <c r="K9" s="143" t="s">
        <v>4996</v>
      </c>
      <c r="L9" s="2656" cm="1" t="n">
        <f t="array" ref="L9">INDEX('6층_부하량'!F3:F3000,MATCH(1,("6-DaHall 1-CEP-05"='6층_부하량'!A3:A3000)*(7='6층_부하량'!B3:B3000),0))</f>
        <v>0.0</v>
      </c>
      <c r="M9" s="2656" cm="1" t="n">
        <f t="array" ref="M9">INDEX('6층_부하량'!G3:G3000,MATCH(1,("6-DaHall 1-CEP-05"='6층_부하량'!A3:A3000)*(7='6층_부하량'!B3:B3000),0))</f>
        <v>0.0</v>
      </c>
      <c r="N9" s="2656" cm="1" t="n">
        <f t="array" ref="N9">INDEX('6층_부하량'!H3:H3000,MATCH(1,("6-DaHall 1-CEP-05"='6층_부하량'!A3:A3000)*(7='6층_부하량'!B3:B3000),0))</f>
        <v>0.0</v>
      </c>
      <c r="O9" s="157"/>
      <c r="P9" s="143" t="s">
        <v>4631</v>
      </c>
      <c r="Q9" s="143" t="s">
        <v>4642</v>
      </c>
      <c r="R9" s="153" t="s">
        <v>4997</v>
      </c>
    </row>
    <row r="10" spans="1:21" ht="20.100000000000001" customHeight="1" x14ac:dyDescent="0.15">
      <c r="A10" s="257"/>
      <c r="B10" s="143" t="s">
        <v>565</v>
      </c>
      <c r="C10" s="143" t="s">
        <v>4642</v>
      </c>
      <c r="D10" s="2656" cm="1" t="n">
        <f t="array" ref="D10">INDEX('6층_부하량'!F3:F3000,MATCH(1,("6-DaHall 1-CEP-05"='6층_부하량'!A3:A3000)*(8='6층_부하량'!B3:B3000),0))</f>
        <v>0.0</v>
      </c>
      <c r="E10" s="2656" cm="1" t="n">
        <f t="array" ref="E10">INDEX('6층_부하량'!G3:G3000,MATCH(1,("6-DaHall 1-CEP-05"='6층_부하량'!A3:A3000)*(8='6층_부하량'!B3:B3000),0))</f>
        <v>0.0</v>
      </c>
      <c r="F10" s="2656" cm="1" t="n">
        <f t="array" ref="F10">INDEX('6층_부하량'!H3:H3000,MATCH(1,("6-DaHall 1-CEP-05"='6층_부하량'!A3:A3000)*(8='6층_부하량'!B3:B3000),0))</f>
        <v>0.0</v>
      </c>
      <c r="G10" s="157"/>
      <c r="H10" s="143" t="s">
        <v>4996</v>
      </c>
      <c r="I10" s="154" t="s">
        <v>4871</v>
      </c>
      <c r="J10" s="155" t="s">
        <v>4595</v>
      </c>
      <c r="K10" s="156" t="s">
        <v>4996</v>
      </c>
      <c r="L10" s="2656" cm="1" t="n">
        <f t="array" ref="L10">INDEX('6층_부하량'!F3:F3000,MATCH(1,("6-DaHall 1-CEP-05"='6층_부하량'!A3:A3000)*(9='6층_부하량'!B3:B3000),0))</f>
        <v>0.0</v>
      </c>
      <c r="M10" s="2656" cm="1" t="n">
        <f t="array" ref="M10">INDEX('6층_부하량'!G3:G3000,MATCH(1,("6-DaHall 1-CEP-05"='6층_부하량'!A3:A3000)*(9='6층_부하량'!B3:B3000),0))</f>
        <v>0.0</v>
      </c>
      <c r="N10" s="2656" cm="1" t="n">
        <f t="array" ref="N10">INDEX('6층_부하량'!H3:H3000,MATCH(1,("6-DaHall 1-CEP-05"='6층_부하량'!A3:A3000)*(9='6층_부하량'!B3:B3000),0))</f>
        <v>0.0</v>
      </c>
      <c r="O10" s="157"/>
      <c r="P10" s="143" t="s">
        <v>565</v>
      </c>
      <c r="Q10" s="159" t="s">
        <v>4642</v>
      </c>
      <c r="R10" s="153"/>
    </row>
    <row r="11" spans="1:21" ht="20.100000000000001" customHeight="1" thickBot="1" x14ac:dyDescent="0.2">
      <c r="A11" s="158" t="s">
        <v>4998</v>
      </c>
      <c r="B11" s="159" t="s">
        <v>4590</v>
      </c>
      <c r="C11" s="159" t="s">
        <v>4642</v>
      </c>
      <c r="D11" s="2665" cm="1" t="n">
        <f t="array" ref="D11">INDEX('6층_부하량'!F3:F3000,MATCH(1,("6-DaHall 1-CEP-05"='6층_부하량'!A3:A3000)*(10='6층_부하량'!B3:B3000),0))</f>
        <v>0.0</v>
      </c>
      <c r="E11" s="2665" cm="1" t="n">
        <f t="array" ref="E11">INDEX('6층_부하량'!G3:G3000,MATCH(1,("6-DaHall 1-CEP-05"='6층_부하량'!A3:A3000)*(10='6층_부하량'!B3:B3000),0))</f>
        <v>0.0</v>
      </c>
      <c r="F11" s="2665" cm="1" t="n">
        <f t="array" ref="F11">INDEX('6층_부하량'!H3:H3000,MATCH(1,("6-DaHall 1-CEP-05"='6층_부하량'!A3:A3000)*(10='6층_부하량'!B3:B3000),0))</f>
        <v>0.0</v>
      </c>
      <c r="G11" s="160"/>
      <c r="H11" s="159" t="s">
        <v>4996</v>
      </c>
      <c r="I11" s="161" t="s">
        <v>4874</v>
      </c>
      <c r="J11" s="162" t="s">
        <v>4598</v>
      </c>
      <c r="K11" s="159" t="s">
        <v>4964</v>
      </c>
      <c r="L11" s="2665" cm="1" t="n">
        <f t="array" ref="L11">INDEX('6층_부하량'!F3:F3000,MATCH(1,("6-DaHall 1-CEP-05"='6층_부하량'!A3:A3000)*(11='6층_부하량'!B3:B3000),0))</f>
        <v>53.54</v>
      </c>
      <c r="M11" s="2666" cm="1" t="n">
        <f t="array" ref="M11">INDEX('6층_부하량'!G3:G3000,MATCH(1,("6-DaHall 1-CEP-05"='6층_부하량'!A3:A3000)*(11='6층_부하량'!B3:B3000),0))</f>
        <v>53.5</v>
      </c>
      <c r="N11" s="2666" cm="1" t="n">
        <f t="array" ref="N11">INDEX('6층_부하량'!H3:H3000,MATCH(1,("6-DaHall 1-CEP-05"='6층_부하량'!A3:A3000)*(11='6층_부하량'!B3:B3000),0))</f>
        <v>66.13</v>
      </c>
      <c r="O11" s="354"/>
      <c r="P11" s="177" t="s">
        <v>4574</v>
      </c>
      <c r="Q11" s="2340" t="s">
        <v>4575</v>
      </c>
      <c r="R11" s="635" t="s">
        <v>4999</v>
      </c>
    </row>
    <row r="12" spans="1:21" ht="20.100000000000001" customHeight="1" thickTop="1" x14ac:dyDescent="0.15">
      <c r="A12" s="636"/>
      <c r="B12" s="142" t="s">
        <v>4579</v>
      </c>
      <c r="C12" s="2341" t="s">
        <v>4723</v>
      </c>
      <c r="D12" s="2667" cm="1" t="n">
        <f t="array" ref="D12">INDEX('6층_부하량'!F3:F3000,MATCH(1,("6-DaHall 1-CEP-05"='6층_부하량'!A3:A3000)*(12='6층_부하량'!B3:B3000),0))</f>
        <v>0.0</v>
      </c>
      <c r="E12" s="163"/>
      <c r="F12" s="163"/>
      <c r="G12" s="163"/>
      <c r="H12" s="142" t="s">
        <v>5000</v>
      </c>
      <c r="I12" s="145" t="s">
        <v>4876</v>
      </c>
      <c r="J12" s="328" t="s">
        <v>4600</v>
      </c>
      <c r="K12" s="142" t="s">
        <v>5000</v>
      </c>
      <c r="L12" s="2667" cm="1" t="n">
        <f t="array" ref="L12">INDEX('6층_부하량'!F3:F3000,MATCH(1,("6-DaHall 1-CEP-05"='6층_부하량'!A3:A3000)*(13='6층_부하량'!B3:B3000),0))</f>
        <v>0.0</v>
      </c>
      <c r="M12" s="163"/>
      <c r="N12" s="163"/>
      <c r="O12" s="163"/>
      <c r="P12" s="179" t="s">
        <v>4635</v>
      </c>
      <c r="Q12" s="156" t="s">
        <v>4584</v>
      </c>
      <c r="R12" s="327"/>
    </row>
    <row r="13" spans="1:21" ht="27" x14ac:dyDescent="0.15">
      <c r="A13" s="1325"/>
      <c r="B13" s="143" t="s">
        <v>4579</v>
      </c>
      <c r="C13" s="143" t="s">
        <v>4584</v>
      </c>
      <c r="D13" s="157"/>
      <c r="E13" s="2656" cm="1" t="n">
        <f t="array" ref="E13">INDEX('6층_부하량'!G3:G3000,MATCH(1,("6-DaHall 1-CEP-05"='6층_부하량'!A3:A3000)*(14='6층_부하량'!B3:B3000),0))</f>
        <v>48.86</v>
      </c>
      <c r="F13" s="157"/>
      <c r="G13" s="157"/>
      <c r="H13" s="143" t="s">
        <v>5000</v>
      </c>
      <c r="I13" s="150" t="s">
        <v>4880</v>
      </c>
      <c r="J13" s="329" t="s">
        <v>4602</v>
      </c>
      <c r="K13" s="143" t="s">
        <v>5001</v>
      </c>
      <c r="L13" s="157"/>
      <c r="M13" s="2656" cm="1" t="n">
        <f t="array" ref="M13">INDEX('6층_부하량'!G3:G3000,MATCH(1,("6-DaHall 1-CEP-05"='6층_부하량'!A3:A3000)*(15='6층_부하량'!B3:B3000),0))</f>
        <v>15.0</v>
      </c>
      <c r="N13" s="157"/>
      <c r="O13" s="157"/>
      <c r="P13" s="157" t="s">
        <v>4635</v>
      </c>
      <c r="Q13" s="309" t="s">
        <v>4575</v>
      </c>
      <c r="R13" s="326" t="s">
        <v>6981</v>
      </c>
    </row>
    <row r="14" spans="1:21" ht="27.75" thickBot="1" x14ac:dyDescent="0.2">
      <c r="A14" s="324"/>
      <c r="B14" s="166" t="s">
        <v>4579</v>
      </c>
      <c r="C14" s="166" t="s">
        <v>4584</v>
      </c>
      <c r="D14" s="167"/>
      <c r="E14" s="167"/>
      <c r="F14" s="2659" cm="1" t="n">
        <f t="array" ref="F14">INDEX('6층_부하량'!H3:H3000,MATCH(1,("6-DaHall 1-CEP-05"='6층_부하량'!A3:A3000)*(16='6층_부하량'!B3:B3000),0))</f>
        <v>8.0</v>
      </c>
      <c r="G14" s="167"/>
      <c r="H14" s="166" t="s">
        <v>5000</v>
      </c>
      <c r="I14" s="168" t="s">
        <v>4883</v>
      </c>
      <c r="J14" s="290" t="s">
        <v>4604</v>
      </c>
      <c r="K14" s="166" t="s">
        <v>5001</v>
      </c>
      <c r="L14" s="167"/>
      <c r="M14" s="167"/>
      <c r="N14" s="2659" cm="1" t="n">
        <f t="array" ref="N14">INDEX('6층_부하량'!H3:H3000,MATCH(1,("6-DaHall 1-CEP-05"='6층_부하량'!A3:A3000)*(17='6층_부하량'!B3:B3000),0))</f>
        <v>13.74</v>
      </c>
      <c r="O14" s="167"/>
      <c r="P14" s="166" t="s">
        <v>4579</v>
      </c>
      <c r="Q14" s="288" t="s">
        <v>4575</v>
      </c>
      <c r="R14" s="325" t="s">
        <v>6982</v>
      </c>
    </row>
    <row r="15" spans="1:21" ht="20.100000000000001" customHeight="1" thickTop="1" x14ac:dyDescent="0.15">
      <c r="A15" s="171"/>
      <c r="B15" s="128"/>
      <c r="C15" s="128" t="s">
        <v>2800</v>
      </c>
      <c r="D15" s="131" t="n">
        <f>SUM(D12:F14)+SUM(L12:N14)</f>
        <v>85.6</v>
      </c>
      <c r="E15" s="131"/>
      <c r="F15" s="131"/>
      <c r="G15" s="131"/>
      <c r="H15" s="133"/>
      <c r="I15" s="172"/>
      <c r="J15" s="172"/>
      <c r="K15" s="128" t="s">
        <v>4713</v>
      </c>
      <c r="L15" s="131" t="n">
        <f>SUM(D6:D14,L6:L14)</f>
        <v>112.96000000000001</v>
      </c>
      <c r="M15" s="131" t="n">
        <f>SUM(E6:E14,M6:M14)</f>
        <v>177.87</v>
      </c>
      <c r="N15" s="131" t="n">
        <f>SUM(F6:F14,N6:N14)</f>
        <v>146.65</v>
      </c>
      <c r="O15" s="131" t="n">
        <f>SUM(G6:G14,O6:O14)</f>
        <v>0.0</v>
      </c>
      <c r="P15" s="131"/>
      <c r="Q15" s="128"/>
      <c r="R15" s="131"/>
    </row>
    <row r="16" spans="1:21" ht="20.100000000000001" customHeight="1" thickBot="1" x14ac:dyDescent="0.2">
      <c r="A16" s="171"/>
      <c r="B16" s="128"/>
      <c r="C16" s="128"/>
      <c r="D16" s="131"/>
      <c r="E16" s="131"/>
      <c r="F16" s="131"/>
      <c r="G16" s="131"/>
      <c r="H16" s="133"/>
      <c r="I16" s="172"/>
      <c r="J16" s="172"/>
      <c r="K16" s="133"/>
      <c r="L16" s="131" t="n">
        <f>SUM(L15:O15)</f>
        <v>437.48</v>
      </c>
      <c r="M16" s="131" t="n">
        <f>SUM(D12:O14)</f>
        <v>85.6</v>
      </c>
      <c r="N16" s="1005" t="n">
        <f>M16/L16</f>
        <v>0.19566608759257564</v>
      </c>
      <c r="O16" s="131"/>
      <c r="P16" s="131"/>
      <c r="Q16" s="128"/>
      <c r="R16" s="131"/>
    </row>
    <row r="17" spans="1:18" ht="20.100000000000001" customHeight="1" thickTop="1" thickBot="1" x14ac:dyDescent="0.2">
      <c r="A17" s="173" t="s">
        <v>6997</v>
      </c>
      <c r="B17" s="128"/>
      <c r="C17" s="3660" t="s">
        <v>5002</v>
      </c>
      <c r="D17" s="3660"/>
      <c r="E17" s="3660"/>
      <c r="F17" s="173"/>
      <c r="G17" s="173"/>
      <c r="H17" s="133"/>
      <c r="I17" s="3665" t="s">
        <v>5003</v>
      </c>
      <c r="J17" s="3666"/>
      <c r="K17" s="133"/>
      <c r="L17" s="173"/>
      <c r="M17" s="173"/>
      <c r="N17" s="173"/>
      <c r="O17" s="173"/>
      <c r="P17" s="173"/>
      <c r="Q17" s="173"/>
      <c r="R17" s="128"/>
    </row>
    <row r="18" spans="1:18" ht="20.100000000000001" customHeight="1" thickTop="1" thickBot="1" x14ac:dyDescent="0.2">
      <c r="A18" s="127"/>
      <c r="B18" s="128"/>
      <c r="C18" s="128"/>
      <c r="D18" s="129"/>
      <c r="E18" s="129"/>
      <c r="F18" s="130"/>
      <c r="G18" s="129"/>
      <c r="H18" s="131"/>
      <c r="I18" s="128"/>
      <c r="J18" s="132"/>
      <c r="K18" s="1371" t="s">
        <v>4562</v>
      </c>
      <c r="L18" s="1368">
        <v>0</v>
      </c>
      <c r="M18" s="1369">
        <v>0</v>
      </c>
      <c r="N18" s="1370">
        <v>0</v>
      </c>
      <c r="O18" s="508" t="s">
        <v>4563</v>
      </c>
      <c r="P18" s="133"/>
      <c r="Q18" s="128"/>
      <c r="R18" s="528"/>
    </row>
    <row r="19" spans="1:18" ht="20.100000000000001" customHeight="1" thickTop="1" thickBot="1" x14ac:dyDescent="0.2">
      <c r="A19" s="134" t="s">
        <v>4564</v>
      </c>
      <c r="B19" s="135" t="s">
        <v>4565</v>
      </c>
      <c r="C19" s="136" t="s">
        <v>4566</v>
      </c>
      <c r="D19" s="135" t="s">
        <v>4567</v>
      </c>
      <c r="E19" s="135" t="s">
        <v>4568</v>
      </c>
      <c r="F19" s="135" t="s">
        <v>4569</v>
      </c>
      <c r="G19" s="135" t="s">
        <v>4570</v>
      </c>
      <c r="H19" s="135" t="s">
        <v>4571</v>
      </c>
      <c r="I19" s="138" t="s">
        <v>4572</v>
      </c>
      <c r="J19" s="139" t="s">
        <v>4572</v>
      </c>
      <c r="K19" s="135" t="s">
        <v>4571</v>
      </c>
      <c r="L19" s="135" t="s">
        <v>4567</v>
      </c>
      <c r="M19" s="135" t="s">
        <v>4568</v>
      </c>
      <c r="N19" s="135" t="s">
        <v>4569</v>
      </c>
      <c r="O19" s="135" t="s">
        <v>4570</v>
      </c>
      <c r="P19" s="135" t="s">
        <v>4565</v>
      </c>
      <c r="Q19" s="136" t="s">
        <v>4566</v>
      </c>
      <c r="R19" s="140" t="s">
        <v>4564</v>
      </c>
    </row>
    <row r="20" spans="1:18" ht="27.75" thickTop="1" x14ac:dyDescent="0.15">
      <c r="A20" s="265" t="s">
        <v>5004</v>
      </c>
      <c r="B20" s="142" t="s">
        <v>4574</v>
      </c>
      <c r="C20" s="283" t="s">
        <v>4575</v>
      </c>
      <c r="D20" s="144"/>
      <c r="E20" s="2654" cm="1" t="n">
        <f t="array" ref="E20">INDEX('6층_부하량'!G3:G3000,MATCH(1,("6-DaHall 1-PDU-13"='6층_부하량'!A3:A3000)*(1='6층_부하량'!B3:B3000),0))</f>
        <v>0.0</v>
      </c>
      <c r="F20" s="144"/>
      <c r="G20" s="144"/>
      <c r="H20" s="142" t="s">
        <v>4576</v>
      </c>
      <c r="I20" s="145" t="s">
        <v>4577</v>
      </c>
      <c r="J20" s="1458" t="s">
        <v>4578</v>
      </c>
      <c r="K20" s="142" t="s">
        <v>4576</v>
      </c>
      <c r="L20" s="144"/>
      <c r="M20" s="2654" cm="1" t="n">
        <f t="array" ref="M20">INDEX('6층_부하량'!G3:G3000,MATCH(1,("6-DaHall 1-PDU-13"='6층_부하량'!A3:A3000)*(2='6층_부하량'!B3:B3000),0))</f>
        <v>0.0</v>
      </c>
      <c r="N20" s="144"/>
      <c r="O20" s="144"/>
      <c r="P20" s="142" t="s">
        <v>4579</v>
      </c>
      <c r="Q20" s="156" t="s">
        <v>4584</v>
      </c>
      <c r="R20" s="276" t="s">
        <v>5005</v>
      </c>
    </row>
    <row r="21" spans="1:18" ht="27" x14ac:dyDescent="0.15">
      <c r="A21" s="263" t="s">
        <v>1932</v>
      </c>
      <c r="B21" s="143" t="s">
        <v>4574</v>
      </c>
      <c r="C21" s="283" t="s">
        <v>4575</v>
      </c>
      <c r="D21" s="149"/>
      <c r="E21" s="149"/>
      <c r="F21" s="2655" cm="1" t="n">
        <f t="array" ref="F21">INDEX('6층_부하량'!H3:H3000,MATCH(1,("6-DaHall 1-PDU-13"='6층_부하량'!A3:A3000)*(3='6층_부하량'!B3:B3000),0))</f>
        <v>0.0</v>
      </c>
      <c r="G21" s="149"/>
      <c r="H21" s="143" t="s">
        <v>4576</v>
      </c>
      <c r="I21" s="150" t="s">
        <v>4582</v>
      </c>
      <c r="J21" s="1459" t="s">
        <v>4583</v>
      </c>
      <c r="K21" s="143" t="s">
        <v>4576</v>
      </c>
      <c r="L21" s="149"/>
      <c r="M21" s="149"/>
      <c r="N21" s="2655" cm="1" t="n">
        <f t="array" ref="N21">INDEX('6층_부하량'!H3:H3000,MATCH(1,("6-DaHall 1-PDU-13"='6층_부하량'!A3:A3000)*(4='6층_부하량'!B3:B3000),0))</f>
        <v>0.0</v>
      </c>
      <c r="O21" s="149"/>
      <c r="P21" s="143" t="s">
        <v>4579</v>
      </c>
      <c r="Q21" s="143" t="s">
        <v>4584</v>
      </c>
      <c r="R21" s="264" t="s">
        <v>5006</v>
      </c>
    </row>
    <row r="22" spans="1:18" ht="20.100000000000001" customHeight="1" x14ac:dyDescent="0.15">
      <c r="A22" s="258" t="s">
        <v>1937</v>
      </c>
      <c r="B22" s="143" t="s">
        <v>4574</v>
      </c>
      <c r="C22" s="283" t="s">
        <v>4575</v>
      </c>
      <c r="D22" s="2656" cm="1" t="n">
        <f t="array" ref="D22">INDEX('6층_부하량'!F3:F3000,MATCH(1,("6-DaHall 1-PDU-13"='6층_부하량'!A3:A3000)*(5='6층_부하량'!B3:B3000),0))</f>
        <v>0.0</v>
      </c>
      <c r="E22" s="157"/>
      <c r="F22" s="157"/>
      <c r="G22" s="157"/>
      <c r="H22" s="143" t="s">
        <v>4576</v>
      </c>
      <c r="I22" s="150" t="s">
        <v>4587</v>
      </c>
      <c r="J22" s="1459" t="s">
        <v>4588</v>
      </c>
      <c r="K22" s="143" t="s">
        <v>4576</v>
      </c>
      <c r="L22" s="2656" cm="1" t="n">
        <f t="array" ref="L22">INDEX('6층_부하량'!F3:F3000,MATCH(1,("6-DaHall 1-PDU-13"='6층_부하량'!A3:A3000)*(6='6층_부하량'!B3:B3000),0))</f>
        <v>0.0</v>
      </c>
      <c r="M22" s="157"/>
      <c r="N22" s="157"/>
      <c r="O22" s="157"/>
      <c r="P22" s="143" t="s">
        <v>4579</v>
      </c>
      <c r="Q22" s="143" t="s">
        <v>4584</v>
      </c>
      <c r="R22" s="256" t="s">
        <v>5007</v>
      </c>
    </row>
    <row r="23" spans="1:18" ht="20.100000000000001" customHeight="1" x14ac:dyDescent="0.15">
      <c r="A23" s="260" t="s">
        <v>1942</v>
      </c>
      <c r="B23" s="143" t="s">
        <v>4574</v>
      </c>
      <c r="C23" s="283" t="s">
        <v>4575</v>
      </c>
      <c r="D23" s="157"/>
      <c r="E23" s="2656" cm="1" t="n">
        <f t="array" ref="E23">INDEX('6층_부하량'!G3:G3000,MATCH(1,("6-DaHall 1-PDU-13"='6층_부하량'!A3:A3000)*(7='6층_부하량'!B3:B3000),0))</f>
        <v>0.0</v>
      </c>
      <c r="F23" s="157"/>
      <c r="G23" s="157"/>
      <c r="H23" s="143" t="s">
        <v>4576</v>
      </c>
      <c r="I23" s="150" t="s">
        <v>4592</v>
      </c>
      <c r="J23" s="1459" t="s">
        <v>4593</v>
      </c>
      <c r="K23" s="143" t="s">
        <v>4576</v>
      </c>
      <c r="L23" s="157"/>
      <c r="M23" s="2656" cm="1" t="n">
        <f t="array" ref="M23">INDEX('6층_부하량'!G3:G3000,MATCH(1,("6-DaHall 1-PDU-13"='6층_부하량'!A3:A3000)*(8='6층_부하량'!B3:B3000),0))</f>
        <v>0.0</v>
      </c>
      <c r="N23" s="157"/>
      <c r="O23" s="157"/>
      <c r="P23" s="143" t="s">
        <v>4574</v>
      </c>
      <c r="Q23" s="143" t="s">
        <v>4591</v>
      </c>
      <c r="R23" s="256" t="s">
        <v>1345</v>
      </c>
    </row>
    <row r="24" spans="1:18" ht="20.100000000000001" customHeight="1" x14ac:dyDescent="0.15">
      <c r="A24" s="258" t="s">
        <v>5008</v>
      </c>
      <c r="B24" s="143" t="s">
        <v>4574</v>
      </c>
      <c r="C24" s="143" t="s">
        <v>4591</v>
      </c>
      <c r="D24" s="157"/>
      <c r="E24" s="157"/>
      <c r="F24" s="2656" cm="1" t="n">
        <f t="array" ref="F24">INDEX('6층_부하량'!H3:H3000,MATCH(1,("6-DaHall 1-PDU-13"='6층_부하량'!A3:A3000)*(9='6층_부하량'!B3:B3000),0))</f>
        <v>0.0</v>
      </c>
      <c r="G24" s="157"/>
      <c r="H24" s="143" t="s">
        <v>4576</v>
      </c>
      <c r="I24" s="1465" t="s">
        <v>4595</v>
      </c>
      <c r="J24" s="1459" t="s">
        <v>4596</v>
      </c>
      <c r="K24" s="143" t="s">
        <v>4597</v>
      </c>
      <c r="L24" s="157"/>
      <c r="M24" s="157"/>
      <c r="N24" s="2656" cm="1" t="n">
        <f t="array" ref="N24">INDEX('6층_부하량'!H3:H3000,MATCH(1,("6-DaHall 1-PDU-13"='6층_부하량'!A3:A3000)*(10='6층_부하량'!B3:B3000),0))</f>
        <v>0.0</v>
      </c>
      <c r="O24" s="157"/>
      <c r="P24" s="143" t="s">
        <v>4574</v>
      </c>
      <c r="Q24" s="143" t="s">
        <v>4591</v>
      </c>
      <c r="R24" s="256" t="s">
        <v>1349</v>
      </c>
    </row>
    <row r="25" spans="1:18" ht="20.100000000000001" customHeight="1" x14ac:dyDescent="0.15">
      <c r="A25" s="258" t="s">
        <v>1436</v>
      </c>
      <c r="B25" s="143" t="s">
        <v>4574</v>
      </c>
      <c r="C25" s="143" t="s">
        <v>4591</v>
      </c>
      <c r="D25" s="2656" cm="1" t="n">
        <f t="array" ref="D25">INDEX('6층_부하량'!F3:F3000,MATCH(1,("6-DaHall 1-PDU-13"='6층_부하량'!A3:A3000)*(11='6층_부하량'!B3:B3000),0))</f>
        <v>0.0</v>
      </c>
      <c r="E25" s="157"/>
      <c r="F25" s="157"/>
      <c r="G25" s="157"/>
      <c r="H25" s="143" t="s">
        <v>4576</v>
      </c>
      <c r="I25" s="1465" t="s">
        <v>4598</v>
      </c>
      <c r="J25" s="1459" t="s">
        <v>4599</v>
      </c>
      <c r="K25" s="143" t="s">
        <v>4597</v>
      </c>
      <c r="L25" s="2656" cm="1" t="n">
        <f t="array" ref="L25">INDEX('6층_부하량'!F3:F3000,MATCH(1,("6-DaHall 1-PDU-13"='6층_부하량'!A3:A3000)*(12='6층_부하량'!B3:B3000),0))</f>
        <v>0.0</v>
      </c>
      <c r="M25" s="157"/>
      <c r="N25" s="157"/>
      <c r="O25" s="157"/>
      <c r="P25" s="143" t="s">
        <v>4574</v>
      </c>
      <c r="Q25" s="143" t="s">
        <v>4591</v>
      </c>
      <c r="R25" s="256" t="s">
        <v>1353</v>
      </c>
    </row>
    <row r="26" spans="1:18" ht="20.100000000000001" customHeight="1" x14ac:dyDescent="0.15">
      <c r="A26" s="258" t="s">
        <v>1440</v>
      </c>
      <c r="B26" s="143" t="s">
        <v>4574</v>
      </c>
      <c r="C26" s="143" t="s">
        <v>4591</v>
      </c>
      <c r="D26" s="149"/>
      <c r="E26" s="2655" cm="1" t="n">
        <f t="array" ref="E26">INDEX('6층_부하량'!G3:G3000,MATCH(1,("6-DaHall 1-PDU-13"='6층_부하량'!A3:A3000)*(13='6층_부하량'!B3:B3000),0))</f>
        <v>0.0</v>
      </c>
      <c r="F26" s="149"/>
      <c r="G26" s="157"/>
      <c r="H26" s="143" t="s">
        <v>4597</v>
      </c>
      <c r="I26" s="1465" t="s">
        <v>4600</v>
      </c>
      <c r="J26" s="1459" t="s">
        <v>4601</v>
      </c>
      <c r="K26" s="143" t="s">
        <v>4597</v>
      </c>
      <c r="L26" s="149"/>
      <c r="M26" s="2655" cm="1" t="n">
        <f t="array" ref="M26">INDEX('6층_부하량'!G3:G3000,MATCH(1,("6-DaHall 1-PDU-13"='6층_부하량'!A3:A3000)*(14='6층_부하량'!B3:B3000),0))</f>
        <v>0.0</v>
      </c>
      <c r="N26" s="149"/>
      <c r="O26" s="157"/>
      <c r="P26" s="143" t="s">
        <v>4574</v>
      </c>
      <c r="Q26" s="143" t="s">
        <v>4591</v>
      </c>
      <c r="R26" s="256" t="s">
        <v>1357</v>
      </c>
    </row>
    <row r="27" spans="1:18" ht="20.100000000000001" customHeight="1" x14ac:dyDescent="0.15">
      <c r="A27" s="258" t="s">
        <v>1444</v>
      </c>
      <c r="B27" s="143" t="s">
        <v>4574</v>
      </c>
      <c r="C27" s="143" t="s">
        <v>4591</v>
      </c>
      <c r="D27" s="157"/>
      <c r="E27" s="157"/>
      <c r="F27" s="2656" cm="1" t="n">
        <f t="array" ref="F27">INDEX('6층_부하량'!H3:H3000,MATCH(1,("6-DaHall 1-PDU-13"='6층_부하량'!A3:A3000)*(15='6층_부하량'!B3:B3000),0))</f>
        <v>0.0</v>
      </c>
      <c r="G27" s="157"/>
      <c r="H27" s="143" t="s">
        <v>4597</v>
      </c>
      <c r="I27" s="1465" t="s">
        <v>4602</v>
      </c>
      <c r="J27" s="1459" t="s">
        <v>4603</v>
      </c>
      <c r="K27" s="143" t="s">
        <v>4597</v>
      </c>
      <c r="L27" s="157"/>
      <c r="M27" s="157"/>
      <c r="N27" s="2656" cm="1" t="n">
        <f t="array" ref="N27">INDEX('6층_부하량'!H3:H3000,MATCH(1,("6-DaHall 1-PDU-13"='6층_부하량'!A3:A3000)*(16='6층_부하량'!B3:B3000),0))</f>
        <v>0.0</v>
      </c>
      <c r="O27" s="157"/>
      <c r="P27" s="143" t="s">
        <v>4574</v>
      </c>
      <c r="Q27" s="143" t="s">
        <v>4591</v>
      </c>
      <c r="R27" s="256" t="s">
        <v>1361</v>
      </c>
    </row>
    <row r="28" spans="1:18" ht="20.100000000000001" customHeight="1" x14ac:dyDescent="0.15">
      <c r="A28" s="258" t="s">
        <v>1448</v>
      </c>
      <c r="B28" s="143" t="s">
        <v>4574</v>
      </c>
      <c r="C28" s="143" t="s">
        <v>4591</v>
      </c>
      <c r="D28" s="2656" cm="1" t="n">
        <f t="array" ref="D28">INDEX('6층_부하량'!F3:F3000,MATCH(1,("6-DaHall 1-PDU-13"='6층_부하량'!A3:A3000)*(17='6층_부하량'!B3:B3000),0))</f>
        <v>0.0</v>
      </c>
      <c r="E28" s="157"/>
      <c r="F28" s="157"/>
      <c r="G28" s="157"/>
      <c r="H28" s="143" t="s">
        <v>4597</v>
      </c>
      <c r="I28" s="1465" t="s">
        <v>4604</v>
      </c>
      <c r="J28" s="1459" t="s">
        <v>4605</v>
      </c>
      <c r="K28" s="143" t="s">
        <v>4597</v>
      </c>
      <c r="L28" s="2656" cm="1" t="n">
        <f t="array" ref="L28">INDEX('6층_부하량'!F3:F3000,MATCH(1,("6-DaHall 1-PDU-13"='6층_부하량'!A3:A3000)*(18='6층_부하량'!B3:B3000),0))</f>
        <v>0.0</v>
      </c>
      <c r="M28" s="157"/>
      <c r="N28" s="157"/>
      <c r="O28" s="157"/>
      <c r="P28" s="143" t="s">
        <v>4574</v>
      </c>
      <c r="Q28" s="143" t="s">
        <v>4591</v>
      </c>
      <c r="R28" s="256" t="s">
        <v>1365</v>
      </c>
    </row>
    <row r="29" spans="1:18" ht="20.100000000000001" customHeight="1" x14ac:dyDescent="0.15">
      <c r="A29" s="258" t="s">
        <v>1452</v>
      </c>
      <c r="B29" s="143" t="s">
        <v>4574</v>
      </c>
      <c r="C29" s="143" t="s">
        <v>4591</v>
      </c>
      <c r="D29" s="149"/>
      <c r="E29" s="2655" cm="1" t="n">
        <f t="array" ref="E29">INDEX('6층_부하량'!G3:G3000,MATCH(1,("6-DaHall 1-PDU-13"='6층_부하량'!A3:A3000)*(19='6층_부하량'!B3:B3000),0))</f>
        <v>0.0</v>
      </c>
      <c r="F29" s="149"/>
      <c r="G29" s="157"/>
      <c r="H29" s="143" t="s">
        <v>4597</v>
      </c>
      <c r="I29" s="1465" t="s">
        <v>4608</v>
      </c>
      <c r="J29" s="1460" t="s">
        <v>4609</v>
      </c>
      <c r="K29" s="143" t="s">
        <v>4597</v>
      </c>
      <c r="L29" s="149"/>
      <c r="M29" s="2655" cm="1" t="n">
        <f t="array" ref="M29">INDEX('6층_부하량'!G3:G3000,MATCH(1,("6-DaHall 1-PDU-13"='6층_부하량'!A3:A3000)*(20='6층_부하량'!B3:B3000),0))</f>
        <v>0.0</v>
      </c>
      <c r="N29" s="149"/>
      <c r="O29" s="157"/>
      <c r="P29" s="157" t="s">
        <v>4574</v>
      </c>
      <c r="Q29" s="143" t="s">
        <v>4591</v>
      </c>
      <c r="R29" s="153" t="s">
        <v>5009</v>
      </c>
    </row>
    <row r="30" spans="1:18" ht="20.100000000000001" customHeight="1" x14ac:dyDescent="0.15">
      <c r="A30" s="258" t="s">
        <v>1456</v>
      </c>
      <c r="B30" s="143" t="s">
        <v>4574</v>
      </c>
      <c r="C30" s="143" t="s">
        <v>4591</v>
      </c>
      <c r="D30" s="157"/>
      <c r="E30" s="157"/>
      <c r="F30" s="2656" cm="1" t="n">
        <f t="array" ref="F30">INDEX('6층_부하량'!H3:H3000,MATCH(1,("6-DaHall 1-PDU-13"='6층_부하량'!A3:A3000)*(21='6층_부하량'!B3:B3000),0))</f>
        <v>0.0</v>
      </c>
      <c r="G30" s="157"/>
      <c r="H30" s="143" t="s">
        <v>4597</v>
      </c>
      <c r="I30" s="1465" t="s">
        <v>4612</v>
      </c>
      <c r="J30" s="1460" t="s">
        <v>4613</v>
      </c>
      <c r="K30" s="143" t="s">
        <v>4597</v>
      </c>
      <c r="L30" s="157"/>
      <c r="M30" s="157"/>
      <c r="N30" s="2656" cm="1" t="n">
        <f t="array" ref="N30">INDEX('6층_부하량'!H3:H3000,MATCH(1,("6-DaHall 1-PDU-13"='6층_부하량'!A3:A3000)*(22='6층_부하량'!B3:B3000),0))</f>
        <v>0.0</v>
      </c>
      <c r="O30" s="157"/>
      <c r="P30" s="157" t="s">
        <v>4574</v>
      </c>
      <c r="Q30" s="143" t="s">
        <v>4591</v>
      </c>
      <c r="R30" s="153" t="s">
        <v>5010</v>
      </c>
    </row>
    <row r="31" spans="1:18" ht="20.100000000000001" customHeight="1" x14ac:dyDescent="0.15">
      <c r="A31" s="258" t="s">
        <v>1460</v>
      </c>
      <c r="B31" s="143" t="s">
        <v>4574</v>
      </c>
      <c r="C31" s="143" t="s">
        <v>4591</v>
      </c>
      <c r="D31" s="2656" cm="1" t="n">
        <f t="array" ref="D31">INDEX('6층_부하량'!F3:F3000,MATCH(1,("6-DaHall 1-PDU-13"='6층_부하량'!A3:A3000)*(23='6층_부하량'!B3:B3000),0))</f>
        <v>0.0</v>
      </c>
      <c r="E31" s="157"/>
      <c r="F31" s="157"/>
      <c r="G31" s="157"/>
      <c r="H31" s="143" t="s">
        <v>4597</v>
      </c>
      <c r="I31" s="1465" t="s">
        <v>4896</v>
      </c>
      <c r="J31" s="1460" t="s">
        <v>4680</v>
      </c>
      <c r="K31" s="143" t="s">
        <v>4597</v>
      </c>
      <c r="L31" s="2656" cm="1" t="n">
        <f t="array" ref="L31">INDEX('6층_부하량'!F3:F3000,MATCH(1,("6-DaHall 1-PDU-13"='6층_부하량'!A3:A3000)*(24='6층_부하량'!B3:B3000),0))</f>
        <v>0.0</v>
      </c>
      <c r="M31" s="157"/>
      <c r="N31" s="157"/>
      <c r="O31" s="157"/>
      <c r="P31" s="157" t="s">
        <v>4574</v>
      </c>
      <c r="Q31" s="143" t="s">
        <v>4591</v>
      </c>
      <c r="R31" s="153" t="s">
        <v>5011</v>
      </c>
    </row>
    <row r="32" spans="1:18" ht="20.100000000000001" customHeight="1" x14ac:dyDescent="0.15">
      <c r="A32" s="258" t="s">
        <v>5012</v>
      </c>
      <c r="B32" s="143" t="s">
        <v>4574</v>
      </c>
      <c r="C32" s="143" t="s">
        <v>4591</v>
      </c>
      <c r="D32" s="149"/>
      <c r="E32" s="2655" cm="1" t="n">
        <f t="array" ref="E32">INDEX('6층_부하량'!G3:G3000,MATCH(1,("6-DaHall 1-PDU-13"='6층_부하량'!A3:A3000)*(25='6층_부하량'!B3:B3000),0))</f>
        <v>0.0</v>
      </c>
      <c r="F32" s="149"/>
      <c r="G32" s="157"/>
      <c r="H32" s="143" t="s">
        <v>4597</v>
      </c>
      <c r="I32" s="1465" t="s">
        <v>4900</v>
      </c>
      <c r="J32" s="1460" t="s">
        <v>4685</v>
      </c>
      <c r="K32" s="143" t="s">
        <v>4597</v>
      </c>
      <c r="L32" s="149"/>
      <c r="M32" s="2655" cm="1" t="n">
        <f t="array" ref="M32">INDEX('6층_부하량'!G3:G3000,MATCH(1,("6-DaHall 1-PDU-13"='6층_부하량'!A3:A3000)*(26='6층_부하량'!B3:B3000),0))</f>
        <v>0.0</v>
      </c>
      <c r="N32" s="149"/>
      <c r="O32" s="157"/>
      <c r="P32" s="157" t="s">
        <v>4574</v>
      </c>
      <c r="Q32" s="143" t="s">
        <v>4591</v>
      </c>
      <c r="R32" s="153" t="s">
        <v>5013</v>
      </c>
    </row>
    <row r="33" spans="1:18" ht="20.100000000000001" customHeight="1" thickBot="1" x14ac:dyDescent="0.2">
      <c r="A33" s="261" t="s">
        <v>1404</v>
      </c>
      <c r="B33" s="159" t="s">
        <v>4574</v>
      </c>
      <c r="C33" s="176" t="s">
        <v>4642</v>
      </c>
      <c r="D33" s="160"/>
      <c r="E33" s="160"/>
      <c r="F33" s="2665" cm="1" t="n">
        <f t="array" ref="F33">INDEX('6층_부하량'!H3:H3000,MATCH(1,("6-DaHall 1-PDU-13"='6층_부하량'!A3:A3000)*(27='6층_부하량'!B3:B3000),0))</f>
        <v>0.0</v>
      </c>
      <c r="G33" s="160"/>
      <c r="H33" s="176" t="s">
        <v>4597</v>
      </c>
      <c r="I33" s="1466" t="s">
        <v>4904</v>
      </c>
      <c r="J33" s="1461" t="s">
        <v>4689</v>
      </c>
      <c r="K33" s="176" t="s">
        <v>4597</v>
      </c>
      <c r="L33" s="160"/>
      <c r="M33" s="160"/>
      <c r="N33" s="2665" cm="1" t="n">
        <f t="array" ref="N33">INDEX('6층_부하량'!H3:H3000,MATCH(1,("6-DaHall 1-PDU-13"='6층_부하량'!A3:A3000)*(28='6층_부하량'!B3:B3000),0))</f>
        <v>0.0</v>
      </c>
      <c r="O33" s="177"/>
      <c r="P33" s="177" t="s">
        <v>4574</v>
      </c>
      <c r="Q33" s="286" t="s">
        <v>4575</v>
      </c>
      <c r="R33" s="609" t="s">
        <v>5014</v>
      </c>
    </row>
    <row r="34" spans="1:18" ht="20.100000000000001" customHeight="1" thickTop="1" x14ac:dyDescent="0.15">
      <c r="A34" s="260" t="s">
        <v>1408</v>
      </c>
      <c r="B34" s="142" t="s">
        <v>4574</v>
      </c>
      <c r="C34" s="156" t="s">
        <v>4591</v>
      </c>
      <c r="D34" s="2667" cm="1" t="n">
        <f t="array" ref="D34">INDEX('6층_부하량'!F3:F3000,MATCH(1,("6-DaHall 1-PDU-13"='6층_부하량'!A3:A3000)*(29='6층_부하량'!B3:B3000),0))</f>
        <v>0.0</v>
      </c>
      <c r="E34" s="163"/>
      <c r="F34" s="163"/>
      <c r="G34" s="163"/>
      <c r="H34" s="156" t="s">
        <v>4597</v>
      </c>
      <c r="I34" s="1467" t="s">
        <v>4909</v>
      </c>
      <c r="J34" s="1462" t="s">
        <v>4692</v>
      </c>
      <c r="K34" s="156" t="s">
        <v>4597</v>
      </c>
      <c r="L34" s="2667" cm="1" t="n">
        <f t="array" ref="L34">INDEX('6층_부하량'!F3:F3000,MATCH(1,("6-DaHall 1-PDU-13"='6층_부하량'!A3:A3000)*(30='6층_부하량'!B3:B3000),0))</f>
        <v>0.0</v>
      </c>
      <c r="M34" s="163"/>
      <c r="N34" s="163"/>
      <c r="O34" s="179"/>
      <c r="P34" s="179" t="s">
        <v>4574</v>
      </c>
      <c r="Q34" s="287" t="s">
        <v>4575</v>
      </c>
      <c r="R34" s="610" t="s">
        <v>5015</v>
      </c>
    </row>
    <row r="35" spans="1:18" ht="20.100000000000001" customHeight="1" x14ac:dyDescent="0.15">
      <c r="A35" s="258" t="s">
        <v>1412</v>
      </c>
      <c r="B35" s="143" t="s">
        <v>4574</v>
      </c>
      <c r="C35" s="143" t="s">
        <v>4591</v>
      </c>
      <c r="D35" s="149"/>
      <c r="E35" s="2655" cm="1" t="n">
        <f t="array" ref="E35">INDEX('6층_부하량'!G3:G3000,MATCH(1,("6-DaHall 1-PDU-13"='6층_부하량'!A3:A3000)*(31='6층_부하량'!B3:B3000),0))</f>
        <v>0.0</v>
      </c>
      <c r="F35" s="149"/>
      <c r="G35" s="157"/>
      <c r="H35" s="143" t="s">
        <v>4597</v>
      </c>
      <c r="I35" s="1465" t="s">
        <v>4914</v>
      </c>
      <c r="J35" s="1460" t="s">
        <v>4694</v>
      </c>
      <c r="K35" s="143" t="s">
        <v>4597</v>
      </c>
      <c r="L35" s="149"/>
      <c r="M35" s="2655" cm="1" t="n">
        <f t="array" ref="M35">INDEX('6층_부하량'!G3:G3000,MATCH(1,("6-DaHall 1-PDU-13"='6층_부하량'!A3:A3000)*(32='6층_부하량'!B3:B3000),0))</f>
        <v>0.0</v>
      </c>
      <c r="N35" s="149"/>
      <c r="O35" s="157"/>
      <c r="P35" s="157" t="s">
        <v>4574</v>
      </c>
      <c r="Q35" s="283" t="s">
        <v>4575</v>
      </c>
      <c r="R35" s="611" t="s">
        <v>5016</v>
      </c>
    </row>
    <row r="36" spans="1:18" ht="20.100000000000001" customHeight="1" x14ac:dyDescent="0.15">
      <c r="A36" s="258" t="s">
        <v>1416</v>
      </c>
      <c r="B36" s="143" t="s">
        <v>4574</v>
      </c>
      <c r="C36" s="143" t="s">
        <v>4591</v>
      </c>
      <c r="D36" s="157"/>
      <c r="E36" s="157"/>
      <c r="F36" s="2656" cm="1" t="n">
        <f t="array" ref="F36">INDEX('6층_부하량'!H3:H3000,MATCH(1,("6-DaHall 1-PDU-13"='6층_부하량'!A3:A3000)*(33='6층_부하량'!B3:B3000),0))</f>
        <v>0.0</v>
      </c>
      <c r="G36" s="157"/>
      <c r="H36" s="143" t="s">
        <v>4597</v>
      </c>
      <c r="I36" s="1465" t="s">
        <v>4918</v>
      </c>
      <c r="J36" s="1460" t="s">
        <v>4698</v>
      </c>
      <c r="K36" s="143" t="s">
        <v>4597</v>
      </c>
      <c r="L36" s="157"/>
      <c r="M36" s="157"/>
      <c r="N36" s="2656" cm="1" t="n">
        <f t="array" ref="N36">INDEX('6층_부하량'!H3:H3000,MATCH(1,("6-DaHall 1-PDU-13"='6층_부하량'!A3:A3000)*(34='6층_부하량'!B3:B3000),0))</f>
        <v>0.0</v>
      </c>
      <c r="O36" s="157"/>
      <c r="P36" s="157" t="s">
        <v>4574</v>
      </c>
      <c r="Q36" s="283" t="s">
        <v>4575</v>
      </c>
      <c r="R36" s="611" t="s">
        <v>5017</v>
      </c>
    </row>
    <row r="37" spans="1:18" ht="20.100000000000001" customHeight="1" x14ac:dyDescent="0.15">
      <c r="A37" s="258" t="s">
        <v>1420</v>
      </c>
      <c r="B37" s="143" t="s">
        <v>4574</v>
      </c>
      <c r="C37" s="143" t="s">
        <v>4591</v>
      </c>
      <c r="D37" s="2656" cm="1" t="n">
        <f t="array" ref="D37">INDEX('6층_부하량'!F3:F3000,MATCH(1,("6-DaHall 1-PDU-13"='6층_부하량'!A3:A3000)*(35='6층_부하량'!B3:B3000),0))</f>
        <v>0.0</v>
      </c>
      <c r="E37" s="157"/>
      <c r="F37" s="157"/>
      <c r="G37" s="157"/>
      <c r="H37" s="143" t="s">
        <v>4597</v>
      </c>
      <c r="I37" s="1465" t="s">
        <v>4922</v>
      </c>
      <c r="J37" s="1463" t="s">
        <v>4703</v>
      </c>
      <c r="K37" s="143" t="s">
        <v>4597</v>
      </c>
      <c r="L37" s="2656" cm="1" t="n">
        <f t="array" ref="L37">INDEX('6층_부하량'!F3:F3000,MATCH(1,("6-DaHall 1-PDU-13"='6층_부하량'!A3:A3000)*(36='6층_부하량'!B3:B3000),0))</f>
        <v>0.0</v>
      </c>
      <c r="M37" s="157"/>
      <c r="N37" s="157"/>
      <c r="O37" s="157"/>
      <c r="P37" s="157" t="s">
        <v>4574</v>
      </c>
      <c r="Q37" s="143" t="s">
        <v>4591</v>
      </c>
      <c r="R37" s="153" t="s">
        <v>5018</v>
      </c>
    </row>
    <row r="38" spans="1:18" ht="20.100000000000001" customHeight="1" x14ac:dyDescent="0.15">
      <c r="A38" s="258" t="s">
        <v>1424</v>
      </c>
      <c r="B38" s="143" t="s">
        <v>4574</v>
      </c>
      <c r="C38" s="143" t="s">
        <v>4591</v>
      </c>
      <c r="D38" s="149"/>
      <c r="E38" s="2655" cm="1" t="n">
        <f t="array" ref="E38">INDEX('6층_부하량'!G3:G3000,MATCH(1,("6-DaHall 1-PDU-13"='6층_부하량'!A3:A3000)*(37='6층_부하량'!B3:B3000),0))</f>
        <v>0.0</v>
      </c>
      <c r="F38" s="149"/>
      <c r="G38" s="157"/>
      <c r="H38" s="143" t="s">
        <v>4597</v>
      </c>
      <c r="I38" s="1465" t="s">
        <v>4927</v>
      </c>
      <c r="J38" s="1463" t="s">
        <v>4707</v>
      </c>
      <c r="K38" s="143" t="s">
        <v>4597</v>
      </c>
      <c r="L38" s="149"/>
      <c r="M38" s="2655" cm="1" t="n">
        <f t="array" ref="M38">INDEX('6층_부하량'!G3:G3000,MATCH(1,("6-DaHall 1-PDU-13"='6층_부하량'!A3:A3000)*(38='6층_부하량'!B3:B3000),0))</f>
        <v>0.0</v>
      </c>
      <c r="N38" s="149"/>
      <c r="O38" s="157"/>
      <c r="P38" s="157" t="s">
        <v>4574</v>
      </c>
      <c r="Q38" s="143" t="s">
        <v>4591</v>
      </c>
      <c r="R38" s="153" t="s">
        <v>5019</v>
      </c>
    </row>
    <row r="39" spans="1:18" ht="20.100000000000001" customHeight="1" x14ac:dyDescent="0.15">
      <c r="A39" s="258" t="s">
        <v>5020</v>
      </c>
      <c r="B39" s="143" t="s">
        <v>4574</v>
      </c>
      <c r="C39" s="143" t="s">
        <v>4591</v>
      </c>
      <c r="D39" s="157"/>
      <c r="E39" s="157"/>
      <c r="F39" s="2656" cm="1" t="n">
        <f t="array" ref="F39">INDEX('6층_부하량'!H3:H3000,MATCH(1,("6-DaHall 1-PDU-13"='6층_부하량'!A3:A3000)*(39='6층_부하량'!B3:B3000),0))</f>
        <v>0.0</v>
      </c>
      <c r="G39" s="157"/>
      <c r="H39" s="143" t="s">
        <v>4597</v>
      </c>
      <c r="I39" s="1465" t="s">
        <v>4931</v>
      </c>
      <c r="J39" s="1460" t="s">
        <v>4711</v>
      </c>
      <c r="K39" s="143" t="s">
        <v>4597</v>
      </c>
      <c r="L39" s="157"/>
      <c r="M39" s="157"/>
      <c r="N39" s="2656" cm="1" t="n">
        <f t="array" ref="N39">INDEX('6층_부하량'!H3:H3000,MATCH(1,("6-DaHall 1-PDU-13"='6층_부하량'!A3:A3000)*(40='6층_부하량'!B3:B3000),0))</f>
        <v>0.0</v>
      </c>
      <c r="O39" s="157"/>
      <c r="P39" s="157" t="s">
        <v>4574</v>
      </c>
      <c r="Q39" s="283" t="s">
        <v>4575</v>
      </c>
      <c r="R39" s="612" t="s">
        <v>5021</v>
      </c>
    </row>
    <row r="40" spans="1:18" ht="20.100000000000001" customHeight="1" x14ac:dyDescent="0.15">
      <c r="A40" s="258" t="s">
        <v>5022</v>
      </c>
      <c r="B40" s="143" t="s">
        <v>4574</v>
      </c>
      <c r="C40" s="143" t="s">
        <v>4591</v>
      </c>
      <c r="D40" s="2656" cm="1" t="n">
        <f t="array" ref="D40">INDEX('6층_부하량'!F3:F3000,MATCH(1,("6-DaHall 1-PDU-13"='6층_부하량'!A3:A3000)*(41='6층_부하량'!B3:B3000),0))</f>
        <v>0.0</v>
      </c>
      <c r="E40" s="157"/>
      <c r="F40" s="157"/>
      <c r="G40" s="157"/>
      <c r="H40" s="143" t="s">
        <v>4597</v>
      </c>
      <c r="I40" s="1465" t="s">
        <v>4775</v>
      </c>
      <c r="J40" s="1460" t="s">
        <v>4843</v>
      </c>
      <c r="K40" s="143" t="s">
        <v>4597</v>
      </c>
      <c r="L40" s="2656" cm="1" t="n">
        <f t="array" ref="L40">INDEX('6층_부하량'!F3:F3000,MATCH(1,("6-DaHall 1-PDU-13"='6층_부하량'!A3:A3000)*(42='6층_부하량'!B3:B3000),0))</f>
        <v>0.0</v>
      </c>
      <c r="M40" s="157"/>
      <c r="N40" s="157"/>
      <c r="O40" s="157"/>
      <c r="P40" s="157" t="s">
        <v>4574</v>
      </c>
      <c r="Q40" s="143" t="s">
        <v>4591</v>
      </c>
      <c r="R40" s="613" t="s">
        <v>5023</v>
      </c>
    </row>
    <row r="41" spans="1:18" ht="20.100000000000001" customHeight="1" x14ac:dyDescent="0.15">
      <c r="A41" s="258" t="s">
        <v>1375</v>
      </c>
      <c r="B41" s="143" t="s">
        <v>4574</v>
      </c>
      <c r="C41" s="143" t="s">
        <v>4591</v>
      </c>
      <c r="D41" s="149"/>
      <c r="E41" s="2655" cm="1" t="n">
        <f t="array" ref="E41">INDEX('6층_부하량'!G3:G3000,MATCH(1,("6-DaHall 1-PDU-13"='6층_부하량'!A3:A3000)*(43='6층_부하량'!B3:B3000),0))</f>
        <v>0.0</v>
      </c>
      <c r="F41" s="149"/>
      <c r="G41" s="157"/>
      <c r="H41" s="143" t="s">
        <v>4597</v>
      </c>
      <c r="I41" s="1465" t="s">
        <v>4778</v>
      </c>
      <c r="J41" s="1460" t="s">
        <v>4846</v>
      </c>
      <c r="K41" s="143" t="s">
        <v>4597</v>
      </c>
      <c r="L41" s="149"/>
      <c r="M41" s="2655" cm="1" t="n">
        <f t="array" ref="M41">INDEX('6층_부하량'!G3:G3000,MATCH(1,("6-DaHall 1-PDU-13"='6층_부하량'!A3:A3000)*(44='6층_부하량'!B3:B3000),0))</f>
        <v>0.0</v>
      </c>
      <c r="N41" s="149"/>
      <c r="O41" s="157"/>
      <c r="P41" s="157" t="s">
        <v>4574</v>
      </c>
      <c r="Q41" s="143" t="s">
        <v>4591</v>
      </c>
      <c r="R41" s="256" t="s">
        <v>5024</v>
      </c>
    </row>
    <row r="42" spans="1:18" ht="20.100000000000001" customHeight="1" x14ac:dyDescent="0.15">
      <c r="A42" s="258" t="s">
        <v>1379</v>
      </c>
      <c r="B42" s="143" t="s">
        <v>4574</v>
      </c>
      <c r="C42" s="143" t="s">
        <v>4591</v>
      </c>
      <c r="D42" s="157"/>
      <c r="E42" s="157"/>
      <c r="F42" s="2656" cm="1" t="n">
        <f t="array" ref="F42">INDEX('6층_부하량'!H3:H3000,MATCH(1,("6-DaHall 1-PDU-13"='6층_부하량'!A3:A3000)*(45='6층_부하량'!B3:B3000),0))</f>
        <v>0.0</v>
      </c>
      <c r="G42" s="157"/>
      <c r="H42" s="143" t="s">
        <v>4597</v>
      </c>
      <c r="I42" s="1465" t="s">
        <v>4782</v>
      </c>
      <c r="J42" s="1460" t="s">
        <v>4848</v>
      </c>
      <c r="K42" s="143" t="s">
        <v>4597</v>
      </c>
      <c r="L42" s="157"/>
      <c r="M42" s="157"/>
      <c r="N42" s="2656" cm="1" t="n">
        <f t="array" ref="N42">INDEX('6층_부하량'!H3:H3000,MATCH(1,("6-DaHall 1-PDU-13"='6층_부하량'!A3:A3000)*(46='6층_부하량'!B3:B3000),0))</f>
        <v>0.0</v>
      </c>
      <c r="O42" s="157"/>
      <c r="P42" s="157" t="s">
        <v>4574</v>
      </c>
      <c r="Q42" s="143" t="s">
        <v>4591</v>
      </c>
      <c r="R42" s="256" t="s">
        <v>5025</v>
      </c>
    </row>
    <row r="43" spans="1:18" ht="20.100000000000001" customHeight="1" x14ac:dyDescent="0.15">
      <c r="A43" s="258" t="s">
        <v>1383</v>
      </c>
      <c r="B43" s="143" t="s">
        <v>4574</v>
      </c>
      <c r="C43" s="143" t="s">
        <v>4591</v>
      </c>
      <c r="D43" s="2656" cm="1" t="n">
        <f t="array" ref="D43">INDEX('6층_부하량'!F3:F3000,MATCH(1,("6-DaHall 1-PDU-13"='6층_부하량'!A3:A3000)*(47='6층_부하량'!B3:B3000),0))</f>
        <v>0.0</v>
      </c>
      <c r="E43" s="157"/>
      <c r="F43" s="157"/>
      <c r="G43" s="157"/>
      <c r="H43" s="143" t="s">
        <v>4597</v>
      </c>
      <c r="I43" s="1465" t="s">
        <v>4785</v>
      </c>
      <c r="J43" s="1460" t="s">
        <v>4850</v>
      </c>
      <c r="K43" s="143" t="s">
        <v>4597</v>
      </c>
      <c r="L43" s="2656" cm="1" t="n">
        <f t="array" ref="L43">INDEX('6층_부하량'!F3:F3000,MATCH(1,("6-DaHall 1-PDU-13"='6층_부하량'!A3:A3000)*(48='6층_부하량'!B3:B3000),0))</f>
        <v>0.0</v>
      </c>
      <c r="M43" s="157"/>
      <c r="N43" s="157"/>
      <c r="O43" s="157"/>
      <c r="P43" s="157" t="s">
        <v>4574</v>
      </c>
      <c r="Q43" s="143" t="s">
        <v>4591</v>
      </c>
      <c r="R43" s="264" t="s">
        <v>5026</v>
      </c>
    </row>
    <row r="44" spans="1:18" ht="20.100000000000001" customHeight="1" x14ac:dyDescent="0.15">
      <c r="A44" s="258" t="s">
        <v>1387</v>
      </c>
      <c r="B44" s="143" t="s">
        <v>4574</v>
      </c>
      <c r="C44" s="143" t="s">
        <v>4591</v>
      </c>
      <c r="D44" s="149"/>
      <c r="E44" s="2655" cm="1" t="n">
        <f t="array" ref="E44">INDEX('6층_부하량'!G3:G3000,MATCH(1,("6-DaHall 1-PDU-13"='6층_부하량'!A3:A3000)*(49='6층_부하량'!B3:B3000),0))</f>
        <v>0.0</v>
      </c>
      <c r="F44" s="149"/>
      <c r="G44" s="157"/>
      <c r="H44" s="143" t="s">
        <v>4597</v>
      </c>
      <c r="I44" s="1465" t="s">
        <v>4787</v>
      </c>
      <c r="J44" s="1460" t="s">
        <v>4852</v>
      </c>
      <c r="K44" s="143" t="s">
        <v>4597</v>
      </c>
      <c r="L44" s="149"/>
      <c r="M44" s="2655" cm="1" t="n">
        <f t="array" ref="M44">INDEX('6층_부하량'!G3:G3000,MATCH(1,("6-DaHall 1-PDU-13"='6층_부하량'!A3:A3000)*(50='6층_부하량'!B3:B3000),0))</f>
        <v>0.0</v>
      </c>
      <c r="N44" s="149"/>
      <c r="O44" s="157"/>
      <c r="P44" s="157" t="s">
        <v>4574</v>
      </c>
      <c r="Q44" s="143" t="s">
        <v>4591</v>
      </c>
      <c r="R44" s="264" t="s">
        <v>5027</v>
      </c>
    </row>
    <row r="45" spans="1:18" ht="20.100000000000001" customHeight="1" x14ac:dyDescent="0.15">
      <c r="A45" s="258" t="s">
        <v>1391</v>
      </c>
      <c r="B45" s="143" t="s">
        <v>4574</v>
      </c>
      <c r="C45" s="143" t="s">
        <v>4591</v>
      </c>
      <c r="D45" s="157"/>
      <c r="E45" s="157"/>
      <c r="F45" s="2656" cm="1" t="n">
        <f t="array" ref="F45">INDEX('6층_부하량'!H3:H3000,MATCH(1,("6-DaHall 1-PDU-13"='6층_부하량'!A3:A3000)*(51='6층_부하량'!B3:B3000),0))</f>
        <v>0.0</v>
      </c>
      <c r="G45" s="157"/>
      <c r="H45" s="143" t="s">
        <v>4597</v>
      </c>
      <c r="I45" s="1465" t="s">
        <v>4791</v>
      </c>
      <c r="J45" s="1460" t="s">
        <v>4854</v>
      </c>
      <c r="K45" s="143" t="s">
        <v>4597</v>
      </c>
      <c r="L45" s="157"/>
      <c r="M45" s="157"/>
      <c r="N45" s="2656" cm="1" t="n">
        <f t="array" ref="N45">INDEX('6층_부하량'!H3:H3000,MATCH(1,("6-DaHall 1-PDU-13"='6층_부하량'!A3:A3000)*(52='6층_부하량'!B3:B3000),0))</f>
        <v>0.0</v>
      </c>
      <c r="O45" s="157"/>
      <c r="P45" s="157" t="s">
        <v>4574</v>
      </c>
      <c r="Q45" s="283" t="s">
        <v>4575</v>
      </c>
      <c r="R45" s="614" t="s">
        <v>5028</v>
      </c>
    </row>
    <row r="46" spans="1:18" ht="20.100000000000001" customHeight="1" thickBot="1" x14ac:dyDescent="0.2">
      <c r="A46" s="259" t="s">
        <v>1395</v>
      </c>
      <c r="B46" s="166" t="s">
        <v>4574</v>
      </c>
      <c r="C46" s="166" t="s">
        <v>4642</v>
      </c>
      <c r="D46" s="2659" cm="1" t="n">
        <f t="array" ref="D46">INDEX('6층_부하량'!F3:F3000,MATCH(1,("6-DaHall 1-PDU-13"='6층_부하량'!A3:A3000)*(53='6층_부하량'!B3:B3000),0))</f>
        <v>0.0</v>
      </c>
      <c r="E46" s="167"/>
      <c r="F46" s="167"/>
      <c r="G46" s="167"/>
      <c r="H46" s="166" t="s">
        <v>4597</v>
      </c>
      <c r="I46" s="1468" t="s">
        <v>4796</v>
      </c>
      <c r="J46" s="1464" t="s">
        <v>4857</v>
      </c>
      <c r="K46" s="166" t="s">
        <v>4597</v>
      </c>
      <c r="L46" s="2659" cm="1" t="n">
        <f t="array" ref="L46">INDEX('6층_부하량'!F3:F3000,MATCH(1,("6-DaHall 1-PDU-13"='6층_부하량'!A3:A3000)*(54='6층_부하량'!B3:B3000),0))</f>
        <v>0.0</v>
      </c>
      <c r="M46" s="167"/>
      <c r="N46" s="167"/>
      <c r="O46" s="167"/>
      <c r="P46" s="167" t="s">
        <v>4574</v>
      </c>
      <c r="Q46" s="166" t="s">
        <v>4642</v>
      </c>
      <c r="R46" s="273" t="s">
        <v>5029</v>
      </c>
    </row>
    <row r="47" spans="1:18" ht="20.100000000000001" customHeight="1" thickTop="1" x14ac:dyDescent="0.15">
      <c r="A47" s="171"/>
      <c r="B47" s="133"/>
      <c r="C47" s="133"/>
      <c r="D47" s="131"/>
      <c r="E47" s="131"/>
      <c r="F47" s="131"/>
      <c r="G47" s="131"/>
      <c r="H47" s="133"/>
      <c r="I47" s="172"/>
      <c r="J47" s="172"/>
      <c r="K47" s="133" t="s">
        <v>4713</v>
      </c>
      <c r="L47" s="131" t="n">
        <f>SUM(D20:D46,L20:L46)</f>
        <v>0.0</v>
      </c>
      <c r="M47" s="131" t="n">
        <f>SUM(M45:M46,E20:E46,M20:M46)</f>
        <v>0.0</v>
      </c>
      <c r="N47" s="131" t="n">
        <f>SUM(F20:F46,N20:N46)</f>
        <v>0.0</v>
      </c>
      <c r="O47" s="131"/>
      <c r="P47" s="131"/>
      <c r="Q47" s="133"/>
      <c r="R47" s="131"/>
    </row>
    <row r="48" spans="1:18" ht="20.100000000000001" customHeight="1" thickBot="1" x14ac:dyDescent="0.2">
      <c r="A48" s="171"/>
      <c r="B48" s="128"/>
      <c r="C48" s="128"/>
      <c r="D48" s="171"/>
      <c r="E48" s="171"/>
      <c r="F48" s="171"/>
      <c r="G48" s="171"/>
      <c r="H48" s="133"/>
      <c r="I48" s="172"/>
      <c r="J48" s="172"/>
      <c r="K48" s="133"/>
      <c r="L48" s="171"/>
      <c r="M48" s="171"/>
      <c r="N48" s="171"/>
      <c r="O48" s="171"/>
      <c r="P48" s="171"/>
      <c r="Q48" s="128"/>
      <c r="R48" s="131"/>
    </row>
    <row r="49" spans="1:18" ht="20.100000000000001" customHeight="1" thickTop="1" thickBot="1" x14ac:dyDescent="0.2">
      <c r="A49" s="173" t="s">
        <v>6998</v>
      </c>
      <c r="B49" s="128"/>
      <c r="C49" s="3660" t="s">
        <v>5030</v>
      </c>
      <c r="D49" s="3660"/>
      <c r="E49" s="3660"/>
      <c r="F49" s="173"/>
      <c r="G49" s="173"/>
      <c r="H49" s="133"/>
      <c r="I49" s="3665" t="s">
        <v>4715</v>
      </c>
      <c r="J49" s="3666"/>
      <c r="K49" s="133"/>
      <c r="L49" s="173"/>
      <c r="M49" s="173"/>
      <c r="N49" s="173"/>
      <c r="O49" s="173"/>
      <c r="P49" s="173"/>
      <c r="Q49" s="173"/>
      <c r="R49" s="128"/>
    </row>
    <row r="50" spans="1:18" ht="20.100000000000001" customHeight="1" thickTop="1" thickBot="1" x14ac:dyDescent="0.2">
      <c r="A50" s="127"/>
      <c r="B50" s="128"/>
      <c r="C50" s="128"/>
      <c r="D50" s="129"/>
      <c r="E50" s="129"/>
      <c r="F50" s="130"/>
      <c r="G50" s="129"/>
      <c r="H50" s="131"/>
      <c r="I50" s="128"/>
      <c r="J50" s="132"/>
      <c r="K50" s="1371" t="s">
        <v>4562</v>
      </c>
      <c r="L50" s="1368">
        <v>0</v>
      </c>
      <c r="M50" s="1369">
        <v>0</v>
      </c>
      <c r="N50" s="1370">
        <v>0</v>
      </c>
      <c r="O50" s="508" t="s">
        <v>4563</v>
      </c>
      <c r="P50" s="133"/>
      <c r="Q50" s="128"/>
      <c r="R50" s="528"/>
    </row>
    <row r="51" spans="1:18" ht="20.100000000000001" customHeight="1" thickTop="1" thickBot="1" x14ac:dyDescent="0.2">
      <c r="A51" s="134" t="s">
        <v>4564</v>
      </c>
      <c r="B51" s="135" t="s">
        <v>5031</v>
      </c>
      <c r="C51" s="136" t="s">
        <v>4566</v>
      </c>
      <c r="D51" s="135" t="s">
        <v>5032</v>
      </c>
      <c r="E51" s="135" t="s">
        <v>5033</v>
      </c>
      <c r="F51" s="135" t="s">
        <v>5034</v>
      </c>
      <c r="G51" s="135" t="s">
        <v>5035</v>
      </c>
      <c r="H51" s="135" t="s">
        <v>5036</v>
      </c>
      <c r="I51" s="138" t="s">
        <v>5037</v>
      </c>
      <c r="J51" s="139" t="s">
        <v>5037</v>
      </c>
      <c r="K51" s="135" t="s">
        <v>5036</v>
      </c>
      <c r="L51" s="135" t="s">
        <v>5032</v>
      </c>
      <c r="M51" s="135" t="s">
        <v>5033</v>
      </c>
      <c r="N51" s="135" t="s">
        <v>5034</v>
      </c>
      <c r="O51" s="135" t="s">
        <v>5035</v>
      </c>
      <c r="P51" s="135" t="s">
        <v>5031</v>
      </c>
      <c r="Q51" s="136" t="s">
        <v>4566</v>
      </c>
      <c r="R51" s="140" t="s">
        <v>4564</v>
      </c>
    </row>
    <row r="52" spans="1:18" ht="27.75" thickTop="1" x14ac:dyDescent="0.15">
      <c r="A52" s="265" t="s">
        <v>5038</v>
      </c>
      <c r="B52" s="142" t="s">
        <v>4635</v>
      </c>
      <c r="C52" s="283" t="s">
        <v>4575</v>
      </c>
      <c r="D52" s="144"/>
      <c r="E52" s="2654" cm="1" t="n">
        <f t="array" ref="E52">INDEX('6층_부하량'!G3:G3000,MATCH(1,("6-DaHall 1-PDU-14"='6층_부하량'!A3:A3000)*(1='6층_부하량'!B3:B3000),0))</f>
        <v>0.0</v>
      </c>
      <c r="F52" s="144"/>
      <c r="G52" s="144"/>
      <c r="H52" s="142" t="s">
        <v>4597</v>
      </c>
      <c r="I52" s="1469" t="s">
        <v>4633</v>
      </c>
      <c r="J52" s="284" t="s">
        <v>4578</v>
      </c>
      <c r="K52" s="142" t="s">
        <v>4597</v>
      </c>
      <c r="L52" s="144"/>
      <c r="M52" s="2654" cm="1" t="n">
        <f t="array" ref="M52">INDEX('6층_부하량'!G3:G3000,MATCH(1,("6-DaHall 1-PDU-14"='6층_부하량'!A3:A3000)*(2='6층_부하량'!B3:B3000),0))</f>
        <v>0.0</v>
      </c>
      <c r="N52" s="144"/>
      <c r="O52" s="144"/>
      <c r="P52" s="142" t="s">
        <v>4579</v>
      </c>
      <c r="Q52" s="156" t="s">
        <v>4584</v>
      </c>
      <c r="R52" s="276" t="s">
        <v>5039</v>
      </c>
    </row>
    <row r="53" spans="1:18" ht="27" x14ac:dyDescent="0.15">
      <c r="A53" s="263" t="s">
        <v>1933</v>
      </c>
      <c r="B53" s="143" t="s">
        <v>4635</v>
      </c>
      <c r="C53" s="283" t="s">
        <v>4575</v>
      </c>
      <c r="D53" s="149"/>
      <c r="E53" s="149"/>
      <c r="F53" s="2655" cm="1" t="n">
        <f t="array" ref="F53">INDEX('6층_부하량'!H3:H3000,MATCH(1,("6-DaHall 1-PDU-14"='6층_부하량'!A3:A3000)*(3='6층_부하량'!B3:B3000),0))</f>
        <v>0.0</v>
      </c>
      <c r="G53" s="149"/>
      <c r="H53" s="143" t="s">
        <v>4597</v>
      </c>
      <c r="I53" s="1465" t="s">
        <v>4638</v>
      </c>
      <c r="J53" s="285" t="s">
        <v>4583</v>
      </c>
      <c r="K53" s="143" t="s">
        <v>4597</v>
      </c>
      <c r="L53" s="149"/>
      <c r="M53" s="149"/>
      <c r="N53" s="2655" cm="1" t="n">
        <f t="array" ref="N53">INDEX('6층_부하량'!H3:H3000,MATCH(1,("6-DaHall 1-PDU-14"='6층_부하량'!A3:A3000)*(4='6층_부하량'!B3:B3000),0))</f>
        <v>0.0</v>
      </c>
      <c r="O53" s="149"/>
      <c r="P53" s="143" t="s">
        <v>4579</v>
      </c>
      <c r="Q53" s="143" t="s">
        <v>4584</v>
      </c>
      <c r="R53" s="264" t="s">
        <v>5040</v>
      </c>
    </row>
    <row r="54" spans="1:18" ht="20.100000000000001" customHeight="1" x14ac:dyDescent="0.15">
      <c r="A54" s="258" t="s">
        <v>1938</v>
      </c>
      <c r="B54" s="143" t="s">
        <v>4635</v>
      </c>
      <c r="C54" s="283" t="s">
        <v>4575</v>
      </c>
      <c r="D54" s="2656" cm="1" t="n">
        <f t="array" ref="D54">INDEX('6층_부하량'!F3:F3000,MATCH(1,("6-DaHall 1-PDU-14"='6층_부하량'!A3:A3000)*(5='6층_부하량'!B3:B3000),0))</f>
        <v>0.0</v>
      </c>
      <c r="E54" s="157"/>
      <c r="F54" s="157"/>
      <c r="G54" s="157"/>
      <c r="H54" s="143" t="s">
        <v>4597</v>
      </c>
      <c r="I54" s="1465" t="s">
        <v>4641</v>
      </c>
      <c r="J54" s="1459" t="s">
        <v>4588</v>
      </c>
      <c r="K54" s="143" t="s">
        <v>4597</v>
      </c>
      <c r="L54" s="2656" cm="1" t="n">
        <f t="array" ref="L54">INDEX('6층_부하량'!F3:F3000,MATCH(1,("6-DaHall 1-PDU-14"='6층_부하량'!A3:A3000)*(6='6층_부하량'!B3:B3000),0))</f>
        <v>0.0</v>
      </c>
      <c r="M54" s="157"/>
      <c r="N54" s="157"/>
      <c r="O54" s="157"/>
      <c r="P54" s="143" t="s">
        <v>4635</v>
      </c>
      <c r="Q54" s="143" t="s">
        <v>4584</v>
      </c>
      <c r="R54" s="256" t="s">
        <v>1342</v>
      </c>
    </row>
    <row r="55" spans="1:18" ht="20.100000000000001" customHeight="1" x14ac:dyDescent="0.15">
      <c r="A55" s="260" t="s">
        <v>1943</v>
      </c>
      <c r="B55" s="143" t="s">
        <v>4635</v>
      </c>
      <c r="C55" s="283" t="s">
        <v>4575</v>
      </c>
      <c r="D55" s="157"/>
      <c r="E55" s="2656" cm="1" t="n">
        <f t="array" ref="E55">INDEX('6층_부하량'!G3:G3000,MATCH(1,("6-DaHall 1-PDU-14"='6층_부하량'!A3:A3000)*(7='6층_부하량'!B3:B3000),0))</f>
        <v>0.0</v>
      </c>
      <c r="F55" s="157"/>
      <c r="G55" s="157"/>
      <c r="H55" s="143" t="s">
        <v>4597</v>
      </c>
      <c r="I55" s="1465" t="s">
        <v>4645</v>
      </c>
      <c r="J55" s="1459" t="s">
        <v>4593</v>
      </c>
      <c r="K55" s="143" t="s">
        <v>4597</v>
      </c>
      <c r="L55" s="157"/>
      <c r="M55" s="2656" cm="1" t="n">
        <f t="array" ref="M55">INDEX('6층_부하량'!G3:G3000,MATCH(1,("6-DaHall 1-PDU-14"='6층_부하량'!A3:A3000)*(8='6층_부하량'!B3:B3000),0))</f>
        <v>0.0</v>
      </c>
      <c r="N55" s="157"/>
      <c r="O55" s="157"/>
      <c r="P55" s="143" t="s">
        <v>4635</v>
      </c>
      <c r="Q55" s="143" t="s">
        <v>4591</v>
      </c>
      <c r="R55" s="256" t="s">
        <v>1346</v>
      </c>
    </row>
    <row r="56" spans="1:18" ht="20.100000000000001" customHeight="1" x14ac:dyDescent="0.15">
      <c r="A56" s="258" t="s">
        <v>5041</v>
      </c>
      <c r="B56" s="143" t="s">
        <v>4635</v>
      </c>
      <c r="C56" s="143" t="s">
        <v>4591</v>
      </c>
      <c r="D56" s="157"/>
      <c r="E56" s="157"/>
      <c r="F56" s="2656" cm="1" t="n">
        <f t="array" ref="F56">INDEX('6층_부하량'!H3:H3000,MATCH(1,("6-DaHall 1-PDU-14"='6층_부하량'!A3:A3000)*(9='6층_부하량'!B3:B3000),0))</f>
        <v>0.0</v>
      </c>
      <c r="G56" s="157"/>
      <c r="H56" s="143" t="s">
        <v>4597</v>
      </c>
      <c r="I56" s="1465" t="s">
        <v>4648</v>
      </c>
      <c r="J56" s="1459" t="s">
        <v>4596</v>
      </c>
      <c r="K56" s="143" t="s">
        <v>4597</v>
      </c>
      <c r="L56" s="157"/>
      <c r="M56" s="157"/>
      <c r="N56" s="2656" cm="1" t="n">
        <f t="array" ref="N56">INDEX('6층_부하량'!H3:H3000,MATCH(1,("6-DaHall 1-PDU-14"='6층_부하량'!A3:A3000)*(10='6층_부하량'!B3:B3000),0))</f>
        <v>0.0</v>
      </c>
      <c r="O56" s="157"/>
      <c r="P56" s="143" t="s">
        <v>4635</v>
      </c>
      <c r="Q56" s="143" t="s">
        <v>4591</v>
      </c>
      <c r="R56" s="256" t="s">
        <v>1350</v>
      </c>
    </row>
    <row r="57" spans="1:18" ht="20.100000000000001" customHeight="1" x14ac:dyDescent="0.15">
      <c r="A57" s="258" t="s">
        <v>1437</v>
      </c>
      <c r="B57" s="143" t="s">
        <v>4635</v>
      </c>
      <c r="C57" s="143" t="s">
        <v>4591</v>
      </c>
      <c r="D57" s="2656" cm="1" t="n">
        <f t="array" ref="D57">INDEX('6층_부하량'!F3:F3000,MATCH(1,("6-DaHall 1-PDU-14"='6층_부하량'!A3:A3000)*(11='6층_부하량'!B3:B3000),0))</f>
        <v>0.0</v>
      </c>
      <c r="E57" s="157"/>
      <c r="F57" s="157"/>
      <c r="G57" s="157"/>
      <c r="H57" s="143" t="s">
        <v>4597</v>
      </c>
      <c r="I57" s="1465" t="s">
        <v>4653</v>
      </c>
      <c r="J57" s="1459" t="s">
        <v>4599</v>
      </c>
      <c r="K57" s="143" t="s">
        <v>4597</v>
      </c>
      <c r="L57" s="2656" cm="1" t="n">
        <f t="array" ref="L57">INDEX('6층_부하량'!F3:F3000,MATCH(1,("6-DaHall 1-PDU-14"='6층_부하량'!A3:A3000)*(12='6층_부하량'!B3:B3000),0))</f>
        <v>0.0</v>
      </c>
      <c r="M57" s="157"/>
      <c r="N57" s="157"/>
      <c r="O57" s="157"/>
      <c r="P57" s="143" t="s">
        <v>4635</v>
      </c>
      <c r="Q57" s="143" t="s">
        <v>4591</v>
      </c>
      <c r="R57" s="256" t="s">
        <v>1354</v>
      </c>
    </row>
    <row r="58" spans="1:18" ht="19.5" customHeight="1" x14ac:dyDescent="0.15">
      <c r="A58" s="258" t="s">
        <v>1441</v>
      </c>
      <c r="B58" s="143" t="s">
        <v>4635</v>
      </c>
      <c r="C58" s="143" t="s">
        <v>4591</v>
      </c>
      <c r="D58" s="149"/>
      <c r="E58" s="2655" cm="1" t="n">
        <f t="array" ref="E58">INDEX('6층_부하량'!G3:G3000,MATCH(1,("6-DaHall 1-PDU-14"='6층_부하량'!A3:A3000)*(13='6층_부하량'!B3:B3000),0))</f>
        <v>0.0</v>
      </c>
      <c r="F58" s="149"/>
      <c r="G58" s="157"/>
      <c r="H58" s="143" t="s">
        <v>4597</v>
      </c>
      <c r="I58" s="1465" t="s">
        <v>4657</v>
      </c>
      <c r="J58" s="1459" t="s">
        <v>4601</v>
      </c>
      <c r="K58" s="143" t="s">
        <v>4597</v>
      </c>
      <c r="L58" s="149"/>
      <c r="M58" s="2655" cm="1" t="n">
        <f t="array" ref="M58">INDEX('6층_부하량'!G3:G3000,MATCH(1,("6-DaHall 1-PDU-14"='6층_부하량'!A3:A3000)*(14='6층_부하량'!B3:B3000),0))</f>
        <v>0.0</v>
      </c>
      <c r="N58" s="149"/>
      <c r="O58" s="157"/>
      <c r="P58" s="143" t="s">
        <v>4635</v>
      </c>
      <c r="Q58" s="143" t="s">
        <v>4591</v>
      </c>
      <c r="R58" s="256" t="s">
        <v>1358</v>
      </c>
    </row>
    <row r="59" spans="1:18" ht="19.5" customHeight="1" x14ac:dyDescent="0.15">
      <c r="A59" s="258" t="s">
        <v>1445</v>
      </c>
      <c r="B59" s="143" t="s">
        <v>4635</v>
      </c>
      <c r="C59" s="143" t="s">
        <v>4591</v>
      </c>
      <c r="D59" s="157"/>
      <c r="E59" s="157"/>
      <c r="F59" s="2656" cm="1" t="n">
        <f t="array" ref="F59">INDEX('6층_부하량'!H3:H3000,MATCH(1,("6-DaHall 1-PDU-14"='6층_부하량'!A3:A3000)*(15='6층_부하량'!B3:B3000),0))</f>
        <v>0.0</v>
      </c>
      <c r="G59" s="157"/>
      <c r="H59" s="143" t="s">
        <v>4597</v>
      </c>
      <c r="I59" s="1465" t="s">
        <v>4661</v>
      </c>
      <c r="J59" s="1459" t="s">
        <v>4603</v>
      </c>
      <c r="K59" s="143" t="s">
        <v>4597</v>
      </c>
      <c r="L59" s="157"/>
      <c r="M59" s="157"/>
      <c r="N59" s="2656" cm="1" t="n">
        <f t="array" ref="N59">INDEX('6층_부하량'!H3:H3000,MATCH(1,("6-DaHall 1-PDU-14"='6층_부하량'!A3:A3000)*(16='6층_부하량'!B3:B3000),0))</f>
        <v>0.0</v>
      </c>
      <c r="O59" s="157"/>
      <c r="P59" s="143" t="s">
        <v>4635</v>
      </c>
      <c r="Q59" s="143" t="s">
        <v>4591</v>
      </c>
      <c r="R59" s="256" t="s">
        <v>1362</v>
      </c>
    </row>
    <row r="60" spans="1:18" ht="19.5" customHeight="1" x14ac:dyDescent="0.15">
      <c r="A60" s="258" t="s">
        <v>1449</v>
      </c>
      <c r="B60" s="143" t="s">
        <v>4635</v>
      </c>
      <c r="C60" s="143" t="s">
        <v>4591</v>
      </c>
      <c r="D60" s="2656" cm="1" t="n">
        <f t="array" ref="D60">INDEX('6층_부하량'!F3:F3000,MATCH(1,("6-DaHall 1-PDU-14"='6층_부하량'!A3:A3000)*(17='6층_부하량'!B3:B3000),0))</f>
        <v>0.0</v>
      </c>
      <c r="E60" s="157"/>
      <c r="F60" s="157"/>
      <c r="G60" s="157"/>
      <c r="H60" s="143" t="s">
        <v>4597</v>
      </c>
      <c r="I60" s="1465" t="s">
        <v>4665</v>
      </c>
      <c r="J60" s="1459" t="s">
        <v>4605</v>
      </c>
      <c r="K60" s="143" t="s">
        <v>4597</v>
      </c>
      <c r="L60" s="2656" cm="1" t="n">
        <f t="array" ref="L60">INDEX('6층_부하량'!F3:F3000,MATCH(1,("6-DaHall 1-PDU-14"='6층_부하량'!A3:A3000)*(18='6층_부하량'!B3:B3000),0))</f>
        <v>0.0</v>
      </c>
      <c r="M60" s="157"/>
      <c r="N60" s="157"/>
      <c r="O60" s="157"/>
      <c r="P60" s="143" t="s">
        <v>4635</v>
      </c>
      <c r="Q60" s="143" t="s">
        <v>4591</v>
      </c>
      <c r="R60" s="256" t="s">
        <v>1366</v>
      </c>
    </row>
    <row r="61" spans="1:18" ht="19.5" customHeight="1" x14ac:dyDescent="0.15">
      <c r="A61" s="258" t="s">
        <v>1453</v>
      </c>
      <c r="B61" s="143" t="s">
        <v>4635</v>
      </c>
      <c r="C61" s="143" t="s">
        <v>4591</v>
      </c>
      <c r="D61" s="149"/>
      <c r="E61" s="2655" cm="1" t="n">
        <f t="array" ref="E61">INDEX('6층_부하량'!G3:G3000,MATCH(1,("6-DaHall 1-PDU-14"='6층_부하량'!A3:A3000)*(19='6층_부하량'!B3:B3000),0))</f>
        <v>0.0</v>
      </c>
      <c r="F61" s="149"/>
      <c r="G61" s="157"/>
      <c r="H61" s="143" t="s">
        <v>4597</v>
      </c>
      <c r="I61" s="1465" t="s">
        <v>4670</v>
      </c>
      <c r="J61" s="155" t="s">
        <v>4609</v>
      </c>
      <c r="K61" s="143" t="s">
        <v>4597</v>
      </c>
      <c r="L61" s="149"/>
      <c r="M61" s="2655" cm="1" t="n">
        <f t="array" ref="M61">INDEX('6층_부하량'!G3:G3000,MATCH(1,("6-DaHall 1-PDU-14"='6층_부하량'!A3:A3000)*(20='6층_부하량'!B3:B3000),0))</f>
        <v>0.0</v>
      </c>
      <c r="N61" s="149"/>
      <c r="O61" s="157"/>
      <c r="P61" s="157" t="s">
        <v>4635</v>
      </c>
      <c r="Q61" s="283" t="s">
        <v>4575</v>
      </c>
      <c r="R61" s="615" t="s">
        <v>5042</v>
      </c>
    </row>
    <row r="62" spans="1:18" ht="19.5" customHeight="1" x14ac:dyDescent="0.15">
      <c r="A62" s="258" t="s">
        <v>1457</v>
      </c>
      <c r="B62" s="143" t="s">
        <v>4635</v>
      </c>
      <c r="C62" s="143" t="s">
        <v>4591</v>
      </c>
      <c r="D62" s="157"/>
      <c r="E62" s="157"/>
      <c r="F62" s="2656" cm="1" t="n">
        <f t="array" ref="F62">INDEX('6층_부하량'!H3:H3000,MATCH(1,("6-DaHall 1-PDU-14"='6층_부하량'!A3:A3000)*(21='6층_부하량'!B3:B3000),0))</f>
        <v>0.0</v>
      </c>
      <c r="G62" s="157"/>
      <c r="H62" s="143" t="s">
        <v>4597</v>
      </c>
      <c r="I62" s="1465" t="s">
        <v>4674</v>
      </c>
      <c r="J62" s="1460" t="s">
        <v>4613</v>
      </c>
      <c r="K62" s="143" t="s">
        <v>4597</v>
      </c>
      <c r="L62" s="157"/>
      <c r="M62" s="157"/>
      <c r="N62" s="2656" cm="1" t="n">
        <f t="array" ref="N62">INDEX('6층_부하량'!H3:H3000,MATCH(1,("6-DaHall 1-PDU-14"='6층_부하량'!A3:A3000)*(22='6층_부하량'!B3:B3000),0))</f>
        <v>0.0</v>
      </c>
      <c r="O62" s="157"/>
      <c r="P62" s="157" t="s">
        <v>4635</v>
      </c>
      <c r="Q62" s="143" t="s">
        <v>4723</v>
      </c>
      <c r="R62" s="342" t="s">
        <v>5043</v>
      </c>
    </row>
    <row r="63" spans="1:18" ht="19.5" customHeight="1" x14ac:dyDescent="0.15">
      <c r="A63" s="258" t="s">
        <v>1461</v>
      </c>
      <c r="B63" s="143" t="s">
        <v>4635</v>
      </c>
      <c r="C63" s="143" t="s">
        <v>4591</v>
      </c>
      <c r="D63" s="2656" cm="1" t="n">
        <f t="array" ref="D63">INDEX('6층_부하량'!F3:F3000,MATCH(1,("6-DaHall 1-PDU-14"='6층_부하량'!A3:A3000)*(23='6층_부하량'!B3:B3000),0))</f>
        <v>0.0</v>
      </c>
      <c r="E63" s="157"/>
      <c r="F63" s="157"/>
      <c r="G63" s="157"/>
      <c r="H63" s="143" t="s">
        <v>4597</v>
      </c>
      <c r="I63" s="1465" t="s">
        <v>4678</v>
      </c>
      <c r="J63" s="1460" t="s">
        <v>4680</v>
      </c>
      <c r="K63" s="143" t="s">
        <v>4597</v>
      </c>
      <c r="L63" s="2656" cm="1" t="n">
        <f t="array" ref="L63">INDEX('6층_부하량'!F3:F3000,MATCH(1,("6-DaHall 1-PDU-14"='6층_부하량'!A3:A3000)*(24='6층_부하량'!B3:B3000),0))</f>
        <v>0.0</v>
      </c>
      <c r="M63" s="157"/>
      <c r="N63" s="157"/>
      <c r="O63" s="157"/>
      <c r="P63" s="157" t="s">
        <v>4635</v>
      </c>
      <c r="Q63" s="143" t="s">
        <v>4723</v>
      </c>
      <c r="R63" s="342" t="s">
        <v>5044</v>
      </c>
    </row>
    <row r="64" spans="1:18" ht="19.5" customHeight="1" x14ac:dyDescent="0.15">
      <c r="A64" s="258" t="s">
        <v>5045</v>
      </c>
      <c r="B64" s="143" t="s">
        <v>4635</v>
      </c>
      <c r="C64" s="143" t="s">
        <v>4591</v>
      </c>
      <c r="D64" s="149"/>
      <c r="E64" s="2655" cm="1" t="n">
        <f t="array" ref="E64">INDEX('6층_부하량'!G3:G3000,MATCH(1,("6-DaHall 1-PDU-14"='6층_부하량'!A3:A3000)*(25='6층_부하량'!B3:B3000),0))</f>
        <v>0.0</v>
      </c>
      <c r="F64" s="149"/>
      <c r="G64" s="157"/>
      <c r="H64" s="143" t="s">
        <v>4597</v>
      </c>
      <c r="I64" s="1465" t="s">
        <v>4683</v>
      </c>
      <c r="J64" s="1460" t="s">
        <v>4685</v>
      </c>
      <c r="K64" s="143" t="s">
        <v>4597</v>
      </c>
      <c r="L64" s="149"/>
      <c r="M64" s="2655" cm="1" t="n">
        <f t="array" ref="M64">INDEX('6층_부하량'!G3:G3000,MATCH(1,("6-DaHall 1-PDU-14"='6층_부하량'!A3:A3000)*(26='6층_부하량'!B3:B3000),0))</f>
        <v>0.0</v>
      </c>
      <c r="N64" s="149"/>
      <c r="O64" s="157"/>
      <c r="P64" s="157" t="s">
        <v>4635</v>
      </c>
      <c r="Q64" s="143" t="s">
        <v>4723</v>
      </c>
      <c r="R64" s="342" t="s">
        <v>5046</v>
      </c>
    </row>
    <row r="65" spans="1:18" ht="19.5" customHeight="1" thickBot="1" x14ac:dyDescent="0.2">
      <c r="A65" s="261" t="s">
        <v>1405</v>
      </c>
      <c r="B65" s="159" t="s">
        <v>4635</v>
      </c>
      <c r="C65" s="176" t="s">
        <v>4642</v>
      </c>
      <c r="D65" s="160"/>
      <c r="E65" s="160"/>
      <c r="F65" s="2665" cm="1" t="n">
        <f t="array" ref="F65">INDEX('6층_부하량'!H3:H3000,MATCH(1,("6-DaHall 1-PDU-14"='6층_부하량'!A3:A3000)*(27='6층_부하량'!B3:B3000),0))</f>
        <v>0.0</v>
      </c>
      <c r="G65" s="160"/>
      <c r="H65" s="176" t="s">
        <v>4597</v>
      </c>
      <c r="I65" s="1466" t="s">
        <v>4688</v>
      </c>
      <c r="J65" s="1461" t="s">
        <v>4689</v>
      </c>
      <c r="K65" s="176" t="s">
        <v>4597</v>
      </c>
      <c r="L65" s="160"/>
      <c r="M65" s="160"/>
      <c r="N65" s="2665" cm="1" t="n">
        <f t="array" ref="N65">INDEX('6층_부하량'!H3:H3000,MATCH(1,("6-DaHall 1-PDU-14"='6층_부하량'!A3:A3000)*(28='6층_부하량'!B3:B3000),0))</f>
        <v>0.0</v>
      </c>
      <c r="O65" s="177"/>
      <c r="P65" s="177" t="s">
        <v>4635</v>
      </c>
      <c r="Q65" s="286" t="s">
        <v>4575</v>
      </c>
      <c r="R65" s="616" t="s">
        <v>5047</v>
      </c>
    </row>
    <row r="66" spans="1:18" ht="19.5" customHeight="1" thickTop="1" x14ac:dyDescent="0.15">
      <c r="A66" s="260" t="s">
        <v>1409</v>
      </c>
      <c r="B66" s="142" t="s">
        <v>4635</v>
      </c>
      <c r="C66" s="156" t="s">
        <v>4591</v>
      </c>
      <c r="D66" s="2667" cm="1" t="n">
        <f t="array" ref="D66">INDEX('6층_부하량'!F3:F3000,MATCH(1,("6-DaHall 1-PDU-14"='6층_부하량'!A3:A3000)*(29='6층_부하량'!B3:B3000),0))</f>
        <v>0.0</v>
      </c>
      <c r="E66" s="163"/>
      <c r="F66" s="163"/>
      <c r="G66" s="163"/>
      <c r="H66" s="156" t="s">
        <v>4597</v>
      </c>
      <c r="I66" s="1467" t="s">
        <v>4691</v>
      </c>
      <c r="J66" s="1462" t="s">
        <v>4692</v>
      </c>
      <c r="K66" s="156" t="s">
        <v>4597</v>
      </c>
      <c r="L66" s="2667" cm="1" t="n">
        <f t="array" ref="L66">INDEX('6층_부하량'!F3:F3000,MATCH(1,("6-DaHall 1-PDU-14"='6층_부하량'!A3:A3000)*(30='6층_부하량'!B3:B3000),0))</f>
        <v>0.0</v>
      </c>
      <c r="M66" s="163"/>
      <c r="N66" s="163"/>
      <c r="O66" s="179"/>
      <c r="P66" s="179" t="s">
        <v>4635</v>
      </c>
      <c r="Q66" s="287" t="s">
        <v>4575</v>
      </c>
      <c r="R66" s="617" t="s">
        <v>5048</v>
      </c>
    </row>
    <row r="67" spans="1:18" ht="19.5" customHeight="1" x14ac:dyDescent="0.15">
      <c r="A67" s="258" t="s">
        <v>1413</v>
      </c>
      <c r="B67" s="143" t="s">
        <v>4635</v>
      </c>
      <c r="C67" s="143" t="s">
        <v>4591</v>
      </c>
      <c r="D67" s="149"/>
      <c r="E67" s="2655" cm="1" t="n">
        <f t="array" ref="E67">INDEX('6층_부하량'!G3:G3000,MATCH(1,("6-DaHall 1-PDU-14"='6층_부하량'!A3:A3000)*(31='6층_부하량'!B3:B3000),0))</f>
        <v>0.0</v>
      </c>
      <c r="F67" s="149"/>
      <c r="G67" s="157"/>
      <c r="H67" s="143" t="s">
        <v>4597</v>
      </c>
      <c r="I67" s="1465" t="s">
        <v>4693</v>
      </c>
      <c r="J67" s="1460" t="s">
        <v>4694</v>
      </c>
      <c r="K67" s="143" t="s">
        <v>4597</v>
      </c>
      <c r="L67" s="149"/>
      <c r="M67" s="2655" cm="1" t="n">
        <f t="array" ref="M67">INDEX('6층_부하량'!G3:G3000,MATCH(1,("6-DaHall 1-PDU-14"='6층_부하량'!A3:A3000)*(32='6층_부하량'!B3:B3000),0))</f>
        <v>0.0</v>
      </c>
      <c r="N67" s="149"/>
      <c r="O67" s="157"/>
      <c r="P67" s="157" t="s">
        <v>4574</v>
      </c>
      <c r="Q67" s="283" t="s">
        <v>4575</v>
      </c>
      <c r="R67" s="611" t="s">
        <v>5049</v>
      </c>
    </row>
    <row r="68" spans="1:18" ht="19.5" customHeight="1" x14ac:dyDescent="0.15">
      <c r="A68" s="258" t="s">
        <v>1417</v>
      </c>
      <c r="B68" s="143" t="s">
        <v>4635</v>
      </c>
      <c r="C68" s="143" t="s">
        <v>4591</v>
      </c>
      <c r="D68" s="157"/>
      <c r="E68" s="157"/>
      <c r="F68" s="2656" cm="1" t="n">
        <f t="array" ref="F68">INDEX('6층_부하량'!H3:H3000,MATCH(1,("6-DaHall 1-PDU-14"='6층_부하량'!A3:A3000)*(33='6층_부하량'!B3:B3000),0))</f>
        <v>0.0</v>
      </c>
      <c r="G68" s="157"/>
      <c r="H68" s="143" t="s">
        <v>4597</v>
      </c>
      <c r="I68" s="1465" t="s">
        <v>4697</v>
      </c>
      <c r="J68" s="1460" t="s">
        <v>4698</v>
      </c>
      <c r="K68" s="143" t="s">
        <v>4597</v>
      </c>
      <c r="L68" s="157"/>
      <c r="M68" s="157"/>
      <c r="N68" s="2656" cm="1" t="n">
        <f t="array" ref="N68">INDEX('6층_부하량'!H3:H3000,MATCH(1,("6-DaHall 1-PDU-14"='6층_부하량'!A3:A3000)*(34='6층_부하량'!B3:B3000),0))</f>
        <v>0.0</v>
      </c>
      <c r="O68" s="157"/>
      <c r="P68" s="157" t="s">
        <v>4574</v>
      </c>
      <c r="Q68" s="283" t="s">
        <v>4575</v>
      </c>
      <c r="R68" s="611" t="s">
        <v>5050</v>
      </c>
    </row>
    <row r="69" spans="1:18" ht="19.5" customHeight="1" x14ac:dyDescent="0.15">
      <c r="A69" s="258" t="s">
        <v>1421</v>
      </c>
      <c r="B69" s="143" t="s">
        <v>4635</v>
      </c>
      <c r="C69" s="143" t="s">
        <v>4591</v>
      </c>
      <c r="D69" s="2656" cm="1" t="n">
        <f t="array" ref="D69">INDEX('6층_부하량'!F3:F3000,MATCH(1,("6-DaHall 1-PDU-14"='6층_부하량'!A3:A3000)*(35='6층_부하량'!B3:B3000),0))</f>
        <v>0.0</v>
      </c>
      <c r="E69" s="157"/>
      <c r="F69" s="157"/>
      <c r="G69" s="157"/>
      <c r="H69" s="143" t="s">
        <v>4597</v>
      </c>
      <c r="I69" s="1465" t="s">
        <v>4701</v>
      </c>
      <c r="J69" s="1463" t="s">
        <v>4703</v>
      </c>
      <c r="K69" s="143" t="s">
        <v>4597</v>
      </c>
      <c r="L69" s="2656" cm="1" t="n">
        <f t="array" ref="L69">INDEX('6층_부하량'!F3:F3000,MATCH(1,("6-DaHall 1-PDU-14"='6층_부하량'!A3:A3000)*(36='6층_부하량'!B3:B3000),0))</f>
        <v>0.0</v>
      </c>
      <c r="M69" s="157"/>
      <c r="N69" s="157"/>
      <c r="O69" s="157"/>
      <c r="P69" s="157" t="s">
        <v>4635</v>
      </c>
      <c r="Q69" s="143" t="s">
        <v>4591</v>
      </c>
      <c r="R69" s="256" t="s">
        <v>5051</v>
      </c>
    </row>
    <row r="70" spans="1:18" ht="19.5" customHeight="1" x14ac:dyDescent="0.15">
      <c r="A70" s="258" t="s">
        <v>1425</v>
      </c>
      <c r="B70" s="143" t="s">
        <v>4635</v>
      </c>
      <c r="C70" s="143" t="s">
        <v>4591</v>
      </c>
      <c r="D70" s="149"/>
      <c r="E70" s="2655" cm="1" t="n">
        <f t="array" ref="E70">INDEX('6층_부하량'!G3:G3000,MATCH(1,("6-DaHall 1-PDU-14"='6층_부하량'!A3:A3000)*(37='6층_부하량'!B3:B3000),0))</f>
        <v>0.0</v>
      </c>
      <c r="F70" s="149"/>
      <c r="G70" s="157"/>
      <c r="H70" s="143" t="s">
        <v>4597</v>
      </c>
      <c r="I70" s="1465" t="s">
        <v>4706</v>
      </c>
      <c r="J70" s="1463" t="s">
        <v>4707</v>
      </c>
      <c r="K70" s="143" t="s">
        <v>4597</v>
      </c>
      <c r="L70" s="149"/>
      <c r="M70" s="2655" cm="1" t="n">
        <f t="array" ref="M70">INDEX('6층_부하량'!G3:G3000,MATCH(1,("6-DaHall 1-PDU-14"='6층_부하량'!A3:A3000)*(38='6층_부하량'!B3:B3000),0))</f>
        <v>0.0</v>
      </c>
      <c r="N70" s="149"/>
      <c r="O70" s="157"/>
      <c r="P70" s="157" t="s">
        <v>4635</v>
      </c>
      <c r="Q70" s="143" t="s">
        <v>4591</v>
      </c>
      <c r="R70" s="256" t="s">
        <v>5052</v>
      </c>
    </row>
    <row r="71" spans="1:18" ht="19.5" customHeight="1" x14ac:dyDescent="0.15">
      <c r="A71" s="258" t="s">
        <v>1428</v>
      </c>
      <c r="B71" s="143" t="s">
        <v>4635</v>
      </c>
      <c r="C71" s="143" t="s">
        <v>4591</v>
      </c>
      <c r="D71" s="157"/>
      <c r="E71" s="157"/>
      <c r="F71" s="2656" cm="1" t="n">
        <f t="array" ref="F71">INDEX('6층_부하량'!H3:H3000,MATCH(1,("6-DaHall 1-PDU-14"='6층_부하량'!A3:A3000)*(39='6층_부하량'!B3:B3000),0))</f>
        <v>0.0</v>
      </c>
      <c r="G71" s="157"/>
      <c r="H71" s="143" t="s">
        <v>4597</v>
      </c>
      <c r="I71" s="1465" t="s">
        <v>4710</v>
      </c>
      <c r="J71" s="1460" t="s">
        <v>4711</v>
      </c>
      <c r="K71" s="143" t="s">
        <v>4597</v>
      </c>
      <c r="L71" s="157"/>
      <c r="M71" s="157"/>
      <c r="N71" s="2656" cm="1" t="n">
        <f t="array" ref="N71">INDEX('6층_부하량'!H3:H3000,MATCH(1,("6-DaHall 1-PDU-14"='6층_부하량'!A3:A3000)*(40='6층_부하량'!B3:B3000),0))</f>
        <v>0.0</v>
      </c>
      <c r="O71" s="157"/>
      <c r="P71" s="157" t="s">
        <v>4635</v>
      </c>
      <c r="Q71" s="143" t="s">
        <v>4591</v>
      </c>
      <c r="R71" s="256" t="s">
        <v>5053</v>
      </c>
    </row>
    <row r="72" spans="1:18" ht="19.5" customHeight="1" x14ac:dyDescent="0.15">
      <c r="A72" s="258" t="s">
        <v>5054</v>
      </c>
      <c r="B72" s="143" t="s">
        <v>4635</v>
      </c>
      <c r="C72" s="143" t="s">
        <v>4591</v>
      </c>
      <c r="D72" s="2656" cm="1" t="n">
        <f t="array" ref="D72">INDEX('6층_부하량'!F3:F3000,MATCH(1,("6-DaHall 1-PDU-14"='6층_부하량'!A3:A3000)*(41='6층_부하량'!B3:B3000),0))</f>
        <v>0.0</v>
      </c>
      <c r="E72" s="157"/>
      <c r="F72" s="157"/>
      <c r="G72" s="157"/>
      <c r="H72" s="143" t="s">
        <v>4597</v>
      </c>
      <c r="I72" s="1465" t="s">
        <v>5055</v>
      </c>
      <c r="J72" s="1460" t="s">
        <v>4843</v>
      </c>
      <c r="K72" s="143" t="s">
        <v>4597</v>
      </c>
      <c r="L72" s="2656" cm="1" t="n">
        <f t="array" ref="L72">INDEX('6층_부하량'!F3:F3000,MATCH(1,("6-DaHall 1-PDU-14"='6층_부하량'!A3:A3000)*(42='6층_부하량'!B3:B3000),0))</f>
        <v>0.0</v>
      </c>
      <c r="M72" s="157"/>
      <c r="N72" s="157"/>
      <c r="O72" s="157"/>
      <c r="P72" s="157" t="s">
        <v>4635</v>
      </c>
      <c r="Q72" s="143" t="s">
        <v>4591</v>
      </c>
      <c r="R72" s="256" t="s">
        <v>5056</v>
      </c>
    </row>
    <row r="73" spans="1:18" ht="19.5" customHeight="1" x14ac:dyDescent="0.15">
      <c r="A73" s="258" t="s">
        <v>1376</v>
      </c>
      <c r="B73" s="143" t="s">
        <v>4635</v>
      </c>
      <c r="C73" s="143" t="s">
        <v>4591</v>
      </c>
      <c r="D73" s="149"/>
      <c r="E73" s="2655" cm="1" t="n">
        <f t="array" ref="E73">INDEX('6층_부하량'!G3:G3000,MATCH(1,("6-DaHall 1-PDU-14"='6층_부하량'!A3:A3000)*(43='6층_부하량'!B3:B3000),0))</f>
        <v>0.0</v>
      </c>
      <c r="F73" s="149"/>
      <c r="G73" s="157"/>
      <c r="H73" s="143" t="s">
        <v>4597</v>
      </c>
      <c r="I73" s="1465" t="s">
        <v>4845</v>
      </c>
      <c r="J73" s="1460" t="s">
        <v>4846</v>
      </c>
      <c r="K73" s="143" t="s">
        <v>4597</v>
      </c>
      <c r="L73" s="149"/>
      <c r="M73" s="2655" cm="1" t="n">
        <f t="array" ref="M73">INDEX('6층_부하량'!G3:G3000,MATCH(1,("6-DaHall 1-PDU-14"='6층_부하량'!A3:A3000)*(44='6층_부하량'!B3:B3000),0))</f>
        <v>0.0</v>
      </c>
      <c r="N73" s="149"/>
      <c r="O73" s="157"/>
      <c r="P73" s="157" t="s">
        <v>4635</v>
      </c>
      <c r="Q73" s="143" t="s">
        <v>4591</v>
      </c>
      <c r="R73" s="256" t="s">
        <v>5057</v>
      </c>
    </row>
    <row r="74" spans="1:18" ht="19.5" customHeight="1" x14ac:dyDescent="0.15">
      <c r="A74" s="258" t="s">
        <v>1380</v>
      </c>
      <c r="B74" s="143" t="s">
        <v>4635</v>
      </c>
      <c r="C74" s="143" t="s">
        <v>4591</v>
      </c>
      <c r="D74" s="157"/>
      <c r="E74" s="157"/>
      <c r="F74" s="2656" cm="1" t="n">
        <f t="array" ref="F74">INDEX('6층_부하량'!H3:H3000,MATCH(1,("6-DaHall 1-PDU-14"='6층_부하량'!A3:A3000)*(45='6층_부하량'!B3:B3000),0))</f>
        <v>0.0</v>
      </c>
      <c r="G74" s="157"/>
      <c r="H74" s="143" t="s">
        <v>4597</v>
      </c>
      <c r="I74" s="1465" t="s">
        <v>4847</v>
      </c>
      <c r="J74" s="1460" t="s">
        <v>4848</v>
      </c>
      <c r="K74" s="143" t="s">
        <v>4597</v>
      </c>
      <c r="L74" s="157"/>
      <c r="M74" s="157"/>
      <c r="N74" s="2656" cm="1" t="n">
        <f t="array" ref="N74">INDEX('6층_부하량'!H3:H3000,MATCH(1,("6-DaHall 1-PDU-14"='6층_부하량'!A3:A3000)*(46='6층_부하량'!B3:B3000),0))</f>
        <v>0.0</v>
      </c>
      <c r="O74" s="157"/>
      <c r="P74" s="157" t="s">
        <v>4635</v>
      </c>
      <c r="Q74" s="143" t="s">
        <v>4591</v>
      </c>
      <c r="R74" s="256" t="s">
        <v>5058</v>
      </c>
    </row>
    <row r="75" spans="1:18" ht="19.5" customHeight="1" x14ac:dyDescent="0.15">
      <c r="A75" s="258" t="s">
        <v>1384</v>
      </c>
      <c r="B75" s="143" t="s">
        <v>4635</v>
      </c>
      <c r="C75" s="143" t="s">
        <v>4591</v>
      </c>
      <c r="D75" s="2656" cm="1" t="n">
        <f t="array" ref="D75">INDEX('6층_부하량'!F3:F3000,MATCH(1,("6-DaHall 1-PDU-14"='6층_부하량'!A3:A3000)*(47='6층_부하량'!B3:B3000),0))</f>
        <v>0.0</v>
      </c>
      <c r="E75" s="157"/>
      <c r="F75" s="157"/>
      <c r="G75" s="157"/>
      <c r="H75" s="143" t="s">
        <v>4597</v>
      </c>
      <c r="I75" s="1465" t="s">
        <v>4849</v>
      </c>
      <c r="J75" s="1460" t="s">
        <v>4850</v>
      </c>
      <c r="K75" s="143" t="s">
        <v>4597</v>
      </c>
      <c r="L75" s="2656" cm="1" t="n">
        <f t="array" ref="L75">INDEX('6층_부하량'!F3:F3000,MATCH(1,("6-DaHall 1-PDU-14"='6층_부하량'!A3:A3000)*(48='6층_부하량'!B3:B3000),0))</f>
        <v>0.0</v>
      </c>
      <c r="M75" s="157"/>
      <c r="N75" s="157"/>
      <c r="O75" s="157"/>
      <c r="P75" s="157" t="s">
        <v>4635</v>
      </c>
      <c r="Q75" s="143" t="s">
        <v>4591</v>
      </c>
      <c r="R75" s="264" t="s">
        <v>5059</v>
      </c>
    </row>
    <row r="76" spans="1:18" ht="19.5" customHeight="1" x14ac:dyDescent="0.15">
      <c r="A76" s="258" t="s">
        <v>1388</v>
      </c>
      <c r="B76" s="143" t="s">
        <v>4635</v>
      </c>
      <c r="C76" s="143" t="s">
        <v>4591</v>
      </c>
      <c r="D76" s="149"/>
      <c r="E76" s="2655" cm="1" t="n">
        <f t="array" ref="E76">INDEX('6층_부하량'!G3:G3000,MATCH(1,("6-DaHall 1-PDU-14"='6층_부하량'!A3:A3000)*(49='6층_부하량'!B3:B3000),0))</f>
        <v>0.0</v>
      </c>
      <c r="F76" s="149"/>
      <c r="G76" s="157"/>
      <c r="H76" s="143" t="s">
        <v>4597</v>
      </c>
      <c r="I76" s="1465" t="s">
        <v>4851</v>
      </c>
      <c r="J76" s="1460" t="s">
        <v>4852</v>
      </c>
      <c r="K76" s="143" t="s">
        <v>4597</v>
      </c>
      <c r="L76" s="149"/>
      <c r="M76" s="2655" cm="1" t="n">
        <f t="array" ref="M76">INDEX('6층_부하량'!G3:G3000,MATCH(1,("6-DaHall 1-PDU-14"='6층_부하량'!A3:A3000)*(50='6층_부하량'!B3:B3000),0))</f>
        <v>0.0</v>
      </c>
      <c r="N76" s="149"/>
      <c r="O76" s="157"/>
      <c r="P76" s="157" t="s">
        <v>4635</v>
      </c>
      <c r="Q76" s="143" t="s">
        <v>4591</v>
      </c>
      <c r="R76" s="264" t="s">
        <v>5060</v>
      </c>
    </row>
    <row r="77" spans="1:18" ht="19.5" customHeight="1" x14ac:dyDescent="0.15">
      <c r="A77" s="258" t="s">
        <v>1392</v>
      </c>
      <c r="B77" s="143" t="s">
        <v>4635</v>
      </c>
      <c r="C77" s="143" t="s">
        <v>4591</v>
      </c>
      <c r="D77" s="157"/>
      <c r="E77" s="157"/>
      <c r="F77" s="2656" cm="1" t="n">
        <f t="array" ref="F77">INDEX('6층_부하량'!H3:H3000,MATCH(1,("6-DaHall 1-PDU-14"='6층_부하량'!A3:A3000)*(51='6층_부하량'!B3:B3000),0))</f>
        <v>0.0</v>
      </c>
      <c r="G77" s="157"/>
      <c r="H77" s="143" t="s">
        <v>4597</v>
      </c>
      <c r="I77" s="1465" t="s">
        <v>4853</v>
      </c>
      <c r="J77" s="1460" t="s">
        <v>4854</v>
      </c>
      <c r="K77" s="143" t="s">
        <v>4597</v>
      </c>
      <c r="L77" s="157"/>
      <c r="M77" s="157"/>
      <c r="N77" s="2656" cm="1" t="n">
        <f t="array" ref="N77">INDEX('6층_부하량'!H3:H3000,MATCH(1,("6-DaHall 1-PDU-14"='6층_부하량'!A3:A3000)*(52='6층_부하량'!B3:B3000),0))</f>
        <v>0.0</v>
      </c>
      <c r="O77" s="157"/>
      <c r="P77" s="157" t="s">
        <v>4635</v>
      </c>
      <c r="Q77" s="283" t="s">
        <v>4575</v>
      </c>
      <c r="R77" s="614" t="s">
        <v>5061</v>
      </c>
    </row>
    <row r="78" spans="1:18" ht="19.5" customHeight="1" thickBot="1" x14ac:dyDescent="0.2">
      <c r="A78" s="259" t="s">
        <v>1396</v>
      </c>
      <c r="B78" s="166" t="s">
        <v>4635</v>
      </c>
      <c r="C78" s="166" t="s">
        <v>4642</v>
      </c>
      <c r="D78" s="2659" cm="1" t="n">
        <f t="array" ref="D78">INDEX('6층_부하량'!F3:F3000,MATCH(1,("6-DaHall 1-PDU-14"='6층_부하량'!A3:A3000)*(53='6층_부하량'!B3:B3000),0))</f>
        <v>0.0</v>
      </c>
      <c r="E78" s="167"/>
      <c r="F78" s="167"/>
      <c r="G78" s="167"/>
      <c r="H78" s="166" t="s">
        <v>4597</v>
      </c>
      <c r="I78" s="1468" t="s">
        <v>4856</v>
      </c>
      <c r="J78" s="1464" t="s">
        <v>4857</v>
      </c>
      <c r="K78" s="166" t="s">
        <v>4597</v>
      </c>
      <c r="L78" s="2659" cm="1" t="n">
        <f t="array" ref="L78">INDEX('6층_부하량'!F3:F3000,MATCH(1,("6-DaHall 1-PDU-14"='6층_부하량'!A3:A3000)*(54='6층_부하량'!B3:B3000),0))</f>
        <v>0.0</v>
      </c>
      <c r="M78" s="167"/>
      <c r="N78" s="167"/>
      <c r="O78" s="167"/>
      <c r="P78" s="167" t="s">
        <v>4635</v>
      </c>
      <c r="Q78" s="166" t="s">
        <v>4642</v>
      </c>
      <c r="R78" s="273" t="s">
        <v>1486</v>
      </c>
    </row>
    <row r="79" spans="1:18" ht="14.25" thickTop="1" x14ac:dyDescent="0.15">
      <c r="A79" s="171"/>
      <c r="B79" s="133"/>
      <c r="C79" s="133"/>
      <c r="D79" s="131"/>
      <c r="E79" s="131"/>
      <c r="F79" s="131"/>
      <c r="G79" s="131"/>
      <c r="H79" s="133"/>
      <c r="I79" s="172"/>
      <c r="J79" s="172"/>
      <c r="K79" s="133" t="s">
        <v>4713</v>
      </c>
      <c r="L79" s="131" t="n">
        <f>SUM(D52:D78,L52:L78)</f>
        <v>0.0</v>
      </c>
      <c r="M79" s="131" t="n">
        <f>SUM(E52:E78,M52:M78)</f>
        <v>0.0</v>
      </c>
      <c r="N79" s="131" t="n">
        <f>SUM(F52:F78,N52:N78)</f>
        <v>0.0</v>
      </c>
      <c r="O79" s="131"/>
      <c r="P79" s="131"/>
      <c r="Q79" s="133"/>
      <c r="R79" s="131"/>
    </row>
    <row r="80" spans="1:18" ht="14.25" thickBot="1" x14ac:dyDescent="0.2">
      <c r="A80" s="128"/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</row>
    <row r="81" spans="1:18" ht="15" thickTop="1" thickBot="1" x14ac:dyDescent="0.2">
      <c r="A81" s="173" t="s">
        <v>6999</v>
      </c>
      <c r="B81" s="128"/>
      <c r="C81" s="3660" t="s">
        <v>5062</v>
      </c>
      <c r="D81" s="3660"/>
      <c r="E81" s="3660"/>
      <c r="F81" s="173"/>
      <c r="G81" s="173"/>
      <c r="H81" s="133"/>
      <c r="I81" s="3665" t="s">
        <v>5063</v>
      </c>
      <c r="J81" s="3666"/>
      <c r="K81" s="133"/>
      <c r="L81" s="173"/>
      <c r="M81" s="173"/>
      <c r="N81" s="173"/>
      <c r="O81" s="173"/>
      <c r="P81" s="173"/>
      <c r="Q81" s="173"/>
      <c r="R81" s="128"/>
    </row>
    <row r="82" spans="1:18" ht="15" thickTop="1" thickBot="1" x14ac:dyDescent="0.2">
      <c r="A82" s="127"/>
      <c r="B82" s="128"/>
      <c r="C82" s="128"/>
      <c r="D82" s="129"/>
      <c r="E82" s="129"/>
      <c r="F82" s="130"/>
      <c r="G82" s="129"/>
      <c r="H82" s="131"/>
      <c r="I82" s="128"/>
      <c r="J82" s="132"/>
      <c r="K82" s="1371" t="s">
        <v>4562</v>
      </c>
      <c r="L82" s="1368">
        <v>0</v>
      </c>
      <c r="M82" s="1369">
        <v>0</v>
      </c>
      <c r="N82" s="1370">
        <v>0</v>
      </c>
      <c r="O82" s="508" t="s">
        <v>4563</v>
      </c>
      <c r="P82" s="133"/>
      <c r="Q82" s="128"/>
      <c r="R82" s="528"/>
    </row>
    <row r="83" spans="1:18" ht="15" thickTop="1" thickBot="1" x14ac:dyDescent="0.2">
      <c r="A83" s="134" t="s">
        <v>4564</v>
      </c>
      <c r="B83" s="135" t="s">
        <v>5031</v>
      </c>
      <c r="C83" s="136" t="s">
        <v>4566</v>
      </c>
      <c r="D83" s="135" t="s">
        <v>5032</v>
      </c>
      <c r="E83" s="135" t="s">
        <v>5033</v>
      </c>
      <c r="F83" s="135" t="s">
        <v>5034</v>
      </c>
      <c r="G83" s="135" t="s">
        <v>5035</v>
      </c>
      <c r="H83" s="135" t="s">
        <v>5036</v>
      </c>
      <c r="I83" s="138" t="s">
        <v>5037</v>
      </c>
      <c r="J83" s="139" t="s">
        <v>5037</v>
      </c>
      <c r="K83" s="135" t="s">
        <v>5036</v>
      </c>
      <c r="L83" s="135" t="s">
        <v>5032</v>
      </c>
      <c r="M83" s="135" t="s">
        <v>5033</v>
      </c>
      <c r="N83" s="135" t="s">
        <v>5034</v>
      </c>
      <c r="O83" s="135" t="s">
        <v>5035</v>
      </c>
      <c r="P83" s="135" t="s">
        <v>5031</v>
      </c>
      <c r="Q83" s="136" t="s">
        <v>4566</v>
      </c>
      <c r="R83" s="140" t="s">
        <v>4564</v>
      </c>
    </row>
    <row r="84" spans="1:18" ht="17.25" thickTop="1" x14ac:dyDescent="0.15">
      <c r="A84" s="621" t="s">
        <v>5064</v>
      </c>
      <c r="B84" s="142" t="s">
        <v>4635</v>
      </c>
      <c r="C84" s="164" t="s">
        <v>4575</v>
      </c>
      <c r="D84" s="2654" cm="1" t="n">
        <f t="array" ref="D84">INDEX('6층_부하량'!F3:F3000,MATCH(1,("6-DaHall 1-PDU-09"='6층_부하량'!A3:A3000)*(1='6층_부하량'!B3:B3000),0))</f>
        <v>0.0</v>
      </c>
      <c r="E84" s="144"/>
      <c r="F84" s="144"/>
      <c r="G84" s="144"/>
      <c r="H84" s="142" t="s">
        <v>4597</v>
      </c>
      <c r="I84" s="291" t="s">
        <v>4633</v>
      </c>
      <c r="J84" s="292" t="s">
        <v>4578</v>
      </c>
      <c r="K84" s="142" t="s">
        <v>4597</v>
      </c>
      <c r="L84" s="2654" cm="1" t="n">
        <f t="array" ref="L84">INDEX('6층_부하량'!F3:F3000,MATCH(1,("6-DaHall 1-PDU-09"='6층_부하량'!A3:A3000)*(2='6층_부하량'!B3:B3000),0))</f>
        <v>0.0</v>
      </c>
      <c r="M84" s="144"/>
      <c r="N84" s="144"/>
      <c r="O84" s="144"/>
      <c r="P84" s="144" t="s">
        <v>4635</v>
      </c>
      <c r="Q84" s="164" t="s">
        <v>4575</v>
      </c>
      <c r="R84" s="618" t="s">
        <v>5065</v>
      </c>
    </row>
    <row r="85" spans="1:18" ht="16.5" x14ac:dyDescent="0.15">
      <c r="A85" s="622" t="s">
        <v>5066</v>
      </c>
      <c r="B85" s="143" t="s">
        <v>4635</v>
      </c>
      <c r="C85" s="164" t="s">
        <v>4575</v>
      </c>
      <c r="D85" s="149"/>
      <c r="E85" s="2655" cm="1" t="n">
        <f t="array" ref="E85">INDEX('6층_부하량'!G3:G3000,MATCH(1,("6-DaHall 1-PDU-09"='6층_부하량'!A3:A3000)*(3='6층_부하량'!B3:B3000),0))</f>
        <v>0.0</v>
      </c>
      <c r="F85" s="149"/>
      <c r="G85" s="149"/>
      <c r="H85" s="143" t="s">
        <v>4597</v>
      </c>
      <c r="I85" s="293" t="s">
        <v>4638</v>
      </c>
      <c r="J85" s="294" t="s">
        <v>4583</v>
      </c>
      <c r="K85" s="143" t="s">
        <v>4597</v>
      </c>
      <c r="L85" s="149"/>
      <c r="M85" s="2655" cm="1" t="n">
        <f t="array" ref="M85">INDEX('6층_부하량'!G3:G3000,MATCH(1,("6-DaHall 1-PDU-09"='6층_부하량'!A3:A3000)*(4='6층_부하량'!B3:B3000),0))</f>
        <v>0.0</v>
      </c>
      <c r="N85" s="149"/>
      <c r="O85" s="149"/>
      <c r="P85" s="149" t="s">
        <v>4635</v>
      </c>
      <c r="Q85" s="164" t="s">
        <v>4575</v>
      </c>
      <c r="R85" s="342" t="s">
        <v>5067</v>
      </c>
    </row>
    <row r="86" spans="1:18" ht="16.5" x14ac:dyDescent="0.15">
      <c r="A86" s="607" t="s">
        <v>5068</v>
      </c>
      <c r="B86" s="143" t="s">
        <v>4635</v>
      </c>
      <c r="C86" s="164" t="s">
        <v>4575</v>
      </c>
      <c r="D86" s="157"/>
      <c r="E86" s="157"/>
      <c r="F86" s="2656" cm="1" t="n">
        <f t="array" ref="F86">INDEX('6층_부하량'!H3:H3000,MATCH(1,("6-DaHall 1-PDU-09"='6층_부하량'!A3:A3000)*(5='6층_부하량'!B3:B3000),0))</f>
        <v>0.0</v>
      </c>
      <c r="G86" s="157"/>
      <c r="H86" s="143" t="s">
        <v>4597</v>
      </c>
      <c r="I86" s="293" t="s">
        <v>4641</v>
      </c>
      <c r="J86" s="294" t="s">
        <v>4588</v>
      </c>
      <c r="K86" s="143" t="s">
        <v>4597</v>
      </c>
      <c r="L86" s="157"/>
      <c r="M86" s="157"/>
      <c r="N86" s="2656" cm="1" t="n">
        <f t="array" ref="N86">INDEX('6층_부하량'!H3:H3000,MATCH(1,("6-DaHall 1-PDU-09"='6층_부하량'!A3:A3000)*(6='6층_부하량'!B3:B3000),0))</f>
        <v>0.0</v>
      </c>
      <c r="O86" s="157"/>
      <c r="P86" s="157" t="s">
        <v>4635</v>
      </c>
      <c r="Q86" s="164" t="s">
        <v>4575</v>
      </c>
      <c r="R86" s="342" t="s">
        <v>5069</v>
      </c>
    </row>
    <row r="87" spans="1:18" ht="16.5" x14ac:dyDescent="0.15">
      <c r="A87" s="622" t="s">
        <v>5070</v>
      </c>
      <c r="B87" s="143" t="s">
        <v>4635</v>
      </c>
      <c r="C87" s="164" t="s">
        <v>4575</v>
      </c>
      <c r="D87" s="2656" cm="1" t="n">
        <f t="array" ref="D87">INDEX('6층_부하량'!F3:F3000,MATCH(1,("6-DaHall 1-PDU-09"='6층_부하량'!A3:A3000)*(7='6층_부하량'!B3:B3000),0))</f>
        <v>0.0</v>
      </c>
      <c r="E87" s="157"/>
      <c r="F87" s="157"/>
      <c r="G87" s="157"/>
      <c r="H87" s="143" t="s">
        <v>4597</v>
      </c>
      <c r="I87" s="293" t="s">
        <v>4645</v>
      </c>
      <c r="J87" s="294" t="s">
        <v>4593</v>
      </c>
      <c r="K87" s="143" t="s">
        <v>4597</v>
      </c>
      <c r="L87" s="2656" cm="1" t="n">
        <f t="array" ref="L87">INDEX('6층_부하량'!F3:F3000,MATCH(1,("6-DaHall 1-PDU-09"='6층_부하량'!A3:A3000)*(8='6층_부하량'!B3:B3000),0))</f>
        <v>0.0</v>
      </c>
      <c r="M87" s="157"/>
      <c r="N87" s="157"/>
      <c r="O87" s="157"/>
      <c r="P87" s="157" t="s">
        <v>4635</v>
      </c>
      <c r="Q87" s="164" t="s">
        <v>4575</v>
      </c>
      <c r="R87" s="342" t="s">
        <v>5071</v>
      </c>
    </row>
    <row r="88" spans="1:18" ht="16.5" x14ac:dyDescent="0.15">
      <c r="A88" s="607" t="s">
        <v>5072</v>
      </c>
      <c r="B88" s="143" t="s">
        <v>4635</v>
      </c>
      <c r="C88" s="164" t="s">
        <v>4575</v>
      </c>
      <c r="D88" s="157"/>
      <c r="E88" s="2656" cm="1" t="n">
        <f t="array" ref="E88">INDEX('6층_부하량'!G3:G3000,MATCH(1,("6-DaHall 1-PDU-09"='6층_부하량'!A3:A3000)*(9='6층_부하량'!B3:B3000),0))</f>
        <v>0.0</v>
      </c>
      <c r="F88" s="157"/>
      <c r="G88" s="157"/>
      <c r="H88" s="143" t="s">
        <v>4597</v>
      </c>
      <c r="I88" s="293" t="s">
        <v>4648</v>
      </c>
      <c r="J88" s="294" t="s">
        <v>4596</v>
      </c>
      <c r="K88" s="143" t="s">
        <v>4597</v>
      </c>
      <c r="L88" s="157"/>
      <c r="M88" s="2656" cm="1" t="n">
        <f t="array" ref="M88">INDEX('6층_부하량'!G3:G3000,MATCH(1,("6-DaHall 1-PDU-09"='6층_부하량'!A3:A3000)*(10='6층_부하량'!B3:B3000),0))</f>
        <v>0.0</v>
      </c>
      <c r="N88" s="157"/>
      <c r="O88" s="157"/>
      <c r="P88" s="157" t="s">
        <v>4635</v>
      </c>
      <c r="Q88" s="164" t="s">
        <v>4575</v>
      </c>
      <c r="R88" s="342" t="s">
        <v>5073</v>
      </c>
    </row>
    <row r="89" spans="1:18" ht="16.5" x14ac:dyDescent="0.15">
      <c r="A89" s="622" t="s">
        <v>5074</v>
      </c>
      <c r="B89" s="143" t="s">
        <v>4635</v>
      </c>
      <c r="C89" s="164" t="s">
        <v>4575</v>
      </c>
      <c r="D89" s="157"/>
      <c r="E89" s="157"/>
      <c r="F89" s="2656" cm="1" t="n">
        <f t="array" ref="F89">INDEX('6층_부하량'!H3:H3000,MATCH(1,("6-DaHall 1-PDU-09"='6층_부하량'!A3:A3000)*(11='6층_부하량'!B3:B3000),0))</f>
        <v>0.0</v>
      </c>
      <c r="G89" s="157"/>
      <c r="H89" s="143" t="s">
        <v>4597</v>
      </c>
      <c r="I89" s="293" t="s">
        <v>4653</v>
      </c>
      <c r="J89" s="294" t="s">
        <v>4599</v>
      </c>
      <c r="K89" s="143" t="s">
        <v>4597</v>
      </c>
      <c r="L89" s="157"/>
      <c r="M89" s="157"/>
      <c r="N89" s="2656" cm="1" t="n">
        <f t="array" ref="N89">INDEX('6층_부하량'!H3:H3000,MATCH(1,("6-DaHall 1-PDU-09"='6층_부하량'!A3:A3000)*(12='6층_부하량'!B3:B3000),0))</f>
        <v>0.0</v>
      </c>
      <c r="O89" s="157"/>
      <c r="P89" s="157" t="s">
        <v>4635</v>
      </c>
      <c r="Q89" s="164" t="s">
        <v>4575</v>
      </c>
      <c r="R89" s="342" t="s">
        <v>5075</v>
      </c>
    </row>
    <row r="90" spans="1:18" ht="16.5" x14ac:dyDescent="0.15">
      <c r="A90" s="607" t="s">
        <v>5076</v>
      </c>
      <c r="B90" s="143" t="s">
        <v>4635</v>
      </c>
      <c r="C90" s="164" t="s">
        <v>4575</v>
      </c>
      <c r="D90" s="2656" cm="1" t="n">
        <f t="array" ref="D90">INDEX('6층_부하량'!F3:F3000,MATCH(1,("6-DaHall 1-PDU-09"='6층_부하량'!A3:A3000)*(13='6층_부하량'!B3:B3000),0))</f>
        <v>0.0</v>
      </c>
      <c r="E90" s="157"/>
      <c r="F90" s="157"/>
      <c r="G90" s="157"/>
      <c r="H90" s="143" t="s">
        <v>4597</v>
      </c>
      <c r="I90" s="293" t="s">
        <v>4657</v>
      </c>
      <c r="J90" s="294" t="s">
        <v>4601</v>
      </c>
      <c r="K90" s="143" t="s">
        <v>4597</v>
      </c>
      <c r="L90" s="2656" cm="1" t="n">
        <f t="array" ref="L90">INDEX('6층_부하량'!F3:F3000,MATCH(1,("6-DaHall 1-PDU-09"='6층_부하량'!A3:A3000)*(14='6층_부하량'!B3:B3000),0))</f>
        <v>0.0</v>
      </c>
      <c r="M90" s="157"/>
      <c r="N90" s="157"/>
      <c r="O90" s="157"/>
      <c r="P90" s="157" t="s">
        <v>4635</v>
      </c>
      <c r="Q90" s="164" t="s">
        <v>4575</v>
      </c>
      <c r="R90" s="342" t="s">
        <v>5077</v>
      </c>
    </row>
    <row r="91" spans="1:18" ht="16.5" x14ac:dyDescent="0.15">
      <c r="A91" s="622" t="s">
        <v>5078</v>
      </c>
      <c r="B91" s="143" t="s">
        <v>4635</v>
      </c>
      <c r="C91" s="164" t="s">
        <v>4575</v>
      </c>
      <c r="D91" s="157"/>
      <c r="E91" s="2656" cm="1" t="n">
        <f t="array" ref="E91">INDEX('6층_부하량'!G3:G3000,MATCH(1,("6-DaHall 1-PDU-09"='6층_부하량'!A3:A3000)*(15='6층_부하량'!B3:B3000),0))</f>
        <v>0.0</v>
      </c>
      <c r="F91" s="157"/>
      <c r="G91" s="157"/>
      <c r="H91" s="143" t="s">
        <v>4597</v>
      </c>
      <c r="I91" s="293" t="s">
        <v>4661</v>
      </c>
      <c r="J91" s="294" t="s">
        <v>4603</v>
      </c>
      <c r="K91" s="143" t="s">
        <v>4597</v>
      </c>
      <c r="L91" s="157"/>
      <c r="M91" s="2656" cm="1" t="n">
        <f t="array" ref="M91">INDEX('6층_부하량'!G3:G3000,MATCH(1,("6-DaHall 1-PDU-09"='6층_부하량'!A3:A3000)*(16='6층_부하량'!B3:B3000),0))</f>
        <v>0.0</v>
      </c>
      <c r="N91" s="157"/>
      <c r="O91" s="157"/>
      <c r="P91" s="157" t="s">
        <v>4635</v>
      </c>
      <c r="Q91" s="164" t="s">
        <v>4575</v>
      </c>
      <c r="R91" s="342" t="s">
        <v>5079</v>
      </c>
    </row>
    <row r="92" spans="1:18" ht="17.25" thickBot="1" x14ac:dyDescent="0.2">
      <c r="A92" s="623" t="s">
        <v>5080</v>
      </c>
      <c r="B92" s="176" t="s">
        <v>4635</v>
      </c>
      <c r="C92" s="185" t="s">
        <v>4575</v>
      </c>
      <c r="D92" s="177"/>
      <c r="E92" s="177"/>
      <c r="F92" s="2661" cm="1" t="n">
        <f t="array" ref="F92">INDEX('6층_부하량'!H3:H3000,MATCH(1,("6-DaHall 1-PDU-09"='6층_부하량'!A3:A3000)*(17='6층_부하량'!B3:B3000),0))</f>
        <v>0.0</v>
      </c>
      <c r="G92" s="177"/>
      <c r="H92" s="176" t="s">
        <v>4597</v>
      </c>
      <c r="I92" s="295" t="s">
        <v>4665</v>
      </c>
      <c r="J92" s="296" t="s">
        <v>4605</v>
      </c>
      <c r="K92" s="176" t="s">
        <v>4597</v>
      </c>
      <c r="L92" s="177"/>
      <c r="M92" s="177"/>
      <c r="N92" s="2661" cm="1" t="n">
        <f t="array" ref="N92">INDEX('6층_부하량'!H3:H3000,MATCH(1,("6-DaHall 1-PDU-09"='6층_부하량'!A3:A3000)*(18='6층_부하량'!B3:B3000),0))</f>
        <v>0.0</v>
      </c>
      <c r="O92" s="177"/>
      <c r="P92" s="177" t="s">
        <v>4635</v>
      </c>
      <c r="Q92" s="185" t="s">
        <v>4575</v>
      </c>
      <c r="R92" s="477" t="s">
        <v>5081</v>
      </c>
    </row>
    <row r="93" spans="1:18" ht="17.25" thickTop="1" x14ac:dyDescent="0.15">
      <c r="A93" s="174" t="s">
        <v>5082</v>
      </c>
      <c r="B93" s="156" t="s">
        <v>4635</v>
      </c>
      <c r="C93" s="142" t="s">
        <v>4723</v>
      </c>
      <c r="D93" s="2658" cm="1" t="n">
        <f t="array" ref="D93">INDEX('6층_부하량'!F3:F3000,MATCH(1,("6-DaHall 1-PDU-09"='6층_부하량'!A3:A3000)*(19='6층_부하량'!B3:B3000),0))</f>
        <v>0.0</v>
      </c>
      <c r="E93" s="179"/>
      <c r="F93" s="179"/>
      <c r="G93" s="179"/>
      <c r="H93" s="156" t="s">
        <v>4597</v>
      </c>
      <c r="I93" s="1470" t="s">
        <v>4670</v>
      </c>
      <c r="J93" s="298" t="s">
        <v>4609</v>
      </c>
      <c r="K93" s="156" t="s">
        <v>4597</v>
      </c>
      <c r="L93" s="2658" cm="1" t="n">
        <f t="array" ref="L93">INDEX('6층_부하량'!F3:F3000,MATCH(1,("6-DaHall 1-PDU-09"='6층_부하량'!A3:A3000)*(20='6층_부하량'!B3:B3000),0))</f>
        <v>0.0</v>
      </c>
      <c r="M93" s="179"/>
      <c r="N93" s="179"/>
      <c r="O93" s="179"/>
      <c r="P93" s="179" t="s">
        <v>4635</v>
      </c>
      <c r="Q93" s="152" t="s">
        <v>4575</v>
      </c>
      <c r="R93" s="475" t="s">
        <v>5083</v>
      </c>
    </row>
    <row r="94" spans="1:18" ht="16.5" x14ac:dyDescent="0.15">
      <c r="A94" s="148" t="s">
        <v>5084</v>
      </c>
      <c r="B94" s="143" t="s">
        <v>4635</v>
      </c>
      <c r="C94" s="156" t="s">
        <v>4723</v>
      </c>
      <c r="D94" s="157"/>
      <c r="E94" s="2656" cm="1" t="n">
        <f t="array" ref="E94">INDEX('6층_부하량'!G3:G3000,MATCH(1,("6-DaHall 1-PDU-09"='6층_부하량'!A3:A3000)*(21='6층_부하량'!B3:B3000),0))</f>
        <v>0.0</v>
      </c>
      <c r="F94" s="157"/>
      <c r="G94" s="157"/>
      <c r="H94" s="143" t="s">
        <v>4597</v>
      </c>
      <c r="I94" s="1471" t="s">
        <v>4674</v>
      </c>
      <c r="J94" s="294" t="s">
        <v>4613</v>
      </c>
      <c r="K94" s="143" t="s">
        <v>4597</v>
      </c>
      <c r="L94" s="157"/>
      <c r="M94" s="2656" cm="1" t="n">
        <f t="array" ref="M94">INDEX('6층_부하량'!G3:G3000,MATCH(1,("6-DaHall 1-PDU-09"='6층_부하량'!A3:A3000)*(22='6층_부하량'!B3:B3000),0))</f>
        <v>0.0</v>
      </c>
      <c r="N94" s="157"/>
      <c r="O94" s="157"/>
      <c r="P94" s="157" t="s">
        <v>4635</v>
      </c>
      <c r="Q94" s="164" t="s">
        <v>4575</v>
      </c>
      <c r="R94" s="342" t="s">
        <v>5085</v>
      </c>
    </row>
    <row r="95" spans="1:18" ht="16.5" x14ac:dyDescent="0.15">
      <c r="A95" s="148" t="s">
        <v>5086</v>
      </c>
      <c r="B95" s="143" t="s">
        <v>4635</v>
      </c>
      <c r="C95" s="143" t="s">
        <v>4723</v>
      </c>
      <c r="D95" s="157"/>
      <c r="E95" s="157"/>
      <c r="F95" s="2656" cm="1" t="n">
        <f t="array" ref="F95">INDEX('6층_부하량'!H3:H3000,MATCH(1,("6-DaHall 1-PDU-09"='6층_부하량'!A3:A3000)*(23='6층_부하량'!B3:B3000),0))</f>
        <v>0.0</v>
      </c>
      <c r="G95" s="157"/>
      <c r="H95" s="143" t="s">
        <v>4597</v>
      </c>
      <c r="I95" s="1471" t="s">
        <v>4678</v>
      </c>
      <c r="J95" s="294" t="s">
        <v>4680</v>
      </c>
      <c r="K95" s="143" t="s">
        <v>4597</v>
      </c>
      <c r="L95" s="157"/>
      <c r="M95" s="157"/>
      <c r="N95" s="2656" cm="1" t="n">
        <f t="array" ref="N95">INDEX('6층_부하량'!H3:H3000,MATCH(1,("6-DaHall 1-PDU-09"='6층_부하량'!A3:A3000)*(24='6층_부하량'!B3:B3000),0))</f>
        <v>0.0</v>
      </c>
      <c r="O95" s="157"/>
      <c r="P95" s="157" t="s">
        <v>4635</v>
      </c>
      <c r="Q95" s="164" t="s">
        <v>4575</v>
      </c>
      <c r="R95" s="342" t="s">
        <v>5087</v>
      </c>
    </row>
    <row r="96" spans="1:18" ht="16.5" x14ac:dyDescent="0.15">
      <c r="A96" s="148" t="s">
        <v>5088</v>
      </c>
      <c r="B96" s="143" t="s">
        <v>4635</v>
      </c>
      <c r="C96" s="143" t="s">
        <v>4723</v>
      </c>
      <c r="D96" s="2656" cm="1" t="n">
        <f t="array" ref="D96">INDEX('6층_부하량'!F3:F3000,MATCH(1,("6-DaHall 1-PDU-09"='6층_부하량'!A3:A3000)*(25='6층_부하량'!B3:B3000),0))</f>
        <v>0.0</v>
      </c>
      <c r="E96" s="157"/>
      <c r="F96" s="157"/>
      <c r="G96" s="157"/>
      <c r="H96" s="143" t="s">
        <v>4597</v>
      </c>
      <c r="I96" s="1471" t="s">
        <v>4683</v>
      </c>
      <c r="J96" s="294" t="s">
        <v>4685</v>
      </c>
      <c r="K96" s="143" t="s">
        <v>4597</v>
      </c>
      <c r="L96" s="2656" cm="1" t="n">
        <f t="array" ref="L96">INDEX('6층_부하량'!F3:F3000,MATCH(1,("6-DaHall 1-PDU-09"='6층_부하량'!A3:A3000)*(26='6층_부하량'!B3:B3000),0))</f>
        <v>0.0</v>
      </c>
      <c r="M96" s="157"/>
      <c r="N96" s="157"/>
      <c r="O96" s="157"/>
      <c r="P96" s="157" t="s">
        <v>4635</v>
      </c>
      <c r="Q96" s="164" t="s">
        <v>4575</v>
      </c>
      <c r="R96" s="342" t="s">
        <v>5089</v>
      </c>
    </row>
    <row r="97" spans="1:18" ht="16.5" x14ac:dyDescent="0.15">
      <c r="A97" s="257" t="s">
        <v>5090</v>
      </c>
      <c r="B97" s="143" t="s">
        <v>4635</v>
      </c>
      <c r="C97" s="143" t="s">
        <v>4723</v>
      </c>
      <c r="D97" s="157"/>
      <c r="E97" s="2656" cm="1" t="n">
        <f t="array" ref="E97">INDEX('6층_부하량'!G3:G3000,MATCH(1,("6-DaHall 1-PDU-09"='6층_부하량'!A3:A3000)*(27='6층_부하량'!B3:B3000),0))</f>
        <v>0.0</v>
      </c>
      <c r="F97" s="157"/>
      <c r="G97" s="157"/>
      <c r="H97" s="143" t="s">
        <v>4597</v>
      </c>
      <c r="I97" s="1471" t="s">
        <v>4688</v>
      </c>
      <c r="J97" s="294" t="s">
        <v>4689</v>
      </c>
      <c r="K97" s="143" t="s">
        <v>4597</v>
      </c>
      <c r="L97" s="157"/>
      <c r="M97" s="2656" cm="1" t="n">
        <f t="array" ref="M97">INDEX('6층_부하량'!G3:G3000,MATCH(1,("6-DaHall 1-PDU-09"='6층_부하량'!A3:A3000)*(28='6층_부하량'!B3:B3000),0))</f>
        <v>0.0</v>
      </c>
      <c r="N97" s="157"/>
      <c r="O97" s="157"/>
      <c r="P97" s="157" t="s">
        <v>4635</v>
      </c>
      <c r="Q97" s="164" t="s">
        <v>4575</v>
      </c>
      <c r="R97" s="342" t="s">
        <v>5091</v>
      </c>
    </row>
    <row r="98" spans="1:18" ht="16.5" x14ac:dyDescent="0.15">
      <c r="A98" s="257" t="s">
        <v>5092</v>
      </c>
      <c r="B98" s="143" t="s">
        <v>4635</v>
      </c>
      <c r="C98" s="143" t="s">
        <v>4723</v>
      </c>
      <c r="D98" s="157"/>
      <c r="E98" s="157"/>
      <c r="F98" s="2656" cm="1" t="n">
        <f t="array" ref="F98">INDEX('6층_부하량'!H3:H3000,MATCH(1,("6-DaHall 1-PDU-09"='6층_부하량'!A3:A3000)*(29='6층_부하량'!B3:B3000),0))</f>
        <v>0.0</v>
      </c>
      <c r="G98" s="157"/>
      <c r="H98" s="143" t="s">
        <v>4597</v>
      </c>
      <c r="I98" s="1471" t="s">
        <v>4691</v>
      </c>
      <c r="J98" s="294" t="s">
        <v>4692</v>
      </c>
      <c r="K98" s="143" t="s">
        <v>4597</v>
      </c>
      <c r="L98" s="157"/>
      <c r="M98" s="157"/>
      <c r="N98" s="2656" cm="1" t="n">
        <f t="array" ref="N98">INDEX('6층_부하량'!H3:H3000,MATCH(1,("6-DaHall 1-PDU-09"='6층_부하량'!A3:A3000)*(30='6층_부하량'!B3:B3000),0))</f>
        <v>0.0</v>
      </c>
      <c r="O98" s="157"/>
      <c r="P98" s="157" t="s">
        <v>4635</v>
      </c>
      <c r="Q98" s="164" t="s">
        <v>4575</v>
      </c>
      <c r="R98" s="342" t="s">
        <v>5093</v>
      </c>
    </row>
    <row r="99" spans="1:18" ht="16.5" x14ac:dyDescent="0.15">
      <c r="A99" s="274" t="s">
        <v>5094</v>
      </c>
      <c r="B99" s="143" t="s">
        <v>4635</v>
      </c>
      <c r="C99" s="164" t="s">
        <v>4575</v>
      </c>
      <c r="D99" s="2656" cm="1" t="n">
        <f t="array" ref="D99">INDEX('6층_부하량'!F3:F3000,MATCH(1,("6-DaHall 1-PDU-09"='6층_부하량'!A3:A3000)*(31='6층_부하량'!B3:B3000),0))</f>
        <v>0.0</v>
      </c>
      <c r="E99" s="157"/>
      <c r="F99" s="157"/>
      <c r="G99" s="157"/>
      <c r="H99" s="143" t="s">
        <v>4597</v>
      </c>
      <c r="I99" s="299" t="s">
        <v>4693</v>
      </c>
      <c r="J99" s="294" t="s">
        <v>4694</v>
      </c>
      <c r="K99" s="143" t="s">
        <v>4597</v>
      </c>
      <c r="L99" s="2656" cm="1" t="n">
        <f t="array" ref="L99">INDEX('6층_부하량'!F3:F3000,MATCH(1,("6-DaHall 1-PDU-09"='6층_부하량'!A3:A3000)*(32='6층_부하량'!B3:B3000),0))</f>
        <v>0.0</v>
      </c>
      <c r="M99" s="157"/>
      <c r="N99" s="157"/>
      <c r="O99" s="157"/>
      <c r="P99" s="157" t="s">
        <v>4635</v>
      </c>
      <c r="Q99" s="164" t="s">
        <v>4575</v>
      </c>
      <c r="R99" s="264" t="s">
        <v>5095</v>
      </c>
    </row>
    <row r="100" spans="1:18" ht="16.5" x14ac:dyDescent="0.15">
      <c r="A100" s="148" t="s">
        <v>5096</v>
      </c>
      <c r="B100" s="143" t="s">
        <v>4635</v>
      </c>
      <c r="C100" s="143" t="s">
        <v>4723</v>
      </c>
      <c r="D100" s="157"/>
      <c r="E100" s="2656" cm="1" t="n">
        <f t="array" ref="E100">INDEX('6층_부하량'!G3:G3000,MATCH(1,("6-DaHall 1-PDU-09"='6층_부하량'!A3:A3000)*(33='6층_부하량'!B3:B3000),0))</f>
        <v>0.0</v>
      </c>
      <c r="F100" s="157"/>
      <c r="G100" s="157"/>
      <c r="H100" s="143" t="s">
        <v>4597</v>
      </c>
      <c r="I100" s="1471" t="s">
        <v>4697</v>
      </c>
      <c r="J100" s="294" t="s">
        <v>4698</v>
      </c>
      <c r="K100" s="143" t="s">
        <v>4597</v>
      </c>
      <c r="L100" s="157"/>
      <c r="M100" s="2656" cm="1" t="n">
        <f t="array" ref="M100">INDEX('6층_부하량'!G3:G3000,MATCH(1,("6-DaHall 1-PDU-09"='6층_부하량'!A3:A3000)*(34='6층_부하량'!B3:B3000),0))</f>
        <v>0.0</v>
      </c>
      <c r="N100" s="157"/>
      <c r="O100" s="157"/>
      <c r="P100" s="157" t="s">
        <v>4635</v>
      </c>
      <c r="Q100" s="164" t="s">
        <v>4575</v>
      </c>
      <c r="R100" s="264" t="s">
        <v>5097</v>
      </c>
    </row>
    <row r="101" spans="1:18" ht="16.5" customHeight="1" x14ac:dyDescent="0.15">
      <c r="A101" s="341" t="s">
        <v>5098</v>
      </c>
      <c r="B101" s="143" t="s">
        <v>4635</v>
      </c>
      <c r="C101" s="143" t="s">
        <v>4723</v>
      </c>
      <c r="D101" s="157"/>
      <c r="E101" s="157"/>
      <c r="F101" s="2656" cm="1" t="n">
        <f t="array" ref="F101">INDEX('6층_부하량'!H3:H3000,MATCH(1,("6-DaHall 1-PDU-09"='6층_부하량'!A3:A3000)*(35='6층_부하량'!B3:B3000),0))</f>
        <v>0.0</v>
      </c>
      <c r="G101" s="157"/>
      <c r="H101" s="143" t="s">
        <v>4597</v>
      </c>
      <c r="I101" s="1465" t="s">
        <v>4701</v>
      </c>
      <c r="J101" s="294" t="s">
        <v>4703</v>
      </c>
      <c r="K101" s="143" t="s">
        <v>4597</v>
      </c>
      <c r="L101" s="157"/>
      <c r="M101" s="157"/>
      <c r="N101" s="2656" cm="1" t="n">
        <f t="array" ref="N101">INDEX('6층_부하량'!H3:H3000,MATCH(1,("6-DaHall 1-PDU-09"='6층_부하량'!A3:A3000)*(36='6층_부하량'!B3:B3000),0))</f>
        <v>0.0</v>
      </c>
      <c r="O101" s="157"/>
      <c r="P101" s="157" t="s">
        <v>4635</v>
      </c>
      <c r="Q101" s="164" t="s">
        <v>4575</v>
      </c>
      <c r="R101" s="264" t="s">
        <v>5099</v>
      </c>
    </row>
    <row r="102" spans="1:18" ht="16.5" customHeight="1" x14ac:dyDescent="0.15">
      <c r="A102" s="341" t="s">
        <v>5100</v>
      </c>
      <c r="B102" s="143" t="s">
        <v>4635</v>
      </c>
      <c r="C102" s="143" t="s">
        <v>4723</v>
      </c>
      <c r="D102" s="2656" cm="1" t="n">
        <f t="array" ref="D102">INDEX('6층_부하량'!F3:F3000,MATCH(1,("6-DaHall 1-PDU-09"='6층_부하량'!A3:A3000)*(37='6층_부하량'!B3:B3000),0))</f>
        <v>0.0</v>
      </c>
      <c r="E102" s="157"/>
      <c r="F102" s="157"/>
      <c r="G102" s="157"/>
      <c r="H102" s="143" t="s">
        <v>4597</v>
      </c>
      <c r="I102" s="1465" t="s">
        <v>4706</v>
      </c>
      <c r="J102" s="1463" t="s">
        <v>4707</v>
      </c>
      <c r="K102" s="143" t="s">
        <v>4597</v>
      </c>
      <c r="L102" s="2656" cm="1" t="n">
        <f t="array" ref="L102">INDEX('6층_부하량'!F3:F3000,MATCH(1,("6-DaHall 1-PDU-09"='6층_부하량'!A3:A3000)*(38='6층_부하량'!B3:B3000),0))</f>
        <v>0.0</v>
      </c>
      <c r="M102" s="157"/>
      <c r="N102" s="157"/>
      <c r="O102" s="157"/>
      <c r="P102" s="157" t="s">
        <v>4635</v>
      </c>
      <c r="Q102" s="143" t="s">
        <v>4591</v>
      </c>
      <c r="R102" s="619" t="s">
        <v>5101</v>
      </c>
    </row>
    <row r="103" spans="1:18" ht="16.5" customHeight="1" x14ac:dyDescent="0.15">
      <c r="A103" s="148" t="s">
        <v>5102</v>
      </c>
      <c r="B103" s="143" t="s">
        <v>4635</v>
      </c>
      <c r="C103" s="143" t="s">
        <v>4723</v>
      </c>
      <c r="D103" s="157"/>
      <c r="E103" s="2656" cm="1" t="n">
        <f t="array" ref="E103">INDEX('6층_부하량'!G3:G3000,MATCH(1,("6-DaHall 1-PDU-09"='6층_부하량'!A3:A3000)*(39='6층_부하량'!B3:B3000),0))</f>
        <v>0.0</v>
      </c>
      <c r="F103" s="157"/>
      <c r="G103" s="157"/>
      <c r="H103" s="143" t="s">
        <v>4597</v>
      </c>
      <c r="I103" s="1471" t="s">
        <v>4710</v>
      </c>
      <c r="J103" s="1463" t="s">
        <v>4711</v>
      </c>
      <c r="K103" s="143" t="s">
        <v>4597</v>
      </c>
      <c r="L103" s="157"/>
      <c r="M103" s="2656" cm="1" t="n">
        <f t="array" ref="M103">INDEX('6층_부하량'!G3:G3000,MATCH(1,("6-DaHall 1-PDU-09"='6층_부하량'!A3:A3000)*(40='6층_부하량'!B3:B3000),0))</f>
        <v>0.0</v>
      </c>
      <c r="N103" s="157"/>
      <c r="O103" s="157"/>
      <c r="P103" s="157" t="s">
        <v>4635</v>
      </c>
      <c r="Q103" s="143" t="s">
        <v>4591</v>
      </c>
      <c r="R103" s="619" t="s">
        <v>5103</v>
      </c>
    </row>
    <row r="104" spans="1:18" ht="16.5" customHeight="1" x14ac:dyDescent="0.15">
      <c r="A104" s="148" t="s">
        <v>5104</v>
      </c>
      <c r="B104" s="143" t="s">
        <v>4635</v>
      </c>
      <c r="C104" s="143" t="s">
        <v>4723</v>
      </c>
      <c r="D104" s="157"/>
      <c r="E104" s="157"/>
      <c r="F104" s="2656" cm="1" t="n">
        <f t="array" ref="F104">INDEX('6층_부하량'!H3:H3000,MATCH(1,("6-DaHall 1-PDU-09"='6층_부하량'!A3:A3000)*(41='6층_부하량'!B3:B3000),0))</f>
        <v>0.0</v>
      </c>
      <c r="G104" s="157"/>
      <c r="H104" s="143" t="s">
        <v>4597</v>
      </c>
      <c r="I104" s="1465" t="s">
        <v>5055</v>
      </c>
      <c r="J104" s="1463" t="s">
        <v>4843</v>
      </c>
      <c r="K104" s="143" t="s">
        <v>4597</v>
      </c>
      <c r="L104" s="157"/>
      <c r="M104" s="157"/>
      <c r="N104" s="2656" cm="1" t="n">
        <f t="array" ref="N104">INDEX('6층_부하량'!H3:H3000,MATCH(1,("6-DaHall 1-PDU-09"='6층_부하량'!A3:A3000)*(42='6층_부하량'!B3:B3000),0))</f>
        <v>0.0</v>
      </c>
      <c r="O104" s="157"/>
      <c r="P104" s="157" t="s">
        <v>4635</v>
      </c>
      <c r="Q104" s="143" t="s">
        <v>4591</v>
      </c>
      <c r="R104" s="619" t="s">
        <v>5105</v>
      </c>
    </row>
    <row r="105" spans="1:18" ht="16.5" customHeight="1" x14ac:dyDescent="0.15">
      <c r="A105" s="148" t="s">
        <v>5106</v>
      </c>
      <c r="B105" s="143" t="s">
        <v>4635</v>
      </c>
      <c r="C105" s="143" t="s">
        <v>4723</v>
      </c>
      <c r="D105" s="2656" cm="1" t="n">
        <f t="array" ref="D105">INDEX('6층_부하량'!F3:F3000,MATCH(1,("6-DaHall 1-PDU-09"='6층_부하량'!A3:A3000)*(43='6층_부하량'!B3:B3000),0))</f>
        <v>0.0</v>
      </c>
      <c r="E105" s="157"/>
      <c r="F105" s="157"/>
      <c r="G105" s="157"/>
      <c r="H105" s="143" t="s">
        <v>4597</v>
      </c>
      <c r="I105" s="1465" t="s">
        <v>4845</v>
      </c>
      <c r="J105" s="1463" t="s">
        <v>4846</v>
      </c>
      <c r="K105" s="143" t="s">
        <v>4597</v>
      </c>
      <c r="L105" s="2656" cm="1" t="n">
        <f t="array" ref="L105">INDEX('6층_부하량'!F3:F3000,MATCH(1,("6-DaHall 1-PDU-09"='6층_부하량'!A3:A3000)*(44='6층_부하량'!B3:B3000),0))</f>
        <v>0.0</v>
      </c>
      <c r="M105" s="157"/>
      <c r="N105" s="157"/>
      <c r="O105" s="157"/>
      <c r="P105" s="157" t="s">
        <v>4635</v>
      </c>
      <c r="Q105" s="143" t="s">
        <v>4591</v>
      </c>
      <c r="R105" s="619" t="s">
        <v>5107</v>
      </c>
    </row>
    <row r="106" spans="1:18" ht="16.5" customHeight="1" x14ac:dyDescent="0.15">
      <c r="A106" s="341" t="s">
        <v>5108</v>
      </c>
      <c r="B106" s="143" t="s">
        <v>4635</v>
      </c>
      <c r="C106" s="143" t="s">
        <v>4723</v>
      </c>
      <c r="D106" s="157"/>
      <c r="E106" s="2656" cm="1" t="n">
        <f t="array" ref="E106">INDEX('6층_부하량'!G3:G3000,MATCH(1,("6-DaHall 1-PDU-09"='6층_부하량'!A3:A3000)*(45='6층_부하량'!B3:B3000),0))</f>
        <v>0.0</v>
      </c>
      <c r="F106" s="157"/>
      <c r="G106" s="157"/>
      <c r="H106" s="143" t="s">
        <v>4597</v>
      </c>
      <c r="I106" s="1465" t="s">
        <v>4847</v>
      </c>
      <c r="J106" s="1463" t="s">
        <v>4848</v>
      </c>
      <c r="K106" s="143" t="s">
        <v>4597</v>
      </c>
      <c r="L106" s="157"/>
      <c r="M106" s="2656" cm="1" t="n">
        <f t="array" ref="M106">INDEX('6층_부하량'!G3:G3000,MATCH(1,("6-DaHall 1-PDU-09"='6층_부하량'!A3:A3000)*(46='6층_부하량'!B3:B3000),0))</f>
        <v>0.0</v>
      </c>
      <c r="N106" s="157"/>
      <c r="O106" s="157"/>
      <c r="P106" s="157" t="s">
        <v>4635</v>
      </c>
      <c r="Q106" s="143" t="s">
        <v>4591</v>
      </c>
      <c r="R106" s="619" t="s">
        <v>5109</v>
      </c>
    </row>
    <row r="107" spans="1:18" ht="16.5" customHeight="1" x14ac:dyDescent="0.15">
      <c r="A107" s="341" t="s">
        <v>5110</v>
      </c>
      <c r="B107" s="143" t="s">
        <v>4635</v>
      </c>
      <c r="C107" s="143" t="s">
        <v>4723</v>
      </c>
      <c r="D107" s="157"/>
      <c r="E107" s="157"/>
      <c r="F107" s="2656" cm="1" t="n">
        <f t="array" ref="F107">INDEX('6층_부하량'!H3:H3000,MATCH(1,("6-DaHall 1-PDU-09"='6층_부하량'!A3:A3000)*(47='6층_부하량'!B3:B3000),0))</f>
        <v>0.0</v>
      </c>
      <c r="G107" s="157"/>
      <c r="H107" s="143" t="s">
        <v>4597</v>
      </c>
      <c r="I107" s="1471" t="s">
        <v>4849</v>
      </c>
      <c r="J107" s="1463" t="s">
        <v>4850</v>
      </c>
      <c r="K107" s="143" t="s">
        <v>4597</v>
      </c>
      <c r="L107" s="157"/>
      <c r="M107" s="157"/>
      <c r="N107" s="2656" cm="1" t="n">
        <f t="array" ref="N107">INDEX('6층_부하량'!H3:H3000,MATCH(1,("6-DaHall 1-PDU-09"='6층_부하량'!A3:A3000)*(48='6층_부하량'!B3:B3000),0))</f>
        <v>0.0</v>
      </c>
      <c r="O107" s="157"/>
      <c r="P107" s="157" t="s">
        <v>4635</v>
      </c>
      <c r="Q107" s="143" t="s">
        <v>4591</v>
      </c>
      <c r="R107" s="619" t="s">
        <v>5111</v>
      </c>
    </row>
    <row r="108" spans="1:18" ht="16.5" customHeight="1" thickBot="1" x14ac:dyDescent="0.2">
      <c r="A108" s="624" t="s">
        <v>5112</v>
      </c>
      <c r="B108" s="166" t="s">
        <v>4635</v>
      </c>
      <c r="C108" s="166" t="s">
        <v>4642</v>
      </c>
      <c r="D108" s="2659" cm="1" t="n">
        <f t="array" ref="D108">INDEX('6층_부하량'!F3:F3000,MATCH(1,("6-DaHall 1-PDU-09"='6층_부하량'!A3:A3000)*(49='6층_부하량'!B3:B3000),0))</f>
        <v>0.0</v>
      </c>
      <c r="E108" s="167"/>
      <c r="F108" s="167"/>
      <c r="G108" s="167"/>
      <c r="H108" s="166" t="s">
        <v>4597</v>
      </c>
      <c r="I108" s="1472" t="s">
        <v>4851</v>
      </c>
      <c r="J108" s="1473" t="s">
        <v>4852</v>
      </c>
      <c r="K108" s="166" t="s">
        <v>4597</v>
      </c>
      <c r="L108" s="2659" cm="1" t="n">
        <f t="array" ref="L108">INDEX('6층_부하량'!F3:F3000,MATCH(1,("6-DaHall 1-PDU-09"='6층_부하량'!A3:A3000)*(50='6층_부하량'!B3:B3000),0))</f>
        <v>0.0</v>
      </c>
      <c r="M108" s="167"/>
      <c r="N108" s="167"/>
      <c r="O108" s="167"/>
      <c r="P108" s="167" t="s">
        <v>4635</v>
      </c>
      <c r="Q108" s="166" t="s">
        <v>4642</v>
      </c>
      <c r="R108" s="620" t="s">
        <v>5113</v>
      </c>
    </row>
    <row r="109" spans="1:18" ht="14.25" thickTop="1" x14ac:dyDescent="0.15">
      <c r="A109" s="171"/>
      <c r="B109" s="133"/>
      <c r="C109" s="133"/>
      <c r="D109" s="131"/>
      <c r="E109" s="131"/>
      <c r="F109" s="131"/>
      <c r="G109" s="131"/>
      <c r="H109" s="133"/>
      <c r="I109" s="172"/>
      <c r="J109" s="172"/>
      <c r="K109" s="133" t="s">
        <v>4713</v>
      </c>
      <c r="L109" s="131" t="n">
        <f>SUM(D84:D108,L84:L108)</f>
        <v>0.0</v>
      </c>
      <c r="M109" s="131" t="n">
        <f>SUM(E84:E108,M84:M108)</f>
        <v>0.0</v>
      </c>
      <c r="N109" s="131" t="n">
        <f>SUM(F84:F108,N84:N108)</f>
        <v>0.0</v>
      </c>
      <c r="O109" s="131" t="n">
        <f>SUM(O84:O108,W84:W108)</f>
        <v>0.0</v>
      </c>
      <c r="P109" s="131"/>
      <c r="Q109" s="133"/>
      <c r="R109" s="131"/>
    </row>
    <row r="110" spans="1:18" ht="14.25" thickBot="1" x14ac:dyDescent="0.2">
      <c r="A110" s="128"/>
      <c r="B110" s="128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</row>
    <row r="111" spans="1:18" ht="15" thickTop="1" thickBot="1" x14ac:dyDescent="0.2">
      <c r="A111" s="173" t="s">
        <v>7000</v>
      </c>
      <c r="B111" s="128"/>
      <c r="C111" s="3660" t="s">
        <v>5114</v>
      </c>
      <c r="D111" s="3660"/>
      <c r="E111" s="3660"/>
      <c r="F111" s="173"/>
      <c r="G111" s="173"/>
      <c r="H111" s="133"/>
      <c r="I111" s="3665" t="s">
        <v>5063</v>
      </c>
      <c r="J111" s="3666"/>
      <c r="K111" s="133"/>
      <c r="L111" s="173"/>
      <c r="M111" s="173"/>
      <c r="N111" s="173"/>
      <c r="O111" s="173"/>
      <c r="P111" s="173"/>
      <c r="Q111" s="173"/>
      <c r="R111" s="128"/>
    </row>
    <row r="112" spans="1:18" ht="15" thickTop="1" thickBot="1" x14ac:dyDescent="0.2">
      <c r="A112" s="127"/>
      <c r="B112" s="128"/>
      <c r="C112" s="128"/>
      <c r="D112" s="129"/>
      <c r="E112" s="129"/>
      <c r="F112" s="130"/>
      <c r="G112" s="129"/>
      <c r="H112" s="131"/>
      <c r="I112" s="128"/>
      <c r="J112" s="132"/>
      <c r="K112" s="1371" t="s">
        <v>4562</v>
      </c>
      <c r="L112" s="1368">
        <v>0</v>
      </c>
      <c r="M112" s="1369">
        <v>0</v>
      </c>
      <c r="N112" s="1370">
        <v>0</v>
      </c>
      <c r="O112" s="508" t="s">
        <v>4563</v>
      </c>
      <c r="P112" s="133"/>
      <c r="Q112" s="128"/>
      <c r="R112" s="528"/>
    </row>
    <row r="113" spans="1:18" ht="15" thickTop="1" thickBot="1" x14ac:dyDescent="0.2">
      <c r="A113" s="134" t="s">
        <v>4564</v>
      </c>
      <c r="B113" s="135" t="s">
        <v>5031</v>
      </c>
      <c r="C113" s="136" t="s">
        <v>4566</v>
      </c>
      <c r="D113" s="135" t="s">
        <v>5032</v>
      </c>
      <c r="E113" s="135" t="s">
        <v>5033</v>
      </c>
      <c r="F113" s="135" t="s">
        <v>5034</v>
      </c>
      <c r="G113" s="135" t="s">
        <v>5035</v>
      </c>
      <c r="H113" s="135" t="s">
        <v>5036</v>
      </c>
      <c r="I113" s="138" t="s">
        <v>5037</v>
      </c>
      <c r="J113" s="139" t="s">
        <v>5037</v>
      </c>
      <c r="K113" s="135" t="s">
        <v>5036</v>
      </c>
      <c r="L113" s="135" t="s">
        <v>5032</v>
      </c>
      <c r="M113" s="135" t="s">
        <v>5033</v>
      </c>
      <c r="N113" s="135" t="s">
        <v>5034</v>
      </c>
      <c r="O113" s="135" t="s">
        <v>5035</v>
      </c>
      <c r="P113" s="135" t="s">
        <v>5031</v>
      </c>
      <c r="Q113" s="136" t="s">
        <v>4566</v>
      </c>
      <c r="R113" s="140" t="s">
        <v>4564</v>
      </c>
    </row>
    <row r="114" spans="1:18" ht="17.25" thickTop="1" x14ac:dyDescent="0.15">
      <c r="A114" s="621" t="s">
        <v>5115</v>
      </c>
      <c r="B114" s="142" t="s">
        <v>4635</v>
      </c>
      <c r="C114" s="164" t="s">
        <v>4575</v>
      </c>
      <c r="D114" s="2654" cm="1" t="n">
        <f t="array" ref="D114">INDEX('6층_부하량'!F3:F3000,MATCH(1,("6-DaHall 1-PDU-10"='6층_부하량'!A3:A3000)*(1='6층_부하량'!B3:B3000),0))</f>
        <v>0.0</v>
      </c>
      <c r="E114" s="144"/>
      <c r="F114" s="144"/>
      <c r="G114" s="144"/>
      <c r="H114" s="142" t="s">
        <v>4597</v>
      </c>
      <c r="I114" s="291" t="s">
        <v>4633</v>
      </c>
      <c r="J114" s="292" t="s">
        <v>4578</v>
      </c>
      <c r="K114" s="142" t="s">
        <v>4597</v>
      </c>
      <c r="L114" s="2654" cm="1" t="n">
        <f t="array" ref="L114">INDEX('6층_부하량'!F3:F3000,MATCH(1,("6-DaHall 1-PDU-10"='6층_부하량'!A3:A3000)*(2='6층_부하량'!B3:B3000),0))</f>
        <v>0.0</v>
      </c>
      <c r="M114" s="144"/>
      <c r="N114" s="144"/>
      <c r="O114" s="144"/>
      <c r="P114" s="144" t="s">
        <v>4635</v>
      </c>
      <c r="Q114" s="164" t="s">
        <v>4575</v>
      </c>
      <c r="R114" s="618" t="s">
        <v>5116</v>
      </c>
    </row>
    <row r="115" spans="1:18" ht="16.5" x14ac:dyDescent="0.15">
      <c r="A115" s="622" t="s">
        <v>5117</v>
      </c>
      <c r="B115" s="143" t="s">
        <v>4635</v>
      </c>
      <c r="C115" s="164" t="s">
        <v>4575</v>
      </c>
      <c r="D115" s="149"/>
      <c r="E115" s="2655" cm="1" t="n">
        <f t="array" ref="E115">INDEX('6층_부하량'!G3:G3000,MATCH(1,("6-DaHall 1-PDU-10"='6층_부하량'!A3:A3000)*(3='6층_부하량'!B3:B3000),0))</f>
        <v>0.0</v>
      </c>
      <c r="F115" s="149"/>
      <c r="G115" s="149"/>
      <c r="H115" s="143" t="s">
        <v>4597</v>
      </c>
      <c r="I115" s="293" t="s">
        <v>4638</v>
      </c>
      <c r="J115" s="294" t="s">
        <v>4583</v>
      </c>
      <c r="K115" s="143" t="s">
        <v>4597</v>
      </c>
      <c r="L115" s="149"/>
      <c r="M115" s="2655" cm="1" t="n">
        <f t="array" ref="M115">INDEX('6층_부하량'!G3:G3000,MATCH(1,("6-DaHall 1-PDU-10"='6층_부하량'!A3:A3000)*(4='6층_부하량'!B3:B3000),0))</f>
        <v>0.0</v>
      </c>
      <c r="N115" s="149"/>
      <c r="O115" s="149"/>
      <c r="P115" s="149" t="s">
        <v>4635</v>
      </c>
      <c r="Q115" s="164" t="s">
        <v>4575</v>
      </c>
      <c r="R115" s="342" t="s">
        <v>5118</v>
      </c>
    </row>
    <row r="116" spans="1:18" ht="16.5" x14ac:dyDescent="0.15">
      <c r="A116" s="607" t="s">
        <v>5119</v>
      </c>
      <c r="B116" s="143" t="s">
        <v>4635</v>
      </c>
      <c r="C116" s="164" t="s">
        <v>4575</v>
      </c>
      <c r="D116" s="157"/>
      <c r="E116" s="157"/>
      <c r="F116" s="2656" cm="1" t="n">
        <f t="array" ref="F116">INDEX('6층_부하량'!H3:H3000,MATCH(1,("6-DaHall 1-PDU-10"='6층_부하량'!A3:A3000)*(5='6층_부하량'!B3:B3000),0))</f>
        <v>0.0</v>
      </c>
      <c r="G116" s="157"/>
      <c r="H116" s="143" t="s">
        <v>4597</v>
      </c>
      <c r="I116" s="293" t="s">
        <v>4641</v>
      </c>
      <c r="J116" s="294" t="s">
        <v>4588</v>
      </c>
      <c r="K116" s="143" t="s">
        <v>4597</v>
      </c>
      <c r="L116" s="157"/>
      <c r="M116" s="157"/>
      <c r="N116" s="2656" cm="1" t="n">
        <f t="array" ref="N116">INDEX('6층_부하량'!H3:H3000,MATCH(1,("6-DaHall 1-PDU-10"='6층_부하량'!A3:A3000)*(6='6층_부하량'!B3:B3000),0))</f>
        <v>0.0</v>
      </c>
      <c r="O116" s="157"/>
      <c r="P116" s="157" t="s">
        <v>4635</v>
      </c>
      <c r="Q116" s="164" t="s">
        <v>4575</v>
      </c>
      <c r="R116" s="342" t="s">
        <v>5120</v>
      </c>
    </row>
    <row r="117" spans="1:18" ht="16.5" x14ac:dyDescent="0.15">
      <c r="A117" s="622" t="s">
        <v>5121</v>
      </c>
      <c r="B117" s="143" t="s">
        <v>4635</v>
      </c>
      <c r="C117" s="164" t="s">
        <v>4575</v>
      </c>
      <c r="D117" s="2656" cm="1" t="n">
        <f t="array" ref="D117">INDEX('6층_부하량'!F3:F3000,MATCH(1,("6-DaHall 1-PDU-10"='6층_부하량'!A3:A3000)*(7='6층_부하량'!B3:B3000),0))</f>
        <v>0.0</v>
      </c>
      <c r="E117" s="157"/>
      <c r="F117" s="157"/>
      <c r="G117" s="157"/>
      <c r="H117" s="143" t="s">
        <v>4597</v>
      </c>
      <c r="I117" s="293" t="s">
        <v>4645</v>
      </c>
      <c r="J117" s="294" t="s">
        <v>4593</v>
      </c>
      <c r="K117" s="143" t="s">
        <v>4597</v>
      </c>
      <c r="L117" s="2656" cm="1" t="n">
        <f t="array" ref="L117">INDEX('6층_부하량'!F3:F3000,MATCH(1,("6-DaHall 1-PDU-10"='6층_부하량'!A3:A3000)*(8='6층_부하량'!B3:B3000),0))</f>
        <v>0.0</v>
      </c>
      <c r="M117" s="157"/>
      <c r="N117" s="157"/>
      <c r="O117" s="157"/>
      <c r="P117" s="157" t="s">
        <v>4635</v>
      </c>
      <c r="Q117" s="164" t="s">
        <v>4575</v>
      </c>
      <c r="R117" s="342" t="s">
        <v>5122</v>
      </c>
    </row>
    <row r="118" spans="1:18" ht="16.5" x14ac:dyDescent="0.15">
      <c r="A118" s="607" t="s">
        <v>5123</v>
      </c>
      <c r="B118" s="143" t="s">
        <v>4635</v>
      </c>
      <c r="C118" s="164" t="s">
        <v>4575</v>
      </c>
      <c r="D118" s="157"/>
      <c r="E118" s="2656" cm="1" t="n">
        <f t="array" ref="E118">INDEX('6층_부하량'!G3:G3000,MATCH(1,("6-DaHall 1-PDU-10"='6층_부하량'!A3:A3000)*(9='6층_부하량'!B3:B3000),0))</f>
        <v>0.0</v>
      </c>
      <c r="F118" s="157"/>
      <c r="G118" s="157"/>
      <c r="H118" s="143" t="s">
        <v>4597</v>
      </c>
      <c r="I118" s="293" t="s">
        <v>4648</v>
      </c>
      <c r="J118" s="294" t="s">
        <v>4596</v>
      </c>
      <c r="K118" s="143" t="s">
        <v>4597</v>
      </c>
      <c r="L118" s="157"/>
      <c r="M118" s="2656" cm="1" t="n">
        <f t="array" ref="M118">INDEX('6층_부하량'!G3:G3000,MATCH(1,("6-DaHall 1-PDU-10"='6층_부하량'!A3:A3000)*(10='6층_부하량'!B3:B3000),0))</f>
        <v>0.0</v>
      </c>
      <c r="N118" s="157"/>
      <c r="O118" s="157"/>
      <c r="P118" s="157" t="s">
        <v>4635</v>
      </c>
      <c r="Q118" s="164" t="s">
        <v>4575</v>
      </c>
      <c r="R118" s="342" t="s">
        <v>5124</v>
      </c>
    </row>
    <row r="119" spans="1:18" ht="16.5" x14ac:dyDescent="0.15">
      <c r="A119" s="622" t="s">
        <v>5125</v>
      </c>
      <c r="B119" s="143" t="s">
        <v>4635</v>
      </c>
      <c r="C119" s="164" t="s">
        <v>4575</v>
      </c>
      <c r="D119" s="157"/>
      <c r="E119" s="157"/>
      <c r="F119" s="2656" cm="1" t="n">
        <f t="array" ref="F119">INDEX('6층_부하량'!H3:H3000,MATCH(1,("6-DaHall 1-PDU-10"='6층_부하량'!A3:A3000)*(11='6층_부하량'!B3:B3000),0))</f>
        <v>0.0</v>
      </c>
      <c r="G119" s="157"/>
      <c r="H119" s="143" t="s">
        <v>4597</v>
      </c>
      <c r="I119" s="293" t="s">
        <v>4653</v>
      </c>
      <c r="J119" s="294" t="s">
        <v>4599</v>
      </c>
      <c r="K119" s="143" t="s">
        <v>4597</v>
      </c>
      <c r="L119" s="157"/>
      <c r="M119" s="157"/>
      <c r="N119" s="2656" cm="1" t="n">
        <f t="array" ref="N119">INDEX('6층_부하량'!H3:H3000,MATCH(1,("6-DaHall 1-PDU-10"='6층_부하량'!A3:A3000)*(12='6층_부하량'!B3:B3000),0))</f>
        <v>0.0</v>
      </c>
      <c r="O119" s="157"/>
      <c r="P119" s="157" t="s">
        <v>4635</v>
      </c>
      <c r="Q119" s="164" t="s">
        <v>4575</v>
      </c>
      <c r="R119" s="342" t="s">
        <v>5126</v>
      </c>
    </row>
    <row r="120" spans="1:18" ht="16.5" x14ac:dyDescent="0.15">
      <c r="A120" s="607" t="s">
        <v>5127</v>
      </c>
      <c r="B120" s="143" t="s">
        <v>4635</v>
      </c>
      <c r="C120" s="164" t="s">
        <v>4575</v>
      </c>
      <c r="D120" s="2656" cm="1" t="n">
        <f t="array" ref="D120">INDEX('6층_부하량'!F3:F3000,MATCH(1,("6-DaHall 1-PDU-10"='6층_부하량'!A3:A3000)*(13='6층_부하량'!B3:B3000),0))</f>
        <v>0.0</v>
      </c>
      <c r="E120" s="157"/>
      <c r="F120" s="157"/>
      <c r="G120" s="157"/>
      <c r="H120" s="143" t="s">
        <v>4597</v>
      </c>
      <c r="I120" s="293" t="s">
        <v>4657</v>
      </c>
      <c r="J120" s="294" t="s">
        <v>4601</v>
      </c>
      <c r="K120" s="143" t="s">
        <v>4597</v>
      </c>
      <c r="L120" s="2656" cm="1" t="n">
        <f t="array" ref="L120">INDEX('6층_부하량'!F3:F3000,MATCH(1,("6-DaHall 1-PDU-10"='6층_부하량'!A3:A3000)*(14='6층_부하량'!B3:B3000),0))</f>
        <v>0.0</v>
      </c>
      <c r="M120" s="157"/>
      <c r="N120" s="157"/>
      <c r="O120" s="157"/>
      <c r="P120" s="157" t="s">
        <v>4635</v>
      </c>
      <c r="Q120" s="164" t="s">
        <v>4575</v>
      </c>
      <c r="R120" s="342" t="s">
        <v>5128</v>
      </c>
    </row>
    <row r="121" spans="1:18" ht="16.5" x14ac:dyDescent="0.15">
      <c r="A121" s="622" t="s">
        <v>5129</v>
      </c>
      <c r="B121" s="143" t="s">
        <v>4635</v>
      </c>
      <c r="C121" s="164" t="s">
        <v>4575</v>
      </c>
      <c r="D121" s="157"/>
      <c r="E121" s="2656" cm="1" t="n">
        <f t="array" ref="E121">INDEX('6층_부하량'!G3:G3000,MATCH(1,("6-DaHall 1-PDU-10"='6층_부하량'!A3:A3000)*(15='6층_부하량'!B3:B3000),0))</f>
        <v>0.0</v>
      </c>
      <c r="F121" s="157"/>
      <c r="G121" s="157"/>
      <c r="H121" s="143" t="s">
        <v>4597</v>
      </c>
      <c r="I121" s="293" t="s">
        <v>4661</v>
      </c>
      <c r="J121" s="294" t="s">
        <v>4603</v>
      </c>
      <c r="K121" s="143" t="s">
        <v>4597</v>
      </c>
      <c r="L121" s="157"/>
      <c r="M121" s="2656" cm="1" t="n">
        <f t="array" ref="M121">INDEX('6층_부하량'!G3:G3000,MATCH(1,("6-DaHall 1-PDU-10"='6층_부하량'!A3:A3000)*(16='6층_부하량'!B3:B3000),0))</f>
        <v>0.0</v>
      </c>
      <c r="N121" s="157"/>
      <c r="O121" s="157"/>
      <c r="P121" s="157" t="s">
        <v>4635</v>
      </c>
      <c r="Q121" s="164" t="s">
        <v>4575</v>
      </c>
      <c r="R121" s="342" t="s">
        <v>5130</v>
      </c>
    </row>
    <row r="122" spans="1:18" ht="16.5" customHeight="1" thickBot="1" x14ac:dyDescent="0.2">
      <c r="A122" s="625" t="s">
        <v>5131</v>
      </c>
      <c r="B122" s="176" t="s">
        <v>4635</v>
      </c>
      <c r="C122" s="191" t="s">
        <v>4575</v>
      </c>
      <c r="D122" s="177"/>
      <c r="E122" s="177"/>
      <c r="F122" s="2661" cm="1" t="n">
        <f t="array" ref="F122">INDEX('6층_부하량'!H3:H3000,MATCH(1,("6-DaHall 1-PDU-10"='6층_부하량'!A3:A3000)*(17='6층_부하량'!B3:B3000),0))</f>
        <v>0.0</v>
      </c>
      <c r="G122" s="177"/>
      <c r="H122" s="176" t="s">
        <v>4597</v>
      </c>
      <c r="I122" s="295" t="s">
        <v>4665</v>
      </c>
      <c r="J122" s="296" t="s">
        <v>4605</v>
      </c>
      <c r="K122" s="176" t="s">
        <v>4597</v>
      </c>
      <c r="L122" s="177"/>
      <c r="M122" s="177"/>
      <c r="N122" s="2661" cm="1" t="n">
        <f t="array" ref="N122">INDEX('6층_부하량'!H3:H3000,MATCH(1,("6-DaHall 1-PDU-10"='6층_부하량'!A3:A3000)*(18='6층_부하량'!B3:B3000),0))</f>
        <v>0.0</v>
      </c>
      <c r="O122" s="177"/>
      <c r="P122" s="177" t="s">
        <v>4635</v>
      </c>
      <c r="Q122" s="191" t="s">
        <v>4575</v>
      </c>
      <c r="R122" s="626" t="s">
        <v>5132</v>
      </c>
    </row>
    <row r="123" spans="1:18" ht="16.5" customHeight="1" thickTop="1" x14ac:dyDescent="0.15">
      <c r="A123" s="174" t="s">
        <v>5133</v>
      </c>
      <c r="B123" s="156" t="s">
        <v>4635</v>
      </c>
      <c r="C123" s="156" t="s">
        <v>4723</v>
      </c>
      <c r="D123" s="2658" cm="1" t="n">
        <f t="array" ref="D123">INDEX('6층_부하량'!F3:F3000,MATCH(1,("6-DaHall 1-PDU-10"='6층_부하량'!A3:A3000)*(19='6층_부하량'!B3:B3000),0))</f>
        <v>0.0</v>
      </c>
      <c r="E123" s="179"/>
      <c r="F123" s="179"/>
      <c r="G123" s="179"/>
      <c r="H123" s="156" t="s">
        <v>4597</v>
      </c>
      <c r="I123" s="1470" t="s">
        <v>4670</v>
      </c>
      <c r="J123" s="298" t="s">
        <v>4609</v>
      </c>
      <c r="K123" s="156" t="s">
        <v>4597</v>
      </c>
      <c r="L123" s="2658" cm="1" t="n">
        <f t="array" ref="L123">INDEX('6층_부하량'!F3:F3000,MATCH(1,("6-DaHall 1-PDU-10"='6층_부하량'!A3:A3000)*(20='6층_부하량'!B3:B3000),0))</f>
        <v>0.0</v>
      </c>
      <c r="M123" s="179"/>
      <c r="N123" s="179"/>
      <c r="O123" s="179"/>
      <c r="P123" s="179" t="s">
        <v>4635</v>
      </c>
      <c r="Q123" s="152" t="s">
        <v>4575</v>
      </c>
      <c r="R123" s="475" t="s">
        <v>5134</v>
      </c>
    </row>
    <row r="124" spans="1:18" ht="16.5" customHeight="1" x14ac:dyDescent="0.15">
      <c r="A124" s="274" t="s">
        <v>5135</v>
      </c>
      <c r="B124" s="143" t="s">
        <v>4635</v>
      </c>
      <c r="C124" s="164" t="s">
        <v>4575</v>
      </c>
      <c r="D124" s="157"/>
      <c r="E124" s="2656" cm="1" t="n">
        <f t="array" ref="E124">INDEX('6층_부하량'!G3:G3000,MATCH(1,("6-DaHall 1-PDU-10"='6층_부하량'!A3:A3000)*(21='6층_부하량'!B3:B3000),0))</f>
        <v>0.0</v>
      </c>
      <c r="F124" s="157"/>
      <c r="G124" s="157"/>
      <c r="H124" s="143" t="s">
        <v>4597</v>
      </c>
      <c r="I124" s="299" t="s">
        <v>4674</v>
      </c>
      <c r="J124" s="294" t="s">
        <v>4613</v>
      </c>
      <c r="K124" s="143" t="s">
        <v>4597</v>
      </c>
      <c r="L124" s="157"/>
      <c r="M124" s="2656" cm="1" t="n">
        <f t="array" ref="M124">INDEX('6층_부하량'!G3:G3000,MATCH(1,("6-DaHall 1-PDU-10"='6층_부하량'!A3:A3000)*(22='6층_부하량'!B3:B3000),0))</f>
        <v>0.0</v>
      </c>
      <c r="N124" s="157"/>
      <c r="O124" s="157"/>
      <c r="P124" s="157" t="s">
        <v>4635</v>
      </c>
      <c r="Q124" s="164" t="s">
        <v>4575</v>
      </c>
      <c r="R124" s="342" t="s">
        <v>5136</v>
      </c>
    </row>
    <row r="125" spans="1:18" ht="16.5" customHeight="1" x14ac:dyDescent="0.15">
      <c r="A125" s="148" t="s">
        <v>5137</v>
      </c>
      <c r="B125" s="143" t="s">
        <v>4635</v>
      </c>
      <c r="C125" s="143" t="s">
        <v>4723</v>
      </c>
      <c r="D125" s="157"/>
      <c r="E125" s="157"/>
      <c r="F125" s="2656" cm="1" t="n">
        <f t="array" ref="F125">INDEX('6층_부하량'!H3:H3000,MATCH(1,("6-DaHall 1-PDU-10"='6층_부하량'!A3:A3000)*(23='6층_부하량'!B3:B3000),0))</f>
        <v>0.0</v>
      </c>
      <c r="G125" s="157"/>
      <c r="H125" s="143" t="s">
        <v>4597</v>
      </c>
      <c r="I125" s="1471" t="s">
        <v>4678</v>
      </c>
      <c r="J125" s="1463" t="s">
        <v>4680</v>
      </c>
      <c r="K125" s="143" t="s">
        <v>4597</v>
      </c>
      <c r="L125" s="157"/>
      <c r="M125" s="157"/>
      <c r="N125" s="2656" cm="1" t="n">
        <f t="array" ref="N125">INDEX('6층_부하량'!H3:H3000,MATCH(1,("6-DaHall 1-PDU-10"='6층_부하량'!A3:A3000)*(24='6층_부하량'!B3:B3000),0))</f>
        <v>0.0</v>
      </c>
      <c r="O125" s="157"/>
      <c r="P125" s="157" t="s">
        <v>4635</v>
      </c>
      <c r="Q125" s="143" t="s">
        <v>4723</v>
      </c>
      <c r="R125" s="627" t="s">
        <v>5138</v>
      </c>
    </row>
    <row r="126" spans="1:18" ht="16.5" customHeight="1" x14ac:dyDescent="0.15">
      <c r="A126" s="148" t="s">
        <v>5139</v>
      </c>
      <c r="B126" s="143" t="s">
        <v>4635</v>
      </c>
      <c r="C126" s="143" t="s">
        <v>4723</v>
      </c>
      <c r="D126" s="2656" cm="1" t="n">
        <f t="array" ref="D126">INDEX('6층_부하량'!F3:F3000,MATCH(1,("6-DaHall 1-PDU-10"='6층_부하량'!A3:A3000)*(25='6층_부하량'!B3:B3000),0))</f>
        <v>0.0</v>
      </c>
      <c r="E126" s="157"/>
      <c r="F126" s="157"/>
      <c r="G126" s="157"/>
      <c r="H126" s="143" t="s">
        <v>4597</v>
      </c>
      <c r="I126" s="1471" t="s">
        <v>4683</v>
      </c>
      <c r="J126" s="294" t="s">
        <v>4685</v>
      </c>
      <c r="K126" s="143" t="s">
        <v>4597</v>
      </c>
      <c r="L126" s="2656" cm="1" t="n">
        <f t="array" ref="L126">INDEX('6층_부하량'!F3:F3000,MATCH(1,("6-DaHall 1-PDU-10"='6층_부하량'!A3:A3000)*(26='6층_부하량'!B3:B3000),0))</f>
        <v>0.0</v>
      </c>
      <c r="M126" s="157"/>
      <c r="N126" s="157"/>
      <c r="O126" s="157"/>
      <c r="P126" s="157" t="s">
        <v>4635</v>
      </c>
      <c r="Q126" s="164" t="s">
        <v>4575</v>
      </c>
      <c r="R126" s="342" t="s">
        <v>5140</v>
      </c>
    </row>
    <row r="127" spans="1:18" ht="16.5" customHeight="1" x14ac:dyDescent="0.15">
      <c r="A127" s="148" t="s">
        <v>5141</v>
      </c>
      <c r="B127" s="143" t="s">
        <v>4635</v>
      </c>
      <c r="C127" s="143" t="s">
        <v>4723</v>
      </c>
      <c r="D127" s="157"/>
      <c r="E127" s="2656" cm="1" t="n">
        <f t="array" ref="E127">INDEX('6층_부하량'!G3:G3000,MATCH(1,("6-DaHall 1-PDU-10"='6층_부하량'!A3:A3000)*(27='6층_부하량'!B3:B3000),0))</f>
        <v>0.0</v>
      </c>
      <c r="F127" s="157"/>
      <c r="G127" s="157"/>
      <c r="H127" s="143" t="s">
        <v>4597</v>
      </c>
      <c r="I127" s="1471" t="s">
        <v>4688</v>
      </c>
      <c r="J127" s="294" t="s">
        <v>4689</v>
      </c>
      <c r="K127" s="143" t="s">
        <v>4597</v>
      </c>
      <c r="L127" s="157"/>
      <c r="M127" s="2656" cm="1" t="n">
        <f t="array" ref="M127">INDEX('6층_부하량'!G3:G3000,MATCH(1,("6-DaHall 1-PDU-10"='6층_부하량'!A3:A3000)*(28='6층_부하량'!B3:B3000),0))</f>
        <v>0.0</v>
      </c>
      <c r="N127" s="157"/>
      <c r="O127" s="157"/>
      <c r="P127" s="157" t="s">
        <v>4635</v>
      </c>
      <c r="Q127" s="164" t="s">
        <v>4575</v>
      </c>
      <c r="R127" s="342" t="s">
        <v>5142</v>
      </c>
    </row>
    <row r="128" spans="1:18" ht="16.5" customHeight="1" x14ac:dyDescent="0.15">
      <c r="A128" s="148" t="s">
        <v>5143</v>
      </c>
      <c r="B128" s="143" t="s">
        <v>4635</v>
      </c>
      <c r="C128" s="143" t="s">
        <v>4723</v>
      </c>
      <c r="D128" s="157"/>
      <c r="E128" s="157"/>
      <c r="F128" s="2656" cm="1" t="n">
        <f t="array" ref="F128">INDEX('6층_부하량'!H3:H3000,MATCH(1,("6-DaHall 1-PDU-10"='6층_부하량'!A3:A3000)*(29='6층_부하량'!B3:B3000),0))</f>
        <v>0.0</v>
      </c>
      <c r="G128" s="157"/>
      <c r="H128" s="143" t="s">
        <v>4597</v>
      </c>
      <c r="I128" s="1471" t="s">
        <v>4691</v>
      </c>
      <c r="J128" s="294" t="s">
        <v>4692</v>
      </c>
      <c r="K128" s="143" t="s">
        <v>4597</v>
      </c>
      <c r="L128" s="157"/>
      <c r="M128" s="157"/>
      <c r="N128" s="2656" cm="1" t="n">
        <f t="array" ref="N128">INDEX('6층_부하량'!H3:H3000,MATCH(1,("6-DaHall 1-PDU-10"='6층_부하량'!A3:A3000)*(30='6층_부하량'!B3:B3000),0))</f>
        <v>0.0</v>
      </c>
      <c r="O128" s="157"/>
      <c r="P128" s="157" t="s">
        <v>4635</v>
      </c>
      <c r="Q128" s="164" t="s">
        <v>4575</v>
      </c>
      <c r="R128" s="342" t="s">
        <v>5144</v>
      </c>
    </row>
    <row r="129" spans="1:18" ht="16.5" customHeight="1" x14ac:dyDescent="0.15">
      <c r="A129" s="148" t="s">
        <v>5145</v>
      </c>
      <c r="B129" s="143" t="s">
        <v>4635</v>
      </c>
      <c r="C129" s="143" t="s">
        <v>4723</v>
      </c>
      <c r="D129" s="2656" cm="1" t="n">
        <f t="array" ref="D129">INDEX('6층_부하량'!F3:F3000,MATCH(1,("6-DaHall 1-PDU-10"='6층_부하량'!A3:A3000)*(31='6층_부하량'!B3:B3000),0))</f>
        <v>0.0</v>
      </c>
      <c r="E129" s="157"/>
      <c r="F129" s="157"/>
      <c r="G129" s="157"/>
      <c r="H129" s="143" t="s">
        <v>4597</v>
      </c>
      <c r="I129" s="1471" t="s">
        <v>4693</v>
      </c>
      <c r="J129" s="294" t="s">
        <v>4694</v>
      </c>
      <c r="K129" s="143" t="s">
        <v>4597</v>
      </c>
      <c r="L129" s="2656" cm="1" t="n">
        <f t="array" ref="L129">INDEX('6층_부하량'!F3:F3000,MATCH(1,("6-DaHall 1-PDU-10"='6층_부하량'!A3:A3000)*(32='6층_부하량'!B3:B3000),0))</f>
        <v>0.0</v>
      </c>
      <c r="M129" s="157"/>
      <c r="N129" s="157"/>
      <c r="O129" s="157"/>
      <c r="P129" s="157" t="s">
        <v>4635</v>
      </c>
      <c r="Q129" s="164" t="s">
        <v>4575</v>
      </c>
      <c r="R129" s="264" t="s">
        <v>5146</v>
      </c>
    </row>
    <row r="130" spans="1:18" ht="16.5" customHeight="1" x14ac:dyDescent="0.15">
      <c r="A130" s="148" t="s">
        <v>5147</v>
      </c>
      <c r="B130" s="143" t="s">
        <v>4635</v>
      </c>
      <c r="C130" s="143" t="s">
        <v>4723</v>
      </c>
      <c r="D130" s="157"/>
      <c r="E130" s="2656" cm="1" t="n">
        <f t="array" ref="E130">INDEX('6층_부하량'!G3:G3000,MATCH(1,("6-DaHall 1-PDU-10"='6층_부하량'!A3:A3000)*(33='6층_부하량'!B3:B3000),0))</f>
        <v>0.0</v>
      </c>
      <c r="F130" s="157"/>
      <c r="G130" s="157"/>
      <c r="H130" s="143" t="s">
        <v>4597</v>
      </c>
      <c r="I130" s="1471" t="s">
        <v>4697</v>
      </c>
      <c r="J130" s="294" t="s">
        <v>4698</v>
      </c>
      <c r="K130" s="143" t="s">
        <v>4597</v>
      </c>
      <c r="L130" s="157"/>
      <c r="M130" s="2656" cm="1" t="n">
        <f t="array" ref="M130">INDEX('6층_부하량'!G3:G3000,MATCH(1,("6-DaHall 1-PDU-10"='6층_부하량'!A3:A3000)*(34='6층_부하량'!B3:B3000),0))</f>
        <v>0.0</v>
      </c>
      <c r="N130" s="157"/>
      <c r="O130" s="157"/>
      <c r="P130" s="157" t="s">
        <v>4635</v>
      </c>
      <c r="Q130" s="164" t="s">
        <v>4575</v>
      </c>
      <c r="R130" s="264" t="s">
        <v>5148</v>
      </c>
    </row>
    <row r="131" spans="1:18" ht="16.5" customHeight="1" x14ac:dyDescent="0.15">
      <c r="A131" s="341" t="s">
        <v>5149</v>
      </c>
      <c r="B131" s="143" t="s">
        <v>4635</v>
      </c>
      <c r="C131" s="143" t="s">
        <v>4723</v>
      </c>
      <c r="D131" s="157"/>
      <c r="E131" s="157"/>
      <c r="F131" s="2656" cm="1" t="n">
        <f t="array" ref="F131">INDEX('6층_부하량'!H3:H3000,MATCH(1,("6-DaHall 1-PDU-10"='6층_부하량'!A3:A3000)*(35='6층_부하량'!B3:B3000),0))</f>
        <v>0.0</v>
      </c>
      <c r="G131" s="157"/>
      <c r="H131" s="143" t="s">
        <v>4597</v>
      </c>
      <c r="I131" s="1465" t="s">
        <v>4701</v>
      </c>
      <c r="J131" s="294" t="s">
        <v>4703</v>
      </c>
      <c r="K131" s="143" t="s">
        <v>4597</v>
      </c>
      <c r="L131" s="157"/>
      <c r="M131" s="157"/>
      <c r="N131" s="2656" cm="1" t="n">
        <f t="array" ref="N131">INDEX('6층_부하량'!H3:H3000,MATCH(1,("6-DaHall 1-PDU-10"='6층_부하량'!A3:A3000)*(36='6층_부하량'!B3:B3000),0))</f>
        <v>0.0</v>
      </c>
      <c r="O131" s="157"/>
      <c r="P131" s="157" t="s">
        <v>4635</v>
      </c>
      <c r="Q131" s="164" t="s">
        <v>4575</v>
      </c>
      <c r="R131" s="264" t="s">
        <v>5150</v>
      </c>
    </row>
    <row r="132" spans="1:18" ht="16.5" customHeight="1" x14ac:dyDescent="0.15">
      <c r="A132" s="341" t="s">
        <v>5151</v>
      </c>
      <c r="B132" s="143" t="s">
        <v>4635</v>
      </c>
      <c r="C132" s="143" t="s">
        <v>4723</v>
      </c>
      <c r="D132" s="2656" cm="1" t="n">
        <f t="array" ref="D132">INDEX('6층_부하량'!F3:F3000,MATCH(1,("6-DaHall 1-PDU-10"='6층_부하량'!A3:A3000)*(37='6층_부하량'!B3:B3000),0))</f>
        <v>0.0</v>
      </c>
      <c r="E132" s="157"/>
      <c r="F132" s="157"/>
      <c r="G132" s="157"/>
      <c r="H132" s="143" t="s">
        <v>4597</v>
      </c>
      <c r="I132" s="1465" t="s">
        <v>4706</v>
      </c>
      <c r="J132" s="1463" t="s">
        <v>4707</v>
      </c>
      <c r="K132" s="143" t="s">
        <v>4597</v>
      </c>
      <c r="L132" s="2656" cm="1" t="n">
        <f t="array" ref="L132">INDEX('6층_부하량'!F3:F3000,MATCH(1,("6-DaHall 1-PDU-10"='6층_부하량'!A3:A3000)*(38='6층_부하량'!B3:B3000),0))</f>
        <v>0.0</v>
      </c>
      <c r="M132" s="157"/>
      <c r="N132" s="157"/>
      <c r="O132" s="157"/>
      <c r="P132" s="157" t="s">
        <v>4635</v>
      </c>
      <c r="Q132" s="143" t="s">
        <v>4723</v>
      </c>
      <c r="R132" s="619" t="s">
        <v>5152</v>
      </c>
    </row>
    <row r="133" spans="1:18" ht="16.5" customHeight="1" x14ac:dyDescent="0.15">
      <c r="A133" s="148" t="s">
        <v>5153</v>
      </c>
      <c r="B133" s="143" t="s">
        <v>4635</v>
      </c>
      <c r="C133" s="143" t="s">
        <v>4723</v>
      </c>
      <c r="D133" s="157"/>
      <c r="E133" s="2656" cm="1" t="n">
        <f t="array" ref="E133">INDEX('6층_부하량'!G3:G3000,MATCH(1,("6-DaHall 1-PDU-10"='6층_부하량'!A3:A3000)*(39='6층_부하량'!B3:B3000),0))</f>
        <v>0.0</v>
      </c>
      <c r="F133" s="157"/>
      <c r="G133" s="157"/>
      <c r="H133" s="143" t="s">
        <v>4597</v>
      </c>
      <c r="I133" s="1471" t="s">
        <v>4710</v>
      </c>
      <c r="J133" s="1463" t="s">
        <v>4711</v>
      </c>
      <c r="K133" s="143" t="s">
        <v>4597</v>
      </c>
      <c r="L133" s="157"/>
      <c r="M133" s="2656" cm="1" t="n">
        <f t="array" ref="M133">INDEX('6층_부하량'!G3:G3000,MATCH(1,("6-DaHall 1-PDU-10"='6층_부하량'!A3:A3000)*(40='6층_부하량'!B3:B3000),0))</f>
        <v>0.0</v>
      </c>
      <c r="N133" s="157"/>
      <c r="O133" s="157"/>
      <c r="P133" s="157" t="s">
        <v>4635</v>
      </c>
      <c r="Q133" s="143" t="s">
        <v>4723</v>
      </c>
      <c r="R133" s="619" t="s">
        <v>5154</v>
      </c>
    </row>
    <row r="134" spans="1:18" ht="16.5" customHeight="1" x14ac:dyDescent="0.15">
      <c r="A134" s="341" t="s">
        <v>5155</v>
      </c>
      <c r="B134" s="143" t="s">
        <v>4635</v>
      </c>
      <c r="C134" s="143" t="s">
        <v>4723</v>
      </c>
      <c r="D134" s="157"/>
      <c r="E134" s="157"/>
      <c r="F134" s="2656" cm="1" t="n">
        <f t="array" ref="F134">INDEX('6층_부하량'!H3:H3000,MATCH(1,("6-DaHall 1-PDU-10"='6층_부하량'!A3:A3000)*(41='6층_부하량'!B3:B3000),0))</f>
        <v>0.0</v>
      </c>
      <c r="G134" s="157"/>
      <c r="H134" s="143" t="s">
        <v>4597</v>
      </c>
      <c r="I134" s="1465" t="s">
        <v>5055</v>
      </c>
      <c r="J134" s="1463" t="s">
        <v>4843</v>
      </c>
      <c r="K134" s="143" t="s">
        <v>4597</v>
      </c>
      <c r="L134" s="157"/>
      <c r="M134" s="157"/>
      <c r="N134" s="2656" cm="1" t="n">
        <f t="array" ref="N134">INDEX('6층_부하량'!H3:H3000,MATCH(1,("6-DaHall 1-PDU-10"='6층_부하량'!A3:A3000)*(42='6층_부하량'!B3:B3000),0))</f>
        <v>0.0</v>
      </c>
      <c r="O134" s="157"/>
      <c r="P134" s="157" t="s">
        <v>4635</v>
      </c>
      <c r="Q134" s="143" t="s">
        <v>4723</v>
      </c>
      <c r="R134" s="619" t="s">
        <v>5156</v>
      </c>
    </row>
    <row r="135" spans="1:18" ht="16.5" customHeight="1" x14ac:dyDescent="0.15">
      <c r="A135" s="341" t="s">
        <v>5157</v>
      </c>
      <c r="B135" s="143" t="s">
        <v>4635</v>
      </c>
      <c r="C135" s="143" t="s">
        <v>4723</v>
      </c>
      <c r="D135" s="2656" cm="1" t="n">
        <f t="array" ref="D135">INDEX('6층_부하량'!F3:F3000,MATCH(1,("6-DaHall 1-PDU-10"='6층_부하량'!A3:A3000)*(43='6층_부하량'!B3:B3000),0))</f>
        <v>0.0</v>
      </c>
      <c r="E135" s="157"/>
      <c r="F135" s="157"/>
      <c r="G135" s="157"/>
      <c r="H135" s="143" t="s">
        <v>4597</v>
      </c>
      <c r="I135" s="1465" t="s">
        <v>4845</v>
      </c>
      <c r="J135" s="1463" t="s">
        <v>4846</v>
      </c>
      <c r="K135" s="143" t="s">
        <v>4597</v>
      </c>
      <c r="L135" s="2656" cm="1" t="n">
        <f t="array" ref="L135">INDEX('6층_부하량'!F3:F3000,MATCH(1,("6-DaHall 1-PDU-10"='6층_부하량'!A3:A3000)*(44='6층_부하량'!B3:B3000),0))</f>
        <v>0.0</v>
      </c>
      <c r="M135" s="157"/>
      <c r="N135" s="157"/>
      <c r="O135" s="157"/>
      <c r="P135" s="157" t="s">
        <v>4635</v>
      </c>
      <c r="Q135" s="143" t="s">
        <v>4723</v>
      </c>
      <c r="R135" s="619" t="s">
        <v>5158</v>
      </c>
    </row>
    <row r="136" spans="1:18" ht="16.5" customHeight="1" x14ac:dyDescent="0.15">
      <c r="A136" s="341" t="s">
        <v>5159</v>
      </c>
      <c r="B136" s="143" t="s">
        <v>4635</v>
      </c>
      <c r="C136" s="143" t="s">
        <v>4723</v>
      </c>
      <c r="D136" s="157"/>
      <c r="E136" s="2656" cm="1" t="n">
        <f t="array" ref="E136">INDEX('6층_부하량'!G3:G3000,MATCH(1,("6-DaHall 1-PDU-10"='6층_부하량'!A3:A3000)*(45='6층_부하량'!B3:B3000),0))</f>
        <v>0.0</v>
      </c>
      <c r="F136" s="157"/>
      <c r="G136" s="157"/>
      <c r="H136" s="143" t="s">
        <v>4597</v>
      </c>
      <c r="I136" s="1465" t="s">
        <v>4847</v>
      </c>
      <c r="J136" s="1463" t="s">
        <v>4848</v>
      </c>
      <c r="K136" s="143" t="s">
        <v>4597</v>
      </c>
      <c r="L136" s="157"/>
      <c r="M136" s="2656" cm="1" t="n">
        <f t="array" ref="M136">INDEX('6층_부하량'!G3:G3000,MATCH(1,("6-DaHall 1-PDU-10"='6층_부하량'!A3:A3000)*(46='6층_부하량'!B3:B3000),0))</f>
        <v>0.0</v>
      </c>
      <c r="N136" s="157"/>
      <c r="O136" s="157"/>
      <c r="P136" s="157" t="s">
        <v>4635</v>
      </c>
      <c r="Q136" s="143" t="s">
        <v>4723</v>
      </c>
      <c r="R136" s="619" t="s">
        <v>5160</v>
      </c>
    </row>
    <row r="137" spans="1:18" ht="16.5" customHeight="1" x14ac:dyDescent="0.15">
      <c r="A137" s="148" t="s">
        <v>4998</v>
      </c>
      <c r="B137" s="143" t="s">
        <v>565</v>
      </c>
      <c r="C137" s="143" t="s">
        <v>4723</v>
      </c>
      <c r="D137" s="157"/>
      <c r="E137" s="157"/>
      <c r="F137" s="2656" cm="1" t="n">
        <f t="array" ref="F137">INDEX('6층_부하량'!H3:H3000,MATCH(1,("6-DaHall 1-PDU-10"='6층_부하량'!A3:A3000)*(47='6층_부하량'!B3:B3000),0))</f>
        <v>0.0</v>
      </c>
      <c r="G137" s="157"/>
      <c r="H137" s="143" t="s">
        <v>4597</v>
      </c>
      <c r="I137" s="1471" t="s">
        <v>4849</v>
      </c>
      <c r="J137" s="294" t="s">
        <v>4850</v>
      </c>
      <c r="K137" s="143" t="s">
        <v>4597</v>
      </c>
      <c r="L137" s="157"/>
      <c r="M137" s="157"/>
      <c r="N137" s="2656" cm="1" t="n">
        <f t="array" ref="N137">INDEX('6층_부하량'!H3:H3000,MATCH(1,("6-DaHall 1-PDU-10"='6층_부하량'!A3:A3000)*(48='6층_부하량'!B3:B3000),0))</f>
        <v>0.0</v>
      </c>
      <c r="O137" s="157"/>
      <c r="P137" s="157" t="s">
        <v>4635</v>
      </c>
      <c r="Q137" s="164" t="s">
        <v>4575</v>
      </c>
      <c r="R137" s="264" t="s">
        <v>5161</v>
      </c>
    </row>
    <row r="138" spans="1:18" ht="16.5" customHeight="1" thickBot="1" x14ac:dyDescent="0.2">
      <c r="A138" s="165" t="s">
        <v>4998</v>
      </c>
      <c r="B138" s="166" t="s">
        <v>565</v>
      </c>
      <c r="C138" s="166" t="s">
        <v>4723</v>
      </c>
      <c r="D138" s="2659" cm="1" t="n">
        <f t="array" ref="D138">INDEX('6층_부하량'!F3:F3000,MATCH(1,("6-DaHall 1-PDU-10"='6층_부하량'!A3:A3000)*(49='6층_부하량'!B3:B3000),0))</f>
        <v>0.0</v>
      </c>
      <c r="E138" s="167"/>
      <c r="F138" s="167"/>
      <c r="G138" s="167"/>
      <c r="H138" s="166" t="s">
        <v>4597</v>
      </c>
      <c r="I138" s="1472" t="s">
        <v>4851</v>
      </c>
      <c r="J138" s="1473" t="s">
        <v>4852</v>
      </c>
      <c r="K138" s="166" t="s">
        <v>4597</v>
      </c>
      <c r="L138" s="2659" cm="1" t="n">
        <f t="array" ref="L138">INDEX('6층_부하량'!F3:F3000,MATCH(1,("6-DaHall 1-PDU-10"='6층_부하량'!A3:A3000)*(50='6층_부하량'!B3:B3000),0))</f>
        <v>0.0</v>
      </c>
      <c r="M138" s="167"/>
      <c r="N138" s="167"/>
      <c r="O138" s="167"/>
      <c r="P138" s="167" t="s">
        <v>4635</v>
      </c>
      <c r="Q138" s="166" t="s">
        <v>4723</v>
      </c>
      <c r="R138" s="620" t="s">
        <v>5162</v>
      </c>
    </row>
    <row r="139" spans="1:18" ht="14.25" thickTop="1" x14ac:dyDescent="0.15">
      <c r="A139" s="171"/>
      <c r="B139" s="133"/>
      <c r="C139" s="133"/>
      <c r="D139" s="131"/>
      <c r="E139" s="131"/>
      <c r="F139" s="131"/>
      <c r="G139" s="131"/>
      <c r="H139" s="133"/>
      <c r="I139" s="172"/>
      <c r="J139" s="172"/>
      <c r="K139" s="133" t="s">
        <v>4713</v>
      </c>
      <c r="L139" s="131" t="n">
        <f>SUM(D114:D138,L114:L138)</f>
        <v>0.0</v>
      </c>
      <c r="M139" s="131" t="n">
        <f>SUM(E114:E138,M114:M138)</f>
        <v>0.0</v>
      </c>
      <c r="N139" s="131" t="n">
        <f>SUM(F114:F138,N114:N138)</f>
        <v>0.0</v>
      </c>
      <c r="O139" s="131"/>
      <c r="P139" s="131"/>
      <c r="Q139" s="133"/>
      <c r="R139" s="131"/>
    </row>
    <row r="140" spans="1:18" ht="14.25" thickBot="1" x14ac:dyDescent="0.2">
      <c r="A140" s="128"/>
      <c r="B140" s="128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</row>
    <row r="141" spans="1:18" ht="15" thickTop="1" thickBot="1" x14ac:dyDescent="0.2">
      <c r="A141" s="173" t="s">
        <v>7001</v>
      </c>
      <c r="B141" s="128"/>
      <c r="C141" s="3660" t="s">
        <v>5163</v>
      </c>
      <c r="D141" s="3660"/>
      <c r="E141" s="3660"/>
      <c r="F141" s="173"/>
      <c r="G141" s="173"/>
      <c r="H141" s="133"/>
      <c r="I141" s="3665" t="s">
        <v>5063</v>
      </c>
      <c r="J141" s="3666"/>
      <c r="K141" s="133"/>
      <c r="L141" s="173"/>
      <c r="M141" s="173"/>
      <c r="N141" s="173"/>
      <c r="O141" s="173"/>
      <c r="P141" s="173"/>
      <c r="Q141" s="173"/>
      <c r="R141" s="128"/>
    </row>
    <row r="142" spans="1:18" ht="15" thickTop="1" thickBot="1" x14ac:dyDescent="0.2">
      <c r="A142" s="127"/>
      <c r="B142" s="128"/>
      <c r="C142" s="128"/>
      <c r="D142" s="129"/>
      <c r="E142" s="129"/>
      <c r="F142" s="130"/>
      <c r="G142" s="129"/>
      <c r="H142" s="131"/>
      <c r="I142" s="128"/>
      <c r="J142" s="132"/>
      <c r="K142" s="1371" t="s">
        <v>4562</v>
      </c>
      <c r="L142" s="1368">
        <v>5.0999999999999996</v>
      </c>
      <c r="M142" s="1369">
        <v>0</v>
      </c>
      <c r="N142" s="1370">
        <v>0</v>
      </c>
      <c r="O142" s="508" t="s">
        <v>4563</v>
      </c>
      <c r="P142" s="133"/>
      <c r="Q142" s="128"/>
      <c r="R142" s="528"/>
    </row>
    <row r="143" spans="1:18" ht="15" thickTop="1" thickBot="1" x14ac:dyDescent="0.2">
      <c r="A143" s="134" t="s">
        <v>4564</v>
      </c>
      <c r="B143" s="135" t="s">
        <v>5031</v>
      </c>
      <c r="C143" s="136" t="s">
        <v>4566</v>
      </c>
      <c r="D143" s="135" t="s">
        <v>5032</v>
      </c>
      <c r="E143" s="135" t="s">
        <v>5033</v>
      </c>
      <c r="F143" s="135" t="s">
        <v>5034</v>
      </c>
      <c r="G143" s="135" t="s">
        <v>5035</v>
      </c>
      <c r="H143" s="135" t="s">
        <v>5036</v>
      </c>
      <c r="I143" s="138" t="s">
        <v>5037</v>
      </c>
      <c r="J143" s="139" t="s">
        <v>5037</v>
      </c>
      <c r="K143" s="135" t="s">
        <v>5036</v>
      </c>
      <c r="L143" s="135" t="s">
        <v>5032</v>
      </c>
      <c r="M143" s="135" t="s">
        <v>5033</v>
      </c>
      <c r="N143" s="135" t="s">
        <v>5034</v>
      </c>
      <c r="O143" s="135" t="s">
        <v>5035</v>
      </c>
      <c r="P143" s="135" t="s">
        <v>5031</v>
      </c>
      <c r="Q143" s="136" t="s">
        <v>4566</v>
      </c>
      <c r="R143" s="140" t="s">
        <v>4564</v>
      </c>
    </row>
    <row r="144" spans="1:18" ht="15.75" customHeight="1" thickTop="1" x14ac:dyDescent="0.15">
      <c r="A144" s="141"/>
      <c r="B144" s="142" t="s">
        <v>565</v>
      </c>
      <c r="C144" s="142" t="s">
        <v>4723</v>
      </c>
      <c r="D144" s="2654" cm="1" t="n">
        <f t="array" ref="D144">INDEX('6층_부하량'!F3:F3000,MATCH(1,("6-DaHall 1-PDU-11"='6층_부하량'!A3:A3000)*(1='6층_부하량'!B3:B3000),0))</f>
        <v>0.0</v>
      </c>
      <c r="E144" s="144"/>
      <c r="F144" s="144"/>
      <c r="G144" s="144"/>
      <c r="H144" s="142" t="s">
        <v>4597</v>
      </c>
      <c r="I144" s="1469" t="s">
        <v>4633</v>
      </c>
      <c r="J144" s="292" t="s">
        <v>4578</v>
      </c>
      <c r="K144" s="142" t="s">
        <v>4597</v>
      </c>
      <c r="L144" s="2654" cm="1" t="n">
        <f t="array" ref="L144">INDEX('6층_부하량'!F3:F3000,MATCH(1,("6-DaHall 1-PDU-11"='6층_부하량'!A3:A3000)*(2='6층_부하량'!B3:B3000),0))</f>
        <v>0.0</v>
      </c>
      <c r="M144" s="144"/>
      <c r="N144" s="144"/>
      <c r="O144" s="144"/>
      <c r="P144" s="163" t="s">
        <v>4635</v>
      </c>
      <c r="Q144" s="142" t="s">
        <v>4723</v>
      </c>
      <c r="R144" s="618" t="s">
        <v>5164</v>
      </c>
    </row>
    <row r="145" spans="1:18" ht="15.75" customHeight="1" x14ac:dyDescent="0.15">
      <c r="A145" s="622" t="s">
        <v>5165</v>
      </c>
      <c r="B145" s="143" t="s">
        <v>4635</v>
      </c>
      <c r="C145" s="164" t="s">
        <v>4575</v>
      </c>
      <c r="D145" s="149"/>
      <c r="E145" s="2655" cm="1" t="n">
        <f t="array" ref="E145">INDEX('6층_부하량'!G3:G3000,MATCH(1,("6-DaHall 1-PDU-11"='6층_부하량'!A3:A3000)*(3='6층_부하량'!B3:B3000),0))</f>
        <v>0.0</v>
      </c>
      <c r="F145" s="149"/>
      <c r="G145" s="149"/>
      <c r="H145" s="143" t="s">
        <v>4597</v>
      </c>
      <c r="I145" s="293" t="s">
        <v>4638</v>
      </c>
      <c r="J145" s="294" t="s">
        <v>4583</v>
      </c>
      <c r="K145" s="143" t="s">
        <v>4597</v>
      </c>
      <c r="L145" s="149"/>
      <c r="M145" s="2655" cm="1" t="n">
        <f t="array" ref="M145">INDEX('6층_부하량'!G3:G3000,MATCH(1,("6-DaHall 1-PDU-11"='6층_부하량'!A3:A3000)*(4='6층_부하량'!B3:B3000),0))</f>
        <v>0.0</v>
      </c>
      <c r="N145" s="149"/>
      <c r="O145" s="149"/>
      <c r="P145" s="157" t="s">
        <v>4635</v>
      </c>
      <c r="Q145" s="143" t="s">
        <v>4723</v>
      </c>
      <c r="R145" s="342" t="s">
        <v>5166</v>
      </c>
    </row>
    <row r="146" spans="1:18" ht="15.75" customHeight="1" x14ac:dyDescent="0.15">
      <c r="A146" s="607" t="s">
        <v>5167</v>
      </c>
      <c r="B146" s="143" t="s">
        <v>4635</v>
      </c>
      <c r="C146" s="164" t="s">
        <v>4575</v>
      </c>
      <c r="D146" s="157"/>
      <c r="E146" s="157"/>
      <c r="F146" s="2656" cm="1" t="n">
        <f t="array" ref="F146">INDEX('6층_부하량'!H3:H3000,MATCH(1,("6-DaHall 1-PDU-11"='6층_부하량'!A3:A3000)*(5='6층_부하량'!B3:B3000),0))</f>
        <v>0.0</v>
      </c>
      <c r="G146" s="157"/>
      <c r="H146" s="143" t="s">
        <v>4597</v>
      </c>
      <c r="I146" s="293" t="s">
        <v>4641</v>
      </c>
      <c r="J146" s="294" t="s">
        <v>4588</v>
      </c>
      <c r="K146" s="143" t="s">
        <v>4597</v>
      </c>
      <c r="L146" s="157"/>
      <c r="M146" s="157"/>
      <c r="N146" s="2656" cm="1" t="n">
        <f t="array" ref="N146">INDEX('6층_부하량'!H3:H3000,MATCH(1,("6-DaHall 1-PDU-11"='6층_부하량'!A3:A3000)*(6='6층_부하량'!B3:B3000),0))</f>
        <v>0.0</v>
      </c>
      <c r="O146" s="157"/>
      <c r="P146" s="157" t="s">
        <v>4635</v>
      </c>
      <c r="Q146" s="143" t="s">
        <v>4723</v>
      </c>
      <c r="R146" s="342" t="s">
        <v>5168</v>
      </c>
    </row>
    <row r="147" spans="1:18" ht="15.75" customHeight="1" x14ac:dyDescent="0.15">
      <c r="A147" s="622" t="s">
        <v>5169</v>
      </c>
      <c r="B147" s="143" t="s">
        <v>4635</v>
      </c>
      <c r="C147" s="164" t="s">
        <v>4575</v>
      </c>
      <c r="D147" s="2656" cm="1" t="n">
        <f t="array" ref="D147">INDEX('6층_부하량'!F3:F3000,MATCH(1,("6-DaHall 1-PDU-11"='6층_부하량'!A3:A3000)*(7='6층_부하량'!B3:B3000),0))</f>
        <v>0.0</v>
      </c>
      <c r="E147" s="157"/>
      <c r="F147" s="157"/>
      <c r="G147" s="157"/>
      <c r="H147" s="143" t="s">
        <v>4597</v>
      </c>
      <c r="I147" s="293" t="s">
        <v>4645</v>
      </c>
      <c r="J147" s="294" t="s">
        <v>4593</v>
      </c>
      <c r="K147" s="143" t="s">
        <v>4597</v>
      </c>
      <c r="L147" s="2656" cm="1" t="n">
        <f t="array" ref="L147">INDEX('6층_부하량'!F3:F3000,MATCH(1,("6-DaHall 1-PDU-11"='6층_부하량'!A3:A3000)*(8='6층_부하량'!B3:B3000),0))</f>
        <v>0.0</v>
      </c>
      <c r="M147" s="157"/>
      <c r="N147" s="157"/>
      <c r="O147" s="157"/>
      <c r="P147" s="157" t="s">
        <v>4635</v>
      </c>
      <c r="Q147" s="143" t="s">
        <v>4723</v>
      </c>
      <c r="R147" s="342" t="s">
        <v>5170</v>
      </c>
    </row>
    <row r="148" spans="1:18" ht="15.75" customHeight="1" x14ac:dyDescent="0.15">
      <c r="A148" s="607" t="s">
        <v>5171</v>
      </c>
      <c r="B148" s="143" t="s">
        <v>4635</v>
      </c>
      <c r="C148" s="164" t="s">
        <v>4575</v>
      </c>
      <c r="D148" s="157"/>
      <c r="E148" s="2656" cm="1" t="n">
        <f t="array" ref="E148">INDEX('6층_부하량'!G3:G3000,MATCH(1,("6-DaHall 1-PDU-11"='6층_부하량'!A3:A3000)*(9='6층_부하량'!B3:B3000),0))</f>
        <v>0.0</v>
      </c>
      <c r="F148" s="157"/>
      <c r="G148" s="157"/>
      <c r="H148" s="143" t="s">
        <v>4597</v>
      </c>
      <c r="I148" s="293" t="s">
        <v>4648</v>
      </c>
      <c r="J148" s="294" t="s">
        <v>4596</v>
      </c>
      <c r="K148" s="143" t="s">
        <v>4597</v>
      </c>
      <c r="L148" s="157"/>
      <c r="M148" s="2656" cm="1" t="n">
        <f t="array" ref="M148">INDEX('6층_부하량'!G3:G3000,MATCH(1,("6-DaHall 1-PDU-11"='6층_부하량'!A3:A3000)*(10='6층_부하량'!B3:B3000),0))</f>
        <v>6.01</v>
      </c>
      <c r="N148" s="157"/>
      <c r="O148" s="157"/>
      <c r="P148" s="157" t="s">
        <v>4635</v>
      </c>
      <c r="Q148" s="164" t="s">
        <v>4575</v>
      </c>
      <c r="R148" s="342" t="s">
        <v>5172</v>
      </c>
    </row>
    <row r="149" spans="1:18" ht="15.75" customHeight="1" x14ac:dyDescent="0.15">
      <c r="A149" s="622" t="s">
        <v>5173</v>
      </c>
      <c r="B149" s="143" t="s">
        <v>4635</v>
      </c>
      <c r="C149" s="164" t="s">
        <v>4575</v>
      </c>
      <c r="D149" s="157"/>
      <c r="E149" s="157"/>
      <c r="F149" s="2656" cm="1" t="n">
        <f t="array" ref="F149">INDEX('6층_부하량'!H3:H3000,MATCH(1,("6-DaHall 1-PDU-11"='6층_부하량'!A3:A3000)*(11='6층_부하량'!B3:B3000),0))</f>
        <v>0.0</v>
      </c>
      <c r="G149" s="157"/>
      <c r="H149" s="143" t="s">
        <v>4597</v>
      </c>
      <c r="I149" s="293" t="s">
        <v>4653</v>
      </c>
      <c r="J149" s="294" t="s">
        <v>4599</v>
      </c>
      <c r="K149" s="143" t="s">
        <v>4597</v>
      </c>
      <c r="L149" s="157"/>
      <c r="M149" s="157"/>
      <c r="N149" s="2656" cm="1" t="n">
        <f t="array" ref="N149">INDEX('6층_부하량'!H3:H3000,MATCH(1,("6-DaHall 1-PDU-11"='6층_부하량'!A3:A3000)*(12='6층_부하량'!B3:B3000),0))</f>
        <v>0.0</v>
      </c>
      <c r="O149" s="157"/>
      <c r="P149" s="157" t="s">
        <v>4635</v>
      </c>
      <c r="Q149" s="164" t="s">
        <v>4575</v>
      </c>
      <c r="R149" s="342" t="s">
        <v>5174</v>
      </c>
    </row>
    <row r="150" spans="1:18" ht="15.75" customHeight="1" x14ac:dyDescent="0.15">
      <c r="A150" s="607" t="s">
        <v>5175</v>
      </c>
      <c r="B150" s="143" t="s">
        <v>4635</v>
      </c>
      <c r="C150" s="164" t="s">
        <v>4575</v>
      </c>
      <c r="D150" s="2656" cm="1" t="n">
        <f t="array" ref="D150">INDEX('6층_부하량'!F3:F3000,MATCH(1,("6-DaHall 1-PDU-11"='6층_부하량'!A3:A3000)*(13='6층_부하량'!B3:B3000),0))</f>
        <v>0.0</v>
      </c>
      <c r="E150" s="157"/>
      <c r="F150" s="157"/>
      <c r="G150" s="157"/>
      <c r="H150" s="143" t="s">
        <v>4597</v>
      </c>
      <c r="I150" s="293" t="s">
        <v>4657</v>
      </c>
      <c r="J150" s="294" t="s">
        <v>4601</v>
      </c>
      <c r="K150" s="143" t="s">
        <v>4597</v>
      </c>
      <c r="L150" s="2656" cm="1" t="n">
        <f t="array" ref="L150">INDEX('6층_부하량'!F3:F3000,MATCH(1,("6-DaHall 1-PDU-11"='6층_부하량'!A3:A3000)*(14='6층_부하량'!B3:B3000),0))</f>
        <v>0.0</v>
      </c>
      <c r="M150" s="157"/>
      <c r="N150" s="157"/>
      <c r="O150" s="157"/>
      <c r="P150" s="157" t="s">
        <v>4635</v>
      </c>
      <c r="Q150" s="164" t="s">
        <v>4575</v>
      </c>
      <c r="R150" s="342" t="s">
        <v>5176</v>
      </c>
    </row>
    <row r="151" spans="1:18" ht="15.75" customHeight="1" x14ac:dyDescent="0.15">
      <c r="A151" s="622" t="s">
        <v>5177</v>
      </c>
      <c r="B151" s="143" t="s">
        <v>4635</v>
      </c>
      <c r="C151" s="164" t="s">
        <v>4575</v>
      </c>
      <c r="D151" s="157"/>
      <c r="E151" s="2656" cm="1" t="n">
        <f t="array" ref="E151">INDEX('6층_부하량'!G3:G3000,MATCH(1,("6-DaHall 1-PDU-11"='6층_부하량'!A3:A3000)*(15='6층_부하량'!B3:B3000),0))</f>
        <v>0.0</v>
      </c>
      <c r="F151" s="157"/>
      <c r="G151" s="157"/>
      <c r="H151" s="143" t="s">
        <v>4597</v>
      </c>
      <c r="I151" s="293" t="s">
        <v>4661</v>
      </c>
      <c r="J151" s="294" t="s">
        <v>4603</v>
      </c>
      <c r="K151" s="143" t="s">
        <v>4597</v>
      </c>
      <c r="L151" s="157"/>
      <c r="M151" s="2656" cm="1" t="n">
        <f t="array" ref="M151">INDEX('6층_부하량'!G3:G3000,MATCH(1,("6-DaHall 1-PDU-11"='6층_부하량'!A3:A3000)*(16='6층_부하량'!B3:B3000),0))</f>
        <v>0.0</v>
      </c>
      <c r="N151" s="157"/>
      <c r="O151" s="157"/>
      <c r="P151" s="157" t="s">
        <v>4635</v>
      </c>
      <c r="Q151" s="164" t="s">
        <v>4575</v>
      </c>
      <c r="R151" s="342" t="s">
        <v>5178</v>
      </c>
    </row>
    <row r="152" spans="1:18" ht="15.75" customHeight="1" thickBot="1" x14ac:dyDescent="0.2">
      <c r="A152" s="622" t="s">
        <v>5179</v>
      </c>
      <c r="B152" s="159" t="s">
        <v>4635</v>
      </c>
      <c r="C152" s="185" t="s">
        <v>4575</v>
      </c>
      <c r="D152" s="177"/>
      <c r="E152" s="177"/>
      <c r="F152" s="2661" cm="1" t="n">
        <f t="array" ref="F152">INDEX('6층_부하량'!H3:H3000,MATCH(1,("6-DaHall 1-PDU-11"='6층_부하량'!A3:A3000)*(17='6층_부하량'!B3:B3000),0))</f>
        <v>0.0</v>
      </c>
      <c r="G152" s="160"/>
      <c r="H152" s="159" t="s">
        <v>4597</v>
      </c>
      <c r="I152" s="295" t="s">
        <v>4665</v>
      </c>
      <c r="J152" s="296" t="s">
        <v>4605</v>
      </c>
      <c r="K152" s="159" t="s">
        <v>4597</v>
      </c>
      <c r="L152" s="177"/>
      <c r="M152" s="177"/>
      <c r="N152" s="2661" cm="1" t="n">
        <f t="array" ref="N152">INDEX('6층_부하량'!H3:H3000,MATCH(1,("6-DaHall 1-PDU-11"='6층_부하량'!A3:A3000)*(18='6층_부하량'!B3:B3000),0))</f>
        <v>0.0</v>
      </c>
      <c r="O152" s="160"/>
      <c r="P152" s="160" t="s">
        <v>4635</v>
      </c>
      <c r="Q152" s="185" t="s">
        <v>4575</v>
      </c>
      <c r="R152" s="626" t="s">
        <v>5180</v>
      </c>
    </row>
    <row r="153" spans="1:18" ht="15.75" customHeight="1" thickTop="1" x14ac:dyDescent="0.15">
      <c r="A153" s="277" t="s">
        <v>5181</v>
      </c>
      <c r="B153" s="142" t="s">
        <v>4635</v>
      </c>
      <c r="C153" s="152" t="s">
        <v>4575</v>
      </c>
      <c r="D153" s="2658" cm="1" t="n">
        <f t="array" ref="D153">INDEX('6층_부하량'!F3:F3000,MATCH(1,("6-DaHall 1-PDU-11"='6층_부하량'!A3:A3000)*(19='6층_부하량'!B3:B3000),0))</f>
        <v>6.52</v>
      </c>
      <c r="E153" s="179"/>
      <c r="F153" s="179"/>
      <c r="G153" s="163"/>
      <c r="H153" s="142" t="s">
        <v>4597</v>
      </c>
      <c r="I153" s="1470" t="s">
        <v>4670</v>
      </c>
      <c r="J153" s="1474" t="s">
        <v>4609</v>
      </c>
      <c r="K153" s="142" t="s">
        <v>4597</v>
      </c>
      <c r="L153" s="2658" cm="1" t="n">
        <f t="array" ref="L153">INDEX('6층_부하량'!F3:F3000,MATCH(1,("6-DaHall 1-PDU-11"='6층_부하량'!A3:A3000)*(20='6층_부하량'!B3:B3000),0))</f>
        <v>0.0</v>
      </c>
      <c r="M153" s="179"/>
      <c r="N153" s="179"/>
      <c r="O153" s="163"/>
      <c r="P153" s="163" t="s">
        <v>4635</v>
      </c>
      <c r="Q153" s="142" t="s">
        <v>4723</v>
      </c>
      <c r="R153" s="630" t="s">
        <v>5182</v>
      </c>
    </row>
    <row r="154" spans="1:18" ht="15.75" customHeight="1" x14ac:dyDescent="0.15">
      <c r="A154" s="1018" t="s">
        <v>5183</v>
      </c>
      <c r="B154" s="156" t="s">
        <v>4635</v>
      </c>
      <c r="C154" s="189" t="s">
        <v>4575</v>
      </c>
      <c r="D154" s="157"/>
      <c r="E154" s="2656" cm="1" t="n">
        <f t="array" ref="E154">INDEX('6층_부하량'!G3:G3000,MATCH(1,("6-DaHall 1-PDU-11"='6층_부하량'!A3:A3000)*(21='6층_부하량'!B3:B3000),0))</f>
        <v>0.0</v>
      </c>
      <c r="F154" s="157"/>
      <c r="G154" s="179"/>
      <c r="H154" s="156" t="s">
        <v>4597</v>
      </c>
      <c r="I154" s="1471" t="s">
        <v>4674</v>
      </c>
      <c r="J154" s="1463" t="s">
        <v>4613</v>
      </c>
      <c r="K154" s="156" t="s">
        <v>4597</v>
      </c>
      <c r="L154" s="157"/>
      <c r="M154" s="2656" cm="1" t="n">
        <f t="array" ref="M154">INDEX('6층_부하량'!G3:G3000,MATCH(1,("6-DaHall 1-PDU-11"='6층_부하량'!A3:A3000)*(22='6층_부하량'!B3:B3000),0))</f>
        <v>0.0</v>
      </c>
      <c r="N154" s="157"/>
      <c r="O154" s="179"/>
      <c r="P154" s="179" t="s">
        <v>4635</v>
      </c>
      <c r="Q154" s="143" t="s">
        <v>4723</v>
      </c>
      <c r="R154" s="631" t="s">
        <v>5184</v>
      </c>
    </row>
    <row r="155" spans="1:18" ht="15.75" customHeight="1" x14ac:dyDescent="0.15">
      <c r="A155" s="607" t="s">
        <v>5185</v>
      </c>
      <c r="B155" s="143" t="s">
        <v>4635</v>
      </c>
      <c r="C155" s="164" t="s">
        <v>4575</v>
      </c>
      <c r="D155" s="157"/>
      <c r="E155" s="157"/>
      <c r="F155" s="2656" cm="1" t="n">
        <f t="array" ref="F155">INDEX('6층_부하량'!H3:H3000,MATCH(1,("6-DaHall 1-PDU-11"='6층_부하량'!A3:A3000)*(23='6층_부하량'!B3:B3000),0))</f>
        <v>0.0</v>
      </c>
      <c r="G155" s="157"/>
      <c r="H155" s="143" t="s">
        <v>4597</v>
      </c>
      <c r="I155" s="299" t="s">
        <v>4678</v>
      </c>
      <c r="J155" s="1463" t="s">
        <v>4680</v>
      </c>
      <c r="K155" s="143" t="s">
        <v>4597</v>
      </c>
      <c r="L155" s="157"/>
      <c r="M155" s="157"/>
      <c r="N155" s="2656" cm="1" t="n">
        <f t="array" ref="N155">INDEX('6층_부하량'!H3:H3000,MATCH(1,("6-DaHall 1-PDU-11"='6층_부하량'!A3:A3000)*(24='6층_부하량'!B3:B3000),0))</f>
        <v>0.0</v>
      </c>
      <c r="O155" s="157"/>
      <c r="P155" s="157" t="s">
        <v>4635</v>
      </c>
      <c r="Q155" s="143" t="s">
        <v>4723</v>
      </c>
      <c r="R155" s="619" t="s">
        <v>5186</v>
      </c>
    </row>
    <row r="156" spans="1:18" ht="15.75" customHeight="1" x14ac:dyDescent="0.15">
      <c r="A156" s="607" t="s">
        <v>5187</v>
      </c>
      <c r="B156" s="143" t="s">
        <v>4635</v>
      </c>
      <c r="C156" s="164" t="s">
        <v>4575</v>
      </c>
      <c r="D156" s="2656" cm="1" t="n">
        <f t="array" ref="D156">INDEX('6층_부하량'!F3:F3000,MATCH(1,("6-DaHall 1-PDU-11"='6층_부하량'!A3:A3000)*(25='6층_부하량'!B3:B3000),0))</f>
        <v>0.0</v>
      </c>
      <c r="E156" s="157"/>
      <c r="F156" s="157"/>
      <c r="G156" s="157"/>
      <c r="H156" s="143" t="s">
        <v>4597</v>
      </c>
      <c r="I156" s="299" t="s">
        <v>4683</v>
      </c>
      <c r="J156" s="1463" t="s">
        <v>4685</v>
      </c>
      <c r="K156" s="143" t="s">
        <v>4597</v>
      </c>
      <c r="L156" s="2656" cm="1" t="n">
        <f t="array" ref="L156">INDEX('6층_부하량'!F3:F3000,MATCH(1,("6-DaHall 1-PDU-11"='6층_부하량'!A3:A3000)*(26='6층_부하량'!B3:B3000),0))</f>
        <v>0.0</v>
      </c>
      <c r="M156" s="157"/>
      <c r="N156" s="157"/>
      <c r="O156" s="157"/>
      <c r="P156" s="157" t="s">
        <v>4635</v>
      </c>
      <c r="Q156" s="143" t="s">
        <v>4723</v>
      </c>
      <c r="R156" s="631" t="s">
        <v>5188</v>
      </c>
    </row>
    <row r="157" spans="1:18" ht="15.75" customHeight="1" x14ac:dyDescent="0.15">
      <c r="A157" s="607" t="s">
        <v>5189</v>
      </c>
      <c r="B157" s="143" t="s">
        <v>4635</v>
      </c>
      <c r="C157" s="164" t="s">
        <v>4575</v>
      </c>
      <c r="D157" s="157"/>
      <c r="E157" s="2656" cm="1" t="n">
        <f t="array" ref="E157">INDEX('6층_부하량'!G3:G3000,MATCH(1,("6-DaHall 1-PDU-11"='6층_부하량'!A3:A3000)*(27='6층_부하량'!B3:B3000),0))</f>
        <v>0.0</v>
      </c>
      <c r="F157" s="157"/>
      <c r="G157" s="157"/>
      <c r="H157" s="143" t="s">
        <v>4597</v>
      </c>
      <c r="I157" s="299" t="s">
        <v>4688</v>
      </c>
      <c r="J157" s="1463" t="s">
        <v>4689</v>
      </c>
      <c r="K157" s="143" t="s">
        <v>4597</v>
      </c>
      <c r="L157" s="157"/>
      <c r="M157" s="2656" cm="1" t="n">
        <f t="array" ref="M157">INDEX('6층_부하량'!G3:G3000,MATCH(1,("6-DaHall 1-PDU-11"='6층_부하량'!A3:A3000)*(28='6층_부하량'!B3:B3000),0))</f>
        <v>0.0</v>
      </c>
      <c r="N157" s="157"/>
      <c r="O157" s="157"/>
      <c r="P157" s="157" t="s">
        <v>4635</v>
      </c>
      <c r="Q157" s="143" t="s">
        <v>4723</v>
      </c>
      <c r="R157" s="619" t="s">
        <v>5190</v>
      </c>
    </row>
    <row r="158" spans="1:18" ht="15.75" customHeight="1" x14ac:dyDescent="0.15">
      <c r="A158" s="628" t="s">
        <v>5191</v>
      </c>
      <c r="B158" s="143" t="s">
        <v>4635</v>
      </c>
      <c r="C158" s="164" t="s">
        <v>4575</v>
      </c>
      <c r="D158" s="157"/>
      <c r="E158" s="157"/>
      <c r="F158" s="2656" cm="1" t="n">
        <f t="array" ref="F158">INDEX('6층_부하량'!H3:H3000,MATCH(1,("6-DaHall 1-PDU-11"='6층_부하량'!A3:A3000)*(29='6층_부하량'!B3:B3000),0))</f>
        <v>0.0</v>
      </c>
      <c r="G158" s="157"/>
      <c r="H158" s="143" t="s">
        <v>4597</v>
      </c>
      <c r="I158" s="299" t="s">
        <v>4691</v>
      </c>
      <c r="J158" s="1463" t="s">
        <v>4692</v>
      </c>
      <c r="K158" s="143" t="s">
        <v>4597</v>
      </c>
      <c r="L158" s="157"/>
      <c r="M158" s="157"/>
      <c r="N158" s="2656" cm="1" t="n">
        <f t="array" ref="N158">INDEX('6층_부하량'!H3:H3000,MATCH(1,("6-DaHall 1-PDU-11"='6층_부하량'!A3:A3000)*(30='6층_부하량'!B3:B3000),0))</f>
        <v>0.0</v>
      </c>
      <c r="O158" s="157"/>
      <c r="P158" s="157" t="s">
        <v>4635</v>
      </c>
      <c r="Q158" s="143" t="s">
        <v>4723</v>
      </c>
      <c r="R158" s="631" t="s">
        <v>5192</v>
      </c>
    </row>
    <row r="159" spans="1:18" ht="15.75" customHeight="1" x14ac:dyDescent="0.15">
      <c r="A159" s="629" t="s">
        <v>5193</v>
      </c>
      <c r="B159" s="143" t="s">
        <v>4635</v>
      </c>
      <c r="C159" s="164" t="s">
        <v>4575</v>
      </c>
      <c r="D159" s="2656" cm="1" t="n">
        <f t="array" ref="D159">INDEX('6층_부하량'!F3:F3000,MATCH(1,("6-DaHall 1-PDU-11"='6층_부하량'!A3:A3000)*(31='6층_부하량'!B3:B3000),0))</f>
        <v>0.0</v>
      </c>
      <c r="E159" s="157"/>
      <c r="F159" s="157"/>
      <c r="G159" s="157"/>
      <c r="H159" s="143" t="s">
        <v>4597</v>
      </c>
      <c r="I159" s="299" t="s">
        <v>4693</v>
      </c>
      <c r="J159" s="1463" t="s">
        <v>4694</v>
      </c>
      <c r="K159" s="143" t="s">
        <v>4597</v>
      </c>
      <c r="L159" s="2656" cm="1" t="n">
        <f t="array" ref="L159">INDEX('6층_부하량'!F3:F3000,MATCH(1,("6-DaHall 1-PDU-11"='6층_부하량'!A3:A3000)*(32='6층_부하량'!B3:B3000),0))</f>
        <v>0.0</v>
      </c>
      <c r="M159" s="157"/>
      <c r="N159" s="157"/>
      <c r="O159" s="157"/>
      <c r="P159" s="157" t="s">
        <v>565</v>
      </c>
      <c r="Q159" s="143" t="s">
        <v>4723</v>
      </c>
      <c r="R159" s="153"/>
    </row>
    <row r="160" spans="1:18" ht="15.75" customHeight="1" x14ac:dyDescent="0.15">
      <c r="A160" s="607" t="s">
        <v>5194</v>
      </c>
      <c r="B160" s="143" t="s">
        <v>4635</v>
      </c>
      <c r="C160" s="164" t="s">
        <v>4575</v>
      </c>
      <c r="D160" s="157"/>
      <c r="E160" s="2656" cm="1" t="n">
        <f t="array" ref="E160">INDEX('6층_부하량'!G3:G3000,MATCH(1,("6-DaHall 1-PDU-11"='6층_부하량'!A3:A3000)*(33='6층_부하량'!B3:B3000),0))</f>
        <v>0.0</v>
      </c>
      <c r="F160" s="157"/>
      <c r="G160" s="157"/>
      <c r="H160" s="143" t="s">
        <v>4597</v>
      </c>
      <c r="I160" s="299" t="s">
        <v>4697</v>
      </c>
      <c r="J160" s="1463" t="s">
        <v>4698</v>
      </c>
      <c r="K160" s="143" t="s">
        <v>4597</v>
      </c>
      <c r="L160" s="157"/>
      <c r="M160" s="2656" cm="1" t="n">
        <f t="array" ref="M160">INDEX('6층_부하량'!G3:G3000,MATCH(1,("6-DaHall 1-PDU-11"='6층_부하량'!A3:A3000)*(34='6층_부하량'!B3:B3000),0))</f>
        <v>0.0</v>
      </c>
      <c r="N160" s="157"/>
      <c r="O160" s="157"/>
      <c r="P160" s="157" t="s">
        <v>4635</v>
      </c>
      <c r="Q160" s="143" t="s">
        <v>4723</v>
      </c>
      <c r="R160" s="631" t="s">
        <v>5195</v>
      </c>
    </row>
    <row r="161" spans="1:18" ht="15.75" customHeight="1" x14ac:dyDescent="0.15">
      <c r="A161" s="341" t="s">
        <v>5196</v>
      </c>
      <c r="B161" s="143" t="s">
        <v>4635</v>
      </c>
      <c r="C161" s="143" t="s">
        <v>4723</v>
      </c>
      <c r="D161" s="157"/>
      <c r="E161" s="157"/>
      <c r="F161" s="2656" cm="1" t="n">
        <f t="array" ref="F161">INDEX('6층_부하량'!H3:H3000,MATCH(1,("6-DaHall 1-PDU-11"='6층_부하량'!A3:A3000)*(35='6층_부하량'!B3:B3000),0))</f>
        <v>0.0</v>
      </c>
      <c r="G161" s="157"/>
      <c r="H161" s="143" t="s">
        <v>4597</v>
      </c>
      <c r="I161" s="1465" t="s">
        <v>4701</v>
      </c>
      <c r="J161" s="1463" t="s">
        <v>4703</v>
      </c>
      <c r="K161" s="143" t="s">
        <v>4597</v>
      </c>
      <c r="L161" s="157"/>
      <c r="M161" s="157"/>
      <c r="N161" s="2656" cm="1" t="n">
        <f t="array" ref="N161">INDEX('6층_부하량'!H3:H3000,MATCH(1,("6-DaHall 1-PDU-11"='6층_부하량'!A3:A3000)*(36='6층_부하량'!B3:B3000),0))</f>
        <v>0.0</v>
      </c>
      <c r="O161" s="157"/>
      <c r="P161" s="157" t="s">
        <v>4635</v>
      </c>
      <c r="Q161" s="143" t="s">
        <v>4723</v>
      </c>
      <c r="R161" s="619" t="s">
        <v>5197</v>
      </c>
    </row>
    <row r="162" spans="1:18" ht="15.75" customHeight="1" x14ac:dyDescent="0.15">
      <c r="A162" s="341" t="s">
        <v>5198</v>
      </c>
      <c r="B162" s="143" t="s">
        <v>4635</v>
      </c>
      <c r="C162" s="143" t="s">
        <v>4723</v>
      </c>
      <c r="D162" s="2656" cm="1" t="n">
        <f t="array" ref="D162">INDEX('6층_부하량'!F3:F3000,MATCH(1,("6-DaHall 1-PDU-11"='6층_부하량'!A3:A3000)*(37='6층_부하량'!B3:B3000),0))</f>
        <v>0.0</v>
      </c>
      <c r="E162" s="157"/>
      <c r="F162" s="157"/>
      <c r="G162" s="157"/>
      <c r="H162" s="143" t="s">
        <v>4597</v>
      </c>
      <c r="I162" s="1465" t="s">
        <v>4706</v>
      </c>
      <c r="J162" s="1463" t="s">
        <v>4707</v>
      </c>
      <c r="K162" s="143" t="s">
        <v>4597</v>
      </c>
      <c r="L162" s="2656" cm="1" t="n">
        <f t="array" ref="L162">INDEX('6층_부하량'!F3:F3000,MATCH(1,("6-DaHall 1-PDU-11"='6층_부하량'!A3:A3000)*(38='6층_부하량'!B3:B3000),0))</f>
        <v>0.0</v>
      </c>
      <c r="M162" s="157"/>
      <c r="N162" s="157"/>
      <c r="O162" s="157"/>
      <c r="P162" s="157" t="s">
        <v>4635</v>
      </c>
      <c r="Q162" s="143" t="s">
        <v>4723</v>
      </c>
      <c r="R162" s="631" t="s">
        <v>5199</v>
      </c>
    </row>
    <row r="163" spans="1:18" ht="15.75" customHeight="1" x14ac:dyDescent="0.15">
      <c r="A163" s="341" t="s">
        <v>5200</v>
      </c>
      <c r="B163" s="143" t="s">
        <v>4635</v>
      </c>
      <c r="C163" s="143" t="s">
        <v>4723</v>
      </c>
      <c r="D163" s="157"/>
      <c r="E163" s="2656" cm="1" t="n">
        <f t="array" ref="E163">INDEX('6층_부하량'!G3:G3000,MATCH(1,("6-DaHall 1-PDU-11"='6층_부하량'!A3:A3000)*(39='6층_부하량'!B3:B3000),0))</f>
        <v>0.0</v>
      </c>
      <c r="F163" s="157"/>
      <c r="G163" s="157"/>
      <c r="H163" s="143" t="s">
        <v>4597</v>
      </c>
      <c r="I163" s="1471" t="s">
        <v>4710</v>
      </c>
      <c r="J163" s="1463" t="s">
        <v>4711</v>
      </c>
      <c r="K163" s="143" t="s">
        <v>4597</v>
      </c>
      <c r="L163" s="157"/>
      <c r="M163" s="2656" cm="1" t="n">
        <f t="array" ref="M163">INDEX('6층_부하량'!G3:G3000,MATCH(1,("6-DaHall 1-PDU-11"='6층_부하량'!A3:A3000)*(40='6층_부하량'!B3:B3000),0))</f>
        <v>0.0</v>
      </c>
      <c r="N163" s="157"/>
      <c r="O163" s="157"/>
      <c r="P163" s="157" t="s">
        <v>4635</v>
      </c>
      <c r="Q163" s="143" t="s">
        <v>4723</v>
      </c>
      <c r="R163" s="619" t="s">
        <v>5201</v>
      </c>
    </row>
    <row r="164" spans="1:18" ht="15.75" customHeight="1" x14ac:dyDescent="0.15">
      <c r="A164" s="341" t="s">
        <v>5202</v>
      </c>
      <c r="B164" s="143" t="s">
        <v>4635</v>
      </c>
      <c r="C164" s="143" t="s">
        <v>4723</v>
      </c>
      <c r="D164" s="157"/>
      <c r="E164" s="157"/>
      <c r="F164" s="2656" cm="1" t="n">
        <f t="array" ref="F164">INDEX('6층_부하량'!H3:H3000,MATCH(1,("6-DaHall 1-PDU-11"='6층_부하량'!A3:A3000)*(41='6층_부하량'!B3:B3000),0))</f>
        <v>0.0</v>
      </c>
      <c r="G164" s="157"/>
      <c r="H164" s="143" t="s">
        <v>4597</v>
      </c>
      <c r="I164" s="1465" t="s">
        <v>5055</v>
      </c>
      <c r="J164" s="1463" t="s">
        <v>4843</v>
      </c>
      <c r="K164" s="143" t="s">
        <v>4597</v>
      </c>
      <c r="L164" s="157"/>
      <c r="M164" s="157"/>
      <c r="N164" s="2656" cm="1" t="n">
        <f t="array" ref="N164">INDEX('6층_부하량'!H3:H3000,MATCH(1,("6-DaHall 1-PDU-11"='6층_부하량'!A3:A3000)*(42='6층_부하량'!B3:B3000),0))</f>
        <v>0.0</v>
      </c>
      <c r="O164" s="157"/>
      <c r="P164" s="157" t="s">
        <v>4635</v>
      </c>
      <c r="Q164" s="143" t="s">
        <v>4723</v>
      </c>
      <c r="R164" s="619" t="s">
        <v>5203</v>
      </c>
    </row>
    <row r="165" spans="1:18" ht="15.75" customHeight="1" x14ac:dyDescent="0.15">
      <c r="A165" s="341" t="s">
        <v>5204</v>
      </c>
      <c r="B165" s="143" t="s">
        <v>4635</v>
      </c>
      <c r="C165" s="143" t="s">
        <v>4723</v>
      </c>
      <c r="D165" s="2656" cm="1" t="n">
        <f t="array" ref="D165">INDEX('6층_부하량'!F3:F3000,MATCH(1,("6-DaHall 1-PDU-11"='6층_부하량'!A3:A3000)*(43='6층_부하량'!B3:B3000),0))</f>
        <v>0.0</v>
      </c>
      <c r="E165" s="157"/>
      <c r="F165" s="157"/>
      <c r="G165" s="157"/>
      <c r="H165" s="143" t="s">
        <v>4597</v>
      </c>
      <c r="I165" s="1465" t="s">
        <v>4845</v>
      </c>
      <c r="J165" s="1463" t="s">
        <v>4846</v>
      </c>
      <c r="K165" s="143" t="s">
        <v>4597</v>
      </c>
      <c r="L165" s="2656" cm="1" t="n">
        <f t="array" ref="L165">INDEX('6층_부하량'!F3:F3000,MATCH(1,("6-DaHall 1-PDU-11"='6층_부하량'!A3:A3000)*(44='6층_부하량'!B3:B3000),0))</f>
        <v>0.0</v>
      </c>
      <c r="M165" s="157"/>
      <c r="N165" s="157"/>
      <c r="O165" s="157"/>
      <c r="P165" s="157" t="s">
        <v>4635</v>
      </c>
      <c r="Q165" s="143" t="s">
        <v>4723</v>
      </c>
      <c r="R165" s="342" t="s">
        <v>5205</v>
      </c>
    </row>
    <row r="166" spans="1:18" ht="15.75" customHeight="1" x14ac:dyDescent="0.15">
      <c r="A166" s="341" t="s">
        <v>5206</v>
      </c>
      <c r="B166" s="143" t="s">
        <v>4635</v>
      </c>
      <c r="C166" s="143" t="s">
        <v>4723</v>
      </c>
      <c r="D166" s="157"/>
      <c r="E166" s="2656" cm="1" t="n">
        <f t="array" ref="E166">INDEX('6층_부하량'!G3:G3000,MATCH(1,("6-DaHall 1-PDU-11"='6층_부하량'!A3:A3000)*(45='6층_부하량'!B3:B3000),0))</f>
        <v>0.0</v>
      </c>
      <c r="F166" s="157"/>
      <c r="G166" s="157"/>
      <c r="H166" s="143" t="s">
        <v>4597</v>
      </c>
      <c r="I166" s="1465" t="s">
        <v>4847</v>
      </c>
      <c r="J166" s="1463" t="s">
        <v>4848</v>
      </c>
      <c r="K166" s="143" t="s">
        <v>4597</v>
      </c>
      <c r="L166" s="157"/>
      <c r="M166" s="2656" cm="1" t="n">
        <f t="array" ref="M166">INDEX('6층_부하량'!G3:G3000,MATCH(1,("6-DaHall 1-PDU-11"='6층_부하량'!A3:A3000)*(46='6층_부하량'!B3:B3000),0))</f>
        <v>0.0</v>
      </c>
      <c r="N166" s="157"/>
      <c r="O166" s="157"/>
      <c r="P166" s="157" t="s">
        <v>4635</v>
      </c>
      <c r="Q166" s="143" t="s">
        <v>4723</v>
      </c>
      <c r="R166" s="619" t="s">
        <v>5207</v>
      </c>
    </row>
    <row r="167" spans="1:18" ht="15.75" customHeight="1" x14ac:dyDescent="0.15">
      <c r="A167" s="1019" t="s">
        <v>5208</v>
      </c>
      <c r="B167" s="143" t="s">
        <v>4635</v>
      </c>
      <c r="C167" s="164" t="s">
        <v>4575</v>
      </c>
      <c r="D167" s="157"/>
      <c r="E167" s="157"/>
      <c r="F167" s="2656" cm="1" t="n">
        <f t="array" ref="F167">INDEX('6층_부하량'!H3:H3000,MATCH(1,("6-DaHall 1-PDU-11"='6층_부하량'!A3:A3000)*(47='6층_부하량'!B3:B3000),0))</f>
        <v>0.0</v>
      </c>
      <c r="G167" s="157"/>
      <c r="H167" s="143" t="s">
        <v>4597</v>
      </c>
      <c r="I167" s="299" t="s">
        <v>4849</v>
      </c>
      <c r="J167" s="1463" t="s">
        <v>4850</v>
      </c>
      <c r="K167" s="143" t="s">
        <v>4597</v>
      </c>
      <c r="L167" s="157"/>
      <c r="M167" s="157"/>
      <c r="N167" s="2656" cm="1" t="n">
        <f t="array" ref="N167">INDEX('6층_부하량'!H3:H3000,MATCH(1,("6-DaHall 1-PDU-11"='6층_부하량'!A3:A3000)*(48='6층_부하량'!B3:B3000),0))</f>
        <v>0.0</v>
      </c>
      <c r="O167" s="157"/>
      <c r="P167" s="157" t="s">
        <v>565</v>
      </c>
      <c r="Q167" s="143" t="s">
        <v>4723</v>
      </c>
      <c r="R167" s="153"/>
    </row>
    <row r="168" spans="1:18" ht="15.75" customHeight="1" thickBot="1" x14ac:dyDescent="0.2">
      <c r="A168" s="1020" t="s">
        <v>5209</v>
      </c>
      <c r="B168" s="166" t="s">
        <v>4635</v>
      </c>
      <c r="C168" s="184" t="s">
        <v>4575</v>
      </c>
      <c r="D168" s="2659" cm="1" t="n">
        <f t="array" ref="D168">INDEX('6층_부하량'!F3:F3000,MATCH(1,("6-DaHall 1-PDU-11"='6층_부하량'!A3:A3000)*(49='6층_부하량'!B3:B3000),0))</f>
        <v>0.0</v>
      </c>
      <c r="E168" s="167"/>
      <c r="F168" s="167"/>
      <c r="G168" s="167"/>
      <c r="H168" s="166" t="s">
        <v>4597</v>
      </c>
      <c r="I168" s="301" t="s">
        <v>4851</v>
      </c>
      <c r="J168" s="1473" t="s">
        <v>4852</v>
      </c>
      <c r="K168" s="166" t="s">
        <v>4597</v>
      </c>
      <c r="L168" s="2659" cm="1" t="n">
        <f t="array" ref="L168">INDEX('6층_부하량'!F3:F3000,MATCH(1,("6-DaHall 1-PDU-11"='6층_부하량'!A3:A3000)*(50='6층_부하량'!B3:B3000),0))</f>
        <v>0.0</v>
      </c>
      <c r="M168" s="167"/>
      <c r="N168" s="167"/>
      <c r="O168" s="167"/>
      <c r="P168" s="167" t="s">
        <v>565</v>
      </c>
      <c r="Q168" s="166" t="s">
        <v>4723</v>
      </c>
      <c r="R168" s="170"/>
    </row>
    <row r="169" spans="1:18" ht="15" thickTop="1" thickBot="1" x14ac:dyDescent="0.2">
      <c r="A169" s="128"/>
      <c r="B169" s="128"/>
      <c r="C169" s="128"/>
      <c r="D169" s="128"/>
      <c r="E169" s="128"/>
      <c r="F169" s="128"/>
      <c r="G169" s="128"/>
      <c r="H169" s="128"/>
      <c r="I169" s="128"/>
      <c r="J169" s="128"/>
      <c r="K169" s="133" t="s">
        <v>4713</v>
      </c>
      <c r="L169" s="128" t="n">
        <f>SUM(D144:D168,L144:L168)</f>
        <v>6.52</v>
      </c>
      <c r="M169" s="128" t="n">
        <f>SUM(E144:E168,M144:M168)</f>
        <v>6.01</v>
      </c>
      <c r="N169" s="128" t="n">
        <f>SUM(F144:F168,N144:N168)</f>
        <v>0.0</v>
      </c>
      <c r="O169" s="128"/>
      <c r="P169" s="128"/>
      <c r="Q169" s="128"/>
      <c r="R169" s="128"/>
    </row>
    <row r="170" spans="1:18" ht="15" thickTop="1" thickBot="1" x14ac:dyDescent="0.2">
      <c r="A170" s="173" t="s">
        <v>7002</v>
      </c>
      <c r="B170" s="128"/>
      <c r="C170" s="3660" t="s">
        <v>5210</v>
      </c>
      <c r="D170" s="3660"/>
      <c r="E170" s="3660"/>
      <c r="F170" s="173"/>
      <c r="G170" s="173"/>
      <c r="H170" s="133"/>
      <c r="I170" s="3665" t="s">
        <v>5063</v>
      </c>
      <c r="J170" s="3666"/>
      <c r="K170" s="133"/>
      <c r="L170" s="173"/>
      <c r="M170" s="173"/>
      <c r="N170" s="173"/>
      <c r="O170" s="173"/>
      <c r="P170" s="173"/>
      <c r="Q170" s="173"/>
      <c r="R170" s="128"/>
    </row>
    <row r="171" spans="1:18" ht="15" thickTop="1" thickBot="1" x14ac:dyDescent="0.2">
      <c r="A171" s="127"/>
      <c r="B171" s="128"/>
      <c r="C171" s="128"/>
      <c r="D171" s="129"/>
      <c r="E171" s="129"/>
      <c r="F171" s="130"/>
      <c r="G171" s="129"/>
      <c r="H171" s="131"/>
      <c r="I171" s="128"/>
      <c r="J171" s="132"/>
      <c r="K171" s="1371" t="s">
        <v>4562</v>
      </c>
      <c r="L171" s="1368">
        <v>5.0999999999999996</v>
      </c>
      <c r="M171" s="1369">
        <v>0</v>
      </c>
      <c r="N171" s="1370">
        <v>0</v>
      </c>
      <c r="O171" s="508" t="s">
        <v>4563</v>
      </c>
      <c r="P171" s="133"/>
      <c r="Q171" s="128"/>
      <c r="R171" s="528"/>
    </row>
    <row r="172" spans="1:18" ht="18" customHeight="1" thickTop="1" thickBot="1" x14ac:dyDescent="0.2">
      <c r="A172" s="134" t="s">
        <v>4564</v>
      </c>
      <c r="B172" s="135" t="s">
        <v>5031</v>
      </c>
      <c r="C172" s="136" t="s">
        <v>4566</v>
      </c>
      <c r="D172" s="135" t="s">
        <v>5032</v>
      </c>
      <c r="E172" s="135" t="s">
        <v>5033</v>
      </c>
      <c r="F172" s="135" t="s">
        <v>5034</v>
      </c>
      <c r="G172" s="135" t="s">
        <v>5035</v>
      </c>
      <c r="H172" s="135" t="s">
        <v>5036</v>
      </c>
      <c r="I172" s="138" t="s">
        <v>5037</v>
      </c>
      <c r="J172" s="139" t="s">
        <v>5037</v>
      </c>
      <c r="K172" s="135" t="s">
        <v>5036</v>
      </c>
      <c r="L172" s="135" t="s">
        <v>5032</v>
      </c>
      <c r="M172" s="135" t="s">
        <v>5033</v>
      </c>
      <c r="N172" s="135" t="s">
        <v>5034</v>
      </c>
      <c r="O172" s="135" t="s">
        <v>5035</v>
      </c>
      <c r="P172" s="135" t="s">
        <v>5031</v>
      </c>
      <c r="Q172" s="136" t="s">
        <v>4566</v>
      </c>
      <c r="R172" s="140" t="s">
        <v>4564</v>
      </c>
    </row>
    <row r="173" spans="1:18" ht="18" customHeight="1" thickTop="1" x14ac:dyDescent="0.15">
      <c r="A173" s="141"/>
      <c r="B173" s="142" t="s">
        <v>565</v>
      </c>
      <c r="C173" s="142" t="s">
        <v>4723</v>
      </c>
      <c r="D173" s="2654" cm="1" t="n">
        <f t="array" ref="D173">INDEX('6층_부하량'!F3:F3000,MATCH(1,("6-DaHall 1-PDU-12"='6층_부하량'!A3:A3000)*(1='6층_부하량'!B3:B3000),0))</f>
        <v>0.0</v>
      </c>
      <c r="E173" s="144"/>
      <c r="F173" s="144"/>
      <c r="G173" s="144"/>
      <c r="H173" s="142" t="s">
        <v>4597</v>
      </c>
      <c r="I173" s="1469" t="s">
        <v>4633</v>
      </c>
      <c r="J173" s="292" t="s">
        <v>4578</v>
      </c>
      <c r="K173" s="142" t="s">
        <v>4597</v>
      </c>
      <c r="L173" s="2654" cm="1" t="n">
        <f t="array" ref="L173">INDEX('6층_부하량'!F3:F3000,MATCH(1,("6-DaHall 1-PDU-12"='6층_부하량'!A3:A3000)*(2='6층_부하량'!B3:B3000),0))</f>
        <v>0.0</v>
      </c>
      <c r="M173" s="144"/>
      <c r="N173" s="144"/>
      <c r="O173" s="144"/>
      <c r="P173" s="163" t="s">
        <v>4635</v>
      </c>
      <c r="Q173" s="142" t="s">
        <v>4723</v>
      </c>
      <c r="R173" s="618" t="s">
        <v>5211</v>
      </c>
    </row>
    <row r="174" spans="1:18" ht="18" customHeight="1" x14ac:dyDescent="0.15">
      <c r="A174" s="622" t="s">
        <v>5212</v>
      </c>
      <c r="B174" s="143" t="s">
        <v>4635</v>
      </c>
      <c r="C174" s="164" t="s">
        <v>4575</v>
      </c>
      <c r="D174" s="149"/>
      <c r="E174" s="2655" cm="1" t="n">
        <f t="array" ref="E174">INDEX('6층_부하량'!G3:G3000,MATCH(1,("6-DaHall 1-PDU-12"='6층_부하량'!A3:A3000)*(3='6층_부하량'!B3:B3000),0))</f>
        <v>0.0</v>
      </c>
      <c r="F174" s="149"/>
      <c r="G174" s="149"/>
      <c r="H174" s="143" t="s">
        <v>4597</v>
      </c>
      <c r="I174" s="293" t="s">
        <v>4638</v>
      </c>
      <c r="J174" s="294" t="s">
        <v>4583</v>
      </c>
      <c r="K174" s="143" t="s">
        <v>4597</v>
      </c>
      <c r="L174" s="149"/>
      <c r="M174" s="2655" cm="1" t="n">
        <f t="array" ref="M174">INDEX('6층_부하량'!G3:G3000,MATCH(1,("6-DaHall 1-PDU-12"='6층_부하량'!A3:A3000)*(4='6층_부하량'!B3:B3000),0))</f>
        <v>0.0</v>
      </c>
      <c r="N174" s="149"/>
      <c r="O174" s="149"/>
      <c r="P174" s="157" t="s">
        <v>4635</v>
      </c>
      <c r="Q174" s="143" t="s">
        <v>4723</v>
      </c>
      <c r="R174" s="342" t="s">
        <v>5213</v>
      </c>
    </row>
    <row r="175" spans="1:18" ht="18" customHeight="1" x14ac:dyDescent="0.15">
      <c r="A175" s="607" t="s">
        <v>5214</v>
      </c>
      <c r="B175" s="143" t="s">
        <v>4635</v>
      </c>
      <c r="C175" s="164" t="s">
        <v>4575</v>
      </c>
      <c r="D175" s="157"/>
      <c r="E175" s="157"/>
      <c r="F175" s="2656" cm="1" t="n">
        <f t="array" ref="F175">INDEX('6층_부하량'!H3:H3000,MATCH(1,("6-DaHall 1-PDU-12"='6층_부하량'!A3:A3000)*(5='6층_부하량'!B3:B3000),0))</f>
        <v>0.0</v>
      </c>
      <c r="G175" s="157"/>
      <c r="H175" s="143" t="s">
        <v>4597</v>
      </c>
      <c r="I175" s="293" t="s">
        <v>4641</v>
      </c>
      <c r="J175" s="294" t="s">
        <v>4588</v>
      </c>
      <c r="K175" s="143" t="s">
        <v>4597</v>
      </c>
      <c r="L175" s="157"/>
      <c r="M175" s="157"/>
      <c r="N175" s="2656" cm="1" t="n">
        <f t="array" ref="N175">INDEX('6층_부하량'!H3:H3000,MATCH(1,("6-DaHall 1-PDU-12"='6층_부하량'!A3:A3000)*(6='6층_부하량'!B3:B3000),0))</f>
        <v>0.0</v>
      </c>
      <c r="O175" s="157"/>
      <c r="P175" s="157" t="s">
        <v>4635</v>
      </c>
      <c r="Q175" s="143" t="s">
        <v>4723</v>
      </c>
      <c r="R175" s="342" t="s">
        <v>5215</v>
      </c>
    </row>
    <row r="176" spans="1:18" ht="18" customHeight="1" x14ac:dyDescent="0.15">
      <c r="A176" s="622" t="s">
        <v>5216</v>
      </c>
      <c r="B176" s="143" t="s">
        <v>4635</v>
      </c>
      <c r="C176" s="164" t="s">
        <v>4575</v>
      </c>
      <c r="D176" s="2656" cm="1" t="n">
        <f t="array" ref="D176">INDEX('6층_부하량'!F3:F3000,MATCH(1,("6-DaHall 1-PDU-12"='6층_부하량'!A3:A3000)*(7='6층_부하량'!B3:B3000),0))</f>
        <v>0.0</v>
      </c>
      <c r="E176" s="157"/>
      <c r="F176" s="157"/>
      <c r="G176" s="157"/>
      <c r="H176" s="143" t="s">
        <v>4597</v>
      </c>
      <c r="I176" s="293" t="s">
        <v>4645</v>
      </c>
      <c r="J176" s="294" t="s">
        <v>4593</v>
      </c>
      <c r="K176" s="143" t="s">
        <v>4597</v>
      </c>
      <c r="L176" s="2656" cm="1" t="n">
        <f t="array" ref="L176">INDEX('6층_부하량'!F3:F3000,MATCH(1,("6-DaHall 1-PDU-12"='6층_부하량'!A3:A3000)*(8='6층_부하량'!B3:B3000),0))</f>
        <v>0.0</v>
      </c>
      <c r="M176" s="157"/>
      <c r="N176" s="157"/>
      <c r="O176" s="157"/>
      <c r="P176" s="157" t="s">
        <v>4635</v>
      </c>
      <c r="Q176" s="143" t="s">
        <v>4723</v>
      </c>
      <c r="R176" s="342" t="s">
        <v>5217</v>
      </c>
    </row>
    <row r="177" spans="1:18" ht="18" customHeight="1" x14ac:dyDescent="0.15">
      <c r="A177" s="607" t="s">
        <v>5218</v>
      </c>
      <c r="B177" s="143" t="s">
        <v>4635</v>
      </c>
      <c r="C177" s="164" t="s">
        <v>4575</v>
      </c>
      <c r="D177" s="157"/>
      <c r="E177" s="2656" cm="1" t="n">
        <f t="array" ref="E177">INDEX('6층_부하량'!G3:G3000,MATCH(1,("6-DaHall 1-PDU-12"='6층_부하량'!A3:A3000)*(9='6층_부하량'!B3:B3000),0))</f>
        <v>0.0</v>
      </c>
      <c r="F177" s="157"/>
      <c r="G177" s="157"/>
      <c r="H177" s="143" t="s">
        <v>4597</v>
      </c>
      <c r="I177" s="293" t="s">
        <v>4648</v>
      </c>
      <c r="J177" s="294" t="s">
        <v>4596</v>
      </c>
      <c r="K177" s="143" t="s">
        <v>4597</v>
      </c>
      <c r="L177" s="157"/>
      <c r="M177" s="2656" cm="1" t="n">
        <f t="array" ref="M177">INDEX('6층_부하량'!G3:G3000,MATCH(1,("6-DaHall 1-PDU-12"='6층_부하량'!A3:A3000)*(10='6층_부하량'!B3:B3000),0))</f>
        <v>6.02</v>
      </c>
      <c r="N177" s="157"/>
      <c r="O177" s="157"/>
      <c r="P177" s="157" t="s">
        <v>4635</v>
      </c>
      <c r="Q177" s="164" t="s">
        <v>4575</v>
      </c>
      <c r="R177" s="342" t="s">
        <v>5219</v>
      </c>
    </row>
    <row r="178" spans="1:18" ht="18" customHeight="1" x14ac:dyDescent="0.15">
      <c r="A178" s="622" t="s">
        <v>5220</v>
      </c>
      <c r="B178" s="143" t="s">
        <v>4635</v>
      </c>
      <c r="C178" s="164" t="s">
        <v>4575</v>
      </c>
      <c r="D178" s="157"/>
      <c r="E178" s="157"/>
      <c r="F178" s="2656" cm="1" t="n">
        <f t="array" ref="F178">INDEX('6층_부하량'!H3:H3000,MATCH(1,("6-DaHall 1-PDU-12"='6층_부하량'!A3:A3000)*(11='6층_부하량'!B3:B3000),0))</f>
        <v>0.0</v>
      </c>
      <c r="G178" s="157"/>
      <c r="H178" s="143" t="s">
        <v>4597</v>
      </c>
      <c r="I178" s="293" t="s">
        <v>4653</v>
      </c>
      <c r="J178" s="294" t="s">
        <v>4599</v>
      </c>
      <c r="K178" s="143" t="s">
        <v>4597</v>
      </c>
      <c r="L178" s="157"/>
      <c r="M178" s="157"/>
      <c r="N178" s="2656" cm="1" t="n">
        <f t="array" ref="N178">INDEX('6층_부하량'!H3:H3000,MATCH(1,("6-DaHall 1-PDU-12"='6층_부하량'!A3:A3000)*(12='6층_부하량'!B3:B3000),0))</f>
        <v>0.0</v>
      </c>
      <c r="O178" s="157"/>
      <c r="P178" s="157" t="s">
        <v>4635</v>
      </c>
      <c r="Q178" s="164" t="s">
        <v>4575</v>
      </c>
      <c r="R178" s="342" t="s">
        <v>5221</v>
      </c>
    </row>
    <row r="179" spans="1:18" ht="18" customHeight="1" x14ac:dyDescent="0.15">
      <c r="A179" s="257" t="s">
        <v>5222</v>
      </c>
      <c r="B179" s="143" t="s">
        <v>4635</v>
      </c>
      <c r="C179" s="143" t="s">
        <v>4723</v>
      </c>
      <c r="D179" s="2656" cm="1" t="n">
        <f t="array" ref="D179">INDEX('6층_부하량'!F3:F3000,MATCH(1,("6-DaHall 1-PDU-12"='6층_부하량'!A3:A3000)*(13='6층_부하량'!B3:B3000),0))</f>
        <v>0.0</v>
      </c>
      <c r="E179" s="157"/>
      <c r="F179" s="157"/>
      <c r="G179" s="157"/>
      <c r="H179" s="143" t="s">
        <v>4597</v>
      </c>
      <c r="I179" s="1465" t="s">
        <v>4657</v>
      </c>
      <c r="J179" s="1463" t="s">
        <v>4601</v>
      </c>
      <c r="K179" s="143" t="s">
        <v>4597</v>
      </c>
      <c r="L179" s="2656" cm="1" t="n">
        <f t="array" ref="L179">INDEX('6층_부하량'!F3:F3000,MATCH(1,("6-DaHall 1-PDU-12"='6층_부하량'!A3:A3000)*(14='6층_부하량'!B3:B3000),0))</f>
        <v>0.0</v>
      </c>
      <c r="M179" s="157"/>
      <c r="N179" s="157"/>
      <c r="O179" s="157"/>
      <c r="P179" s="157" t="s">
        <v>4635</v>
      </c>
      <c r="Q179" s="143" t="s">
        <v>4723</v>
      </c>
      <c r="R179" s="342" t="s">
        <v>5223</v>
      </c>
    </row>
    <row r="180" spans="1:18" ht="18" customHeight="1" x14ac:dyDescent="0.15">
      <c r="A180" s="622" t="s">
        <v>5224</v>
      </c>
      <c r="B180" s="143" t="s">
        <v>4635</v>
      </c>
      <c r="C180" s="164" t="s">
        <v>4575</v>
      </c>
      <c r="D180" s="157"/>
      <c r="E180" s="2656" cm="1" t="n">
        <f t="array" ref="E180">INDEX('6층_부하량'!G3:G3000,MATCH(1,("6-DaHall 1-PDU-12"='6층_부하량'!A3:A3000)*(15='6층_부하량'!B3:B3000),0))</f>
        <v>0.0</v>
      </c>
      <c r="F180" s="157"/>
      <c r="G180" s="157"/>
      <c r="H180" s="143" t="s">
        <v>4597</v>
      </c>
      <c r="I180" s="293" t="s">
        <v>4661</v>
      </c>
      <c r="J180" s="294" t="s">
        <v>4603</v>
      </c>
      <c r="K180" s="143" t="s">
        <v>4597</v>
      </c>
      <c r="L180" s="157"/>
      <c r="M180" s="2656" cm="1" t="n">
        <f t="array" ref="M180">INDEX('6층_부하량'!G3:G3000,MATCH(1,("6-DaHall 1-PDU-12"='6층_부하량'!A3:A3000)*(16='6층_부하량'!B3:B3000),0))</f>
        <v>0.0</v>
      </c>
      <c r="N180" s="157"/>
      <c r="O180" s="157"/>
      <c r="P180" s="157" t="s">
        <v>4635</v>
      </c>
      <c r="Q180" s="164" t="s">
        <v>4575</v>
      </c>
      <c r="R180" s="342" t="s">
        <v>5225</v>
      </c>
    </row>
    <row r="181" spans="1:18" ht="18" customHeight="1" thickBot="1" x14ac:dyDescent="0.2">
      <c r="A181" s="622" t="s">
        <v>5226</v>
      </c>
      <c r="B181" s="159" t="s">
        <v>4635</v>
      </c>
      <c r="C181" s="185" t="s">
        <v>4575</v>
      </c>
      <c r="D181" s="177"/>
      <c r="E181" s="177"/>
      <c r="F181" s="2661" cm="1" t="n">
        <f t="array" ref="F181">INDEX('6층_부하량'!H3:H3000,MATCH(1,("6-DaHall 1-PDU-12"='6층_부하량'!A3:A3000)*(17='6층_부하량'!B3:B3000),0))</f>
        <v>0.0</v>
      </c>
      <c r="G181" s="160"/>
      <c r="H181" s="159" t="s">
        <v>4597</v>
      </c>
      <c r="I181" s="295" t="s">
        <v>4665</v>
      </c>
      <c r="J181" s="296" t="s">
        <v>4605</v>
      </c>
      <c r="K181" s="159" t="s">
        <v>4597</v>
      </c>
      <c r="L181" s="177"/>
      <c r="M181" s="177"/>
      <c r="N181" s="2661" cm="1" t="n">
        <f t="array" ref="N181">INDEX('6층_부하량'!H3:H3000,MATCH(1,("6-DaHall 1-PDU-12"='6층_부하량'!A3:A3000)*(18='6층_부하량'!B3:B3000),0))</f>
        <v>0.0</v>
      </c>
      <c r="O181" s="160"/>
      <c r="P181" s="160" t="s">
        <v>4635</v>
      </c>
      <c r="Q181" s="185" t="s">
        <v>4575</v>
      </c>
      <c r="R181" s="342" t="s">
        <v>5227</v>
      </c>
    </row>
    <row r="182" spans="1:18" ht="18" customHeight="1" thickTop="1" x14ac:dyDescent="0.15">
      <c r="A182" s="277" t="s">
        <v>5228</v>
      </c>
      <c r="B182" s="142" t="s">
        <v>4635</v>
      </c>
      <c r="C182" s="152" t="s">
        <v>4575</v>
      </c>
      <c r="D182" s="2658" cm="1" t="n">
        <f t="array" ref="D182">INDEX('6층_부하량'!F3:F3000,MATCH(1,("6-DaHall 1-PDU-12"='6층_부하량'!A3:A3000)*(19='6층_부하량'!B3:B3000),0))</f>
        <v>6.54</v>
      </c>
      <c r="E182" s="179"/>
      <c r="F182" s="179"/>
      <c r="G182" s="163"/>
      <c r="H182" s="142" t="s">
        <v>4597</v>
      </c>
      <c r="I182" s="297" t="s">
        <v>4670</v>
      </c>
      <c r="J182" s="1474" t="s">
        <v>4609</v>
      </c>
      <c r="K182" s="142" t="s">
        <v>4597</v>
      </c>
      <c r="L182" s="2658" cm="1" t="n">
        <f t="array" ref="L182">INDEX('6층_부하량'!F3:F3000,MATCH(1,("6-DaHall 1-PDU-12"='6층_부하량'!A3:A3000)*(20='6층_부하량'!B3:B3000),0))</f>
        <v>0.0</v>
      </c>
      <c r="M182" s="179"/>
      <c r="N182" s="179"/>
      <c r="O182" s="163"/>
      <c r="P182" s="163" t="s">
        <v>4635</v>
      </c>
      <c r="Q182" s="142" t="s">
        <v>4723</v>
      </c>
      <c r="R182" s="630" t="s">
        <v>5229</v>
      </c>
    </row>
    <row r="183" spans="1:18" ht="18" customHeight="1" x14ac:dyDescent="0.15">
      <c r="A183" s="1018" t="s">
        <v>5230</v>
      </c>
      <c r="B183" s="156" t="s">
        <v>4635</v>
      </c>
      <c r="C183" s="189" t="s">
        <v>4575</v>
      </c>
      <c r="D183" s="157"/>
      <c r="E183" s="2656" cm="1" t="n">
        <f t="array" ref="E183">INDEX('6층_부하량'!G3:G3000,MATCH(1,("6-DaHall 1-PDU-12"='6층_부하량'!A3:A3000)*(21='6층_부하량'!B3:B3000),0))</f>
        <v>0.0</v>
      </c>
      <c r="F183" s="157"/>
      <c r="G183" s="179"/>
      <c r="H183" s="156" t="s">
        <v>4597</v>
      </c>
      <c r="I183" s="1471" t="s">
        <v>4674</v>
      </c>
      <c r="J183" s="1463" t="s">
        <v>4613</v>
      </c>
      <c r="K183" s="156" t="s">
        <v>4597</v>
      </c>
      <c r="L183" s="157"/>
      <c r="M183" s="2656" cm="1" t="n">
        <f t="array" ref="M183">INDEX('6층_부하량'!G3:G3000,MATCH(1,("6-DaHall 1-PDU-12"='6층_부하량'!A3:A3000)*(22='6층_부하량'!B3:B3000),0))</f>
        <v>0.0</v>
      </c>
      <c r="N183" s="157"/>
      <c r="O183" s="179"/>
      <c r="P183" s="179" t="s">
        <v>4635</v>
      </c>
      <c r="Q183" s="143" t="s">
        <v>4723</v>
      </c>
      <c r="R183" s="631" t="s">
        <v>5231</v>
      </c>
    </row>
    <row r="184" spans="1:18" ht="18" customHeight="1" x14ac:dyDescent="0.15">
      <c r="A184" s="607" t="s">
        <v>5232</v>
      </c>
      <c r="B184" s="143" t="s">
        <v>4635</v>
      </c>
      <c r="C184" s="164" t="s">
        <v>4575</v>
      </c>
      <c r="D184" s="157"/>
      <c r="E184" s="157"/>
      <c r="F184" s="2656" cm="1" t="n">
        <f t="array" ref="F184">INDEX('6층_부하량'!H3:H3000,MATCH(1,("6-DaHall 1-PDU-12"='6층_부하량'!A3:A3000)*(23='6층_부하량'!B3:B3000),0))</f>
        <v>0.0</v>
      </c>
      <c r="G184" s="157"/>
      <c r="H184" s="143" t="s">
        <v>4597</v>
      </c>
      <c r="I184" s="299" t="s">
        <v>4678</v>
      </c>
      <c r="J184" s="1463" t="s">
        <v>4680</v>
      </c>
      <c r="K184" s="143" t="s">
        <v>4597</v>
      </c>
      <c r="L184" s="157"/>
      <c r="M184" s="157"/>
      <c r="N184" s="2656" cm="1" t="n">
        <f t="array" ref="N184">INDEX('6층_부하량'!H3:H3000,MATCH(1,("6-DaHall 1-PDU-12"='6층_부하량'!A3:A3000)*(24='6층_부하량'!B3:B3000),0))</f>
        <v>0.0</v>
      </c>
      <c r="O184" s="157"/>
      <c r="P184" s="157" t="s">
        <v>4635</v>
      </c>
      <c r="Q184" s="143" t="s">
        <v>4723</v>
      </c>
      <c r="R184" s="631" t="s">
        <v>5233</v>
      </c>
    </row>
    <row r="185" spans="1:18" ht="18" customHeight="1" x14ac:dyDescent="0.15">
      <c r="A185" s="607" t="s">
        <v>5234</v>
      </c>
      <c r="B185" s="143" t="s">
        <v>4635</v>
      </c>
      <c r="C185" s="164" t="s">
        <v>4575</v>
      </c>
      <c r="D185" s="2656" cm="1" t="n">
        <f t="array" ref="D185">INDEX('6층_부하량'!F3:F3000,MATCH(1,("6-DaHall 1-PDU-12"='6층_부하량'!A3:A3000)*(25='6층_부하량'!B3:B3000),0))</f>
        <v>0.0</v>
      </c>
      <c r="E185" s="157"/>
      <c r="F185" s="157"/>
      <c r="G185" s="157"/>
      <c r="H185" s="143" t="s">
        <v>4597</v>
      </c>
      <c r="I185" s="299" t="s">
        <v>4683</v>
      </c>
      <c r="J185" s="1463" t="s">
        <v>4685</v>
      </c>
      <c r="K185" s="143" t="s">
        <v>4597</v>
      </c>
      <c r="L185" s="2656" cm="1" t="n">
        <f t="array" ref="L185">INDEX('6층_부하량'!F3:F3000,MATCH(1,("6-DaHall 1-PDU-12"='6층_부하량'!A3:A3000)*(26='6층_부하량'!B3:B3000),0))</f>
        <v>0.0</v>
      </c>
      <c r="M185" s="157"/>
      <c r="N185" s="157"/>
      <c r="O185" s="157"/>
      <c r="P185" s="157" t="s">
        <v>4635</v>
      </c>
      <c r="Q185" s="143" t="s">
        <v>4723</v>
      </c>
      <c r="R185" s="631" t="s">
        <v>5235</v>
      </c>
    </row>
    <row r="186" spans="1:18" ht="18" customHeight="1" x14ac:dyDescent="0.15">
      <c r="A186" s="607" t="s">
        <v>5236</v>
      </c>
      <c r="B186" s="143" t="s">
        <v>4635</v>
      </c>
      <c r="C186" s="164" t="s">
        <v>4575</v>
      </c>
      <c r="D186" s="157"/>
      <c r="E186" s="2656" cm="1" t="n">
        <f t="array" ref="E186">INDEX('6층_부하량'!G3:G3000,MATCH(1,("6-DaHall 1-PDU-12"='6층_부하량'!A3:A3000)*(27='6층_부하량'!B3:B3000),0))</f>
        <v>0.0</v>
      </c>
      <c r="F186" s="157"/>
      <c r="G186" s="157"/>
      <c r="H186" s="143" t="s">
        <v>4597</v>
      </c>
      <c r="I186" s="299" t="s">
        <v>4688</v>
      </c>
      <c r="J186" s="1463" t="s">
        <v>4689</v>
      </c>
      <c r="K186" s="143" t="s">
        <v>4597</v>
      </c>
      <c r="L186" s="157"/>
      <c r="M186" s="2656" cm="1" t="n">
        <f t="array" ref="M186">INDEX('6층_부하량'!G3:G3000,MATCH(1,("6-DaHall 1-PDU-12"='6층_부하량'!A3:A3000)*(28='6층_부하량'!B3:B3000),0))</f>
        <v>0.0</v>
      </c>
      <c r="N186" s="157"/>
      <c r="O186" s="157"/>
      <c r="P186" s="157" t="s">
        <v>4635</v>
      </c>
      <c r="Q186" s="143" t="s">
        <v>4723</v>
      </c>
      <c r="R186" s="631" t="s">
        <v>5237</v>
      </c>
    </row>
    <row r="187" spans="1:18" ht="18" customHeight="1" x14ac:dyDescent="0.15">
      <c r="A187" s="628" t="s">
        <v>5238</v>
      </c>
      <c r="B187" s="143" t="s">
        <v>4635</v>
      </c>
      <c r="C187" s="164" t="s">
        <v>4575</v>
      </c>
      <c r="D187" s="157"/>
      <c r="E187" s="157"/>
      <c r="F187" s="2656" cm="1" t="n">
        <f t="array" ref="F187">INDEX('6층_부하량'!H3:H3000,MATCH(1,("6-DaHall 1-PDU-12"='6층_부하량'!A3:A3000)*(29='6층_부하량'!B3:B3000),0))</f>
        <v>0.0</v>
      </c>
      <c r="G187" s="157"/>
      <c r="H187" s="143" t="s">
        <v>4597</v>
      </c>
      <c r="I187" s="299" t="s">
        <v>4691</v>
      </c>
      <c r="J187" s="1463" t="s">
        <v>4692</v>
      </c>
      <c r="K187" s="143" t="s">
        <v>4597</v>
      </c>
      <c r="L187" s="157"/>
      <c r="M187" s="157"/>
      <c r="N187" s="2656" cm="1" t="n">
        <f t="array" ref="N187">INDEX('6층_부하량'!H3:H3000,MATCH(1,("6-DaHall 1-PDU-12"='6층_부하량'!A3:A3000)*(30='6층_부하량'!B3:B3000),0))</f>
        <v>0.0</v>
      </c>
      <c r="O187" s="157"/>
      <c r="P187" s="157" t="s">
        <v>4635</v>
      </c>
      <c r="Q187" s="143" t="s">
        <v>4723</v>
      </c>
      <c r="R187" s="631" t="s">
        <v>5239</v>
      </c>
    </row>
    <row r="188" spans="1:18" ht="18" customHeight="1" x14ac:dyDescent="0.15">
      <c r="A188" s="629" t="s">
        <v>5240</v>
      </c>
      <c r="B188" s="143" t="s">
        <v>4635</v>
      </c>
      <c r="C188" s="164" t="s">
        <v>4575</v>
      </c>
      <c r="D188" s="2656" cm="1" t="n">
        <f t="array" ref="D188">INDEX('6층_부하량'!F3:F3000,MATCH(1,("6-DaHall 1-PDU-12"='6층_부하량'!A3:A3000)*(31='6층_부하량'!B3:B3000),0))</f>
        <v>0.0</v>
      </c>
      <c r="E188" s="157"/>
      <c r="F188" s="157"/>
      <c r="G188" s="157"/>
      <c r="H188" s="143" t="s">
        <v>4597</v>
      </c>
      <c r="I188" s="299" t="s">
        <v>4693</v>
      </c>
      <c r="J188" s="1463" t="s">
        <v>4694</v>
      </c>
      <c r="K188" s="143" t="s">
        <v>4597</v>
      </c>
      <c r="L188" s="2656" cm="1" t="n">
        <f t="array" ref="L188">INDEX('6층_부하량'!F3:F3000,MATCH(1,("6-DaHall 1-PDU-12"='6층_부하량'!A3:A3000)*(32='6층_부하량'!B3:B3000),0))</f>
        <v>0.0</v>
      </c>
      <c r="M188" s="157"/>
      <c r="N188" s="157"/>
      <c r="O188" s="157"/>
      <c r="P188" s="157" t="s">
        <v>565</v>
      </c>
      <c r="Q188" s="143" t="s">
        <v>4723</v>
      </c>
      <c r="R188" s="153"/>
    </row>
    <row r="189" spans="1:18" ht="18" customHeight="1" x14ac:dyDescent="0.15">
      <c r="A189" s="607" t="s">
        <v>5241</v>
      </c>
      <c r="B189" s="143" t="s">
        <v>4635</v>
      </c>
      <c r="C189" s="164" t="s">
        <v>4575</v>
      </c>
      <c r="D189" s="157"/>
      <c r="E189" s="2656" cm="1" t="n">
        <f t="array" ref="E189">INDEX('6층_부하량'!G3:G3000,MATCH(1,("6-DaHall 1-PDU-12"='6층_부하량'!A3:A3000)*(33='6층_부하량'!B3:B3000),0))</f>
        <v>0.0</v>
      </c>
      <c r="F189" s="157"/>
      <c r="G189" s="157"/>
      <c r="H189" s="143" t="s">
        <v>4597</v>
      </c>
      <c r="I189" s="299" t="s">
        <v>4697</v>
      </c>
      <c r="J189" s="1463" t="s">
        <v>4698</v>
      </c>
      <c r="K189" s="143" t="s">
        <v>4597</v>
      </c>
      <c r="L189" s="157"/>
      <c r="M189" s="2656" cm="1" t="n">
        <f t="array" ref="M189">INDEX('6층_부하량'!G3:G3000,MATCH(1,("6-DaHall 1-PDU-12"='6층_부하량'!A3:A3000)*(34='6층_부하량'!B3:B3000),0))</f>
        <v>0.0</v>
      </c>
      <c r="N189" s="157"/>
      <c r="O189" s="157"/>
      <c r="P189" s="157" t="s">
        <v>4635</v>
      </c>
      <c r="Q189" s="143" t="s">
        <v>4723</v>
      </c>
      <c r="R189" s="631" t="s">
        <v>5242</v>
      </c>
    </row>
    <row r="190" spans="1:18" ht="18" customHeight="1" x14ac:dyDescent="0.15">
      <c r="A190" s="341" t="s">
        <v>5243</v>
      </c>
      <c r="B190" s="143" t="s">
        <v>4635</v>
      </c>
      <c r="C190" s="143" t="s">
        <v>4723</v>
      </c>
      <c r="D190" s="157"/>
      <c r="E190" s="157"/>
      <c r="F190" s="2656" cm="1" t="n">
        <f t="array" ref="F190">INDEX('6층_부하량'!H3:H3000,MATCH(1,("6-DaHall 1-PDU-12"='6층_부하량'!A3:A3000)*(35='6층_부하량'!B3:B3000),0))</f>
        <v>0.0</v>
      </c>
      <c r="G190" s="157"/>
      <c r="H190" s="143" t="s">
        <v>4597</v>
      </c>
      <c r="I190" s="1465" t="s">
        <v>4701</v>
      </c>
      <c r="J190" s="1463" t="s">
        <v>4703</v>
      </c>
      <c r="K190" s="143" t="s">
        <v>4597</v>
      </c>
      <c r="L190" s="157"/>
      <c r="M190" s="157"/>
      <c r="N190" s="2656" cm="1" t="n">
        <f t="array" ref="N190">INDEX('6층_부하량'!H3:H3000,MATCH(1,("6-DaHall 1-PDU-12"='6층_부하량'!A3:A3000)*(36='6층_부하량'!B3:B3000),0))</f>
        <v>0.0</v>
      </c>
      <c r="O190" s="157"/>
      <c r="P190" s="157" t="s">
        <v>4635</v>
      </c>
      <c r="Q190" s="143" t="s">
        <v>4723</v>
      </c>
      <c r="R190" s="631" t="s">
        <v>5244</v>
      </c>
    </row>
    <row r="191" spans="1:18" ht="18" customHeight="1" x14ac:dyDescent="0.15">
      <c r="A191" s="341" t="s">
        <v>5245</v>
      </c>
      <c r="B191" s="143" t="s">
        <v>4635</v>
      </c>
      <c r="C191" s="143" t="s">
        <v>4723</v>
      </c>
      <c r="D191" s="2656" cm="1" t="n">
        <f t="array" ref="D191">INDEX('6층_부하량'!F3:F3000,MATCH(1,("6-DaHall 1-PDU-12"='6층_부하량'!A3:A3000)*(37='6층_부하량'!B3:B3000),0))</f>
        <v>0.0</v>
      </c>
      <c r="E191" s="157"/>
      <c r="F191" s="157"/>
      <c r="G191" s="157"/>
      <c r="H191" s="143" t="s">
        <v>4597</v>
      </c>
      <c r="I191" s="1465" t="s">
        <v>4706</v>
      </c>
      <c r="J191" s="1463" t="s">
        <v>4707</v>
      </c>
      <c r="K191" s="143" t="s">
        <v>4597</v>
      </c>
      <c r="L191" s="2656" cm="1" t="n">
        <f t="array" ref="L191">INDEX('6층_부하량'!F3:F3000,MATCH(1,("6-DaHall 1-PDU-12"='6층_부하량'!A3:A3000)*(38='6층_부하량'!B3:B3000),0))</f>
        <v>0.0</v>
      </c>
      <c r="M191" s="157"/>
      <c r="N191" s="157"/>
      <c r="O191" s="157"/>
      <c r="P191" s="157" t="s">
        <v>4635</v>
      </c>
      <c r="Q191" s="143" t="s">
        <v>4723</v>
      </c>
      <c r="R191" s="631" t="s">
        <v>5246</v>
      </c>
    </row>
    <row r="192" spans="1:18" ht="18" customHeight="1" x14ac:dyDescent="0.15">
      <c r="A192" s="341" t="s">
        <v>5247</v>
      </c>
      <c r="B192" s="143" t="s">
        <v>4635</v>
      </c>
      <c r="C192" s="143" t="s">
        <v>4723</v>
      </c>
      <c r="D192" s="157"/>
      <c r="E192" s="2656" cm="1" t="n">
        <f t="array" ref="E192">INDEX('6층_부하량'!G3:G3000,MATCH(1,("6-DaHall 1-PDU-12"='6층_부하량'!A3:A3000)*(39='6층_부하량'!B3:B3000),0))</f>
        <v>0.0</v>
      </c>
      <c r="F192" s="157"/>
      <c r="G192" s="157"/>
      <c r="H192" s="143" t="s">
        <v>4597</v>
      </c>
      <c r="I192" s="1471" t="s">
        <v>4710</v>
      </c>
      <c r="J192" s="1463" t="s">
        <v>4711</v>
      </c>
      <c r="K192" s="143" t="s">
        <v>4597</v>
      </c>
      <c r="L192" s="157"/>
      <c r="M192" s="2656" cm="1" t="n">
        <f t="array" ref="M192">INDEX('6층_부하량'!G3:G3000,MATCH(1,("6-DaHall 1-PDU-12"='6층_부하량'!A3:A3000)*(40='6층_부하량'!B3:B3000),0))</f>
        <v>0.0</v>
      </c>
      <c r="N192" s="157"/>
      <c r="O192" s="157"/>
      <c r="P192" s="157" t="s">
        <v>4635</v>
      </c>
      <c r="Q192" s="143" t="s">
        <v>4723</v>
      </c>
      <c r="R192" s="619" t="s">
        <v>5248</v>
      </c>
    </row>
    <row r="193" spans="1:18" ht="18" customHeight="1" x14ac:dyDescent="0.15">
      <c r="A193" s="341" t="s">
        <v>5249</v>
      </c>
      <c r="B193" s="143" t="s">
        <v>4635</v>
      </c>
      <c r="C193" s="143" t="s">
        <v>4723</v>
      </c>
      <c r="D193" s="157"/>
      <c r="E193" s="157"/>
      <c r="F193" s="2656" cm="1" t="n">
        <f t="array" ref="F193">INDEX('6층_부하량'!H3:H3000,MATCH(1,("6-DaHall 1-PDU-12"='6층_부하량'!A3:A3000)*(41='6층_부하량'!B3:B3000),0))</f>
        <v>0.0</v>
      </c>
      <c r="G193" s="157"/>
      <c r="H193" s="143" t="s">
        <v>4597</v>
      </c>
      <c r="I193" s="1465" t="s">
        <v>5055</v>
      </c>
      <c r="J193" s="1463" t="s">
        <v>4843</v>
      </c>
      <c r="K193" s="143" t="s">
        <v>4597</v>
      </c>
      <c r="L193" s="157"/>
      <c r="M193" s="157"/>
      <c r="N193" s="2656" cm="1" t="n">
        <f t="array" ref="N193">INDEX('6층_부하량'!H3:H3000,MATCH(1,("6-DaHall 1-PDU-12"='6층_부하량'!A3:A3000)*(42='6층_부하량'!B3:B3000),0))</f>
        <v>0.0</v>
      </c>
      <c r="O193" s="157"/>
      <c r="P193" s="157" t="s">
        <v>4635</v>
      </c>
      <c r="Q193" s="143" t="s">
        <v>4723</v>
      </c>
      <c r="R193" s="619" t="s">
        <v>5250</v>
      </c>
    </row>
    <row r="194" spans="1:18" ht="18" customHeight="1" x14ac:dyDescent="0.15">
      <c r="A194" s="341" t="s">
        <v>5251</v>
      </c>
      <c r="B194" s="143" t="s">
        <v>4635</v>
      </c>
      <c r="C194" s="143" t="s">
        <v>4723</v>
      </c>
      <c r="D194" s="2656" cm="1" t="n">
        <f t="array" ref="D194">INDEX('6층_부하량'!F3:F3000,MATCH(1,("6-DaHall 1-PDU-12"='6층_부하량'!A3:A3000)*(43='6층_부하량'!B3:B3000),0))</f>
        <v>0.0</v>
      </c>
      <c r="E194" s="157"/>
      <c r="F194" s="157"/>
      <c r="G194" s="157"/>
      <c r="H194" s="143" t="s">
        <v>4597</v>
      </c>
      <c r="I194" s="1465" t="s">
        <v>4845</v>
      </c>
      <c r="J194" s="294" t="s">
        <v>4846</v>
      </c>
      <c r="K194" s="143" t="s">
        <v>4597</v>
      </c>
      <c r="L194" s="2656" cm="1" t="n">
        <f t="array" ref="L194">INDEX('6층_부하량'!F3:F3000,MATCH(1,("6-DaHall 1-PDU-12"='6층_부하량'!A3:A3000)*(44='6층_부하량'!B3:B3000),0))</f>
        <v>0.0</v>
      </c>
      <c r="M194" s="157"/>
      <c r="N194" s="157"/>
      <c r="O194" s="157"/>
      <c r="P194" s="157" t="s">
        <v>4635</v>
      </c>
      <c r="Q194" s="143" t="s">
        <v>4723</v>
      </c>
      <c r="R194" s="475" t="s">
        <v>5252</v>
      </c>
    </row>
    <row r="195" spans="1:18" ht="18" customHeight="1" x14ac:dyDescent="0.15">
      <c r="A195" s="341" t="s">
        <v>5253</v>
      </c>
      <c r="B195" s="143" t="s">
        <v>4635</v>
      </c>
      <c r="C195" s="143" t="s">
        <v>4723</v>
      </c>
      <c r="D195" s="157"/>
      <c r="E195" s="2656" cm="1" t="n">
        <f t="array" ref="E195">INDEX('6층_부하량'!G3:G3000,MATCH(1,("6-DaHall 1-PDU-12"='6층_부하량'!A3:A3000)*(45='6층_부하량'!B3:B3000),0))</f>
        <v>0.0</v>
      </c>
      <c r="F195" s="157"/>
      <c r="G195" s="157"/>
      <c r="H195" s="143" t="s">
        <v>4597</v>
      </c>
      <c r="I195" s="1465" t="s">
        <v>4847</v>
      </c>
      <c r="J195" s="1463" t="s">
        <v>4848</v>
      </c>
      <c r="K195" s="143" t="s">
        <v>4597</v>
      </c>
      <c r="L195" s="157"/>
      <c r="M195" s="2656" cm="1" t="n">
        <f t="array" ref="M195">INDEX('6층_부하량'!G3:G3000,MATCH(1,("6-DaHall 1-PDU-12"='6층_부하량'!A3:A3000)*(46='6층_부하량'!B3:B3000),0))</f>
        <v>0.0</v>
      </c>
      <c r="N195" s="157"/>
      <c r="O195" s="157"/>
      <c r="P195" s="157" t="s">
        <v>4635</v>
      </c>
      <c r="Q195" s="143" t="s">
        <v>4723</v>
      </c>
      <c r="R195" s="619" t="s">
        <v>5254</v>
      </c>
    </row>
    <row r="196" spans="1:18" ht="18" customHeight="1" x14ac:dyDescent="0.15">
      <c r="A196" s="1019" t="s">
        <v>5208</v>
      </c>
      <c r="B196" s="143" t="s">
        <v>4635</v>
      </c>
      <c r="C196" s="164" t="s">
        <v>4575</v>
      </c>
      <c r="D196" s="157"/>
      <c r="E196" s="157"/>
      <c r="F196" s="2656" cm="1" t="n">
        <f t="array" ref="F196">INDEX('6층_부하량'!H3:H3000,MATCH(1,("6-DaHall 1-PDU-12"='6층_부하량'!A3:A3000)*(47='6층_부하량'!B3:B3000),0))</f>
        <v>0.0</v>
      </c>
      <c r="G196" s="157"/>
      <c r="H196" s="143" t="s">
        <v>4597</v>
      </c>
      <c r="I196" s="299" t="s">
        <v>4849</v>
      </c>
      <c r="J196" s="1463" t="s">
        <v>4850</v>
      </c>
      <c r="K196" s="143" t="s">
        <v>4597</v>
      </c>
      <c r="L196" s="157"/>
      <c r="M196" s="157"/>
      <c r="N196" s="2656" cm="1" t="n">
        <f t="array" ref="N196">INDEX('6층_부하량'!H3:H3000,MATCH(1,("6-DaHall 1-PDU-12"='6층_부하량'!A3:A3000)*(48='6층_부하량'!B3:B3000),0))</f>
        <v>0.0</v>
      </c>
      <c r="O196" s="157"/>
      <c r="P196" s="157" t="s">
        <v>4635</v>
      </c>
      <c r="Q196" s="143" t="s">
        <v>4723</v>
      </c>
      <c r="R196" s="619" t="s">
        <v>5255</v>
      </c>
    </row>
    <row r="197" spans="1:18" ht="18" customHeight="1" thickBot="1" x14ac:dyDescent="0.2">
      <c r="A197" s="1020" t="s">
        <v>5209</v>
      </c>
      <c r="B197" s="166" t="s">
        <v>4635</v>
      </c>
      <c r="C197" s="184" t="s">
        <v>4575</v>
      </c>
      <c r="D197" s="2659" cm="1" t="n">
        <f t="array" ref="D197">INDEX('6층_부하량'!F3:F3000,MATCH(1,("6-DaHall 1-PDU-12"='6층_부하량'!A3:A3000)*(49='6층_부하량'!B3:B3000),0))</f>
        <v>0.0</v>
      </c>
      <c r="E197" s="167"/>
      <c r="F197" s="167"/>
      <c r="G197" s="167"/>
      <c r="H197" s="166" t="s">
        <v>4597</v>
      </c>
      <c r="I197" s="301" t="s">
        <v>4851</v>
      </c>
      <c r="J197" s="1473" t="s">
        <v>4852</v>
      </c>
      <c r="K197" s="166" t="s">
        <v>4597</v>
      </c>
      <c r="L197" s="2659" cm="1" t="n">
        <f t="array" ref="L197">INDEX('6층_부하량'!F3:F3000,MATCH(1,("6-DaHall 1-PDU-12"='6층_부하량'!A3:A3000)*(50='6층_부하량'!B3:B3000),0))</f>
        <v>0.0</v>
      </c>
      <c r="M197" s="167"/>
      <c r="N197" s="167"/>
      <c r="O197" s="167"/>
      <c r="P197" s="167" t="s">
        <v>4635</v>
      </c>
      <c r="Q197" s="166" t="s">
        <v>4723</v>
      </c>
      <c r="R197" s="620" t="s">
        <v>5256</v>
      </c>
    </row>
    <row r="198" spans="1:18" ht="15" thickTop="1" thickBot="1" x14ac:dyDescent="0.2">
      <c r="A198" s="128"/>
      <c r="B198" s="128"/>
      <c r="C198" s="128"/>
      <c r="D198" s="128"/>
      <c r="E198" s="128"/>
      <c r="F198" s="128"/>
      <c r="G198" s="128"/>
      <c r="H198" s="128"/>
      <c r="I198" s="128"/>
      <c r="J198" s="128"/>
      <c r="K198" s="128" t="s">
        <v>4713</v>
      </c>
      <c r="L198" s="128" t="n">
        <f>SUM(D173:D197,L173:L197)</f>
        <v>6.54</v>
      </c>
      <c r="M198" s="128" t="n">
        <f>SUM(E173:E197,M173:M197)</f>
        <v>6.02</v>
      </c>
      <c r="N198" s="128" t="n">
        <f>SUM(F173:F197,N173:N197)</f>
        <v>0.0</v>
      </c>
      <c r="O198" s="128"/>
      <c r="P198" s="128"/>
      <c r="Q198" s="128"/>
      <c r="R198" s="128"/>
    </row>
    <row r="199" spans="1:18" ht="15" thickTop="1" thickBot="1" x14ac:dyDescent="0.2">
      <c r="A199" s="173" t="s">
        <v>7003</v>
      </c>
      <c r="B199" s="128"/>
      <c r="C199" s="3660" t="s">
        <v>5257</v>
      </c>
      <c r="D199" s="3660"/>
      <c r="E199" s="3660"/>
      <c r="F199" s="173"/>
      <c r="G199" s="173"/>
      <c r="H199" s="133"/>
      <c r="I199" s="3665" t="s">
        <v>5063</v>
      </c>
      <c r="J199" s="3666"/>
      <c r="K199" s="133"/>
      <c r="L199" s="173"/>
      <c r="M199" s="173"/>
      <c r="N199" s="173"/>
      <c r="O199" s="173"/>
      <c r="P199" s="173"/>
      <c r="Q199" s="173"/>
      <c r="R199" s="128"/>
    </row>
    <row r="200" spans="1:18" ht="15" thickTop="1" thickBot="1" x14ac:dyDescent="0.2">
      <c r="A200" s="127"/>
      <c r="B200" s="128"/>
      <c r="C200" s="128"/>
      <c r="D200" s="129"/>
      <c r="E200" s="129"/>
      <c r="F200" s="130"/>
      <c r="G200" s="129"/>
      <c r="H200" s="131"/>
      <c r="I200" s="128"/>
      <c r="J200" s="132"/>
      <c r="K200" s="1371" t="s">
        <v>4562</v>
      </c>
      <c r="L200" s="1368">
        <v>21.6</v>
      </c>
      <c r="M200" s="1369">
        <v>21.2</v>
      </c>
      <c r="N200" s="1370">
        <v>16.7</v>
      </c>
      <c r="O200" s="508" t="s">
        <v>4563</v>
      </c>
      <c r="P200" s="133"/>
      <c r="Q200" s="128"/>
      <c r="R200" s="528"/>
    </row>
    <row r="201" spans="1:18" ht="15" thickTop="1" thickBot="1" x14ac:dyDescent="0.2">
      <c r="A201" s="134" t="s">
        <v>4564</v>
      </c>
      <c r="B201" s="135" t="s">
        <v>5031</v>
      </c>
      <c r="C201" s="136" t="s">
        <v>4566</v>
      </c>
      <c r="D201" s="135" t="s">
        <v>5032</v>
      </c>
      <c r="E201" s="135" t="s">
        <v>5033</v>
      </c>
      <c r="F201" s="135" t="s">
        <v>5034</v>
      </c>
      <c r="G201" s="135" t="s">
        <v>5035</v>
      </c>
      <c r="H201" s="135" t="s">
        <v>5036</v>
      </c>
      <c r="I201" s="138" t="s">
        <v>5037</v>
      </c>
      <c r="J201" s="139" t="s">
        <v>5037</v>
      </c>
      <c r="K201" s="135" t="s">
        <v>5036</v>
      </c>
      <c r="L201" s="135" t="s">
        <v>5032</v>
      </c>
      <c r="M201" s="135" t="s">
        <v>5033</v>
      </c>
      <c r="N201" s="135" t="s">
        <v>5034</v>
      </c>
      <c r="O201" s="135" t="s">
        <v>5035</v>
      </c>
      <c r="P201" s="135" t="s">
        <v>5031</v>
      </c>
      <c r="Q201" s="136" t="s">
        <v>4566</v>
      </c>
      <c r="R201" s="140" t="s">
        <v>4564</v>
      </c>
    </row>
    <row r="202" spans="1:18" ht="17.25" thickTop="1" x14ac:dyDescent="0.15">
      <c r="A202" s="141" t="s">
        <v>5258</v>
      </c>
      <c r="B202" s="142" t="s">
        <v>4635</v>
      </c>
      <c r="C202" s="142" t="s">
        <v>4723</v>
      </c>
      <c r="D202" s="2654" cm="1" t="n">
        <f t="array" ref="D202">INDEX('6층_부하량'!F3:F3000,MATCH(1,("6-DaHall 1-PDU-01"='6층_부하량'!A3:A3000)*(1='6층_부하량'!B3:B3000),0))</f>
        <v>0.0</v>
      </c>
      <c r="E202" s="144"/>
      <c r="F202" s="144"/>
      <c r="G202" s="144"/>
      <c r="H202" s="142" t="s">
        <v>4597</v>
      </c>
      <c r="I202" s="1469" t="s">
        <v>4633</v>
      </c>
      <c r="J202" s="1476" t="s">
        <v>4578</v>
      </c>
      <c r="K202" s="142" t="s">
        <v>4597</v>
      </c>
      <c r="L202" s="2654" cm="1" t="n">
        <f t="array" ref="L202">INDEX('6층_부하량'!F3:F3000,MATCH(1,("6-DaHall 1-PDU-01"='6층_부하량'!A3:A3000)*(2='6층_부하량'!B3:B3000),0))</f>
        <v>2.0</v>
      </c>
      <c r="M202" s="144"/>
      <c r="N202" s="144"/>
      <c r="O202" s="144"/>
      <c r="P202" s="144" t="s">
        <v>4635</v>
      </c>
      <c r="Q202" s="152" t="s">
        <v>4575</v>
      </c>
      <c r="R202" s="276" t="s">
        <v>5259</v>
      </c>
    </row>
    <row r="203" spans="1:18" ht="16.5" x14ac:dyDescent="0.15">
      <c r="A203" s="158" t="s">
        <v>5260</v>
      </c>
      <c r="B203" s="143" t="s">
        <v>4635</v>
      </c>
      <c r="C203" s="143" t="s">
        <v>4723</v>
      </c>
      <c r="D203" s="149"/>
      <c r="E203" s="2655" cm="1" t="n">
        <f t="array" ref="E203">INDEX('6층_부하량'!G3:G3000,MATCH(1,("6-DaHall 1-PDU-01"='6층_부하량'!A3:A3000)*(3='6층_부하량'!B3:B3000),0))</f>
        <v>0.0</v>
      </c>
      <c r="F203" s="149"/>
      <c r="G203" s="149"/>
      <c r="H203" s="143" t="s">
        <v>4597</v>
      </c>
      <c r="I203" s="1465" t="s">
        <v>4638</v>
      </c>
      <c r="J203" s="1463" t="s">
        <v>4583</v>
      </c>
      <c r="K203" s="143" t="s">
        <v>4597</v>
      </c>
      <c r="L203" s="149"/>
      <c r="M203" s="2655" cm="1" t="n">
        <f t="array" ref="M203">INDEX('6층_부하량'!G3:G3000,MATCH(1,("6-DaHall 1-PDU-01"='6층_부하량'!A3:A3000)*(4='6층_부하량'!B3:B3000),0))</f>
        <v>9.68</v>
      </c>
      <c r="N203" s="149"/>
      <c r="O203" s="149"/>
      <c r="P203" s="149" t="s">
        <v>4635</v>
      </c>
      <c r="Q203" s="164" t="s">
        <v>4575</v>
      </c>
      <c r="R203" s="264" t="s">
        <v>5261</v>
      </c>
    </row>
    <row r="204" spans="1:18" ht="16.5" x14ac:dyDescent="0.15">
      <c r="A204" s="148" t="s">
        <v>5262</v>
      </c>
      <c r="B204" s="143" t="s">
        <v>4635</v>
      </c>
      <c r="C204" s="143" t="s">
        <v>4723</v>
      </c>
      <c r="D204" s="157"/>
      <c r="E204" s="157"/>
      <c r="F204" s="2656" cm="1" t="n">
        <f t="array" ref="F204">INDEX('6층_부하량'!H3:H3000,MATCH(1,("6-DaHall 1-PDU-01"='6층_부하량'!A3:A3000)*(5='6층_부하량'!B3:B3000),0))</f>
        <v>0.0</v>
      </c>
      <c r="G204" s="157"/>
      <c r="H204" s="143" t="s">
        <v>4597</v>
      </c>
      <c r="I204" s="1465" t="s">
        <v>4641</v>
      </c>
      <c r="J204" s="1463" t="s">
        <v>4588</v>
      </c>
      <c r="K204" s="143" t="s">
        <v>4597</v>
      </c>
      <c r="L204" s="157"/>
      <c r="M204" s="157"/>
      <c r="N204" s="2656" cm="1" t="n">
        <f t="array" ref="N204">INDEX('6층_부하량'!H3:H3000,MATCH(1,("6-DaHall 1-PDU-01"='6층_부하량'!A3:A3000)*(6='6층_부하량'!B3:B3000),0))</f>
        <v>3.19</v>
      </c>
      <c r="O204" s="157"/>
      <c r="P204" s="157" t="s">
        <v>4635</v>
      </c>
      <c r="Q204" s="164" t="s">
        <v>4575</v>
      </c>
      <c r="R204" s="342" t="s">
        <v>5263</v>
      </c>
    </row>
    <row r="205" spans="1:18" ht="16.5" x14ac:dyDescent="0.15">
      <c r="A205" s="1112" t="s">
        <v>5264</v>
      </c>
      <c r="B205" s="143" t="s">
        <v>4635</v>
      </c>
      <c r="C205" s="1174" t="s">
        <v>4575</v>
      </c>
      <c r="D205" s="2656" cm="1" t="n">
        <f t="array" ref="D205">INDEX('6층_부하량'!F3:F3000,MATCH(1,("6-DaHall 1-PDU-01"='6층_부하량'!A3:A3000)*(7='6층_부하량'!B3:B3000),0))</f>
        <v>0.0</v>
      </c>
      <c r="E205" s="157"/>
      <c r="F205" s="157"/>
      <c r="G205" s="157"/>
      <c r="H205" s="143" t="s">
        <v>4597</v>
      </c>
      <c r="I205" s="1465" t="s">
        <v>4645</v>
      </c>
      <c r="J205" s="1463" t="s">
        <v>4593</v>
      </c>
      <c r="K205" s="143" t="s">
        <v>4597</v>
      </c>
      <c r="L205" s="2656" cm="1" t="n">
        <f t="array" ref="L205">INDEX('6층_부하량'!F3:F3000,MATCH(1,("6-DaHall 1-PDU-01"='6층_부하량'!A3:A3000)*(8='6층_부하량'!B3:B3000),0))</f>
        <v>4.89</v>
      </c>
      <c r="M205" s="157"/>
      <c r="N205" s="157"/>
      <c r="O205" s="157"/>
      <c r="P205" s="157" t="s">
        <v>4635</v>
      </c>
      <c r="Q205" s="164" t="s">
        <v>4575</v>
      </c>
      <c r="R205" s="342" t="s">
        <v>5265</v>
      </c>
    </row>
    <row r="206" spans="1:18" ht="16.5" x14ac:dyDescent="0.15">
      <c r="A206" s="1113" t="s">
        <v>5266</v>
      </c>
      <c r="B206" s="143" t="s">
        <v>4635</v>
      </c>
      <c r="C206" s="1174" t="s">
        <v>4575</v>
      </c>
      <c r="D206" s="157"/>
      <c r="E206" s="2656" cm="1" t="n">
        <f t="array" ref="E206">INDEX('6층_부하량'!G3:G3000,MATCH(1,("6-DaHall 1-PDU-01"='6층_부하량'!A3:A3000)*(9='6층_부하량'!B3:B3000),0))</f>
        <v>0.0</v>
      </c>
      <c r="F206" s="157"/>
      <c r="G206" s="157"/>
      <c r="H206" s="143" t="s">
        <v>4597</v>
      </c>
      <c r="I206" s="1465" t="s">
        <v>4648</v>
      </c>
      <c r="J206" s="1463" t="s">
        <v>4596</v>
      </c>
      <c r="K206" s="143" t="s">
        <v>4597</v>
      </c>
      <c r="L206" s="157"/>
      <c r="M206" s="2656" cm="1" t="n">
        <f t="array" ref="M206">INDEX('6층_부하량'!G3:G3000,MATCH(1,("6-DaHall 1-PDU-01"='6층_부하량'!A3:A3000)*(10='6층_부하량'!B3:B3000),0))</f>
        <v>9.21</v>
      </c>
      <c r="N206" s="157"/>
      <c r="O206" s="157"/>
      <c r="P206" s="157" t="s">
        <v>4635</v>
      </c>
      <c r="Q206" s="164" t="s">
        <v>4575</v>
      </c>
      <c r="R206" s="342" t="s">
        <v>5267</v>
      </c>
    </row>
    <row r="207" spans="1:18" ht="16.5" x14ac:dyDescent="0.15">
      <c r="A207" s="1112" t="s">
        <v>5268</v>
      </c>
      <c r="B207" s="143" t="s">
        <v>4635</v>
      </c>
      <c r="C207" s="1174" t="s">
        <v>4575</v>
      </c>
      <c r="D207" s="157"/>
      <c r="E207" s="157"/>
      <c r="F207" s="2656" cm="1" t="n">
        <f t="array" ref="F207">INDEX('6층_부하량'!H3:H3000,MATCH(1,("6-DaHall 1-PDU-01"='6층_부하량'!A3:A3000)*(11='6층_부하량'!B3:B3000),0))</f>
        <v>0.0</v>
      </c>
      <c r="G207" s="157"/>
      <c r="H207" s="143" t="s">
        <v>4597</v>
      </c>
      <c r="I207" s="1465" t="s">
        <v>4653</v>
      </c>
      <c r="J207" s="1463" t="s">
        <v>4599</v>
      </c>
      <c r="K207" s="143" t="s">
        <v>4597</v>
      </c>
      <c r="L207" s="157"/>
      <c r="M207" s="157"/>
      <c r="N207" s="2656" cm="1" t="n">
        <f t="array" ref="N207">INDEX('6층_부하량'!H3:H3000,MATCH(1,("6-DaHall 1-PDU-01"='6층_부하량'!A3:A3000)*(12='6층_부하량'!B3:B3000),0))</f>
        <v>8.41</v>
      </c>
      <c r="O207" s="157"/>
      <c r="P207" s="157" t="s">
        <v>4635</v>
      </c>
      <c r="Q207" s="164" t="s">
        <v>4575</v>
      </c>
      <c r="R207" s="342" t="s">
        <v>5269</v>
      </c>
    </row>
    <row r="208" spans="1:18" ht="16.5" x14ac:dyDescent="0.15">
      <c r="A208" s="1113" t="s">
        <v>5270</v>
      </c>
      <c r="B208" s="143" t="s">
        <v>4635</v>
      </c>
      <c r="C208" s="1174" t="s">
        <v>4575</v>
      </c>
      <c r="D208" s="2656" cm="1" t="n">
        <f t="array" ref="D208">INDEX('6층_부하량'!F3:F3000,MATCH(1,("6-DaHall 1-PDU-01"='6층_부하량'!A3:A3000)*(13='6층_부하량'!B3:B3000),0))</f>
        <v>2.06</v>
      </c>
      <c r="E208" s="157"/>
      <c r="F208" s="157"/>
      <c r="G208" s="157"/>
      <c r="H208" s="143" t="s">
        <v>4597</v>
      </c>
      <c r="I208" s="1465" t="s">
        <v>4657</v>
      </c>
      <c r="J208" s="1463" t="s">
        <v>4601</v>
      </c>
      <c r="K208" s="143" t="s">
        <v>4597</v>
      </c>
      <c r="L208" s="2656" cm="1" t="n">
        <f t="array" ref="L208">INDEX('6층_부하량'!F3:F3000,MATCH(1,("6-DaHall 1-PDU-01"='6층_부하량'!A3:A3000)*(14='6층_부하량'!B3:B3000),0))</f>
        <v>7.06</v>
      </c>
      <c r="M208" s="157"/>
      <c r="N208" s="157"/>
      <c r="O208" s="157"/>
      <c r="P208" s="157" t="s">
        <v>4635</v>
      </c>
      <c r="Q208" s="164" t="s">
        <v>4575</v>
      </c>
      <c r="R208" s="342" t="s">
        <v>5271</v>
      </c>
    </row>
    <row r="209" spans="1:19" ht="16.5" x14ac:dyDescent="0.15">
      <c r="A209" s="1112" t="s">
        <v>5272</v>
      </c>
      <c r="B209" s="143" t="s">
        <v>4635</v>
      </c>
      <c r="C209" s="1174" t="s">
        <v>4575</v>
      </c>
      <c r="D209" s="157"/>
      <c r="E209" s="2656" cm="1" t="n">
        <f t="array" ref="E209">INDEX('6층_부하량'!G3:G3000,MATCH(1,("6-DaHall 1-PDU-01"='6층_부하량'!A3:A3000)*(15='6층_부하량'!B3:B3000),0))</f>
        <v>0.0</v>
      </c>
      <c r="F209" s="157"/>
      <c r="G209" s="157"/>
      <c r="H209" s="143" t="s">
        <v>4597</v>
      </c>
      <c r="I209" s="1465" t="s">
        <v>4661</v>
      </c>
      <c r="J209" s="1463" t="s">
        <v>4603</v>
      </c>
      <c r="K209" s="143" t="s">
        <v>4597</v>
      </c>
      <c r="L209" s="157"/>
      <c r="M209" s="2656" cm="1" t="n">
        <f t="array" ref="M209">INDEX('6층_부하량'!G3:G3000,MATCH(1,("6-DaHall 1-PDU-01"='6층_부하량'!A3:A3000)*(16='6층_부하량'!B3:B3000),0))</f>
        <v>5.17</v>
      </c>
      <c r="N209" s="157"/>
      <c r="O209" s="157"/>
      <c r="P209" s="157" t="s">
        <v>4635</v>
      </c>
      <c r="Q209" s="164" t="s">
        <v>4575</v>
      </c>
      <c r="R209" s="342" t="s">
        <v>5273</v>
      </c>
    </row>
    <row r="210" spans="1:19" ht="17.25" thickBot="1" x14ac:dyDescent="0.2">
      <c r="A210" s="1114" t="s">
        <v>5274</v>
      </c>
      <c r="B210" s="159" t="s">
        <v>4635</v>
      </c>
      <c r="C210" s="1175" t="s">
        <v>4575</v>
      </c>
      <c r="D210" s="177"/>
      <c r="E210" s="177"/>
      <c r="F210" s="2661" cm="1" t="n">
        <f t="array" ref="F210">INDEX('6층_부하량'!H3:H3000,MATCH(1,("6-DaHall 1-PDU-01"='6층_부하량'!A3:A3000)*(17='6층_부하량'!B3:B3000),0))</f>
        <v>2.05</v>
      </c>
      <c r="G210" s="160"/>
      <c r="H210" s="159" t="s">
        <v>4597</v>
      </c>
      <c r="I210" s="1475" t="s">
        <v>4665</v>
      </c>
      <c r="J210" s="296" t="s">
        <v>4605</v>
      </c>
      <c r="K210" s="159" t="s">
        <v>4597</v>
      </c>
      <c r="L210" s="177"/>
      <c r="M210" s="177"/>
      <c r="N210" s="2661" cm="1" t="n">
        <f t="array" ref="N210">INDEX('6층_부하량'!H3:H3000,MATCH(1,("6-DaHall 1-PDU-01"='6층_부하량'!A3:A3000)*(18='6층_부하량'!B3:B3000),0))</f>
        <v>0.69</v>
      </c>
      <c r="O210" s="160"/>
      <c r="P210" s="160" t="s">
        <v>4635</v>
      </c>
      <c r="Q210" s="185" t="s">
        <v>4575</v>
      </c>
      <c r="R210" s="342" t="s">
        <v>5275</v>
      </c>
    </row>
    <row r="211" spans="1:19" ht="17.25" thickTop="1" x14ac:dyDescent="0.15">
      <c r="A211" s="141" t="s">
        <v>5276</v>
      </c>
      <c r="B211" s="142" t="s">
        <v>4635</v>
      </c>
      <c r="C211" s="142" t="s">
        <v>4723</v>
      </c>
      <c r="D211" s="2658" cm="1" t="n">
        <f t="array" ref="D211">INDEX('6층_부하량'!F3:F3000,MATCH(1,("6-DaHall 1-PDU-01"='6층_부하량'!A3:A3000)*(19='6층_부하량'!B3:B3000),0))</f>
        <v>0.0</v>
      </c>
      <c r="E211" s="179"/>
      <c r="F211" s="179"/>
      <c r="G211" s="163"/>
      <c r="H211" s="142" t="s">
        <v>4597</v>
      </c>
      <c r="I211" s="1470" t="s">
        <v>4670</v>
      </c>
      <c r="J211" s="298" t="s">
        <v>4609</v>
      </c>
      <c r="K211" s="142" t="s">
        <v>4597</v>
      </c>
      <c r="L211" s="2658" cm="1" t="n">
        <f t="array" ref="L211">INDEX('6층_부하량'!F3:F3000,MATCH(1,("6-DaHall 1-PDU-01"='6층_부하량'!A3:A3000)*(20='6층_부하량'!B3:B3000),0))</f>
        <v>0.34</v>
      </c>
      <c r="M211" s="179"/>
      <c r="N211" s="179"/>
      <c r="O211" s="163"/>
      <c r="P211" s="163" t="s">
        <v>4635</v>
      </c>
      <c r="Q211" s="152" t="s">
        <v>4575</v>
      </c>
      <c r="R211" s="618" t="s">
        <v>5277</v>
      </c>
    </row>
    <row r="212" spans="1:19" ht="16.5" x14ac:dyDescent="0.15">
      <c r="A212" s="174" t="s">
        <v>5278</v>
      </c>
      <c r="B212" s="156" t="s">
        <v>4635</v>
      </c>
      <c r="C212" s="156" t="s">
        <v>4723</v>
      </c>
      <c r="D212" s="157"/>
      <c r="E212" s="2656" cm="1" t="n">
        <f t="array" ref="E212">INDEX('6층_부하량'!G3:G3000,MATCH(1,("6-DaHall 1-PDU-01"='6층_부하량'!A3:A3000)*(21='6층_부하량'!B3:B3000),0))</f>
        <v>0.99</v>
      </c>
      <c r="F212" s="157"/>
      <c r="G212" s="179"/>
      <c r="H212" s="156" t="s">
        <v>4597</v>
      </c>
      <c r="I212" s="1471" t="s">
        <v>4674</v>
      </c>
      <c r="J212" s="294" t="s">
        <v>4613</v>
      </c>
      <c r="K212" s="156" t="s">
        <v>4597</v>
      </c>
      <c r="L212" s="157"/>
      <c r="M212" s="2656" cm="1" t="n">
        <f t="array" ref="M212">INDEX('6층_부하량'!G3:G3000,MATCH(1,("6-DaHall 1-PDU-01"='6층_부하량'!A3:A3000)*(22='6층_부하량'!B3:B3000),0))</f>
        <v>5.78</v>
      </c>
      <c r="N212" s="157"/>
      <c r="O212" s="179"/>
      <c r="P212" s="179" t="s">
        <v>4635</v>
      </c>
      <c r="Q212" s="189" t="s">
        <v>4575</v>
      </c>
      <c r="R212" s="342" t="s">
        <v>5279</v>
      </c>
    </row>
    <row r="213" spans="1:19" ht="16.5" x14ac:dyDescent="0.15">
      <c r="A213" s="148" t="s">
        <v>5280</v>
      </c>
      <c r="B213" s="143" t="s">
        <v>4635</v>
      </c>
      <c r="C213" s="143" t="s">
        <v>4723</v>
      </c>
      <c r="D213" s="157"/>
      <c r="E213" s="157"/>
      <c r="F213" s="2656" cm="1" t="n">
        <f t="array" ref="F213">INDEX('6층_부하량'!H3:H3000,MATCH(1,("6-DaHall 1-PDU-01"='6층_부하량'!A3:A3000)*(23='6층_부하량'!B3:B3000),0))</f>
        <v>0.0</v>
      </c>
      <c r="G213" s="157"/>
      <c r="H213" s="143" t="s">
        <v>4597</v>
      </c>
      <c r="I213" s="1471" t="s">
        <v>4678</v>
      </c>
      <c r="J213" s="294" t="s">
        <v>4680</v>
      </c>
      <c r="K213" s="143" t="s">
        <v>4597</v>
      </c>
      <c r="L213" s="157"/>
      <c r="M213" s="157"/>
      <c r="N213" s="2656" cm="1" t="n">
        <f t="array" ref="N213">INDEX('6층_부하량'!H3:H3000,MATCH(1,("6-DaHall 1-PDU-01"='6층_부하량'!A3:A3000)*(24='6층_부하량'!B3:B3000),0))</f>
        <v>0.0</v>
      </c>
      <c r="O213" s="157"/>
      <c r="P213" s="157" t="s">
        <v>4635</v>
      </c>
      <c r="Q213" s="164" t="s">
        <v>4575</v>
      </c>
      <c r="R213" s="342" t="s">
        <v>5281</v>
      </c>
    </row>
    <row r="214" spans="1:19" ht="16.5" x14ac:dyDescent="0.15">
      <c r="A214" s="148" t="s">
        <v>5282</v>
      </c>
      <c r="B214" s="143" t="s">
        <v>4635</v>
      </c>
      <c r="C214" s="164" t="s">
        <v>4575</v>
      </c>
      <c r="D214" s="2656" cm="1" t="n">
        <f t="array" ref="D214">INDEX('6층_부하량'!F3:F3000,MATCH(1,("6-DaHall 1-PDU-01"='6층_부하량'!A3:A3000)*(25='6층_부하량'!B3:B3000),0))</f>
        <v>2.06</v>
      </c>
      <c r="E214" s="157"/>
      <c r="F214" s="157"/>
      <c r="G214" s="157"/>
      <c r="H214" s="143" t="s">
        <v>4597</v>
      </c>
      <c r="I214" s="1471" t="s">
        <v>4683</v>
      </c>
      <c r="J214" s="294" t="s">
        <v>4685</v>
      </c>
      <c r="K214" s="143" t="s">
        <v>4597</v>
      </c>
      <c r="L214" s="2656" cm="1" t="n">
        <f t="array" ref="L214">INDEX('6층_부하량'!F3:F3000,MATCH(1,("6-DaHall 1-PDU-01"='6층_부하량'!A3:A3000)*(26='6층_부하량'!B3:B3000),0))</f>
        <v>2.0</v>
      </c>
      <c r="M214" s="157"/>
      <c r="N214" s="157"/>
      <c r="O214" s="157"/>
      <c r="P214" s="157" t="s">
        <v>4635</v>
      </c>
      <c r="Q214" s="164" t="s">
        <v>4575</v>
      </c>
      <c r="R214" s="342" t="s">
        <v>5283</v>
      </c>
    </row>
    <row r="215" spans="1:19" ht="16.5" x14ac:dyDescent="0.15">
      <c r="A215" s="607" t="s">
        <v>5284</v>
      </c>
      <c r="B215" s="143" t="s">
        <v>4635</v>
      </c>
      <c r="C215" s="164" t="s">
        <v>4575</v>
      </c>
      <c r="D215" s="157"/>
      <c r="E215" s="2656" cm="1" t="n">
        <f t="array" ref="E215">INDEX('6층_부하량'!G3:G3000,MATCH(1,("6-DaHall 1-PDU-01"='6층_부하량'!A3:A3000)*(27='6층_부하량'!B3:B3000),0))</f>
        <v>5.28</v>
      </c>
      <c r="F215" s="157"/>
      <c r="G215" s="157"/>
      <c r="H215" s="143" t="s">
        <v>4597</v>
      </c>
      <c r="I215" s="299" t="s">
        <v>4688</v>
      </c>
      <c r="J215" s="294" t="s">
        <v>4689</v>
      </c>
      <c r="K215" s="143" t="s">
        <v>4597</v>
      </c>
      <c r="L215" s="157"/>
      <c r="M215" s="2656" cm="1" t="n">
        <f t="array" ref="M215">INDEX('6층_부하량'!G3:G3000,MATCH(1,("6-DaHall 1-PDU-01"='6층_부하량'!A3:A3000)*(28='6층_부하량'!B3:B3000),0))</f>
        <v>3.08</v>
      </c>
      <c r="N215" s="157"/>
      <c r="O215" s="157"/>
      <c r="P215" s="157" t="s">
        <v>4635</v>
      </c>
      <c r="Q215" s="164" t="s">
        <v>4575</v>
      </c>
      <c r="R215" s="342" t="s">
        <v>5285</v>
      </c>
    </row>
    <row r="216" spans="1:19" x14ac:dyDescent="0.15">
      <c r="A216" s="607" t="s">
        <v>5286</v>
      </c>
      <c r="B216" s="143" t="s">
        <v>4635</v>
      </c>
      <c r="C216" s="143" t="s">
        <v>4723</v>
      </c>
      <c r="D216" s="157"/>
      <c r="E216" s="157"/>
      <c r="F216" s="2656" cm="1" t="n">
        <f t="array" ref="F216">INDEX('6층_부하량'!H3:H3000,MATCH(1,("6-DaHall 1-PDU-01"='6층_부하량'!A3:A3000)*(29='6층_부하량'!B3:B3000),0))</f>
        <v>4.91</v>
      </c>
      <c r="G216" s="157"/>
      <c r="H216" s="143" t="s">
        <v>4597</v>
      </c>
      <c r="I216" s="299" t="s">
        <v>4691</v>
      </c>
      <c r="J216" s="1463" t="s">
        <v>4692</v>
      </c>
      <c r="K216" s="143" t="s">
        <v>4597</v>
      </c>
      <c r="L216" s="157"/>
      <c r="M216" s="157"/>
      <c r="N216" s="2656" cm="1" t="n">
        <f t="array" ref="N216">INDEX('6층_부하량'!H3:H3000,MATCH(1,("6-DaHall 1-PDU-01"='6층_부하량'!A3:A3000)*(30='6층_부하량'!B3:B3000),0))</f>
        <v>9.12</v>
      </c>
      <c r="O216" s="157"/>
      <c r="P216" s="157" t="s">
        <v>4635</v>
      </c>
      <c r="Q216" s="143" t="s">
        <v>4723</v>
      </c>
      <c r="R216" s="153" t="s">
        <v>5287</v>
      </c>
    </row>
    <row r="217" spans="1:19" ht="16.5" x14ac:dyDescent="0.15">
      <c r="A217" s="607" t="s">
        <v>5288</v>
      </c>
      <c r="B217" s="143" t="s">
        <v>4635</v>
      </c>
      <c r="C217" s="164" t="s">
        <v>4575</v>
      </c>
      <c r="D217" s="2656" cm="1" t="n">
        <f t="array" ref="D217">INDEX('6층_부하량'!F3:F3000,MATCH(1,("6-DaHall 1-PDU-01"='6층_부하량'!A3:A3000)*(31='6층_부하량'!B3:B3000),0))</f>
        <v>8.36</v>
      </c>
      <c r="E217" s="157"/>
      <c r="F217" s="157"/>
      <c r="G217" s="157"/>
      <c r="H217" s="143" t="s">
        <v>4597</v>
      </c>
      <c r="I217" s="299" t="s">
        <v>4693</v>
      </c>
      <c r="J217" s="1463" t="s">
        <v>4694</v>
      </c>
      <c r="K217" s="143" t="s">
        <v>4597</v>
      </c>
      <c r="L217" s="2656" cm="1" t="n">
        <f t="array" ref="L217">INDEX('6층_부하량'!F3:F3000,MATCH(1,("6-DaHall 1-PDU-01"='6층_부하량'!A3:A3000)*(32='6층_부하량'!B3:B3000),0))</f>
        <v>7.02</v>
      </c>
      <c r="M217" s="157"/>
      <c r="N217" s="157"/>
      <c r="O217" s="157"/>
      <c r="P217" s="157" t="s">
        <v>4635</v>
      </c>
      <c r="Q217" s="143" t="s">
        <v>4723</v>
      </c>
      <c r="R217" s="153" t="s">
        <v>5289</v>
      </c>
    </row>
    <row r="218" spans="1:19" ht="16.5" x14ac:dyDescent="0.15">
      <c r="A218" s="607" t="s">
        <v>5290</v>
      </c>
      <c r="B218" s="143" t="s">
        <v>4635</v>
      </c>
      <c r="C218" s="164" t="s">
        <v>4575</v>
      </c>
      <c r="D218" s="157"/>
      <c r="E218" s="2656" cm="1" t="n">
        <f t="array" ref="E218">INDEX('6층_부하량'!G3:G3000,MATCH(1,("6-DaHall 1-PDU-01"='6층_부하량'!A3:A3000)*(33='6층_부하량'!B3:B3000),0))</f>
        <v>5.14</v>
      </c>
      <c r="F218" s="157"/>
      <c r="G218" s="157"/>
      <c r="H218" s="143" t="s">
        <v>4597</v>
      </c>
      <c r="I218" s="299" t="s">
        <v>4697</v>
      </c>
      <c r="J218" s="1463" t="s">
        <v>4698</v>
      </c>
      <c r="K218" s="143" t="s">
        <v>4597</v>
      </c>
      <c r="L218" s="157"/>
      <c r="M218" s="2656" cm="1" t="n">
        <f t="array" ref="M218">INDEX('6층_부하량'!G3:G3000,MATCH(1,("6-DaHall 1-PDU-01"='6층_부하량'!A3:A3000)*(34='6층_부하량'!B3:B3000),0))</f>
        <v>0.0</v>
      </c>
      <c r="N218" s="157"/>
      <c r="O218" s="157"/>
      <c r="P218" s="157" t="s">
        <v>565</v>
      </c>
      <c r="Q218" s="143" t="s">
        <v>4723</v>
      </c>
      <c r="R218" s="182" t="s">
        <v>5291</v>
      </c>
    </row>
    <row r="219" spans="1:19" ht="16.5" x14ac:dyDescent="0.15">
      <c r="A219" s="607" t="s">
        <v>5292</v>
      </c>
      <c r="B219" s="143" t="s">
        <v>4635</v>
      </c>
      <c r="C219" s="164" t="s">
        <v>4575</v>
      </c>
      <c r="D219" s="157"/>
      <c r="E219" s="157"/>
      <c r="F219" s="2656" cm="1" t="n">
        <f t="array" ref="F219">INDEX('6층_부하량'!H3:H3000,MATCH(1,("6-DaHall 1-PDU-01"='6층_부하량'!A3:A3000)*(35='6층_부하량'!B3:B3000),0))</f>
        <v>0.69</v>
      </c>
      <c r="G219" s="157"/>
      <c r="H219" s="143" t="s">
        <v>4597</v>
      </c>
      <c r="I219" s="293" t="s">
        <v>4701</v>
      </c>
      <c r="J219" s="1463" t="s">
        <v>4703</v>
      </c>
      <c r="K219" s="143" t="s">
        <v>4597</v>
      </c>
      <c r="L219" s="157"/>
      <c r="M219" s="157"/>
      <c r="N219" s="2656" cm="1" t="n">
        <f t="array" ref="N219">INDEX('6층_부하량'!H3:H3000,MATCH(1,("6-DaHall 1-PDU-01"='6층_부하량'!A3:A3000)*(36='6층_부하량'!B3:B3000),0))</f>
        <v>1.11</v>
      </c>
      <c r="O219" s="157"/>
      <c r="P219" s="157" t="s">
        <v>4635</v>
      </c>
      <c r="Q219" s="189" t="s">
        <v>4575</v>
      </c>
      <c r="R219" s="2114" t="s">
        <v>5293</v>
      </c>
    </row>
    <row r="220" spans="1:19" ht="16.5" x14ac:dyDescent="0.15">
      <c r="A220" s="607" t="s">
        <v>5294</v>
      </c>
      <c r="B220" s="143" t="s">
        <v>4635</v>
      </c>
      <c r="C220" s="164" t="s">
        <v>4575</v>
      </c>
      <c r="D220" s="2656" cm="1" t="n">
        <f t="array" ref="D220">INDEX('6층_부하량'!F3:F3000,MATCH(1,("6-DaHall 1-PDU-01"='6층_부하량'!A3:A3000)*(37='6층_부하량'!B3:B3000),0))</f>
        <v>0.0</v>
      </c>
      <c r="E220" s="157"/>
      <c r="F220" s="157"/>
      <c r="G220" s="157"/>
      <c r="H220" s="143" t="s">
        <v>4597</v>
      </c>
      <c r="I220" s="293" t="s">
        <v>4706</v>
      </c>
      <c r="J220" s="1463" t="s">
        <v>4707</v>
      </c>
      <c r="K220" s="143" t="s">
        <v>4597</v>
      </c>
      <c r="L220" s="2656" cm="1" t="n">
        <f t="array" ref="L220">INDEX('6층_부하량'!F3:F3000,MATCH(1,("6-DaHall 1-PDU-01"='6층_부하량'!A3:A3000)*(38='6층_부하량'!B3:B3000),0))</f>
        <v>0.0</v>
      </c>
      <c r="M220" s="157"/>
      <c r="N220" s="157"/>
      <c r="O220" s="157"/>
      <c r="P220" s="157" t="s">
        <v>565</v>
      </c>
      <c r="Q220" s="143" t="s">
        <v>4723</v>
      </c>
      <c r="R220" s="345" t="s">
        <v>5295</v>
      </c>
    </row>
    <row r="221" spans="1:19" ht="16.5" x14ac:dyDescent="0.15">
      <c r="A221" s="607" t="s">
        <v>5296</v>
      </c>
      <c r="B221" s="143" t="s">
        <v>4635</v>
      </c>
      <c r="C221" s="164" t="s">
        <v>4575</v>
      </c>
      <c r="D221" s="157"/>
      <c r="E221" s="2656" cm="1" t="n">
        <f t="array" ref="E221">INDEX('6층_부하량'!G3:G3000,MATCH(1,("6-DaHall 1-PDU-01"='6층_부하량'!A3:A3000)*(39='6층_부하량'!B3:B3000),0))</f>
        <v>0.35</v>
      </c>
      <c r="F221" s="157"/>
      <c r="G221" s="157"/>
      <c r="H221" s="143" t="s">
        <v>4597</v>
      </c>
      <c r="I221" s="299" t="s">
        <v>4710</v>
      </c>
      <c r="J221" s="1463" t="s">
        <v>4711</v>
      </c>
      <c r="K221" s="143" t="s">
        <v>4597</v>
      </c>
      <c r="L221" s="157"/>
      <c r="M221" s="2656" cm="1" t="n">
        <f t="array" ref="M221">INDEX('6층_부하량'!G3:G3000,MATCH(1,("6-DaHall 1-PDU-01"='6층_부하량'!A3:A3000)*(40='6층_부하량'!B3:B3000),0))</f>
        <v>0.0</v>
      </c>
      <c r="N221" s="157"/>
      <c r="O221" s="157"/>
      <c r="P221" s="157" t="s">
        <v>4635</v>
      </c>
      <c r="Q221" s="164" t="s">
        <v>4575</v>
      </c>
      <c r="R221" s="345" t="s">
        <v>5297</v>
      </c>
    </row>
    <row r="222" spans="1:19" ht="16.5" x14ac:dyDescent="0.15">
      <c r="A222" s="274" t="s">
        <v>5298</v>
      </c>
      <c r="B222" s="143" t="s">
        <v>4635</v>
      </c>
      <c r="C222" s="164" t="s">
        <v>4575</v>
      </c>
      <c r="D222" s="157"/>
      <c r="E222" s="157"/>
      <c r="F222" s="2656" cm="1" t="n">
        <f t="array" ref="F222">INDEX('6층_부하량'!H3:H3000,MATCH(1,("6-DaHall 1-PDU-01"='6층_부하량'!A3:A3000)*(41='6층_부하량'!B3:B3000),0))</f>
        <v>0.99</v>
      </c>
      <c r="G222" s="157"/>
      <c r="H222" s="143" t="s">
        <v>4597</v>
      </c>
      <c r="I222" s="293" t="s">
        <v>5055</v>
      </c>
      <c r="J222" s="1463" t="s">
        <v>4843</v>
      </c>
      <c r="K222" s="143" t="s">
        <v>4597</v>
      </c>
      <c r="L222" s="157"/>
      <c r="M222" s="157"/>
      <c r="N222" s="2656" cm="1" t="n">
        <f t="array" ref="N222">INDEX('6층_부하량'!H3:H3000,MATCH(1,("6-DaHall 1-PDU-01"='6층_부하량'!A3:A3000)*(42='6층_부하량'!B3:B3000),0))</f>
        <v>4.48</v>
      </c>
      <c r="O222" s="157"/>
      <c r="P222" s="149" t="s">
        <v>4635</v>
      </c>
      <c r="Q222" s="164" t="s">
        <v>4575</v>
      </c>
      <c r="R222" s="326" t="s">
        <v>379</v>
      </c>
    </row>
    <row r="223" spans="1:19" ht="16.5" x14ac:dyDescent="0.15">
      <c r="A223" s="607" t="s">
        <v>5299</v>
      </c>
      <c r="B223" s="143" t="s">
        <v>4635</v>
      </c>
      <c r="C223" s="164" t="s">
        <v>4575</v>
      </c>
      <c r="D223" s="2656" cm="1" t="n">
        <f t="array" ref="D223">INDEX('6층_부하량'!F3:F3000,MATCH(1,("6-DaHall 1-PDU-01"='6층_부하량'!A3:A3000)*(43='6층_부하량'!B3:B3000),0))</f>
        <v>5.6</v>
      </c>
      <c r="E223" s="157"/>
      <c r="F223" s="157"/>
      <c r="G223" s="157"/>
      <c r="H223" s="143" t="s">
        <v>4597</v>
      </c>
      <c r="I223" s="293" t="s">
        <v>4845</v>
      </c>
      <c r="J223" s="1463" t="s">
        <v>4846</v>
      </c>
      <c r="K223" s="143" t="s">
        <v>4597</v>
      </c>
      <c r="L223" s="2656" cm="1" t="n">
        <f t="array" ref="L223">INDEX('6층_부하량'!F3:F3000,MATCH(1,("6-DaHall 1-PDU-01"='6층_부하량'!A3:A3000)*(44='6층_부하량'!B3:B3000),0))</f>
        <v>0.0</v>
      </c>
      <c r="M223" s="157"/>
      <c r="N223" s="157"/>
      <c r="O223" s="157"/>
      <c r="P223" s="149" t="s">
        <v>4635</v>
      </c>
      <c r="Q223" s="143" t="s">
        <v>4723</v>
      </c>
      <c r="R223" s="2114" t="s">
        <v>2315</v>
      </c>
      <c r="S223" s="2147" t="s">
        <v>5300</v>
      </c>
    </row>
    <row r="224" spans="1:19" ht="26.25" customHeight="1" x14ac:dyDescent="0.15">
      <c r="A224" s="607" t="s">
        <v>5301</v>
      </c>
      <c r="B224" s="143" t="s">
        <v>4635</v>
      </c>
      <c r="C224" s="164" t="s">
        <v>4575</v>
      </c>
      <c r="D224" s="157"/>
      <c r="E224" s="2656" cm="1" t="n">
        <f t="array" ref="E224">INDEX('6층_부하량'!G3:G3000,MATCH(1,("6-DaHall 1-PDU-01"='6층_부하량'!A3:A3000)*(45='6층_부하량'!B3:B3000),0))</f>
        <v>0.0</v>
      </c>
      <c r="F224" s="157"/>
      <c r="G224" s="157"/>
      <c r="H224" s="143" t="s">
        <v>4597</v>
      </c>
      <c r="I224" s="293" t="s">
        <v>4847</v>
      </c>
      <c r="J224" s="2335" t="s">
        <v>4848</v>
      </c>
      <c r="K224" s="143" t="s">
        <v>4597</v>
      </c>
      <c r="L224" s="157"/>
      <c r="M224" s="2656" cm="1" t="n">
        <f t="array" ref="M224">INDEX('6층_부하량'!G3:G3000,MATCH(1,("6-DaHall 1-PDU-01"='6층_부하량'!A3:A3000)*(46='6층_부하량'!B3:B3000),0))</f>
        <v>4.38</v>
      </c>
      <c r="N224" s="157"/>
      <c r="O224" s="157"/>
      <c r="P224" s="157" t="s">
        <v>4635</v>
      </c>
      <c r="Q224" s="164" t="s">
        <v>4575</v>
      </c>
      <c r="R224" s="2334" t="s">
        <v>2807</v>
      </c>
    </row>
    <row r="225" spans="1:18" ht="16.5" x14ac:dyDescent="0.15">
      <c r="A225" s="607" t="s">
        <v>5302</v>
      </c>
      <c r="B225" s="143" t="s">
        <v>4635</v>
      </c>
      <c r="C225" s="164" t="s">
        <v>4575</v>
      </c>
      <c r="D225" s="157"/>
      <c r="E225" s="157"/>
      <c r="F225" s="2656" cm="1" t="n">
        <f t="array" ref="F225">INDEX('6층_부하량'!H3:H3000,MATCH(1,("6-DaHall 1-PDU-01"='6층_부하량'!A3:A3000)*(47='6층_부하량'!B3:B3000),0))</f>
        <v>0.0</v>
      </c>
      <c r="G225" s="157"/>
      <c r="H225" s="143" t="s">
        <v>4597</v>
      </c>
      <c r="I225" s="299" t="s">
        <v>4849</v>
      </c>
      <c r="J225" s="1463" t="s">
        <v>4850</v>
      </c>
      <c r="K225" s="143" t="s">
        <v>4597</v>
      </c>
      <c r="L225" s="157"/>
      <c r="M225" s="157"/>
      <c r="N225" s="2656" cm="1" t="n">
        <f t="array" ref="N225">INDEX('6층_부하량'!H3:H3000,MATCH(1,("6-DaHall 1-PDU-01"='6층_부하량'!A3:A3000)*(48='6층_부하량'!B3:B3000),0))</f>
        <v>0.57</v>
      </c>
      <c r="O225" s="157"/>
      <c r="P225" s="157" t="s">
        <v>4635</v>
      </c>
      <c r="Q225" s="164" t="s">
        <v>4575</v>
      </c>
      <c r="R225" s="342" t="s">
        <v>5303</v>
      </c>
    </row>
    <row r="226" spans="1:18" ht="17.25" thickBot="1" x14ac:dyDescent="0.2">
      <c r="A226" s="280" t="s">
        <v>5304</v>
      </c>
      <c r="B226" s="166" t="s">
        <v>4635</v>
      </c>
      <c r="C226" s="166" t="s">
        <v>4723</v>
      </c>
      <c r="D226" s="2659" cm="1" t="n">
        <f t="array" ref="D226">INDEX('6층_부하량'!F3:F3000,MATCH(1,("6-DaHall 1-PDU-01"='6층_부하량'!A3:A3000)*(49='6층_부하량'!B3:B3000),0))</f>
        <v>9.67</v>
      </c>
      <c r="E226" s="167"/>
      <c r="F226" s="167"/>
      <c r="G226" s="167"/>
      <c r="H226" s="166" t="s">
        <v>4597</v>
      </c>
      <c r="I226" s="301" t="s">
        <v>4851</v>
      </c>
      <c r="J226" s="1473" t="s">
        <v>4852</v>
      </c>
      <c r="K226" s="166" t="s">
        <v>4597</v>
      </c>
      <c r="L226" s="2659" cm="1" t="n">
        <f t="array" ref="L226">INDEX('6층_부하량'!F3:F3000,MATCH(1,("6-DaHall 1-PDU-01"='6층_부하량'!A3:A3000)*(50='6층_부하량'!B3:B3000),0))</f>
        <v>0.0</v>
      </c>
      <c r="M226" s="167"/>
      <c r="N226" s="167"/>
      <c r="O226" s="167"/>
      <c r="P226" s="166" t="s">
        <v>4635</v>
      </c>
      <c r="Q226" s="184" t="s">
        <v>4575</v>
      </c>
      <c r="R226" s="325" t="s">
        <v>5305</v>
      </c>
    </row>
    <row r="227" spans="1:18" ht="14.25" thickTop="1" x14ac:dyDescent="0.15">
      <c r="A227" s="128"/>
      <c r="B227" s="128"/>
      <c r="C227" s="128"/>
      <c r="D227" s="128"/>
      <c r="E227" s="128"/>
      <c r="F227" s="128"/>
      <c r="G227" s="128"/>
      <c r="H227" s="128"/>
      <c r="I227" s="128"/>
      <c r="J227" s="128"/>
      <c r="K227" s="128" t="s">
        <v>4713</v>
      </c>
      <c r="L227" s="128" t="n">
        <f>SUM(D202:D226,L202:L226)</f>
        <v>51.06</v>
      </c>
      <c r="M227" s="128" t="n">
        <f>SUM(E202:E226,M202:M226)</f>
        <v>49.06</v>
      </c>
      <c r="N227" s="128" t="n">
        <f>SUM(F202:F226,N202:N226)</f>
        <v>36.21</v>
      </c>
      <c r="O227" s="128"/>
      <c r="P227" s="128"/>
      <c r="Q227" s="128"/>
      <c r="R227" s="128"/>
    </row>
    <row r="228" spans="1:18" ht="14.25" thickBot="1" x14ac:dyDescent="0.2">
      <c r="A228" s="128"/>
      <c r="B228" s="128"/>
      <c r="C228" s="128"/>
      <c r="D228" s="128"/>
      <c r="E228" s="128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</row>
    <row r="229" spans="1:18" ht="15" thickTop="1" thickBot="1" x14ac:dyDescent="0.2">
      <c r="A229" s="173" t="s">
        <v>7004</v>
      </c>
      <c r="B229" s="128"/>
      <c r="C229" s="3660" t="s">
        <v>5306</v>
      </c>
      <c r="D229" s="3660"/>
      <c r="E229" s="3660"/>
      <c r="F229" s="173"/>
      <c r="G229" s="173"/>
      <c r="H229" s="133"/>
      <c r="I229" s="3665" t="s">
        <v>5063</v>
      </c>
      <c r="J229" s="3666"/>
      <c r="K229" s="133"/>
      <c r="L229" s="173"/>
      <c r="M229" s="173"/>
      <c r="N229" s="173"/>
      <c r="O229" s="173"/>
      <c r="P229" s="173"/>
      <c r="Q229" s="173"/>
      <c r="R229" s="128"/>
    </row>
    <row r="230" spans="1:18" ht="15" thickTop="1" thickBot="1" x14ac:dyDescent="0.2">
      <c r="A230" s="127"/>
      <c r="B230" s="128"/>
      <c r="C230" s="128"/>
      <c r="D230" s="129"/>
      <c r="E230" s="129"/>
      <c r="F230" s="130"/>
      <c r="G230" s="129"/>
      <c r="H230" s="131"/>
      <c r="I230" s="128"/>
      <c r="J230" s="132"/>
      <c r="K230" s="1371" t="s">
        <v>4562</v>
      </c>
      <c r="L230" s="1368">
        <v>19.2</v>
      </c>
      <c r="M230" s="1369">
        <v>18.8</v>
      </c>
      <c r="N230" s="1370">
        <v>21.4</v>
      </c>
      <c r="O230" s="508" t="s">
        <v>4563</v>
      </c>
      <c r="P230" s="133"/>
      <c r="Q230" s="128"/>
      <c r="R230" s="528"/>
    </row>
    <row r="231" spans="1:18" ht="15" thickTop="1" thickBot="1" x14ac:dyDescent="0.2">
      <c r="A231" s="134" t="s">
        <v>4564</v>
      </c>
      <c r="B231" s="135" t="s">
        <v>5031</v>
      </c>
      <c r="C231" s="136" t="s">
        <v>4566</v>
      </c>
      <c r="D231" s="135" t="s">
        <v>5032</v>
      </c>
      <c r="E231" s="135" t="s">
        <v>5033</v>
      </c>
      <c r="F231" s="135" t="s">
        <v>5034</v>
      </c>
      <c r="G231" s="135" t="s">
        <v>5035</v>
      </c>
      <c r="H231" s="135" t="s">
        <v>5036</v>
      </c>
      <c r="I231" s="138" t="s">
        <v>5037</v>
      </c>
      <c r="J231" s="139" t="s">
        <v>5037</v>
      </c>
      <c r="K231" s="135" t="s">
        <v>5036</v>
      </c>
      <c r="L231" s="135" t="s">
        <v>5032</v>
      </c>
      <c r="M231" s="135" t="s">
        <v>5033</v>
      </c>
      <c r="N231" s="135" t="s">
        <v>5034</v>
      </c>
      <c r="O231" s="135" t="s">
        <v>5035</v>
      </c>
      <c r="P231" s="135" t="s">
        <v>5031</v>
      </c>
      <c r="Q231" s="136" t="s">
        <v>4566</v>
      </c>
      <c r="R231" s="140" t="s">
        <v>4564</v>
      </c>
    </row>
    <row r="232" spans="1:18" ht="17.25" thickTop="1" x14ac:dyDescent="0.15">
      <c r="A232" s="141" t="s">
        <v>5307</v>
      </c>
      <c r="B232" s="142" t="s">
        <v>4635</v>
      </c>
      <c r="C232" s="142" t="s">
        <v>4723</v>
      </c>
      <c r="D232" s="2654" cm="1" t="n">
        <f t="array" ref="D232">INDEX('6층_부하량'!F3:F3000,MATCH(1,("6-DaHall 1-PDU-02"='6층_부하량'!A3:A3000)*(1='6층_부하량'!B3:B3000),0))</f>
        <v>0.0</v>
      </c>
      <c r="E232" s="144"/>
      <c r="F232" s="144"/>
      <c r="G232" s="144"/>
      <c r="H232" s="142" t="s">
        <v>4597</v>
      </c>
      <c r="I232" s="1469" t="s">
        <v>4633</v>
      </c>
      <c r="J232" s="292" t="s">
        <v>4578</v>
      </c>
      <c r="K232" s="142" t="s">
        <v>4597</v>
      </c>
      <c r="L232" s="2654" cm="1" t="n">
        <f t="array" ref="L232">INDEX('6층_부하량'!F3:F3000,MATCH(1,("6-DaHall 1-PDU-02"='6층_부하량'!A3:A3000)*(2='6층_부하량'!B3:B3000),0))</f>
        <v>1.5</v>
      </c>
      <c r="M232" s="144"/>
      <c r="N232" s="144"/>
      <c r="O232" s="144"/>
      <c r="P232" s="144" t="s">
        <v>4635</v>
      </c>
      <c r="Q232" s="152" t="s">
        <v>4575</v>
      </c>
      <c r="R232" s="276" t="s">
        <v>5308</v>
      </c>
    </row>
    <row r="233" spans="1:18" ht="16.5" x14ac:dyDescent="0.15">
      <c r="A233" s="158" t="s">
        <v>5309</v>
      </c>
      <c r="B233" s="143" t="s">
        <v>4635</v>
      </c>
      <c r="C233" s="143" t="s">
        <v>4723</v>
      </c>
      <c r="D233" s="149"/>
      <c r="E233" s="2655" cm="1" t="n">
        <f t="array" ref="E233">INDEX('6층_부하량'!G3:G3000,MATCH(1,("6-DaHall 1-PDU-02"='6층_부하량'!A3:A3000)*(3='6층_부하량'!B3:B3000),0))</f>
        <v>0.0</v>
      </c>
      <c r="F233" s="149"/>
      <c r="G233" s="149"/>
      <c r="H233" s="143" t="s">
        <v>4597</v>
      </c>
      <c r="I233" s="1465" t="s">
        <v>4638</v>
      </c>
      <c r="J233" s="294" t="s">
        <v>4583</v>
      </c>
      <c r="K233" s="143" t="s">
        <v>4597</v>
      </c>
      <c r="L233" s="149"/>
      <c r="M233" s="2655" cm="1" t="n">
        <f t="array" ref="M233">INDEX('6층_부하량'!G3:G3000,MATCH(1,("6-DaHall 1-PDU-02"='6층_부하량'!A3:A3000)*(4='6층_부하량'!B3:B3000),0))</f>
        <v>7.46</v>
      </c>
      <c r="N233" s="149"/>
      <c r="O233" s="149"/>
      <c r="P233" s="149" t="s">
        <v>4635</v>
      </c>
      <c r="Q233" s="164" t="s">
        <v>4575</v>
      </c>
      <c r="R233" s="264" t="s">
        <v>5310</v>
      </c>
    </row>
    <row r="234" spans="1:18" ht="16.5" x14ac:dyDescent="0.15">
      <c r="A234" s="148" t="s">
        <v>5311</v>
      </c>
      <c r="B234" s="143" t="s">
        <v>4635</v>
      </c>
      <c r="C234" s="143" t="s">
        <v>4723</v>
      </c>
      <c r="D234" s="157"/>
      <c r="E234" s="157"/>
      <c r="F234" s="2656" cm="1" t="n">
        <f t="array" ref="F234">INDEX('6층_부하량'!H3:H3000,MATCH(1,("6-DaHall 1-PDU-02"='6층_부하량'!A3:A3000)*(5='6층_부하량'!B3:B3000),0))</f>
        <v>0.0</v>
      </c>
      <c r="G234" s="157"/>
      <c r="H234" s="143" t="s">
        <v>4597</v>
      </c>
      <c r="I234" s="1465" t="s">
        <v>4641</v>
      </c>
      <c r="J234" s="294" t="s">
        <v>4588</v>
      </c>
      <c r="K234" s="143" t="s">
        <v>4597</v>
      </c>
      <c r="L234" s="157"/>
      <c r="M234" s="157"/>
      <c r="N234" s="2656" cm="1" t="n">
        <f t="array" ref="N234">INDEX('6층_부하량'!H3:H3000,MATCH(1,("6-DaHall 1-PDU-02"='6층_부하량'!A3:A3000)*(6='6층_부하량'!B3:B3000),0))</f>
        <v>5.44</v>
      </c>
      <c r="O234" s="157"/>
      <c r="P234" s="149" t="s">
        <v>4635</v>
      </c>
      <c r="Q234" s="164" t="s">
        <v>4575</v>
      </c>
      <c r="R234" s="342" t="s">
        <v>5312</v>
      </c>
    </row>
    <row r="235" spans="1:18" ht="16.5" x14ac:dyDescent="0.15">
      <c r="A235" s="1112" t="s">
        <v>5313</v>
      </c>
      <c r="B235" s="143" t="s">
        <v>4635</v>
      </c>
      <c r="C235" s="1174" t="s">
        <v>4575</v>
      </c>
      <c r="D235" s="2656" cm="1" t="n">
        <f t="array" ref="D235">INDEX('6층_부하량'!F3:F3000,MATCH(1,("6-DaHall 1-PDU-02"='6층_부하량'!A3:A3000)*(7='6층_부하량'!B3:B3000),0))</f>
        <v>0.0</v>
      </c>
      <c r="E235" s="157"/>
      <c r="F235" s="157"/>
      <c r="G235" s="157"/>
      <c r="H235" s="143" t="s">
        <v>4597</v>
      </c>
      <c r="I235" s="293" t="s">
        <v>4645</v>
      </c>
      <c r="J235" s="294" t="s">
        <v>4593</v>
      </c>
      <c r="K235" s="143" t="s">
        <v>4597</v>
      </c>
      <c r="L235" s="2656" cm="1" t="n">
        <f t="array" ref="L235">INDEX('6층_부하량'!F3:F3000,MATCH(1,("6-DaHall 1-PDU-02"='6층_부하량'!A3:A3000)*(8='6층_부하량'!B3:B3000),0))</f>
        <v>3.32</v>
      </c>
      <c r="M235" s="157"/>
      <c r="N235" s="157"/>
      <c r="O235" s="157"/>
      <c r="P235" s="149" t="s">
        <v>4635</v>
      </c>
      <c r="Q235" s="164" t="s">
        <v>4575</v>
      </c>
      <c r="R235" s="342" t="s">
        <v>5314</v>
      </c>
    </row>
    <row r="236" spans="1:18" ht="16.5" x14ac:dyDescent="0.15">
      <c r="A236" s="1113" t="s">
        <v>5315</v>
      </c>
      <c r="B236" s="143" t="s">
        <v>4635</v>
      </c>
      <c r="C236" s="1174" t="s">
        <v>4575</v>
      </c>
      <c r="D236" s="157"/>
      <c r="E236" s="2656" cm="1" t="n">
        <f t="array" ref="E236">INDEX('6층_부하량'!G3:G3000,MATCH(1,("6-DaHall 1-PDU-02"='6층_부하량'!A3:A3000)*(9='6층_부하량'!B3:B3000),0))</f>
        <v>0.0</v>
      </c>
      <c r="F236" s="157"/>
      <c r="G236" s="157"/>
      <c r="H236" s="143" t="s">
        <v>4597</v>
      </c>
      <c r="I236" s="293" t="s">
        <v>4648</v>
      </c>
      <c r="J236" s="294" t="s">
        <v>4596</v>
      </c>
      <c r="K236" s="143" t="s">
        <v>4597</v>
      </c>
      <c r="L236" s="157"/>
      <c r="M236" s="2656" cm="1" t="n">
        <f t="array" ref="M236">INDEX('6층_부하량'!G3:G3000,MATCH(1,("6-DaHall 1-PDU-02"='6층_부하량'!A3:A3000)*(10='6층_부하량'!B3:B3000),0))</f>
        <v>8.78</v>
      </c>
      <c r="N236" s="157"/>
      <c r="O236" s="157"/>
      <c r="P236" s="149" t="s">
        <v>4635</v>
      </c>
      <c r="Q236" s="164" t="s">
        <v>4575</v>
      </c>
      <c r="R236" s="342" t="s">
        <v>5316</v>
      </c>
    </row>
    <row r="237" spans="1:18" ht="16.5" x14ac:dyDescent="0.15">
      <c r="A237" s="1112" t="s">
        <v>5317</v>
      </c>
      <c r="B237" s="143" t="s">
        <v>4635</v>
      </c>
      <c r="C237" s="1174" t="s">
        <v>4575</v>
      </c>
      <c r="D237" s="157"/>
      <c r="E237" s="157"/>
      <c r="F237" s="2656" cm="1" t="n">
        <f t="array" ref="F237">INDEX('6층_부하량'!H3:H3000,MATCH(1,("6-DaHall 1-PDU-02"='6층_부하량'!A3:A3000)*(11='6층_부하량'!B3:B3000),0))</f>
        <v>0.0</v>
      </c>
      <c r="G237" s="157"/>
      <c r="H237" s="143" t="s">
        <v>4597</v>
      </c>
      <c r="I237" s="293" t="s">
        <v>4653</v>
      </c>
      <c r="J237" s="294" t="s">
        <v>4599</v>
      </c>
      <c r="K237" s="143" t="s">
        <v>4597</v>
      </c>
      <c r="L237" s="157"/>
      <c r="M237" s="157"/>
      <c r="N237" s="2656" cm="1" t="n">
        <f t="array" ref="N237">INDEX('6층_부하량'!H3:H3000,MATCH(1,("6-DaHall 1-PDU-02"='6층_부하량'!A3:A3000)*(12='6층_부하량'!B3:B3000),0))</f>
        <v>10.66</v>
      </c>
      <c r="O237" s="157"/>
      <c r="P237" s="149" t="s">
        <v>4635</v>
      </c>
      <c r="Q237" s="164" t="s">
        <v>4575</v>
      </c>
      <c r="R237" s="342" t="s">
        <v>5318</v>
      </c>
    </row>
    <row r="238" spans="1:18" ht="16.5" x14ac:dyDescent="0.15">
      <c r="A238" s="1113" t="s">
        <v>5319</v>
      </c>
      <c r="B238" s="143" t="s">
        <v>4635</v>
      </c>
      <c r="C238" s="1174" t="s">
        <v>4575</v>
      </c>
      <c r="D238" s="2656" cm="1" t="n">
        <f t="array" ref="D238">INDEX('6층_부하량'!F3:F3000,MATCH(1,("6-DaHall 1-PDU-02"='6층_부하량'!A3:A3000)*(13='6층_부하량'!B3:B3000),0))</f>
        <v>2.41</v>
      </c>
      <c r="E238" s="157"/>
      <c r="F238" s="157"/>
      <c r="G238" s="157"/>
      <c r="H238" s="143" t="s">
        <v>4597</v>
      </c>
      <c r="I238" s="293" t="s">
        <v>4657</v>
      </c>
      <c r="J238" s="294" t="s">
        <v>4601</v>
      </c>
      <c r="K238" s="143" t="s">
        <v>4597</v>
      </c>
      <c r="L238" s="2656" cm="1" t="n">
        <f t="array" ref="L238">INDEX('6층_부하량'!F3:F3000,MATCH(1,("6-DaHall 1-PDU-02"='6층_부하량'!A3:A3000)*(14='6층_부하량'!B3:B3000),0))</f>
        <v>8.72</v>
      </c>
      <c r="M238" s="157"/>
      <c r="N238" s="157"/>
      <c r="O238" s="157"/>
      <c r="P238" s="157" t="s">
        <v>4635</v>
      </c>
      <c r="Q238" s="164" t="s">
        <v>4575</v>
      </c>
      <c r="R238" s="342" t="s">
        <v>5320</v>
      </c>
    </row>
    <row r="239" spans="1:18" ht="16.5" x14ac:dyDescent="0.15">
      <c r="A239" s="1112" t="s">
        <v>5321</v>
      </c>
      <c r="B239" s="143" t="s">
        <v>4635</v>
      </c>
      <c r="C239" s="1174" t="s">
        <v>4575</v>
      </c>
      <c r="D239" s="157"/>
      <c r="E239" s="2656" cm="1" t="n">
        <f t="array" ref="E239">INDEX('6층_부하량'!G3:G3000,MATCH(1,("6-DaHall 1-PDU-02"='6층_부하량'!A3:A3000)*(15='6층_부하량'!B3:B3000),0))</f>
        <v>0.0</v>
      </c>
      <c r="F239" s="157"/>
      <c r="G239" s="157"/>
      <c r="H239" s="143" t="s">
        <v>4597</v>
      </c>
      <c r="I239" s="293" t="s">
        <v>4661</v>
      </c>
      <c r="J239" s="294" t="s">
        <v>4603</v>
      </c>
      <c r="K239" s="143" t="s">
        <v>4597</v>
      </c>
      <c r="L239" s="157"/>
      <c r="M239" s="2656" cm="1" t="n">
        <f t="array" ref="M239">INDEX('6층_부하량'!G3:G3000,MATCH(1,("6-DaHall 1-PDU-02"='6층_부하량'!A3:A3000)*(16='6층_부하량'!B3:B3000),0))</f>
        <v>5.16</v>
      </c>
      <c r="N239" s="157"/>
      <c r="O239" s="157"/>
      <c r="P239" s="157" t="s">
        <v>4635</v>
      </c>
      <c r="Q239" s="164" t="s">
        <v>4575</v>
      </c>
      <c r="R239" s="342" t="s">
        <v>5322</v>
      </c>
    </row>
    <row r="240" spans="1:18" ht="17.25" thickBot="1" x14ac:dyDescent="0.2">
      <c r="A240" s="1114" t="s">
        <v>5323</v>
      </c>
      <c r="B240" s="159" t="s">
        <v>4635</v>
      </c>
      <c r="C240" s="1175" t="s">
        <v>4575</v>
      </c>
      <c r="D240" s="177"/>
      <c r="E240" s="177"/>
      <c r="F240" s="2661" cm="1" t="n">
        <f t="array" ref="F240">INDEX('6층_부하량'!H3:H3000,MATCH(1,("6-DaHall 1-PDU-02"='6층_부하량'!A3:A3000)*(17='6층_부하량'!B3:B3000),0))</f>
        <v>2.22</v>
      </c>
      <c r="G240" s="160"/>
      <c r="H240" s="159" t="s">
        <v>4597</v>
      </c>
      <c r="I240" s="295" t="s">
        <v>4665</v>
      </c>
      <c r="J240" s="1477" t="s">
        <v>4605</v>
      </c>
      <c r="K240" s="159" t="s">
        <v>4597</v>
      </c>
      <c r="L240" s="177"/>
      <c r="M240" s="177"/>
      <c r="N240" s="2661" cm="1" t="n">
        <f t="array" ref="N240">INDEX('6층_부하량'!H3:H3000,MATCH(1,("6-DaHall 1-PDU-02"='6층_부하량'!A3:A3000)*(18='6층_부하량'!B3:B3000),0))</f>
        <v>0.64</v>
      </c>
      <c r="O240" s="160"/>
      <c r="P240" s="160" t="s">
        <v>565</v>
      </c>
      <c r="Q240" s="176" t="s">
        <v>5324</v>
      </c>
      <c r="R240" s="153" t="s">
        <v>5325</v>
      </c>
    </row>
    <row r="241" spans="1:19" ht="17.25" thickTop="1" x14ac:dyDescent="0.15">
      <c r="A241" s="141" t="s">
        <v>5326</v>
      </c>
      <c r="B241" s="142" t="s">
        <v>4635</v>
      </c>
      <c r="C241" s="142" t="s">
        <v>4723</v>
      </c>
      <c r="D241" s="2658" cm="1" t="n">
        <f t="array" ref="D241">INDEX('6층_부하량'!F3:F3000,MATCH(1,("6-DaHall 1-PDU-02"='6층_부하량'!A3:A3000)*(19='6층_부하량'!B3:B3000),0))</f>
        <v>0.0</v>
      </c>
      <c r="E241" s="179"/>
      <c r="F241" s="179"/>
      <c r="G241" s="163"/>
      <c r="H241" s="142" t="s">
        <v>4597</v>
      </c>
      <c r="I241" s="1470" t="s">
        <v>4670</v>
      </c>
      <c r="J241" s="298" t="s">
        <v>4609</v>
      </c>
      <c r="K241" s="142" t="s">
        <v>4597</v>
      </c>
      <c r="L241" s="2658" cm="1" t="n">
        <f t="array" ref="L241">INDEX('6층_부하량'!F3:F3000,MATCH(1,("6-DaHall 1-PDU-02"='6층_부하량'!A3:A3000)*(20='6층_부하량'!B3:B3000),0))</f>
        <v>0.3</v>
      </c>
      <c r="M241" s="179"/>
      <c r="N241" s="179"/>
      <c r="O241" s="163"/>
      <c r="P241" s="163" t="s">
        <v>4635</v>
      </c>
      <c r="Q241" s="152" t="s">
        <v>4575</v>
      </c>
      <c r="R241" s="618" t="s">
        <v>5327</v>
      </c>
    </row>
    <row r="242" spans="1:19" ht="16.5" x14ac:dyDescent="0.15">
      <c r="A242" s="174" t="s">
        <v>5328</v>
      </c>
      <c r="B242" s="156" t="s">
        <v>4635</v>
      </c>
      <c r="C242" s="156" t="s">
        <v>4723</v>
      </c>
      <c r="D242" s="157"/>
      <c r="E242" s="2656" cm="1" t="n">
        <f t="array" ref="E242">INDEX('6층_부하량'!G3:G3000,MATCH(1,("6-DaHall 1-PDU-02"='6층_부하량'!A3:A3000)*(21='6층_부하량'!B3:B3000),0))</f>
        <v>0.79</v>
      </c>
      <c r="F242" s="157"/>
      <c r="G242" s="179"/>
      <c r="H242" s="156" t="s">
        <v>4597</v>
      </c>
      <c r="I242" s="1471" t="s">
        <v>4674</v>
      </c>
      <c r="J242" s="294" t="s">
        <v>4613</v>
      </c>
      <c r="K242" s="156" t="s">
        <v>4597</v>
      </c>
      <c r="L242" s="157"/>
      <c r="M242" s="2656" cm="1" t="n">
        <f t="array" ref="M242">INDEX('6층_부하량'!G3:G3000,MATCH(1,("6-DaHall 1-PDU-02"='6층_부하량'!A3:A3000)*(22='6층_부하량'!B3:B3000),0))</f>
        <v>4.53</v>
      </c>
      <c r="N242" s="157"/>
      <c r="O242" s="179"/>
      <c r="P242" s="179" t="s">
        <v>4635</v>
      </c>
      <c r="Q242" s="189" t="s">
        <v>4575</v>
      </c>
      <c r="R242" s="342" t="s">
        <v>5329</v>
      </c>
    </row>
    <row r="243" spans="1:19" ht="16.5" x14ac:dyDescent="0.15">
      <c r="A243" s="148" t="s">
        <v>5330</v>
      </c>
      <c r="B243" s="143" t="s">
        <v>4635</v>
      </c>
      <c r="C243" s="143" t="s">
        <v>4723</v>
      </c>
      <c r="D243" s="157"/>
      <c r="E243" s="157"/>
      <c r="F243" s="2656" cm="1" t="n">
        <f t="array" ref="F243">INDEX('6층_부하량'!H3:H3000,MATCH(1,("6-DaHall 1-PDU-02"='6층_부하량'!A3:A3000)*(23='6층_부하량'!B3:B3000),0))</f>
        <v>0.0</v>
      </c>
      <c r="G243" s="157"/>
      <c r="H243" s="143" t="s">
        <v>4597</v>
      </c>
      <c r="I243" s="1471" t="s">
        <v>4678</v>
      </c>
      <c r="J243" s="294" t="s">
        <v>4680</v>
      </c>
      <c r="K243" s="143" t="s">
        <v>4597</v>
      </c>
      <c r="L243" s="157"/>
      <c r="M243" s="157"/>
      <c r="N243" s="2656" cm="1" t="n">
        <f t="array" ref="N243">INDEX('6층_부하량'!H3:H3000,MATCH(1,("6-DaHall 1-PDU-02"='6층_부하량'!A3:A3000)*(24='6층_부하량'!B3:B3000),0))</f>
        <v>0.0</v>
      </c>
      <c r="O243" s="157"/>
      <c r="P243" s="157" t="s">
        <v>4635</v>
      </c>
      <c r="Q243" s="164" t="s">
        <v>4575</v>
      </c>
      <c r="R243" s="342" t="s">
        <v>5331</v>
      </c>
    </row>
    <row r="244" spans="1:19" ht="16.5" x14ac:dyDescent="0.15">
      <c r="A244" s="148" t="s">
        <v>5332</v>
      </c>
      <c r="B244" s="143" t="s">
        <v>4635</v>
      </c>
      <c r="C244" s="164" t="s">
        <v>4575</v>
      </c>
      <c r="D244" s="2656" cm="1" t="n">
        <f t="array" ref="D244">INDEX('6층_부하량'!F3:F3000,MATCH(1,("6-DaHall 1-PDU-02"='6층_부하량'!A3:A3000)*(25='6층_부하량'!B3:B3000),0))</f>
        <v>2.39</v>
      </c>
      <c r="E244" s="157"/>
      <c r="F244" s="157"/>
      <c r="G244" s="157"/>
      <c r="H244" s="143" t="s">
        <v>4597</v>
      </c>
      <c r="I244" s="1471" t="s">
        <v>4683</v>
      </c>
      <c r="J244" s="294" t="s">
        <v>4685</v>
      </c>
      <c r="K244" s="143" t="s">
        <v>4597</v>
      </c>
      <c r="L244" s="2656" cm="1" t="n">
        <f t="array" ref="L244">INDEX('6층_부하량'!F3:F3000,MATCH(1,("6-DaHall 1-PDU-02"='6층_부하량'!A3:A3000)*(26='6층_부하량'!B3:B3000),0))</f>
        <v>1.5</v>
      </c>
      <c r="M244" s="157"/>
      <c r="N244" s="157"/>
      <c r="O244" s="157"/>
      <c r="P244" s="157" t="s">
        <v>4635</v>
      </c>
      <c r="Q244" s="164" t="s">
        <v>4575</v>
      </c>
      <c r="R244" s="342" t="s">
        <v>5333</v>
      </c>
    </row>
    <row r="245" spans="1:19" ht="16.5" x14ac:dyDescent="0.15">
      <c r="A245" s="607" t="s">
        <v>5334</v>
      </c>
      <c r="B245" s="143" t="s">
        <v>4635</v>
      </c>
      <c r="C245" s="164" t="s">
        <v>4575</v>
      </c>
      <c r="D245" s="157"/>
      <c r="E245" s="2656" cm="1" t="n">
        <f t="array" ref="E245">INDEX('6층_부하량'!G3:G3000,MATCH(1,("6-DaHall 1-PDU-02"='6층_부하량'!A3:A3000)*(27='6층_부하량'!B3:B3000),0))</f>
        <v>4.46</v>
      </c>
      <c r="F245" s="157"/>
      <c r="G245" s="157"/>
      <c r="H245" s="143" t="s">
        <v>4597</v>
      </c>
      <c r="I245" s="299" t="s">
        <v>4688</v>
      </c>
      <c r="J245" s="294" t="s">
        <v>4689</v>
      </c>
      <c r="K245" s="143" t="s">
        <v>4597</v>
      </c>
      <c r="L245" s="157"/>
      <c r="M245" s="2656" cm="1" t="n">
        <f t="array" ref="M245">INDEX('6층_부하량'!G3:G3000,MATCH(1,("6-DaHall 1-PDU-02"='6층_부하량'!A3:A3000)*(28='6층_부하량'!B3:B3000),0))</f>
        <v>5.46</v>
      </c>
      <c r="N245" s="157"/>
      <c r="O245" s="157"/>
      <c r="P245" s="157" t="s">
        <v>4635</v>
      </c>
      <c r="Q245" s="164" t="s">
        <v>4575</v>
      </c>
      <c r="R245" s="342" t="s">
        <v>5335</v>
      </c>
    </row>
    <row r="246" spans="1:19" x14ac:dyDescent="0.15">
      <c r="A246" s="607" t="s">
        <v>5336</v>
      </c>
      <c r="B246" s="143" t="s">
        <v>4635</v>
      </c>
      <c r="C246" s="143" t="s">
        <v>4723</v>
      </c>
      <c r="D246" s="157"/>
      <c r="E246" s="157"/>
      <c r="F246" s="2656" cm="1" t="n">
        <f t="array" ref="F246">INDEX('6층_부하량'!H3:H3000,MATCH(1,("6-DaHall 1-PDU-02"='6층_부하량'!A3:A3000)*(29='6층_부하량'!B3:B3000),0))</f>
        <v>3.32</v>
      </c>
      <c r="G246" s="157"/>
      <c r="H246" s="143" t="s">
        <v>4597</v>
      </c>
      <c r="I246" s="299" t="s">
        <v>4691</v>
      </c>
      <c r="J246" s="294" t="s">
        <v>4692</v>
      </c>
      <c r="K246" s="143" t="s">
        <v>4597</v>
      </c>
      <c r="L246" s="157"/>
      <c r="M246" s="157"/>
      <c r="N246" s="2656" cm="1" t="n">
        <f t="array" ref="N246">INDEX('6층_부하량'!H3:H3000,MATCH(1,("6-DaHall 1-PDU-02"='6층_부하량'!A3:A3000)*(30='6층_부하량'!B3:B3000),0))</f>
        <v>9.38</v>
      </c>
      <c r="O246" s="157"/>
      <c r="P246" s="157" t="s">
        <v>4635</v>
      </c>
      <c r="Q246" s="143" t="s">
        <v>4723</v>
      </c>
      <c r="R246" s="264" t="s">
        <v>5304</v>
      </c>
      <c r="S246" t="s">
        <v>5337</v>
      </c>
    </row>
    <row r="247" spans="1:19" ht="16.5" x14ac:dyDescent="0.15">
      <c r="A247" s="607" t="s">
        <v>5338</v>
      </c>
      <c r="B247" s="143" t="s">
        <v>4635</v>
      </c>
      <c r="C247" s="164" t="s">
        <v>4575</v>
      </c>
      <c r="D247" s="2656" cm="1" t="n">
        <f t="array" ref="D247">INDEX('6층_부하량'!F3:F3000,MATCH(1,("6-DaHall 1-PDU-02"='6층_부하량'!A3:A3000)*(31='6층_부하량'!B3:B3000),0))</f>
        <v>10.37</v>
      </c>
      <c r="E247" s="157"/>
      <c r="F247" s="157"/>
      <c r="G247" s="157"/>
      <c r="H247" s="143" t="s">
        <v>4597</v>
      </c>
      <c r="I247" s="299" t="s">
        <v>4693</v>
      </c>
      <c r="J247" s="1463" t="s">
        <v>4694</v>
      </c>
      <c r="K247" s="143" t="s">
        <v>4597</v>
      </c>
      <c r="L247" s="2656" cm="1" t="n">
        <f t="array" ref="L247">INDEX('6층_부하량'!F3:F3000,MATCH(1,("6-DaHall 1-PDU-02"='6층_부하량'!A3:A3000)*(32='6층_부하량'!B3:B3000),0))</f>
        <v>8.96</v>
      </c>
      <c r="M247" s="157"/>
      <c r="N247" s="157"/>
      <c r="O247" s="157"/>
      <c r="P247" s="157" t="s">
        <v>4635</v>
      </c>
      <c r="Q247" s="143" t="s">
        <v>4723</v>
      </c>
      <c r="R247" s="153" t="s">
        <v>5339</v>
      </c>
    </row>
    <row r="248" spans="1:19" ht="16.5" x14ac:dyDescent="0.15">
      <c r="A248" s="607" t="s">
        <v>5340</v>
      </c>
      <c r="B248" s="143" t="s">
        <v>4635</v>
      </c>
      <c r="C248" s="164" t="s">
        <v>4575</v>
      </c>
      <c r="D248" s="157"/>
      <c r="E248" s="2656" cm="1" t="n">
        <f t="array" ref="E248">INDEX('6층_부하량'!G3:G3000,MATCH(1,("6-DaHall 1-PDU-02"='6층_부하량'!A3:A3000)*(33='6층_부하량'!B3:B3000),0))</f>
        <v>5.08</v>
      </c>
      <c r="F248" s="157"/>
      <c r="G248" s="157"/>
      <c r="H248" s="143" t="s">
        <v>4597</v>
      </c>
      <c r="I248" s="299" t="s">
        <v>4697</v>
      </c>
      <c r="J248" s="294" t="s">
        <v>4698</v>
      </c>
      <c r="K248" s="143" t="s">
        <v>4597</v>
      </c>
      <c r="L248" s="157"/>
      <c r="M248" s="2656" cm="1" t="n">
        <f t="array" ref="M248">INDEX('6층_부하량'!G3:G3000,MATCH(1,("6-DaHall 1-PDU-02"='6층_부하량'!A3:A3000)*(34='6층_부하량'!B3:B3000),0))</f>
        <v>0.0</v>
      </c>
      <c r="N248" s="157"/>
      <c r="O248" s="157"/>
      <c r="P248" s="157" t="s">
        <v>4635</v>
      </c>
      <c r="Q248" s="164" t="s">
        <v>4575</v>
      </c>
      <c r="R248" s="475" t="s">
        <v>5341</v>
      </c>
    </row>
    <row r="249" spans="1:19" ht="16.5" x14ac:dyDescent="0.15">
      <c r="A249" s="607" t="s">
        <v>5342</v>
      </c>
      <c r="B249" s="143" t="s">
        <v>4635</v>
      </c>
      <c r="C249" s="164" t="s">
        <v>4575</v>
      </c>
      <c r="D249" s="157"/>
      <c r="E249" s="157"/>
      <c r="F249" s="2656" cm="1" t="n">
        <f t="array" ref="F249">INDEX('6층_부하량'!H3:H3000,MATCH(1,("6-DaHall 1-PDU-02"='6층_부하량'!A3:A3000)*(35='6층_부하량'!B3:B3000),0))</f>
        <v>0.64</v>
      </c>
      <c r="G249" s="157"/>
      <c r="H249" s="143" t="s">
        <v>4597</v>
      </c>
      <c r="I249" s="293" t="s">
        <v>4701</v>
      </c>
      <c r="J249" s="294" t="s">
        <v>4703</v>
      </c>
      <c r="K249" s="143" t="s">
        <v>4597</v>
      </c>
      <c r="L249" s="157"/>
      <c r="M249" s="157"/>
      <c r="N249" s="2656" cm="1" t="n">
        <f t="array" ref="N249">INDEX('6층_부하량'!H3:H3000,MATCH(1,("6-DaHall 1-PDU-02"='6층_부하량'!A3:A3000)*(36='6층_부하량'!B3:B3000),0))</f>
        <v>2.4</v>
      </c>
      <c r="O249" s="157"/>
      <c r="P249" s="149" t="s">
        <v>4635</v>
      </c>
      <c r="Q249" s="164" t="s">
        <v>4575</v>
      </c>
      <c r="R249" s="2114" t="s">
        <v>5343</v>
      </c>
    </row>
    <row r="250" spans="1:19" ht="27" x14ac:dyDescent="0.15">
      <c r="A250" s="607" t="s">
        <v>5344</v>
      </c>
      <c r="B250" s="143" t="s">
        <v>4635</v>
      </c>
      <c r="C250" s="164" t="s">
        <v>4575</v>
      </c>
      <c r="D250" s="2656" cm="1" t="n">
        <f t="array" ref="D250">INDEX('6층_부하량'!F3:F3000,MATCH(1,("6-DaHall 1-PDU-02"='6층_부하량'!A3:A3000)*(37='6층_부하량'!B3:B3000),0))</f>
        <v>0.0</v>
      </c>
      <c r="E250" s="157"/>
      <c r="F250" s="157"/>
      <c r="G250" s="157"/>
      <c r="H250" s="143" t="s">
        <v>4597</v>
      </c>
      <c r="I250" s="293" t="s">
        <v>4706</v>
      </c>
      <c r="J250" s="294" t="s">
        <v>4707</v>
      </c>
      <c r="K250" s="143" t="s">
        <v>4597</v>
      </c>
      <c r="L250" s="2656" cm="1" t="n">
        <f t="array" ref="L250">INDEX('6층_부하량'!F3:F3000,MATCH(1,("6-DaHall 1-PDU-02"='6층_부하량'!A3:A3000)*(38='6층_부하량'!B3:B3000),0))</f>
        <v>0.0</v>
      </c>
      <c r="M250" s="157"/>
      <c r="N250" s="157"/>
      <c r="O250" s="157"/>
      <c r="P250" s="149" t="s">
        <v>4635</v>
      </c>
      <c r="Q250" s="164" t="s">
        <v>4575</v>
      </c>
      <c r="R250" s="345" t="s">
        <v>5345</v>
      </c>
    </row>
    <row r="251" spans="1:19" ht="27" x14ac:dyDescent="0.15">
      <c r="A251" s="607" t="s">
        <v>5346</v>
      </c>
      <c r="B251" s="143" t="s">
        <v>4635</v>
      </c>
      <c r="C251" s="164" t="s">
        <v>4575</v>
      </c>
      <c r="D251" s="157"/>
      <c r="E251" s="2656" cm="1" t="n">
        <f t="array" ref="E251">INDEX('6층_부하량'!G3:G3000,MATCH(1,("6-DaHall 1-PDU-02"='6층_부하량'!A3:A3000)*(39='6층_부하량'!B3:B3000),0))</f>
        <v>0.33</v>
      </c>
      <c r="F251" s="157"/>
      <c r="G251" s="157"/>
      <c r="H251" s="143" t="s">
        <v>4597</v>
      </c>
      <c r="I251" s="299" t="s">
        <v>4710</v>
      </c>
      <c r="J251" s="1463" t="s">
        <v>4711</v>
      </c>
      <c r="K251" s="143" t="s">
        <v>4597</v>
      </c>
      <c r="L251" s="157"/>
      <c r="M251" s="2656" cm="1" t="n">
        <f t="array" ref="M251">INDEX('6층_부하량'!G3:G3000,MATCH(1,("6-DaHall 1-PDU-02"='6층_부하량'!A3:A3000)*(40='6층_부하량'!B3:B3000),0))</f>
        <v>0.0</v>
      </c>
      <c r="N251" s="157"/>
      <c r="O251" s="157"/>
      <c r="P251" s="149" t="s">
        <v>4635</v>
      </c>
      <c r="Q251" s="164" t="s">
        <v>4575</v>
      </c>
      <c r="R251" s="345" t="s">
        <v>5347</v>
      </c>
    </row>
    <row r="252" spans="1:19" ht="16.5" x14ac:dyDescent="0.15">
      <c r="A252" s="274" t="s">
        <v>5298</v>
      </c>
      <c r="B252" s="143" t="s">
        <v>4635</v>
      </c>
      <c r="C252" s="164" t="s">
        <v>4575</v>
      </c>
      <c r="D252" s="157"/>
      <c r="E252" s="157"/>
      <c r="F252" s="2656" cm="1" t="n">
        <f t="array" ref="F252">INDEX('6층_부하량'!H3:H3000,MATCH(1,("6-DaHall 1-PDU-02"='6층_부하량'!A3:A3000)*(41='6층_부하량'!B3:B3000),0))</f>
        <v>1.62</v>
      </c>
      <c r="G252" s="157"/>
      <c r="H252" s="143" t="s">
        <v>4597</v>
      </c>
      <c r="I252" s="293" t="s">
        <v>5055</v>
      </c>
      <c r="J252" s="1463" t="s">
        <v>4843</v>
      </c>
      <c r="K252" s="143" t="s">
        <v>4597</v>
      </c>
      <c r="L252" s="157"/>
      <c r="M252" s="157"/>
      <c r="N252" s="2656" cm="1" t="n">
        <f t="array" ref="N252">INDEX('6층_부하량'!H3:H3000,MATCH(1,("6-DaHall 1-PDU-02"='6층_부하량'!A3:A3000)*(42='6층_부하량'!B3:B3000),0))</f>
        <v>4.58</v>
      </c>
      <c r="O252" s="157"/>
      <c r="P252" s="149" t="s">
        <v>4635</v>
      </c>
      <c r="Q252" s="164" t="s">
        <v>4575</v>
      </c>
      <c r="R252" s="326" t="s">
        <v>379</v>
      </c>
    </row>
    <row r="253" spans="1:19" ht="16.5" x14ac:dyDescent="0.15">
      <c r="A253" s="607" t="s">
        <v>5348</v>
      </c>
      <c r="B253" s="143" t="s">
        <v>4635</v>
      </c>
      <c r="C253" s="164" t="s">
        <v>4575</v>
      </c>
      <c r="D253" s="2656" cm="1" t="n">
        <f t="array" ref="D253">INDEX('6층_부하량'!F3:F3000,MATCH(1,("6-DaHall 1-PDU-02"='6층_부하량'!A3:A3000)*(43='6층_부하량'!B3:B3000),0))</f>
        <v>5.99</v>
      </c>
      <c r="E253" s="157"/>
      <c r="F253" s="157"/>
      <c r="G253" s="157"/>
      <c r="H253" s="143" t="s">
        <v>4597</v>
      </c>
      <c r="I253" s="293" t="s">
        <v>4845</v>
      </c>
      <c r="J253" s="1463" t="s">
        <v>4846</v>
      </c>
      <c r="K253" s="143" t="s">
        <v>4597</v>
      </c>
      <c r="L253" s="2656" cm="1" t="n">
        <f t="array" ref="L253">INDEX('6층_부하량'!F3:F3000,MATCH(1,("6-DaHall 1-PDU-02"='6층_부하량'!A3:A3000)*(44='6층_부하량'!B3:B3000),0))</f>
        <v>0.0</v>
      </c>
      <c r="M253" s="157"/>
      <c r="N253" s="157"/>
      <c r="O253" s="157"/>
      <c r="P253" s="149" t="s">
        <v>4635</v>
      </c>
      <c r="Q253" s="143" t="s">
        <v>4723</v>
      </c>
      <c r="R253" s="2114" t="s">
        <v>2315</v>
      </c>
      <c r="S253" s="2147" t="s">
        <v>5349</v>
      </c>
    </row>
    <row r="254" spans="1:19" ht="16.5" x14ac:dyDescent="0.15">
      <c r="A254" s="607" t="s">
        <v>5350</v>
      </c>
      <c r="B254" s="143" t="s">
        <v>4635</v>
      </c>
      <c r="C254" s="164" t="s">
        <v>4575</v>
      </c>
      <c r="D254" s="157"/>
      <c r="E254" s="2656" cm="1" t="n">
        <f t="array" ref="E254">INDEX('6층_부하량'!G3:G3000,MATCH(1,("6-DaHall 1-PDU-02"='6층_부하량'!A3:A3000)*(45='6층_부하량'!B3:B3000),0))</f>
        <v>0.0</v>
      </c>
      <c r="F254" s="157"/>
      <c r="G254" s="157"/>
      <c r="H254" s="143" t="s">
        <v>4597</v>
      </c>
      <c r="I254" s="1465" t="s">
        <v>4847</v>
      </c>
      <c r="J254" s="1463" t="s">
        <v>4848</v>
      </c>
      <c r="K254" s="143" t="s">
        <v>4597</v>
      </c>
      <c r="L254" s="157"/>
      <c r="M254" s="2656" cm="1" t="n">
        <f t="array" ref="M254">INDEX('6층_부하량'!G3:G3000,MATCH(1,("6-DaHall 1-PDU-02"='6층_부하량'!A3:A3000)*(46='6층_부하량'!B3:B3000),0))</f>
        <v>4.5</v>
      </c>
      <c r="N254" s="157"/>
      <c r="O254" s="157"/>
      <c r="P254" s="157" t="s">
        <v>565</v>
      </c>
      <c r="Q254" s="143" t="s">
        <v>4723</v>
      </c>
      <c r="R254" s="182" t="s">
        <v>5351</v>
      </c>
    </row>
    <row r="255" spans="1:19" ht="16.5" x14ac:dyDescent="0.15">
      <c r="A255" s="607" t="s">
        <v>5352</v>
      </c>
      <c r="B255" s="143" t="s">
        <v>4635</v>
      </c>
      <c r="C255" s="164" t="s">
        <v>4575</v>
      </c>
      <c r="D255" s="157"/>
      <c r="E255" s="157"/>
      <c r="F255" s="2656" cm="1" t="n">
        <f t="array" ref="F255">INDEX('6층_부하량'!H3:H3000,MATCH(1,("6-DaHall 1-PDU-02"='6층_부하량'!A3:A3000)*(47='6층_부하량'!B3:B3000),0))</f>
        <v>0.0</v>
      </c>
      <c r="G255" s="157"/>
      <c r="H255" s="143" t="s">
        <v>4597</v>
      </c>
      <c r="I255" s="1471" t="s">
        <v>4849</v>
      </c>
      <c r="J255" s="294" t="s">
        <v>4850</v>
      </c>
      <c r="K255" s="143" t="s">
        <v>4597</v>
      </c>
      <c r="L255" s="157"/>
      <c r="M255" s="157"/>
      <c r="N255" s="2656" cm="1" t="n">
        <f t="array" ref="N255">INDEX('6층_부하량'!H3:H3000,MATCH(1,("6-DaHall 1-PDU-02"='6층_부하량'!A3:A3000)*(48='6층_부하량'!B3:B3000),0))</f>
        <v>0.0</v>
      </c>
      <c r="O255" s="157"/>
      <c r="P255" s="157" t="s">
        <v>4635</v>
      </c>
      <c r="Q255" s="164" t="s">
        <v>4575</v>
      </c>
      <c r="R255" s="342" t="s">
        <v>5353</v>
      </c>
    </row>
    <row r="256" spans="1:19" ht="14.25" thickBot="1" x14ac:dyDescent="0.2">
      <c r="A256" s="165"/>
      <c r="B256" s="166" t="s">
        <v>565</v>
      </c>
      <c r="C256" s="166" t="s">
        <v>4723</v>
      </c>
      <c r="D256" s="2659" cm="1" t="n">
        <f t="array" ref="D256">INDEX('6층_부하량'!F3:F3000,MATCH(1,("6-DaHall 1-PDU-02"='6층_부하량'!A3:A3000)*(49='6층_부하량'!B3:B3000),0))</f>
        <v>0.0</v>
      </c>
      <c r="E256" s="167"/>
      <c r="F256" s="167"/>
      <c r="G256" s="167"/>
      <c r="H256" s="166" t="s">
        <v>4597</v>
      </c>
      <c r="I256" s="1472" t="s">
        <v>4851</v>
      </c>
      <c r="J256" s="1473" t="s">
        <v>4852</v>
      </c>
      <c r="K256" s="166" t="s">
        <v>4597</v>
      </c>
      <c r="L256" s="2659" cm="1" t="n">
        <f t="array" ref="L256">INDEX('6층_부하량'!F3:F3000,MATCH(1,("6-DaHall 1-PDU-02"='6층_부하량'!A3:A3000)*(50='6층_부하량'!B3:B3000),0))</f>
        <v>0.0</v>
      </c>
      <c r="M256" s="167"/>
      <c r="N256" s="167"/>
      <c r="O256" s="167"/>
      <c r="P256" s="167" t="s">
        <v>565</v>
      </c>
      <c r="Q256" s="166" t="s">
        <v>4723</v>
      </c>
      <c r="R256" s="170"/>
    </row>
    <row r="257" spans="1:18" ht="14.25" thickTop="1" x14ac:dyDescent="0.15">
      <c r="A257" s="171"/>
      <c r="B257" s="133"/>
      <c r="C257" s="133"/>
      <c r="D257" s="131"/>
      <c r="E257" s="131"/>
      <c r="F257" s="131"/>
      <c r="G257" s="131"/>
      <c r="H257" s="133"/>
      <c r="I257" s="172"/>
      <c r="J257" s="172"/>
      <c r="K257" s="133" t="s">
        <v>4713</v>
      </c>
      <c r="L257" s="131" t="n">
        <f>SUM(D232:D256,L232:L256)</f>
        <v>45.46</v>
      </c>
      <c r="M257" s="131" t="n">
        <f>SUM(E232:E256,M232:M256)</f>
        <v>46.550000000000004</v>
      </c>
      <c r="N257" s="131" t="n">
        <f>SUM(F232:F256,N232:N256)</f>
        <v>40.9</v>
      </c>
      <c r="O257" s="131"/>
      <c r="P257" s="131"/>
      <c r="Q257" s="133"/>
      <c r="R257" s="131"/>
    </row>
    <row r="258" spans="1:18" ht="14.25" thickBot="1" x14ac:dyDescent="0.2">
      <c r="A258" s="128"/>
      <c r="B258" s="128"/>
      <c r="C258" s="128"/>
      <c r="D258" s="128"/>
      <c r="E258" s="128"/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</row>
    <row r="259" spans="1:18" ht="15" thickTop="1" thickBot="1" x14ac:dyDescent="0.2">
      <c r="A259" s="173" t="s">
        <v>7005</v>
      </c>
      <c r="B259" s="128"/>
      <c r="C259" s="3660" t="s">
        <v>5354</v>
      </c>
      <c r="D259" s="3660"/>
      <c r="E259" s="3660"/>
      <c r="F259" s="173"/>
      <c r="G259" s="173"/>
      <c r="H259" s="133"/>
      <c r="I259" s="3665" t="s">
        <v>5063</v>
      </c>
      <c r="J259" s="3666"/>
      <c r="K259" s="133"/>
      <c r="L259" s="173"/>
      <c r="M259" s="173"/>
      <c r="N259" s="173"/>
      <c r="O259" s="173"/>
      <c r="P259" s="173"/>
      <c r="Q259" s="173"/>
      <c r="R259" s="128"/>
    </row>
    <row r="260" spans="1:18" ht="15" thickTop="1" thickBot="1" x14ac:dyDescent="0.2">
      <c r="A260" s="127"/>
      <c r="B260" s="128"/>
      <c r="C260" s="128"/>
      <c r="D260" s="129"/>
      <c r="E260" s="129"/>
      <c r="F260" s="130"/>
      <c r="G260" s="129"/>
      <c r="H260" s="131"/>
      <c r="I260" s="128"/>
      <c r="J260" s="132"/>
      <c r="K260" s="1371" t="s">
        <v>4562</v>
      </c>
      <c r="L260" s="1368">
        <v>20.7</v>
      </c>
      <c r="M260" s="1369">
        <v>21.3</v>
      </c>
      <c r="N260" s="1370">
        <v>10.5</v>
      </c>
      <c r="O260" s="508" t="s">
        <v>4563</v>
      </c>
      <c r="P260" s="133"/>
      <c r="Q260" s="128"/>
      <c r="R260" s="528"/>
    </row>
    <row r="261" spans="1:18" ht="15" thickTop="1" thickBot="1" x14ac:dyDescent="0.2">
      <c r="A261" s="134" t="s">
        <v>4564</v>
      </c>
      <c r="B261" s="135" t="s">
        <v>5031</v>
      </c>
      <c r="C261" s="136" t="s">
        <v>4566</v>
      </c>
      <c r="D261" s="135" t="s">
        <v>5032</v>
      </c>
      <c r="E261" s="135" t="s">
        <v>5033</v>
      </c>
      <c r="F261" s="135" t="s">
        <v>5034</v>
      </c>
      <c r="G261" s="135" t="s">
        <v>5035</v>
      </c>
      <c r="H261" s="135" t="s">
        <v>5036</v>
      </c>
      <c r="I261" s="138" t="s">
        <v>5037</v>
      </c>
      <c r="J261" s="139" t="s">
        <v>5037</v>
      </c>
      <c r="K261" s="135" t="s">
        <v>5036</v>
      </c>
      <c r="L261" s="135" t="s">
        <v>5032</v>
      </c>
      <c r="M261" s="135" t="s">
        <v>5033</v>
      </c>
      <c r="N261" s="135" t="s">
        <v>5034</v>
      </c>
      <c r="O261" s="135" t="s">
        <v>5035</v>
      </c>
      <c r="P261" s="135" t="s">
        <v>5031</v>
      </c>
      <c r="Q261" s="136" t="s">
        <v>4566</v>
      </c>
      <c r="R261" s="140" t="s">
        <v>4564</v>
      </c>
    </row>
    <row r="262" spans="1:18" ht="17.25" thickTop="1" x14ac:dyDescent="0.15">
      <c r="A262" s="141" t="s">
        <v>5355</v>
      </c>
      <c r="B262" s="142" t="s">
        <v>4635</v>
      </c>
      <c r="C262" s="164" t="s">
        <v>4575</v>
      </c>
      <c r="D262" s="2654" cm="1" t="n">
        <f t="array" ref="D262">INDEX('6층_부하량'!F3:F3000,MATCH(1,("6-DaHall 1-PDU-03"='6층_부하량'!A3:A3000)*(1='6층_부하량'!B3:B3000),0))</f>
        <v>6.75</v>
      </c>
      <c r="E262" s="144"/>
      <c r="F262" s="144"/>
      <c r="G262" s="144"/>
      <c r="H262" s="142" t="s">
        <v>4597</v>
      </c>
      <c r="I262" s="1469" t="s">
        <v>4633</v>
      </c>
      <c r="J262" s="1476" t="s">
        <v>4578</v>
      </c>
      <c r="K262" s="142" t="s">
        <v>4597</v>
      </c>
      <c r="L262" s="2654" cm="1" t="n">
        <f t="array" ref="L262">INDEX('6층_부하량'!F3:F3000,MATCH(1,("6-DaHall 1-PDU-03"='6층_부하량'!A3:A3000)*(2='6층_부하량'!B3:B3000),0))</f>
        <v>6.15</v>
      </c>
      <c r="M262" s="144"/>
      <c r="N262" s="144"/>
      <c r="O262" s="144"/>
      <c r="P262" s="144" t="s">
        <v>565</v>
      </c>
      <c r="Q262" s="142" t="s">
        <v>4723</v>
      </c>
      <c r="R262" s="147" t="s">
        <v>5356</v>
      </c>
    </row>
    <row r="263" spans="1:18" ht="16.5" x14ac:dyDescent="0.15">
      <c r="A263" s="158" t="s">
        <v>5357</v>
      </c>
      <c r="B263" s="143" t="s">
        <v>4635</v>
      </c>
      <c r="C263" s="164" t="s">
        <v>4575</v>
      </c>
      <c r="D263" s="149"/>
      <c r="E263" s="2655" cm="1" t="n">
        <f t="array" ref="E263">INDEX('6층_부하량'!G3:G3000,MATCH(1,("6-DaHall 1-PDU-03"='6층_부하량'!A3:A3000)*(3='6층_부하량'!B3:B3000),0))</f>
        <v>6.17</v>
      </c>
      <c r="F263" s="149"/>
      <c r="G263" s="149"/>
      <c r="H263" s="143" t="s">
        <v>4597</v>
      </c>
      <c r="I263" s="1465" t="s">
        <v>4638</v>
      </c>
      <c r="J263" s="1463" t="s">
        <v>4583</v>
      </c>
      <c r="K263" s="143" t="s">
        <v>4597</v>
      </c>
      <c r="L263" s="149"/>
      <c r="M263" s="2655" cm="1" t="n">
        <f t="array" ref="M263">INDEX('6층_부하량'!G3:G3000,MATCH(1,("6-DaHall 1-PDU-03"='6층_부하량'!A3:A3000)*(4='6층_부하량'!B3:B3000),0))</f>
        <v>4.1</v>
      </c>
      <c r="N263" s="149"/>
      <c r="O263" s="149"/>
      <c r="P263" s="149" t="s">
        <v>565</v>
      </c>
      <c r="Q263" s="143" t="s">
        <v>4723</v>
      </c>
      <c r="R263" s="153" t="s">
        <v>5358</v>
      </c>
    </row>
    <row r="264" spans="1:18" ht="16.5" x14ac:dyDescent="0.15">
      <c r="A264" s="148" t="s">
        <v>5359</v>
      </c>
      <c r="B264" s="143" t="s">
        <v>4635</v>
      </c>
      <c r="C264" s="164" t="s">
        <v>4575</v>
      </c>
      <c r="D264" s="157"/>
      <c r="E264" s="157"/>
      <c r="F264" s="2656" cm="1" t="n">
        <f t="array" ref="F264">INDEX('6층_부하량'!H3:H3000,MATCH(1,("6-DaHall 1-PDU-03"='6층_부하량'!A3:A3000)*(5='6층_부하량'!B3:B3000),0))</f>
        <v>5.77</v>
      </c>
      <c r="G264" s="157"/>
      <c r="H264" s="143" t="s">
        <v>4597</v>
      </c>
      <c r="I264" s="1471" t="s">
        <v>4641</v>
      </c>
      <c r="J264" s="1460" t="s">
        <v>4588</v>
      </c>
      <c r="K264" s="143" t="s">
        <v>4597</v>
      </c>
      <c r="L264" s="157"/>
      <c r="M264" s="157"/>
      <c r="N264" s="2656" cm="1" t="n">
        <f t="array" ref="N264">INDEX('6층_부하량'!H3:H3000,MATCH(1,("6-DaHall 1-PDU-03"='6층_부하량'!A3:A3000)*(6='6층_부하량'!B3:B3000),0))</f>
        <v>3.52</v>
      </c>
      <c r="O264" s="157"/>
      <c r="P264" s="157" t="s">
        <v>565</v>
      </c>
      <c r="Q264" s="143" t="s">
        <v>4723</v>
      </c>
      <c r="R264" s="153" t="s">
        <v>5360</v>
      </c>
    </row>
    <row r="265" spans="1:18" ht="16.5" x14ac:dyDescent="0.15">
      <c r="A265" s="158" t="s">
        <v>5361</v>
      </c>
      <c r="B265" s="143" t="s">
        <v>4635</v>
      </c>
      <c r="C265" s="164" t="s">
        <v>4575</v>
      </c>
      <c r="D265" s="2656" cm="1" t="n">
        <f t="array" ref="D265">INDEX('6층_부하량'!F3:F3000,MATCH(1,("6-DaHall 1-PDU-03"='6층_부하량'!A3:A3000)*(7='6층_부하량'!B3:B3000),0))</f>
        <v>6.77</v>
      </c>
      <c r="E265" s="157"/>
      <c r="F265" s="157"/>
      <c r="G265" s="157"/>
      <c r="H265" s="143" t="s">
        <v>4597</v>
      </c>
      <c r="I265" s="1471" t="s">
        <v>4645</v>
      </c>
      <c r="J265" s="1460" t="s">
        <v>4593</v>
      </c>
      <c r="K265" s="143" t="s">
        <v>4597</v>
      </c>
      <c r="L265" s="2656" cm="1" t="n">
        <f t="array" ref="L265">INDEX('6층_부하량'!F3:F3000,MATCH(1,("6-DaHall 1-PDU-03"='6층_부하량'!A3:A3000)*(8='6층_부하량'!B3:B3000),0))</f>
        <v>4.27</v>
      </c>
      <c r="M265" s="157"/>
      <c r="N265" s="157"/>
      <c r="O265" s="157"/>
      <c r="P265" s="157" t="s">
        <v>565</v>
      </c>
      <c r="Q265" s="143" t="s">
        <v>4723</v>
      </c>
      <c r="R265" s="153" t="s">
        <v>5362</v>
      </c>
    </row>
    <row r="266" spans="1:18" ht="16.5" x14ac:dyDescent="0.15">
      <c r="A266" s="148" t="s">
        <v>5363</v>
      </c>
      <c r="B266" s="143" t="s">
        <v>4635</v>
      </c>
      <c r="C266" s="164" t="s">
        <v>4575</v>
      </c>
      <c r="D266" s="157"/>
      <c r="E266" s="2656" cm="1" t="n">
        <f t="array" ref="E266">INDEX('6층_부하량'!G3:G3000,MATCH(1,("6-DaHall 1-PDU-03"='6층_부하량'!A3:A3000)*(9='6층_부하량'!B3:B3000),0))</f>
        <v>5.87</v>
      </c>
      <c r="F266" s="157"/>
      <c r="G266" s="157"/>
      <c r="H266" s="143" t="s">
        <v>4597</v>
      </c>
      <c r="I266" s="1471" t="s">
        <v>4648</v>
      </c>
      <c r="J266" s="1460" t="s">
        <v>4596</v>
      </c>
      <c r="K266" s="143" t="s">
        <v>4597</v>
      </c>
      <c r="L266" s="157"/>
      <c r="M266" s="2656" cm="1" t="n">
        <f t="array" ref="M266">INDEX('6층_부하량'!G3:G3000,MATCH(1,("6-DaHall 1-PDU-03"='6층_부하량'!A3:A3000)*(10='6층_부하량'!B3:B3000),0))</f>
        <v>0.0</v>
      </c>
      <c r="N266" s="157"/>
      <c r="O266" s="157"/>
      <c r="P266" s="157" t="s">
        <v>565</v>
      </c>
      <c r="Q266" s="143" t="s">
        <v>4723</v>
      </c>
      <c r="R266" s="153" t="s">
        <v>5364</v>
      </c>
    </row>
    <row r="267" spans="1:18" ht="16.5" x14ac:dyDescent="0.15">
      <c r="A267" s="158" t="s">
        <v>5365</v>
      </c>
      <c r="B267" s="143" t="s">
        <v>4635</v>
      </c>
      <c r="C267" s="164" t="s">
        <v>4575</v>
      </c>
      <c r="D267" s="157"/>
      <c r="E267" s="157"/>
      <c r="F267" s="2656" cm="1" t="n">
        <f t="array" ref="F267">INDEX('6층_부하량'!H3:H3000,MATCH(1,("6-DaHall 1-PDU-03"='6층_부하량'!A3:A3000)*(11='6층_부하량'!B3:B3000),0))</f>
        <v>4.91</v>
      </c>
      <c r="G267" s="157" t="s">
        <v>5366</v>
      </c>
      <c r="H267" s="143" t="s">
        <v>4597</v>
      </c>
      <c r="I267" s="1471" t="s">
        <v>4653</v>
      </c>
      <c r="J267" s="1460" t="s">
        <v>4599</v>
      </c>
      <c r="K267" s="143" t="s">
        <v>4597</v>
      </c>
      <c r="L267" s="157"/>
      <c r="M267" s="157"/>
      <c r="N267" s="2656" cm="1" t="n">
        <f t="array" ref="N267">INDEX('6층_부하량'!H3:H3000,MATCH(1,("6-DaHall 1-PDU-03"='6층_부하량'!A3:A3000)*(12='6층_부하량'!B3:B3000),0))</f>
        <v>0.0</v>
      </c>
      <c r="O267" s="157"/>
      <c r="P267" s="157" t="s">
        <v>565</v>
      </c>
      <c r="Q267" s="143" t="s">
        <v>4723</v>
      </c>
      <c r="R267" s="153" t="s">
        <v>5367</v>
      </c>
    </row>
    <row r="268" spans="1:18" ht="16.5" x14ac:dyDescent="0.15">
      <c r="A268" s="148" t="s">
        <v>5368</v>
      </c>
      <c r="B268" s="143" t="s">
        <v>4635</v>
      </c>
      <c r="C268" s="164" t="s">
        <v>4575</v>
      </c>
      <c r="D268" s="2656" cm="1" t="n">
        <f t="array" ref="D268">INDEX('6층_부하량'!F3:F3000,MATCH(1,("6-DaHall 1-PDU-03"='6층_부하량'!A3:A3000)*(13='6층_부하량'!B3:B3000),0))</f>
        <v>8.12</v>
      </c>
      <c r="E268" s="157"/>
      <c r="F268" s="157"/>
      <c r="G268" s="157"/>
      <c r="H268" s="143" t="s">
        <v>4597</v>
      </c>
      <c r="I268" s="1471" t="s">
        <v>4657</v>
      </c>
      <c r="J268" s="1460" t="s">
        <v>4601</v>
      </c>
      <c r="K268" s="143" t="s">
        <v>4597</v>
      </c>
      <c r="L268" s="2656" cm="1" t="n">
        <f t="array" ref="L268">INDEX('6층_부하량'!F3:F3000,MATCH(1,("6-DaHall 1-PDU-03"='6층_부하량'!A3:A3000)*(14='6층_부하량'!B3:B3000),0))</f>
        <v>0.0</v>
      </c>
      <c r="M268" s="157"/>
      <c r="N268" s="157"/>
      <c r="O268" s="157"/>
      <c r="P268" s="157" t="s">
        <v>565</v>
      </c>
      <c r="Q268" s="143" t="s">
        <v>4723</v>
      </c>
      <c r="R268" s="153" t="s">
        <v>5369</v>
      </c>
    </row>
    <row r="269" spans="1:18" ht="16.5" x14ac:dyDescent="0.15">
      <c r="A269" s="158" t="s">
        <v>5370</v>
      </c>
      <c r="B269" s="143" t="s">
        <v>4635</v>
      </c>
      <c r="C269" s="164" t="s">
        <v>4575</v>
      </c>
      <c r="D269" s="157"/>
      <c r="E269" s="2656" cm="1" t="n">
        <f t="array" ref="E269">INDEX('6층_부하량'!G3:G3000,MATCH(1,("6-DaHall 1-PDU-03"='6층_부하량'!A3:A3000)*(15='6층_부하량'!B3:B3000),0))</f>
        <v>4.25</v>
      </c>
      <c r="F269" s="157"/>
      <c r="G269" s="157"/>
      <c r="H269" s="143" t="s">
        <v>4597</v>
      </c>
      <c r="I269" s="1471" t="s">
        <v>4661</v>
      </c>
      <c r="J269" s="151" t="s">
        <v>4603</v>
      </c>
      <c r="K269" s="143" t="s">
        <v>4597</v>
      </c>
      <c r="L269" s="157"/>
      <c r="M269" s="2656" cm="1" t="n">
        <f t="array" ref="M269">INDEX('6층_부하량'!G3:G3000,MATCH(1,("6-DaHall 1-PDU-03"='6층_부하량'!A3:A3000)*(16='6층_부하량'!B3:B3000),0))</f>
        <v>0.0</v>
      </c>
      <c r="N269" s="157"/>
      <c r="O269" s="157"/>
      <c r="P269" s="157" t="s">
        <v>4635</v>
      </c>
      <c r="Q269" s="164" t="s">
        <v>4575</v>
      </c>
      <c r="R269" s="342" t="s">
        <v>5371</v>
      </c>
    </row>
    <row r="270" spans="1:18" ht="17.25" thickBot="1" x14ac:dyDescent="0.2">
      <c r="A270" s="148" t="s">
        <v>5372</v>
      </c>
      <c r="B270" s="159" t="s">
        <v>4635</v>
      </c>
      <c r="C270" s="164" t="s">
        <v>4575</v>
      </c>
      <c r="D270" s="177"/>
      <c r="E270" s="177"/>
      <c r="F270" s="2661" cm="1" t="n">
        <f t="array" ref="F270">INDEX('6층_부하량'!H3:H3000,MATCH(1,("6-DaHall 1-PDU-03"='6층_부하량'!A3:A3000)*(17='6층_부하량'!B3:B3000),0))</f>
        <v>2.14</v>
      </c>
      <c r="G270" s="160"/>
      <c r="H270" s="159" t="s">
        <v>4597</v>
      </c>
      <c r="I270" s="1478" t="s">
        <v>4665</v>
      </c>
      <c r="J270" s="192" t="s">
        <v>4605</v>
      </c>
      <c r="K270" s="159" t="s">
        <v>4597</v>
      </c>
      <c r="L270" s="177"/>
      <c r="M270" s="177"/>
      <c r="N270" s="2661" cm="1" t="n">
        <f t="array" ref="N270">INDEX('6층_부하량'!H3:H3000,MATCH(1,("6-DaHall 1-PDU-03"='6층_부하량'!A3:A3000)*(18='6층_부하량'!B3:B3000),0))</f>
        <v>0.0</v>
      </c>
      <c r="O270" s="160"/>
      <c r="P270" s="160" t="s">
        <v>4635</v>
      </c>
      <c r="Q270" s="164" t="s">
        <v>4575</v>
      </c>
      <c r="R270" s="342" t="s">
        <v>5373</v>
      </c>
    </row>
    <row r="271" spans="1:18" ht="14.25" thickTop="1" x14ac:dyDescent="0.15">
      <c r="A271" s="141" t="s">
        <v>5374</v>
      </c>
      <c r="B271" s="142" t="s">
        <v>565</v>
      </c>
      <c r="C271" s="142" t="s">
        <v>4723</v>
      </c>
      <c r="D271" s="2658" cm="1" t="n">
        <f t="array" ref="D271">INDEX('6층_부하량'!F3:F3000,MATCH(1,("6-DaHall 1-PDU-03"='6층_부하량'!A3:A3000)*(19='6층_부하량'!B3:B3000),0))</f>
        <v>0.0</v>
      </c>
      <c r="E271" s="179"/>
      <c r="F271" s="179"/>
      <c r="G271" s="163"/>
      <c r="H271" s="142" t="s">
        <v>4597</v>
      </c>
      <c r="I271" s="1479" t="s">
        <v>4670</v>
      </c>
      <c r="J271" s="1481" t="s">
        <v>4609</v>
      </c>
      <c r="K271" s="142" t="s">
        <v>4597</v>
      </c>
      <c r="L271" s="2658" cm="1" t="n">
        <f t="array" ref="L271">INDEX('6층_부하량'!F3:F3000,MATCH(1,("6-DaHall 1-PDU-03"='6층_부하량'!A3:A3000)*(20='6층_부하량'!B3:B3000),0))</f>
        <v>0.0</v>
      </c>
      <c r="M271" s="179"/>
      <c r="N271" s="179"/>
      <c r="O271" s="163"/>
      <c r="P271" s="163" t="s">
        <v>4635</v>
      </c>
      <c r="Q271" s="142" t="s">
        <v>4723</v>
      </c>
      <c r="R271" s="147" t="s">
        <v>3170</v>
      </c>
    </row>
    <row r="272" spans="1:18" ht="16.5" x14ac:dyDescent="0.15">
      <c r="A272" s="174" t="s">
        <v>5375</v>
      </c>
      <c r="B272" s="156" t="s">
        <v>565</v>
      </c>
      <c r="C272" s="143" t="s">
        <v>4723</v>
      </c>
      <c r="D272" s="157"/>
      <c r="E272" s="2656" cm="1" t="n">
        <f t="array" ref="E272">INDEX('6층_부하량'!G3:G3000,MATCH(1,("6-DaHall 1-PDU-03"='6층_부하량'!A3:A3000)*(21='6층_부하량'!B3:B3000),0))</f>
        <v>0.0</v>
      </c>
      <c r="F272" s="157"/>
      <c r="G272" s="179"/>
      <c r="H272" s="156" t="s">
        <v>4597</v>
      </c>
      <c r="I272" s="1470" t="s">
        <v>4674</v>
      </c>
      <c r="J272" s="181" t="s">
        <v>4613</v>
      </c>
      <c r="K272" s="156" t="s">
        <v>4597</v>
      </c>
      <c r="L272" s="157"/>
      <c r="M272" s="2656" cm="1" t="n">
        <f t="array" ref="M272">INDEX('6층_부하량'!G3:G3000,MATCH(1,("6-DaHall 1-PDU-03"='6층_부하량'!A3:A3000)*(22='6층_부하량'!B3:B3000),0))</f>
        <v>0.0</v>
      </c>
      <c r="N272" s="157"/>
      <c r="O272" s="179"/>
      <c r="P272" s="179" t="s">
        <v>4635</v>
      </c>
      <c r="Q272" s="164" t="s">
        <v>4575</v>
      </c>
      <c r="R272" s="256" t="s">
        <v>5376</v>
      </c>
    </row>
    <row r="273" spans="1:18" ht="16.5" x14ac:dyDescent="0.15">
      <c r="A273" s="148" t="s">
        <v>5377</v>
      </c>
      <c r="B273" s="143" t="s">
        <v>565</v>
      </c>
      <c r="C273" s="143" t="s">
        <v>4723</v>
      </c>
      <c r="D273" s="157"/>
      <c r="E273" s="157"/>
      <c r="F273" s="2656" cm="1" t="n">
        <f t="array" ref="F273">INDEX('6층_부하량'!H3:H3000,MATCH(1,("6-DaHall 1-PDU-03"='6층_부하량'!A3:A3000)*(23='6층_부하량'!B3:B3000),0))</f>
        <v>0.0</v>
      </c>
      <c r="G273" s="157"/>
      <c r="H273" s="143" t="s">
        <v>4597</v>
      </c>
      <c r="I273" s="1471" t="s">
        <v>4678</v>
      </c>
      <c r="J273" s="151" t="s">
        <v>4680</v>
      </c>
      <c r="K273" s="143" t="s">
        <v>4597</v>
      </c>
      <c r="L273" s="157"/>
      <c r="M273" s="157"/>
      <c r="N273" s="2656" cm="1" t="n">
        <f t="array" ref="N273">INDEX('6층_부하량'!H3:H3000,MATCH(1,("6-DaHall 1-PDU-03"='6층_부하량'!A3:A3000)*(24='6층_부하량'!B3:B3000),0))</f>
        <v>0.0</v>
      </c>
      <c r="O273" s="157"/>
      <c r="P273" s="157" t="s">
        <v>4635</v>
      </c>
      <c r="Q273" s="164" t="s">
        <v>4575</v>
      </c>
      <c r="R273" s="342" t="s">
        <v>5378</v>
      </c>
    </row>
    <row r="274" spans="1:18" ht="16.5" x14ac:dyDescent="0.15">
      <c r="A274" s="174" t="s">
        <v>3097</v>
      </c>
      <c r="B274" s="143" t="s">
        <v>565</v>
      </c>
      <c r="C274" s="143" t="s">
        <v>4723</v>
      </c>
      <c r="D274" s="2656" cm="1" t="n">
        <f t="array" ref="D274">INDEX('6층_부하량'!F3:F3000,MATCH(1,("6-DaHall 1-PDU-03"='6층_부하량'!A3:A3000)*(25='6층_부하량'!B3:B3000),0))</f>
        <v>0.0</v>
      </c>
      <c r="E274" s="157"/>
      <c r="F274" s="157"/>
      <c r="G274" s="157"/>
      <c r="H274" s="143" t="s">
        <v>4597</v>
      </c>
      <c r="I274" s="1471" t="s">
        <v>4683</v>
      </c>
      <c r="J274" s="151" t="s">
        <v>4685</v>
      </c>
      <c r="K274" s="143" t="s">
        <v>4597</v>
      </c>
      <c r="L274" s="2656" cm="1" t="n">
        <f t="array" ref="L274">INDEX('6층_부하량'!F3:F3000,MATCH(1,("6-DaHall 1-PDU-03"='6층_부하량'!A3:A3000)*(26='6층_부하량'!B3:B3000),0))</f>
        <v>0.0</v>
      </c>
      <c r="M274" s="157"/>
      <c r="N274" s="157"/>
      <c r="O274" s="157"/>
      <c r="P274" s="157" t="s">
        <v>4635</v>
      </c>
      <c r="Q274" s="164" t="s">
        <v>4575</v>
      </c>
      <c r="R274" s="342" t="s">
        <v>5379</v>
      </c>
    </row>
    <row r="275" spans="1:18" ht="16.5" x14ac:dyDescent="0.15">
      <c r="A275" s="148" t="s">
        <v>3104</v>
      </c>
      <c r="B275" s="143" t="s">
        <v>565</v>
      </c>
      <c r="C275" s="143" t="s">
        <v>4723</v>
      </c>
      <c r="D275" s="157"/>
      <c r="E275" s="2656" cm="1" t="n">
        <f t="array" ref="E275">INDEX('6층_부하량'!G3:G3000,MATCH(1,("6-DaHall 1-PDU-03"='6층_부하량'!A3:A3000)*(27='6층_부하량'!B3:B3000),0))</f>
        <v>0.0</v>
      </c>
      <c r="F275" s="157"/>
      <c r="G275" s="157"/>
      <c r="H275" s="143" t="s">
        <v>4597</v>
      </c>
      <c r="I275" s="1471" t="s">
        <v>4688</v>
      </c>
      <c r="J275" s="151" t="s">
        <v>4689</v>
      </c>
      <c r="K275" s="143" t="s">
        <v>4597</v>
      </c>
      <c r="L275" s="157"/>
      <c r="M275" s="2656" cm="1" t="n">
        <f t="array" ref="M275">INDEX('6층_부하량'!G3:G3000,MATCH(1,("6-DaHall 1-PDU-03"='6층_부하량'!A3:A3000)*(28='6층_부하량'!B3:B3000),0))</f>
        <v>0.0</v>
      </c>
      <c r="N275" s="157"/>
      <c r="O275" s="157"/>
      <c r="P275" s="157" t="s">
        <v>4635</v>
      </c>
      <c r="Q275" s="164" t="s">
        <v>4575</v>
      </c>
      <c r="R275" s="342" t="s">
        <v>5380</v>
      </c>
    </row>
    <row r="276" spans="1:18" ht="16.5" x14ac:dyDescent="0.15">
      <c r="A276" s="174" t="s">
        <v>3110</v>
      </c>
      <c r="B276" s="143" t="s">
        <v>565</v>
      </c>
      <c r="C276" s="143" t="s">
        <v>4723</v>
      </c>
      <c r="D276" s="157"/>
      <c r="E276" s="157"/>
      <c r="F276" s="2656" cm="1" t="n">
        <f t="array" ref="F276">INDEX('6층_부하량'!H3:H3000,MATCH(1,("6-DaHall 1-PDU-03"='6층_부하량'!A3:A3000)*(29='6층_부하량'!B3:B3000),0))</f>
        <v>0.0</v>
      </c>
      <c r="G276" s="157"/>
      <c r="H276" s="143" t="s">
        <v>4597</v>
      </c>
      <c r="I276" s="1471" t="s">
        <v>4691</v>
      </c>
      <c r="J276" s="151" t="s">
        <v>4692</v>
      </c>
      <c r="K276" s="143" t="s">
        <v>4597</v>
      </c>
      <c r="L276" s="157"/>
      <c r="M276" s="157"/>
      <c r="N276" s="2656" cm="1" t="n">
        <f t="array" ref="N276">INDEX('6층_부하량'!H3:H3000,MATCH(1,("6-DaHall 1-PDU-03"='6층_부하량'!A3:A3000)*(30='6층_부하량'!B3:B3000),0))</f>
        <v>0.0</v>
      </c>
      <c r="O276" s="157"/>
      <c r="P276" s="157" t="s">
        <v>4635</v>
      </c>
      <c r="Q276" s="164" t="s">
        <v>4575</v>
      </c>
      <c r="R276" s="342" t="s">
        <v>5381</v>
      </c>
    </row>
    <row r="277" spans="1:18" ht="16.5" x14ac:dyDescent="0.15">
      <c r="A277" s="148" t="s">
        <v>3117</v>
      </c>
      <c r="B277" s="143" t="s">
        <v>565</v>
      </c>
      <c r="C277" s="143" t="s">
        <v>4723</v>
      </c>
      <c r="D277" s="2656" cm="1" t="n">
        <f t="array" ref="D277">INDEX('6층_부하량'!F3:F3000,MATCH(1,("6-DaHall 1-PDU-03"='6층_부하량'!A3:A3000)*(31='6층_부하량'!B3:B3000),0))</f>
        <v>0.0</v>
      </c>
      <c r="E277" s="157"/>
      <c r="F277" s="157"/>
      <c r="G277" s="157"/>
      <c r="H277" s="143" t="s">
        <v>4597</v>
      </c>
      <c r="I277" s="1471" t="s">
        <v>4693</v>
      </c>
      <c r="J277" s="151" t="s">
        <v>4694</v>
      </c>
      <c r="K277" s="143" t="s">
        <v>4597</v>
      </c>
      <c r="L277" s="2656" cm="1" t="n">
        <f t="array" ref="L277">INDEX('6층_부하량'!F3:F3000,MATCH(1,("6-DaHall 1-PDU-03"='6층_부하량'!A3:A3000)*(32='6층_부하량'!B3:B3000),0))</f>
        <v>0.0</v>
      </c>
      <c r="M277" s="157"/>
      <c r="N277" s="157"/>
      <c r="O277" s="157"/>
      <c r="P277" s="157" t="s">
        <v>4635</v>
      </c>
      <c r="Q277" s="164" t="s">
        <v>4575</v>
      </c>
      <c r="R277" s="342" t="s">
        <v>5382</v>
      </c>
    </row>
    <row r="278" spans="1:18" ht="16.5" x14ac:dyDescent="0.15">
      <c r="A278" s="632" t="s">
        <v>5383</v>
      </c>
      <c r="B278" s="143" t="s">
        <v>4635</v>
      </c>
      <c r="C278" s="164" t="s">
        <v>4575</v>
      </c>
      <c r="D278" s="157"/>
      <c r="E278" s="2656" cm="1" t="n">
        <f t="array" ref="E278">INDEX('6층_부하량'!G3:G3000,MATCH(1,("6-DaHall 1-PDU-03"='6층_부하량'!A3:A3000)*(33='6층_부하량'!B3:B3000),0))</f>
        <v>0.0</v>
      </c>
      <c r="F278" s="157"/>
      <c r="G278" s="157"/>
      <c r="H278" s="143" t="s">
        <v>4597</v>
      </c>
      <c r="I278" s="150" t="s">
        <v>4697</v>
      </c>
      <c r="J278" s="151" t="s">
        <v>4698</v>
      </c>
      <c r="K278" s="143" t="s">
        <v>4597</v>
      </c>
      <c r="L278" s="157"/>
      <c r="M278" s="2656" cm="1" t="n">
        <f t="array" ref="M278">INDEX('6층_부하량'!G3:G3000,MATCH(1,("6-DaHall 1-PDU-03"='6층_부하량'!A3:A3000)*(34='6층_부하량'!B3:B3000),0))</f>
        <v>0.0</v>
      </c>
      <c r="N278" s="157"/>
      <c r="O278" s="157"/>
      <c r="P278" s="157" t="s">
        <v>4635</v>
      </c>
      <c r="Q278" s="164" t="s">
        <v>4575</v>
      </c>
      <c r="R278" s="342" t="s">
        <v>5384</v>
      </c>
    </row>
    <row r="279" spans="1:18" ht="16.5" x14ac:dyDescent="0.15">
      <c r="A279" s="607" t="s">
        <v>5385</v>
      </c>
      <c r="B279" s="143" t="s">
        <v>4635</v>
      </c>
      <c r="C279" s="164" t="s">
        <v>4575</v>
      </c>
      <c r="D279" s="157"/>
      <c r="E279" s="157"/>
      <c r="F279" s="2656" cm="1" t="n">
        <f t="array" ref="F279">INDEX('6층_부하량'!H3:H3000,MATCH(1,("6-DaHall 1-PDU-03"='6층_부하량'!A3:A3000)*(35='6층_부하량'!B3:B3000),0))</f>
        <v>0.0</v>
      </c>
      <c r="G279" s="157"/>
      <c r="H279" s="143" t="s">
        <v>4597</v>
      </c>
      <c r="I279" s="150" t="s">
        <v>4701</v>
      </c>
      <c r="J279" s="151" t="s">
        <v>4703</v>
      </c>
      <c r="K279" s="143" t="s">
        <v>4597</v>
      </c>
      <c r="L279" s="157"/>
      <c r="M279" s="157"/>
      <c r="N279" s="2656" cm="1" t="n">
        <f t="array" ref="N279">INDEX('6층_부하량'!H3:H3000,MATCH(1,("6-DaHall 1-PDU-03"='6층_부하량'!A3:A3000)*(36='6층_부하량'!B3:B3000),0))</f>
        <v>0.0</v>
      </c>
      <c r="O279" s="157"/>
      <c r="P279" s="157" t="s">
        <v>4635</v>
      </c>
      <c r="Q279" s="143" t="s">
        <v>4723</v>
      </c>
      <c r="R279" s="342" t="s">
        <v>5386</v>
      </c>
    </row>
    <row r="280" spans="1:18" ht="16.5" x14ac:dyDescent="0.15">
      <c r="A280" s="148" t="s">
        <v>5387</v>
      </c>
      <c r="B280" s="143" t="s">
        <v>4635</v>
      </c>
      <c r="C280" s="143" t="s">
        <v>4723</v>
      </c>
      <c r="D280" s="2656" cm="1" t="n">
        <f t="array" ref="D280">INDEX('6층_부하량'!F3:F3000,MATCH(1,("6-DaHall 1-PDU-03"='6층_부하량'!A3:A3000)*(37='6층_부하량'!B3:B3000),0))</f>
        <v>0.0</v>
      </c>
      <c r="E280" s="157"/>
      <c r="F280" s="157"/>
      <c r="G280" s="157"/>
      <c r="H280" s="143" t="s">
        <v>4597</v>
      </c>
      <c r="I280" s="1471" t="s">
        <v>4706</v>
      </c>
      <c r="J280" s="155" t="s">
        <v>4707</v>
      </c>
      <c r="K280" s="143" t="s">
        <v>4597</v>
      </c>
      <c r="L280" s="2656" cm="1" t="n">
        <f t="array" ref="L280">INDEX('6층_부하량'!F3:F3000,MATCH(1,("6-DaHall 1-PDU-03"='6층_부하량'!A3:A3000)*(38='6층_부하량'!B3:B3000),0))</f>
        <v>0.0</v>
      </c>
      <c r="M280" s="157"/>
      <c r="N280" s="157"/>
      <c r="O280" s="157"/>
      <c r="P280" s="157" t="s">
        <v>4635</v>
      </c>
      <c r="Q280" s="164" t="s">
        <v>4575</v>
      </c>
      <c r="R280" s="641" t="s">
        <v>5388</v>
      </c>
    </row>
    <row r="281" spans="1:18" ht="16.5" x14ac:dyDescent="0.15">
      <c r="A281" s="148" t="s">
        <v>5389</v>
      </c>
      <c r="B281" s="143" t="s">
        <v>4635</v>
      </c>
      <c r="C281" s="143" t="s">
        <v>4723</v>
      </c>
      <c r="D281" s="157"/>
      <c r="E281" s="2656" cm="1" t="n">
        <f t="array" ref="E281">INDEX('6층_부하량'!G3:G3000,MATCH(1,("6-DaHall 1-PDU-03"='6층_부하량'!A3:A3000)*(39='6층_부하량'!B3:B3000),0))</f>
        <v>0.0</v>
      </c>
      <c r="F281" s="157"/>
      <c r="G281" s="157"/>
      <c r="H281" s="143" t="s">
        <v>4597</v>
      </c>
      <c r="I281" s="1471" t="s">
        <v>4710</v>
      </c>
      <c r="J281" s="151" t="s">
        <v>4711</v>
      </c>
      <c r="K281" s="143" t="s">
        <v>4597</v>
      </c>
      <c r="L281" s="157"/>
      <c r="M281" s="2656" cm="1" t="n">
        <f t="array" ref="M281">INDEX('6층_부하량'!G3:G3000,MATCH(1,("6-DaHall 1-PDU-03"='6층_부하량'!A3:A3000)*(40='6층_부하량'!B3:B3000),0))</f>
        <v>0.0</v>
      </c>
      <c r="N281" s="157"/>
      <c r="O281" s="157"/>
      <c r="P281" s="157" t="s">
        <v>4635</v>
      </c>
      <c r="Q281" s="164" t="s">
        <v>4575</v>
      </c>
      <c r="R281" s="342" t="s">
        <v>5390</v>
      </c>
    </row>
    <row r="282" spans="1:18" ht="16.5" x14ac:dyDescent="0.15">
      <c r="A282" s="148" t="s">
        <v>5391</v>
      </c>
      <c r="B282" s="143" t="s">
        <v>4635</v>
      </c>
      <c r="C282" s="143" t="s">
        <v>4723</v>
      </c>
      <c r="D282" s="157"/>
      <c r="E282" s="157"/>
      <c r="F282" s="2656" cm="1" t="n">
        <f t="array" ref="F282">INDEX('6층_부하량'!H3:H3000,MATCH(1,("6-DaHall 1-PDU-03"='6층_부하량'!A3:A3000)*(41='6층_부하량'!B3:B3000),0))</f>
        <v>0.0</v>
      </c>
      <c r="G282" s="157"/>
      <c r="H282" s="143" t="s">
        <v>4597</v>
      </c>
      <c r="I282" s="1471" t="s">
        <v>5055</v>
      </c>
      <c r="J282" s="151" t="s">
        <v>4843</v>
      </c>
      <c r="K282" s="143" t="s">
        <v>4597</v>
      </c>
      <c r="L282" s="157"/>
      <c r="M282" s="157"/>
      <c r="N282" s="2656" cm="1" t="n">
        <f t="array" ref="N282">INDEX('6층_부하량'!H3:H3000,MATCH(1,("6-DaHall 1-PDU-03"='6층_부하량'!A3:A3000)*(42='6층_부하량'!B3:B3000),0))</f>
        <v>0.0</v>
      </c>
      <c r="O282" s="157"/>
      <c r="P282" s="157" t="s">
        <v>4635</v>
      </c>
      <c r="Q282" s="164" t="s">
        <v>4575</v>
      </c>
      <c r="R282" s="475" t="s">
        <v>5392</v>
      </c>
    </row>
    <row r="283" spans="1:18" ht="16.5" x14ac:dyDescent="0.15">
      <c r="A283" s="148" t="s">
        <v>3145</v>
      </c>
      <c r="B283" s="143" t="s">
        <v>4635</v>
      </c>
      <c r="C283" s="143" t="s">
        <v>4723</v>
      </c>
      <c r="D283" s="2656" cm="1" t="n">
        <f t="array" ref="D283">INDEX('6층_부하량'!F3:F3000,MATCH(1,("6-DaHall 1-PDU-03"='6층_부하량'!A3:A3000)*(43='6층_부하량'!B3:B3000),0))</f>
        <v>0.0</v>
      </c>
      <c r="E283" s="157"/>
      <c r="F283" s="157"/>
      <c r="G283" s="157"/>
      <c r="H283" s="143" t="s">
        <v>4597</v>
      </c>
      <c r="I283" s="1471" t="s">
        <v>4845</v>
      </c>
      <c r="J283" s="151" t="s">
        <v>4846</v>
      </c>
      <c r="K283" s="143" t="s">
        <v>4597</v>
      </c>
      <c r="L283" s="2656" cm="1" t="n">
        <f t="array" ref="L283">INDEX('6층_부하량'!F3:F3000,MATCH(1,("6-DaHall 1-PDU-03"='6층_부하량'!A3:A3000)*(44='6층_부하량'!B3:B3000),0))</f>
        <v>0.0</v>
      </c>
      <c r="M283" s="157"/>
      <c r="N283" s="157"/>
      <c r="O283" s="157"/>
      <c r="P283" s="157" t="s">
        <v>4635</v>
      </c>
      <c r="Q283" s="164" t="s">
        <v>4575</v>
      </c>
      <c r="R283" s="342" t="s">
        <v>5393</v>
      </c>
    </row>
    <row r="284" spans="1:18" ht="16.5" x14ac:dyDescent="0.15">
      <c r="A284" s="148" t="s">
        <v>3151</v>
      </c>
      <c r="B284" s="143" t="s">
        <v>4635</v>
      </c>
      <c r="C284" s="143" t="s">
        <v>4723</v>
      </c>
      <c r="D284" s="157"/>
      <c r="E284" s="2656" cm="1" t="n">
        <f t="array" ref="E284">INDEX('6층_부하량'!G3:G3000,MATCH(1,("6-DaHall 1-PDU-03"='6층_부하량'!A3:A3000)*(45='6층_부하량'!B3:B3000),0))</f>
        <v>0.0</v>
      </c>
      <c r="F284" s="157"/>
      <c r="G284" s="157"/>
      <c r="H284" s="143" t="s">
        <v>4597</v>
      </c>
      <c r="I284" s="1471" t="s">
        <v>4847</v>
      </c>
      <c r="J284" s="151" t="s">
        <v>4848</v>
      </c>
      <c r="K284" s="143" t="s">
        <v>4597</v>
      </c>
      <c r="L284" s="157"/>
      <c r="M284" s="2656" cm="1" t="n">
        <f t="array" ref="M284">INDEX('6층_부하량'!G3:G3000,MATCH(1,("6-DaHall 1-PDU-03"='6층_부하량'!A3:A3000)*(46='6층_부하량'!B3:B3000),0))</f>
        <v>0.0</v>
      </c>
      <c r="N284" s="157"/>
      <c r="O284" s="157"/>
      <c r="P284" s="157" t="s">
        <v>4635</v>
      </c>
      <c r="Q284" s="164" t="s">
        <v>4575</v>
      </c>
      <c r="R284" s="475" t="s">
        <v>5394</v>
      </c>
    </row>
    <row r="285" spans="1:18" ht="16.5" x14ac:dyDescent="0.15">
      <c r="A285" s="148" t="s">
        <v>3157</v>
      </c>
      <c r="B285" s="143" t="s">
        <v>4635</v>
      </c>
      <c r="C285" s="143" t="s">
        <v>4723</v>
      </c>
      <c r="D285" s="157"/>
      <c r="E285" s="157"/>
      <c r="F285" s="2656" cm="1" t="n">
        <f t="array" ref="F285">INDEX('6층_부하량'!H3:H3000,MATCH(1,("6-DaHall 1-PDU-03"='6층_부하량'!A3:A3000)*(47='6층_부하량'!B3:B3000),0))</f>
        <v>0.0</v>
      </c>
      <c r="G285" s="157"/>
      <c r="H285" s="143" t="s">
        <v>4597</v>
      </c>
      <c r="I285" s="1471" t="s">
        <v>4849</v>
      </c>
      <c r="J285" s="151" t="s">
        <v>4850</v>
      </c>
      <c r="K285" s="143" t="s">
        <v>4597</v>
      </c>
      <c r="L285" s="157"/>
      <c r="M285" s="157"/>
      <c r="N285" s="2656" cm="1" t="n">
        <f t="array" ref="N285">INDEX('6층_부하량'!H3:H3000,MATCH(1,("6-DaHall 1-PDU-03"='6층_부하량'!A3:A3000)*(48='6층_부하량'!B3:B3000),0))</f>
        <v>0.0</v>
      </c>
      <c r="O285" s="157"/>
      <c r="P285" s="157" t="s">
        <v>4635</v>
      </c>
      <c r="Q285" s="164" t="s">
        <v>4575</v>
      </c>
      <c r="R285" s="342" t="s">
        <v>5395</v>
      </c>
    </row>
    <row r="286" spans="1:18" ht="17.25" thickBot="1" x14ac:dyDescent="0.2">
      <c r="A286" s="165" t="s">
        <v>5396</v>
      </c>
      <c r="B286" s="166" t="s">
        <v>4635</v>
      </c>
      <c r="C286" s="184" t="s">
        <v>4575</v>
      </c>
      <c r="D286" s="2659" cm="1" t="n">
        <f t="array" ref="D286">INDEX('6층_부하량'!F3:F3000,MATCH(1,("6-DaHall 1-PDU-03"='6층_부하량'!A3:A3000)*(49='6층_부하량'!B3:B3000),0))</f>
        <v>0.0</v>
      </c>
      <c r="E286" s="167"/>
      <c r="F286" s="167"/>
      <c r="G286" s="167"/>
      <c r="H286" s="166" t="s">
        <v>4597</v>
      </c>
      <c r="I286" s="1480" t="s">
        <v>4851</v>
      </c>
      <c r="J286" s="1482" t="s">
        <v>4852</v>
      </c>
      <c r="K286" s="166" t="s">
        <v>4597</v>
      </c>
      <c r="L286" s="2659" cm="1" t="n">
        <f t="array" ref="L286">INDEX('6층_부하량'!F3:F3000,MATCH(1,("6-DaHall 1-PDU-03"='6층_부하량'!A3:A3000)*(50='6층_부하량'!B3:B3000),0))</f>
        <v>0.0</v>
      </c>
      <c r="M286" s="167"/>
      <c r="N286" s="167"/>
      <c r="O286" s="167"/>
      <c r="P286" s="167" t="s">
        <v>565</v>
      </c>
      <c r="Q286" s="166" t="s">
        <v>4723</v>
      </c>
      <c r="R286" s="170"/>
    </row>
    <row r="287" spans="1:18" ht="14.25" thickTop="1" x14ac:dyDescent="0.15">
      <c r="A287" s="128"/>
      <c r="B287" s="128"/>
      <c r="C287" s="128"/>
      <c r="D287" s="128"/>
      <c r="E287" s="128"/>
      <c r="F287" s="128"/>
      <c r="G287" s="128"/>
      <c r="H287" s="128"/>
      <c r="I287" s="128"/>
      <c r="J287" s="128"/>
      <c r="K287" s="128" t="s">
        <v>4713</v>
      </c>
      <c r="L287" s="128" t="n">
        <f>SUM(D262:D286,L262:L286)</f>
        <v>32.06</v>
      </c>
      <c r="M287" s="128" t="n">
        <f>SUM(E262:E286,M262:M286)</f>
        <v>20.39</v>
      </c>
      <c r="N287" s="128" t="n">
        <f>SUM(F262:F286,N262:N286)</f>
        <v>16.34</v>
      </c>
      <c r="O287" s="128"/>
      <c r="P287" s="128"/>
      <c r="Q287" s="128"/>
      <c r="R287" s="128"/>
    </row>
    <row r="288" spans="1:18" ht="14.25" thickBot="1" x14ac:dyDescent="0.2">
      <c r="A288" s="128"/>
      <c r="B288" s="128"/>
      <c r="C288" s="128"/>
      <c r="D288" s="128"/>
      <c r="E288" s="128"/>
      <c r="F288" s="128"/>
      <c r="G288" s="128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</row>
    <row r="289" spans="1:18" ht="15" thickTop="1" thickBot="1" x14ac:dyDescent="0.2">
      <c r="A289" s="173" t="s">
        <v>7006</v>
      </c>
      <c r="B289" s="128"/>
      <c r="C289" s="3660" t="s">
        <v>5397</v>
      </c>
      <c r="D289" s="3660"/>
      <c r="E289" s="3660"/>
      <c r="F289" s="173"/>
      <c r="G289" s="173"/>
      <c r="H289" s="133"/>
      <c r="I289" s="3665" t="s">
        <v>5063</v>
      </c>
      <c r="J289" s="3666"/>
      <c r="K289" s="133"/>
      <c r="L289" s="173"/>
      <c r="M289" s="173"/>
      <c r="N289" s="173"/>
      <c r="O289" s="173"/>
      <c r="P289" s="173"/>
      <c r="Q289" s="173"/>
      <c r="R289" s="128"/>
    </row>
    <row r="290" spans="1:18" ht="15" thickTop="1" thickBot="1" x14ac:dyDescent="0.2">
      <c r="A290" s="127"/>
      <c r="B290" s="128"/>
      <c r="C290" s="128"/>
      <c r="D290" s="129"/>
      <c r="E290" s="129"/>
      <c r="F290" s="130"/>
      <c r="G290" s="129"/>
      <c r="H290" s="131"/>
      <c r="I290" s="128"/>
      <c r="J290" s="132"/>
      <c r="K290" s="1371" t="s">
        <v>4562</v>
      </c>
      <c r="L290" s="1368">
        <v>18.600000000000001</v>
      </c>
      <c r="M290" s="1369">
        <v>29.1</v>
      </c>
      <c r="N290" s="1370">
        <v>14.2</v>
      </c>
      <c r="O290" s="508" t="s">
        <v>4563</v>
      </c>
      <c r="P290" s="133"/>
      <c r="Q290" s="128"/>
      <c r="R290" s="528"/>
    </row>
    <row r="291" spans="1:18" ht="15" thickTop="1" thickBot="1" x14ac:dyDescent="0.2">
      <c r="A291" s="134" t="s">
        <v>4564</v>
      </c>
      <c r="B291" s="135" t="s">
        <v>5031</v>
      </c>
      <c r="C291" s="136" t="s">
        <v>4566</v>
      </c>
      <c r="D291" s="135" t="s">
        <v>5032</v>
      </c>
      <c r="E291" s="135" t="s">
        <v>5033</v>
      </c>
      <c r="F291" s="135" t="s">
        <v>5034</v>
      </c>
      <c r="G291" s="135" t="s">
        <v>5035</v>
      </c>
      <c r="H291" s="135" t="s">
        <v>5036</v>
      </c>
      <c r="I291" s="138" t="s">
        <v>5037</v>
      </c>
      <c r="J291" s="139" t="s">
        <v>5037</v>
      </c>
      <c r="K291" s="135" t="s">
        <v>5036</v>
      </c>
      <c r="L291" s="135" t="s">
        <v>5032</v>
      </c>
      <c r="M291" s="135" t="s">
        <v>5033</v>
      </c>
      <c r="N291" s="135" t="s">
        <v>5034</v>
      </c>
      <c r="O291" s="135" t="s">
        <v>5035</v>
      </c>
      <c r="P291" s="135" t="s">
        <v>5031</v>
      </c>
      <c r="Q291" s="136" t="s">
        <v>4566</v>
      </c>
      <c r="R291" s="140" t="s">
        <v>4564</v>
      </c>
    </row>
    <row r="292" spans="1:18" ht="17.25" thickTop="1" x14ac:dyDescent="0.15">
      <c r="A292" s="141" t="s">
        <v>5398</v>
      </c>
      <c r="B292" s="142" t="s">
        <v>4635</v>
      </c>
      <c r="C292" s="164" t="s">
        <v>4575</v>
      </c>
      <c r="D292" s="2654" cm="1" t="n">
        <f t="array" ref="D292">INDEX('6층_부하량'!F3:F3000,MATCH(1,("6-DaHall 1-PDU-04"='6층_부하량'!A3:A3000)*(1='6층_부하량'!B3:B3000),0))</f>
        <v>5.46</v>
      </c>
      <c r="E292" s="144"/>
      <c r="F292" s="144"/>
      <c r="G292" s="144"/>
      <c r="H292" s="142" t="s">
        <v>4597</v>
      </c>
      <c r="I292" s="1469" t="s">
        <v>4633</v>
      </c>
      <c r="J292" s="1476" t="s">
        <v>4578</v>
      </c>
      <c r="K292" s="142" t="s">
        <v>4597</v>
      </c>
      <c r="L292" s="2654" cm="1" t="n">
        <f t="array" ref="L292">INDEX('6층_부하량'!F3:F3000,MATCH(1,("6-DaHall 1-PDU-04"='6층_부하량'!A3:A3000)*(2='6층_부하량'!B3:B3000),0))</f>
        <v>6.6899999999999995</v>
      </c>
      <c r="M292" s="144"/>
      <c r="N292" s="144"/>
      <c r="O292" s="144"/>
      <c r="P292" s="144" t="s">
        <v>565</v>
      </c>
      <c r="Q292" s="142" t="s">
        <v>4723</v>
      </c>
      <c r="R292" s="147" t="s">
        <v>5399</v>
      </c>
    </row>
    <row r="293" spans="1:18" ht="16.5" x14ac:dyDescent="0.15">
      <c r="A293" s="158" t="s">
        <v>5400</v>
      </c>
      <c r="B293" s="143" t="s">
        <v>4635</v>
      </c>
      <c r="C293" s="164" t="s">
        <v>4575</v>
      </c>
      <c r="D293" s="149"/>
      <c r="E293" s="2655" cm="1" t="n">
        <f t="array" ref="E293">INDEX('6층_부하량'!G3:G3000,MATCH(1,("6-DaHall 1-PDU-04"='6층_부하량'!A3:A3000)*(3='6층_부하량'!B3:B3000),0))</f>
        <v>6.39</v>
      </c>
      <c r="F293" s="149"/>
      <c r="G293" s="149"/>
      <c r="H293" s="143" t="s">
        <v>4597</v>
      </c>
      <c r="I293" s="1465" t="s">
        <v>4638</v>
      </c>
      <c r="J293" s="1463" t="s">
        <v>4583</v>
      </c>
      <c r="K293" s="143" t="s">
        <v>4597</v>
      </c>
      <c r="L293" s="149"/>
      <c r="M293" s="2655" cm="1" t="n">
        <f t="array" ref="M293">INDEX('6층_부하량'!G3:G3000,MATCH(1,("6-DaHall 1-PDU-04"='6층_부하량'!A3:A3000)*(4='6층_부하량'!B3:B3000),0))</f>
        <v>4.28</v>
      </c>
      <c r="N293" s="149"/>
      <c r="O293" s="149"/>
      <c r="P293" s="149" t="s">
        <v>565</v>
      </c>
      <c r="Q293" s="143" t="s">
        <v>4723</v>
      </c>
      <c r="R293" s="153" t="s">
        <v>5401</v>
      </c>
    </row>
    <row r="294" spans="1:18" ht="16.5" x14ac:dyDescent="0.15">
      <c r="A294" s="148" t="s">
        <v>5402</v>
      </c>
      <c r="B294" s="143" t="s">
        <v>4635</v>
      </c>
      <c r="C294" s="164" t="s">
        <v>4575</v>
      </c>
      <c r="D294" s="157"/>
      <c r="E294" s="157"/>
      <c r="F294" s="2656" cm="1" t="n">
        <f t="array" ref="F294">INDEX('6층_부하량'!H3:H3000,MATCH(1,("6-DaHall 1-PDU-04"='6층_부하량'!A3:A3000)*(5='6층_부하량'!B3:B3000),0))</f>
        <v>6.22</v>
      </c>
      <c r="G294" s="157"/>
      <c r="H294" s="143" t="s">
        <v>4597</v>
      </c>
      <c r="I294" s="1471" t="s">
        <v>4641</v>
      </c>
      <c r="J294" s="1460" t="s">
        <v>4588</v>
      </c>
      <c r="K294" s="143" t="s">
        <v>4597</v>
      </c>
      <c r="L294" s="157"/>
      <c r="M294" s="157"/>
      <c r="N294" s="2656" cm="1" t="n">
        <f t="array" ref="N294">INDEX('6층_부하량'!H3:H3000,MATCH(1,("6-DaHall 1-PDU-04"='6층_부하량'!A3:A3000)*(6='6층_부하량'!B3:B3000),0))</f>
        <v>5.68</v>
      </c>
      <c r="O294" s="157"/>
      <c r="P294" s="157" t="s">
        <v>565</v>
      </c>
      <c r="Q294" s="143" t="s">
        <v>4723</v>
      </c>
      <c r="R294" s="153" t="s">
        <v>5403</v>
      </c>
    </row>
    <row r="295" spans="1:18" ht="16.5" x14ac:dyDescent="0.15">
      <c r="A295" s="158" t="s">
        <v>5404</v>
      </c>
      <c r="B295" s="143" t="s">
        <v>4635</v>
      </c>
      <c r="C295" s="164" t="s">
        <v>4575</v>
      </c>
      <c r="D295" s="2656" cm="1" t="n">
        <f t="array" ref="D295">INDEX('6층_부하량'!F3:F3000,MATCH(1,("6-DaHall 1-PDU-04"='6층_부하량'!A3:A3000)*(7='6층_부하량'!B3:B3000),0))</f>
        <v>4.48</v>
      </c>
      <c r="E295" s="157"/>
      <c r="F295" s="157"/>
      <c r="G295" s="157"/>
      <c r="H295" s="143" t="s">
        <v>4597</v>
      </c>
      <c r="I295" s="1471" t="s">
        <v>4645</v>
      </c>
      <c r="J295" s="1460" t="s">
        <v>4593</v>
      </c>
      <c r="K295" s="143" t="s">
        <v>4597</v>
      </c>
      <c r="L295" s="2656" cm="1" t="n">
        <f t="array" ref="L295">INDEX('6층_부하량'!F3:F3000,MATCH(1,("6-DaHall 1-PDU-04"='6층_부하량'!A3:A3000)*(8='6층_부하량'!B3:B3000),0))</f>
        <v>3.98</v>
      </c>
      <c r="M295" s="157"/>
      <c r="N295" s="157"/>
      <c r="O295" s="157"/>
      <c r="P295" s="157" t="s">
        <v>565</v>
      </c>
      <c r="Q295" s="143" t="s">
        <v>4723</v>
      </c>
      <c r="R295" s="153" t="s">
        <v>5405</v>
      </c>
    </row>
    <row r="296" spans="1:18" ht="16.5" x14ac:dyDescent="0.15">
      <c r="A296" s="148" t="s">
        <v>5406</v>
      </c>
      <c r="B296" s="143" t="s">
        <v>4635</v>
      </c>
      <c r="C296" s="164" t="s">
        <v>4575</v>
      </c>
      <c r="D296" s="157"/>
      <c r="E296" s="2656" cm="1" t="n">
        <f t="array" ref="E296">INDEX('6층_부하량'!G3:G3000,MATCH(1,("6-DaHall 1-PDU-04"='6층_부하량'!A3:A3000)*(9='6층_부하량'!B3:B3000),0))</f>
        <v>6.19</v>
      </c>
      <c r="F296" s="157"/>
      <c r="G296" s="157"/>
      <c r="H296" s="143" t="s">
        <v>4597</v>
      </c>
      <c r="I296" s="1471" t="s">
        <v>4648</v>
      </c>
      <c r="J296" s="1460" t="s">
        <v>4596</v>
      </c>
      <c r="K296" s="143" t="s">
        <v>4597</v>
      </c>
      <c r="L296" s="157"/>
      <c r="M296" s="2656" cm="1" t="n">
        <f t="array" ref="M296">INDEX('6층_부하량'!G3:G3000,MATCH(1,("6-DaHall 1-PDU-04"='6층_부하량'!A3:A3000)*(10='6층_부하량'!B3:B3000),0))</f>
        <v>0.0</v>
      </c>
      <c r="N296" s="157"/>
      <c r="O296" s="157"/>
      <c r="P296" s="157" t="s">
        <v>565</v>
      </c>
      <c r="Q296" s="143" t="s">
        <v>4723</v>
      </c>
      <c r="R296" s="153" t="s">
        <v>5407</v>
      </c>
    </row>
    <row r="297" spans="1:18" ht="16.5" x14ac:dyDescent="0.15">
      <c r="A297" s="158" t="s">
        <v>5408</v>
      </c>
      <c r="B297" s="143" t="s">
        <v>4635</v>
      </c>
      <c r="C297" s="164" t="s">
        <v>4575</v>
      </c>
      <c r="D297" s="157"/>
      <c r="E297" s="157"/>
      <c r="F297" s="2656" cm="1" t="n">
        <f t="array" ref="F297">INDEX('6층_부하량'!H3:H3000,MATCH(1,("6-DaHall 1-PDU-04"='6층_부하량'!A3:A3000)*(11='6층_부하량'!B3:B3000),0))</f>
        <v>6.43</v>
      </c>
      <c r="G297" s="157" t="s">
        <v>5366</v>
      </c>
      <c r="H297" s="143" t="s">
        <v>4597</v>
      </c>
      <c r="I297" s="1471" t="s">
        <v>4653</v>
      </c>
      <c r="J297" s="1460" t="s">
        <v>4599</v>
      </c>
      <c r="K297" s="143" t="s">
        <v>4597</v>
      </c>
      <c r="L297" s="157"/>
      <c r="M297" s="157"/>
      <c r="N297" s="2656" cm="1" t="n">
        <f t="array" ref="N297">INDEX('6층_부하량'!H3:H3000,MATCH(1,("6-DaHall 1-PDU-04"='6층_부하량'!A3:A3000)*(12='6층_부하량'!B3:B3000),0))</f>
        <v>0.0</v>
      </c>
      <c r="O297" s="157"/>
      <c r="P297" s="157" t="s">
        <v>565</v>
      </c>
      <c r="Q297" s="143" t="s">
        <v>4723</v>
      </c>
      <c r="R297" s="153" t="s">
        <v>5409</v>
      </c>
    </row>
    <row r="298" spans="1:18" ht="16.5" x14ac:dyDescent="0.15">
      <c r="A298" s="148" t="s">
        <v>5410</v>
      </c>
      <c r="B298" s="143" t="s">
        <v>4635</v>
      </c>
      <c r="C298" s="164" t="s">
        <v>4575</v>
      </c>
      <c r="D298" s="2656" cm="1" t="n">
        <f t="array" ref="D298">INDEX('6층_부하량'!F3:F3000,MATCH(1,("6-DaHall 1-PDU-04"='6층_부하량'!A3:A3000)*(13='6층_부하량'!B3:B3000),0))</f>
        <v>5.76</v>
      </c>
      <c r="E298" s="157"/>
      <c r="F298" s="157"/>
      <c r="G298" s="157"/>
      <c r="H298" s="143" t="s">
        <v>4597</v>
      </c>
      <c r="I298" s="1471" t="s">
        <v>4657</v>
      </c>
      <c r="J298" s="1460" t="s">
        <v>4601</v>
      </c>
      <c r="K298" s="143" t="s">
        <v>4597</v>
      </c>
      <c r="L298" s="2656" cm="1" t="n">
        <f t="array" ref="L298">INDEX('6층_부하량'!F3:F3000,MATCH(1,("6-DaHall 1-PDU-04"='6층_부하량'!A3:A3000)*(14='6층_부하량'!B3:B3000),0))</f>
        <v>0.0</v>
      </c>
      <c r="M298" s="157"/>
      <c r="N298" s="157"/>
      <c r="O298" s="157"/>
      <c r="P298" s="157" t="s">
        <v>565</v>
      </c>
      <c r="Q298" s="143" t="s">
        <v>4723</v>
      </c>
      <c r="R298" s="153" t="s">
        <v>5411</v>
      </c>
    </row>
    <row r="299" spans="1:18" ht="16.5" x14ac:dyDescent="0.15">
      <c r="A299" s="158" t="s">
        <v>5412</v>
      </c>
      <c r="B299" s="143" t="s">
        <v>4635</v>
      </c>
      <c r="C299" s="164" t="s">
        <v>4575</v>
      </c>
      <c r="D299" s="157"/>
      <c r="E299" s="2656" cm="1" t="n">
        <f t="array" ref="E299">INDEX('6층_부하량'!G3:G3000,MATCH(1,("6-DaHall 1-PDU-04"='6층_부하량'!A3:A3000)*(15='6층_부하량'!B3:B3000),0))</f>
        <v>4.01</v>
      </c>
      <c r="F299" s="157"/>
      <c r="G299" s="157"/>
      <c r="H299" s="143" t="s">
        <v>4597</v>
      </c>
      <c r="I299" s="1471" t="s">
        <v>4661</v>
      </c>
      <c r="J299" s="151" t="s">
        <v>4603</v>
      </c>
      <c r="K299" s="143" t="s">
        <v>4597</v>
      </c>
      <c r="L299" s="157"/>
      <c r="M299" s="2656" cm="1" t="n">
        <f t="array" ref="M299">INDEX('6층_부하량'!G3:G3000,MATCH(1,("6-DaHall 1-PDU-04"='6층_부하량'!A3:A3000)*(16='6층_부하량'!B3:B3000),0))</f>
        <v>0.0</v>
      </c>
      <c r="N299" s="157"/>
      <c r="O299" s="157"/>
      <c r="P299" s="157" t="s">
        <v>4635</v>
      </c>
      <c r="Q299" s="164" t="s">
        <v>4575</v>
      </c>
      <c r="R299" s="342" t="s">
        <v>5413</v>
      </c>
    </row>
    <row r="300" spans="1:18" ht="17.25" thickBot="1" x14ac:dyDescent="0.2">
      <c r="A300" s="148" t="s">
        <v>5414</v>
      </c>
      <c r="B300" s="159" t="s">
        <v>4635</v>
      </c>
      <c r="C300" s="164" t="s">
        <v>4575</v>
      </c>
      <c r="D300" s="177"/>
      <c r="E300" s="177"/>
      <c r="F300" s="2661" cm="1" t="n">
        <f t="array" ref="F300">INDEX('6층_부하량'!H3:H3000,MATCH(1,("6-DaHall 1-PDU-04"='6층_부하량'!A3:A3000)*(17='6층_부하량'!B3:B3000),0))</f>
        <v>1.94</v>
      </c>
      <c r="G300" s="160"/>
      <c r="H300" s="159" t="s">
        <v>4597</v>
      </c>
      <c r="I300" s="1478" t="s">
        <v>4665</v>
      </c>
      <c r="J300" s="192" t="s">
        <v>4605</v>
      </c>
      <c r="K300" s="159" t="s">
        <v>4597</v>
      </c>
      <c r="L300" s="177"/>
      <c r="M300" s="177"/>
      <c r="N300" s="2661" cm="1" t="n">
        <f t="array" ref="N300">INDEX('6층_부하량'!H3:H3000,MATCH(1,("6-DaHall 1-PDU-04"='6층_부하량'!A3:A3000)*(18='6층_부하량'!B3:B3000),0))</f>
        <v>0.0</v>
      </c>
      <c r="O300" s="160"/>
      <c r="P300" s="160" t="s">
        <v>4635</v>
      </c>
      <c r="Q300" s="164" t="s">
        <v>4575</v>
      </c>
      <c r="R300" s="342" t="s">
        <v>5415</v>
      </c>
    </row>
    <row r="301" spans="1:18" ht="14.25" thickTop="1" x14ac:dyDescent="0.15">
      <c r="A301" s="141" t="s">
        <v>5416</v>
      </c>
      <c r="B301" s="142" t="s">
        <v>565</v>
      </c>
      <c r="C301" s="142" t="s">
        <v>4723</v>
      </c>
      <c r="D301" s="2658" cm="1" t="n">
        <f t="array" ref="D301">INDEX('6층_부하량'!F3:F3000,MATCH(1,("6-DaHall 1-PDU-04"='6층_부하량'!A3:A3000)*(19='6층_부하량'!B3:B3000),0))</f>
        <v>0.0</v>
      </c>
      <c r="E301" s="179"/>
      <c r="F301" s="179"/>
      <c r="G301" s="163"/>
      <c r="H301" s="142" t="s">
        <v>4597</v>
      </c>
      <c r="I301" s="1479" t="s">
        <v>4670</v>
      </c>
      <c r="J301" s="1481" t="s">
        <v>4609</v>
      </c>
      <c r="K301" s="142" t="s">
        <v>4597</v>
      </c>
      <c r="L301" s="2658" cm="1" t="n">
        <f t="array" ref="L301">INDEX('6층_부하량'!F3:F3000,MATCH(1,("6-DaHall 1-PDU-04"='6층_부하량'!A3:A3000)*(20='6층_부하량'!B3:B3000),0))</f>
        <v>0.0</v>
      </c>
      <c r="M301" s="179"/>
      <c r="N301" s="179"/>
      <c r="O301" s="163"/>
      <c r="P301" s="163" t="s">
        <v>4635</v>
      </c>
      <c r="Q301" s="142" t="s">
        <v>4723</v>
      </c>
      <c r="R301" s="147" t="s">
        <v>3171</v>
      </c>
    </row>
    <row r="302" spans="1:18" ht="16.5" x14ac:dyDescent="0.15">
      <c r="A302" s="174" t="s">
        <v>5417</v>
      </c>
      <c r="B302" s="156" t="s">
        <v>565</v>
      </c>
      <c r="C302" s="143" t="s">
        <v>4723</v>
      </c>
      <c r="D302" s="157"/>
      <c r="E302" s="2656" cm="1" t="n">
        <f t="array" ref="E302">INDEX('6층_부하량'!G3:G3000,MATCH(1,("6-DaHall 1-PDU-04"='6층_부하량'!A3:A3000)*(21='6층_부하량'!B3:B3000),0))</f>
        <v>0.0</v>
      </c>
      <c r="F302" s="157"/>
      <c r="G302" s="179"/>
      <c r="H302" s="156" t="s">
        <v>4597</v>
      </c>
      <c r="I302" s="1470" t="s">
        <v>4674</v>
      </c>
      <c r="J302" s="181" t="s">
        <v>4613</v>
      </c>
      <c r="K302" s="156" t="s">
        <v>4597</v>
      </c>
      <c r="L302" s="157"/>
      <c r="M302" s="2656" cm="1" t="n">
        <f t="array" ref="M302">INDEX('6층_부하량'!G3:G3000,MATCH(1,("6-DaHall 1-PDU-04"='6층_부하량'!A3:A3000)*(22='6층_부하량'!B3:B3000),0))</f>
        <v>0.0</v>
      </c>
      <c r="N302" s="157"/>
      <c r="O302" s="179"/>
      <c r="P302" s="179" t="s">
        <v>4635</v>
      </c>
      <c r="Q302" s="164" t="s">
        <v>4575</v>
      </c>
      <c r="R302" s="256" t="s">
        <v>5418</v>
      </c>
    </row>
    <row r="303" spans="1:18" ht="16.5" x14ac:dyDescent="0.15">
      <c r="A303" s="148" t="s">
        <v>5419</v>
      </c>
      <c r="B303" s="143" t="s">
        <v>565</v>
      </c>
      <c r="C303" s="143" t="s">
        <v>4723</v>
      </c>
      <c r="D303" s="157"/>
      <c r="E303" s="157"/>
      <c r="F303" s="2656" cm="1" t="n">
        <f t="array" ref="F303">INDEX('6층_부하량'!H3:H3000,MATCH(1,("6-DaHall 1-PDU-04"='6층_부하량'!A3:A3000)*(23='6층_부하량'!B3:B3000),0))</f>
        <v>0.0</v>
      </c>
      <c r="G303" s="157"/>
      <c r="H303" s="143" t="s">
        <v>4597</v>
      </c>
      <c r="I303" s="1471" t="s">
        <v>4678</v>
      </c>
      <c r="J303" s="151" t="s">
        <v>4680</v>
      </c>
      <c r="K303" s="143" t="s">
        <v>4597</v>
      </c>
      <c r="L303" s="157"/>
      <c r="M303" s="157"/>
      <c r="N303" s="2656" cm="1" t="n">
        <f t="array" ref="N303">INDEX('6층_부하량'!H3:H3000,MATCH(1,("6-DaHall 1-PDU-04"='6층_부하량'!A3:A3000)*(24='6층_부하량'!B3:B3000),0))</f>
        <v>0.0</v>
      </c>
      <c r="O303" s="157"/>
      <c r="P303" s="157" t="s">
        <v>4635</v>
      </c>
      <c r="Q303" s="164" t="s">
        <v>4575</v>
      </c>
      <c r="R303" s="342" t="s">
        <v>5420</v>
      </c>
    </row>
    <row r="304" spans="1:18" ht="16.5" x14ac:dyDescent="0.15">
      <c r="A304" s="174" t="s">
        <v>3098</v>
      </c>
      <c r="B304" s="143" t="s">
        <v>565</v>
      </c>
      <c r="C304" s="143" t="s">
        <v>4723</v>
      </c>
      <c r="D304" s="2656" cm="1" t="n">
        <f t="array" ref="D304">INDEX('6층_부하량'!F3:F3000,MATCH(1,("6-DaHall 1-PDU-04"='6층_부하량'!A3:A3000)*(25='6층_부하량'!B3:B3000),0))</f>
        <v>0.0</v>
      </c>
      <c r="E304" s="157"/>
      <c r="F304" s="157"/>
      <c r="G304" s="157"/>
      <c r="H304" s="143" t="s">
        <v>4597</v>
      </c>
      <c r="I304" s="1471" t="s">
        <v>4683</v>
      </c>
      <c r="J304" s="151" t="s">
        <v>4685</v>
      </c>
      <c r="K304" s="143" t="s">
        <v>4597</v>
      </c>
      <c r="L304" s="2656" cm="1" t="n">
        <f t="array" ref="L304">INDEX('6층_부하량'!F3:F3000,MATCH(1,("6-DaHall 1-PDU-04"='6층_부하량'!A3:A3000)*(26='6층_부하량'!B3:B3000),0))</f>
        <v>0.0</v>
      </c>
      <c r="M304" s="157"/>
      <c r="N304" s="157"/>
      <c r="O304" s="157"/>
      <c r="P304" s="157" t="s">
        <v>4635</v>
      </c>
      <c r="Q304" s="164" t="s">
        <v>4575</v>
      </c>
      <c r="R304" s="342" t="s">
        <v>5421</v>
      </c>
    </row>
    <row r="305" spans="1:18" ht="16.5" x14ac:dyDescent="0.15">
      <c r="A305" s="148" t="s">
        <v>3105</v>
      </c>
      <c r="B305" s="143" t="s">
        <v>565</v>
      </c>
      <c r="C305" s="143" t="s">
        <v>4723</v>
      </c>
      <c r="D305" s="157"/>
      <c r="E305" s="2656" cm="1" t="n">
        <f t="array" ref="E305">INDEX('6층_부하량'!G3:G3000,MATCH(1,("6-DaHall 1-PDU-04"='6층_부하량'!A3:A3000)*(27='6층_부하량'!B3:B3000),0))</f>
        <v>0.0</v>
      </c>
      <c r="F305" s="157"/>
      <c r="G305" s="157"/>
      <c r="H305" s="143" t="s">
        <v>4597</v>
      </c>
      <c r="I305" s="1471" t="s">
        <v>4688</v>
      </c>
      <c r="J305" s="151" t="s">
        <v>4689</v>
      </c>
      <c r="K305" s="143" t="s">
        <v>4597</v>
      </c>
      <c r="L305" s="157"/>
      <c r="M305" s="2656" cm="1" t="n">
        <f t="array" ref="M305">INDEX('6층_부하량'!G3:G3000,MATCH(1,("6-DaHall 1-PDU-04"='6층_부하량'!A3:A3000)*(28='6층_부하량'!B3:B3000),0))</f>
        <v>0.0</v>
      </c>
      <c r="N305" s="157"/>
      <c r="O305" s="157"/>
      <c r="P305" s="157" t="s">
        <v>4635</v>
      </c>
      <c r="Q305" s="164" t="s">
        <v>4575</v>
      </c>
      <c r="R305" s="342" t="s">
        <v>5422</v>
      </c>
    </row>
    <row r="306" spans="1:18" ht="16.5" x14ac:dyDescent="0.15">
      <c r="A306" s="174" t="s">
        <v>3111</v>
      </c>
      <c r="B306" s="143" t="s">
        <v>565</v>
      </c>
      <c r="C306" s="143" t="s">
        <v>4723</v>
      </c>
      <c r="D306" s="157"/>
      <c r="E306" s="157"/>
      <c r="F306" s="2656" cm="1" t="n">
        <f t="array" ref="F306">INDEX('6층_부하량'!H3:H3000,MATCH(1,("6-DaHall 1-PDU-04"='6층_부하량'!A3:A3000)*(29='6층_부하량'!B3:B3000),0))</f>
        <v>0.0</v>
      </c>
      <c r="G306" s="157"/>
      <c r="H306" s="143" t="s">
        <v>4597</v>
      </c>
      <c r="I306" s="1471" t="s">
        <v>4691</v>
      </c>
      <c r="J306" s="151" t="s">
        <v>4692</v>
      </c>
      <c r="K306" s="143" t="s">
        <v>4597</v>
      </c>
      <c r="L306" s="157"/>
      <c r="M306" s="157"/>
      <c r="N306" s="2656" cm="1" t="n">
        <f t="array" ref="N306">INDEX('6층_부하량'!H3:H3000,MATCH(1,("6-DaHall 1-PDU-04"='6층_부하량'!A3:A3000)*(30='6층_부하량'!B3:B3000),0))</f>
        <v>0.0</v>
      </c>
      <c r="O306" s="157"/>
      <c r="P306" s="157" t="s">
        <v>4635</v>
      </c>
      <c r="Q306" s="164" t="s">
        <v>4575</v>
      </c>
      <c r="R306" s="342" t="s">
        <v>5423</v>
      </c>
    </row>
    <row r="307" spans="1:18" ht="16.5" x14ac:dyDescent="0.15">
      <c r="A307" s="148" t="s">
        <v>3118</v>
      </c>
      <c r="B307" s="143" t="s">
        <v>565</v>
      </c>
      <c r="C307" s="143" t="s">
        <v>4723</v>
      </c>
      <c r="D307" s="2656" cm="1" t="n">
        <f t="array" ref="D307">INDEX('6층_부하량'!F3:F3000,MATCH(1,("6-DaHall 1-PDU-04"='6층_부하량'!A3:A3000)*(31='6층_부하량'!B3:B3000),0))</f>
        <v>0.0</v>
      </c>
      <c r="E307" s="157"/>
      <c r="F307" s="157"/>
      <c r="G307" s="157"/>
      <c r="H307" s="143" t="s">
        <v>4597</v>
      </c>
      <c r="I307" s="1471" t="s">
        <v>4693</v>
      </c>
      <c r="J307" s="151" t="s">
        <v>4694</v>
      </c>
      <c r="K307" s="143" t="s">
        <v>4597</v>
      </c>
      <c r="L307" s="2656" cm="1" t="n">
        <f t="array" ref="L307">INDEX('6층_부하량'!F3:F3000,MATCH(1,("6-DaHall 1-PDU-04"='6층_부하량'!A3:A3000)*(32='6층_부하량'!B3:B3000),0))</f>
        <v>0.0</v>
      </c>
      <c r="M307" s="157"/>
      <c r="N307" s="157"/>
      <c r="O307" s="157"/>
      <c r="P307" s="157" t="s">
        <v>4635</v>
      </c>
      <c r="Q307" s="164" t="s">
        <v>4575</v>
      </c>
      <c r="R307" s="342" t="s">
        <v>5424</v>
      </c>
    </row>
    <row r="308" spans="1:18" ht="16.5" x14ac:dyDescent="0.15">
      <c r="A308" s="632" t="s">
        <v>5425</v>
      </c>
      <c r="B308" s="143" t="s">
        <v>4635</v>
      </c>
      <c r="C308" s="164" t="s">
        <v>4575</v>
      </c>
      <c r="D308" s="157"/>
      <c r="E308" s="2656" cm="1" t="n">
        <f t="array" ref="E308">INDEX('6층_부하량'!G3:G3000,MATCH(1,("6-DaHall 1-PDU-04"='6층_부하량'!A3:A3000)*(33='6층_부하량'!B3:B3000),0))</f>
        <v>0.0</v>
      </c>
      <c r="F308" s="157"/>
      <c r="G308" s="157"/>
      <c r="H308" s="143" t="s">
        <v>4597</v>
      </c>
      <c r="I308" s="150" t="s">
        <v>4697</v>
      </c>
      <c r="J308" s="151" t="s">
        <v>4698</v>
      </c>
      <c r="K308" s="143" t="s">
        <v>4597</v>
      </c>
      <c r="L308" s="157"/>
      <c r="M308" s="2656" cm="1" t="n">
        <f t="array" ref="M308">INDEX('6층_부하량'!G3:G3000,MATCH(1,("6-DaHall 1-PDU-04"='6층_부하량'!A3:A3000)*(34='6층_부하량'!B3:B3000),0))</f>
        <v>0.0</v>
      </c>
      <c r="N308" s="157"/>
      <c r="O308" s="157"/>
      <c r="P308" s="157" t="s">
        <v>4635</v>
      </c>
      <c r="Q308" s="164" t="s">
        <v>4575</v>
      </c>
      <c r="R308" s="342" t="s">
        <v>5426</v>
      </c>
    </row>
    <row r="309" spans="1:18" ht="16.5" x14ac:dyDescent="0.15">
      <c r="A309" s="607" t="s">
        <v>5427</v>
      </c>
      <c r="B309" s="143" t="s">
        <v>4635</v>
      </c>
      <c r="C309" s="164" t="s">
        <v>4575</v>
      </c>
      <c r="D309" s="157"/>
      <c r="E309" s="157"/>
      <c r="F309" s="2656" cm="1" t="n">
        <f t="array" ref="F309">INDEX('6층_부하량'!H3:H3000,MATCH(1,("6-DaHall 1-PDU-04"='6층_부하량'!A3:A3000)*(35='6층_부하량'!B3:B3000),0))</f>
        <v>0.0</v>
      </c>
      <c r="G309" s="157"/>
      <c r="H309" s="143" t="s">
        <v>4597</v>
      </c>
      <c r="I309" s="150" t="s">
        <v>4701</v>
      </c>
      <c r="J309" s="151" t="s">
        <v>4703</v>
      </c>
      <c r="K309" s="143" t="s">
        <v>4597</v>
      </c>
      <c r="L309" s="157"/>
      <c r="M309" s="157"/>
      <c r="N309" s="2656" cm="1" t="n">
        <f t="array" ref="N309">INDEX('6층_부하량'!H3:H3000,MATCH(1,("6-DaHall 1-PDU-04"='6층_부하량'!A3:A3000)*(36='6층_부하량'!B3:B3000),0))</f>
        <v>0.0</v>
      </c>
      <c r="O309" s="157"/>
      <c r="P309" s="157" t="s">
        <v>4635</v>
      </c>
      <c r="Q309" s="143" t="s">
        <v>4723</v>
      </c>
      <c r="R309" s="342" t="s">
        <v>5428</v>
      </c>
    </row>
    <row r="310" spans="1:18" ht="16.5" x14ac:dyDescent="0.15">
      <c r="A310" s="148" t="s">
        <v>5429</v>
      </c>
      <c r="B310" s="143" t="s">
        <v>4635</v>
      </c>
      <c r="C310" s="143" t="s">
        <v>4723</v>
      </c>
      <c r="D310" s="2656" cm="1" t="n">
        <f t="array" ref="D310">INDEX('6층_부하량'!F3:F3000,MATCH(1,("6-DaHall 1-PDU-04"='6층_부하량'!A3:A3000)*(37='6층_부하량'!B3:B3000),0))</f>
        <v>0.0</v>
      </c>
      <c r="E310" s="157"/>
      <c r="F310" s="157"/>
      <c r="G310" s="157"/>
      <c r="H310" s="143" t="s">
        <v>4597</v>
      </c>
      <c r="I310" s="1471" t="s">
        <v>4706</v>
      </c>
      <c r="J310" s="155" t="s">
        <v>4707</v>
      </c>
      <c r="K310" s="143" t="s">
        <v>4597</v>
      </c>
      <c r="L310" s="2656" cm="1" t="n">
        <f t="array" ref="L310">INDEX('6층_부하량'!F3:F3000,MATCH(1,("6-DaHall 1-PDU-04"='6층_부하량'!A3:A3000)*(38='6층_부하량'!B3:B3000),0))</f>
        <v>0.0</v>
      </c>
      <c r="M310" s="157"/>
      <c r="N310" s="157"/>
      <c r="O310" s="157"/>
      <c r="P310" s="157" t="s">
        <v>4635</v>
      </c>
      <c r="Q310" s="164" t="s">
        <v>4575</v>
      </c>
      <c r="R310" s="641" t="s">
        <v>5430</v>
      </c>
    </row>
    <row r="311" spans="1:18" ht="16.5" x14ac:dyDescent="0.15">
      <c r="A311" s="148" t="s">
        <v>5431</v>
      </c>
      <c r="B311" s="143" t="s">
        <v>4635</v>
      </c>
      <c r="C311" s="143" t="s">
        <v>4723</v>
      </c>
      <c r="D311" s="157"/>
      <c r="E311" s="2656" cm="1" t="n">
        <f t="array" ref="E311">INDEX('6층_부하량'!G3:G3000,MATCH(1,("6-DaHall 1-PDU-04"='6층_부하량'!A3:A3000)*(39='6층_부하량'!B3:B3000),0))</f>
        <v>0.0</v>
      </c>
      <c r="F311" s="157"/>
      <c r="G311" s="157"/>
      <c r="H311" s="143" t="s">
        <v>4597</v>
      </c>
      <c r="I311" s="1471" t="s">
        <v>4710</v>
      </c>
      <c r="J311" s="151" t="s">
        <v>4711</v>
      </c>
      <c r="K311" s="143" t="s">
        <v>4597</v>
      </c>
      <c r="L311" s="157"/>
      <c r="M311" s="2656" cm="1" t="n">
        <f t="array" ref="M311">INDEX('6층_부하량'!G3:G3000,MATCH(1,("6-DaHall 1-PDU-04"='6층_부하량'!A3:A3000)*(40='6층_부하량'!B3:B3000),0))</f>
        <v>0.0</v>
      </c>
      <c r="N311" s="157"/>
      <c r="O311" s="157"/>
      <c r="P311" s="157" t="s">
        <v>4635</v>
      </c>
      <c r="Q311" s="164" t="s">
        <v>4575</v>
      </c>
      <c r="R311" s="342" t="s">
        <v>5432</v>
      </c>
    </row>
    <row r="312" spans="1:18" ht="16.5" x14ac:dyDescent="0.15">
      <c r="A312" s="148" t="s">
        <v>5433</v>
      </c>
      <c r="B312" s="143" t="s">
        <v>4635</v>
      </c>
      <c r="C312" s="143" t="s">
        <v>4723</v>
      </c>
      <c r="D312" s="157"/>
      <c r="E312" s="157"/>
      <c r="F312" s="2656" cm="1" t="n">
        <f t="array" ref="F312">INDEX('6층_부하량'!H3:H3000,MATCH(1,("6-DaHall 1-PDU-04"='6층_부하량'!A3:A3000)*(41='6층_부하량'!B3:B3000),0))</f>
        <v>0.0</v>
      </c>
      <c r="G312" s="157"/>
      <c r="H312" s="143" t="s">
        <v>4597</v>
      </c>
      <c r="I312" s="1471" t="s">
        <v>5055</v>
      </c>
      <c r="J312" s="151" t="s">
        <v>4843</v>
      </c>
      <c r="K312" s="143" t="s">
        <v>4597</v>
      </c>
      <c r="L312" s="157"/>
      <c r="M312" s="157"/>
      <c r="N312" s="2656" cm="1" t="n">
        <f t="array" ref="N312">INDEX('6층_부하량'!H3:H3000,MATCH(1,("6-DaHall 1-PDU-04"='6층_부하량'!A3:A3000)*(42='6층_부하량'!B3:B3000),0))</f>
        <v>0.0</v>
      </c>
      <c r="O312" s="157"/>
      <c r="P312" s="157" t="s">
        <v>4635</v>
      </c>
      <c r="Q312" s="164" t="s">
        <v>4575</v>
      </c>
      <c r="R312" s="475" t="s">
        <v>5434</v>
      </c>
    </row>
    <row r="313" spans="1:18" ht="16.5" x14ac:dyDescent="0.15">
      <c r="A313" s="148" t="s">
        <v>3146</v>
      </c>
      <c r="B313" s="143" t="s">
        <v>4635</v>
      </c>
      <c r="C313" s="143" t="s">
        <v>4723</v>
      </c>
      <c r="D313" s="2656" cm="1" t="n">
        <f t="array" ref="D313">INDEX('6층_부하량'!F3:F3000,MATCH(1,("6-DaHall 1-PDU-04"='6층_부하량'!A3:A3000)*(43='6층_부하량'!B3:B3000),0))</f>
        <v>0.0</v>
      </c>
      <c r="E313" s="157"/>
      <c r="F313" s="157"/>
      <c r="G313" s="157"/>
      <c r="H313" s="143" t="s">
        <v>4597</v>
      </c>
      <c r="I313" s="1471" t="s">
        <v>4845</v>
      </c>
      <c r="J313" s="151" t="s">
        <v>4846</v>
      </c>
      <c r="K313" s="143" t="s">
        <v>4597</v>
      </c>
      <c r="L313" s="2656" cm="1" t="n">
        <f t="array" ref="L313">INDEX('6층_부하량'!F3:F3000,MATCH(1,("6-DaHall 1-PDU-04"='6층_부하량'!A3:A3000)*(44='6층_부하량'!B3:B3000),0))</f>
        <v>0.0</v>
      </c>
      <c r="M313" s="157"/>
      <c r="N313" s="157"/>
      <c r="O313" s="157"/>
      <c r="P313" s="157" t="s">
        <v>4635</v>
      </c>
      <c r="Q313" s="164" t="s">
        <v>4575</v>
      </c>
      <c r="R313" s="342" t="s">
        <v>5435</v>
      </c>
    </row>
    <row r="314" spans="1:18" ht="16.5" x14ac:dyDescent="0.15">
      <c r="A314" s="148" t="s">
        <v>3152</v>
      </c>
      <c r="B314" s="143" t="s">
        <v>4635</v>
      </c>
      <c r="C314" s="143" t="s">
        <v>4723</v>
      </c>
      <c r="D314" s="157"/>
      <c r="E314" s="2656" cm="1" t="n">
        <f t="array" ref="E314">INDEX('6층_부하량'!G3:G3000,MATCH(1,("6-DaHall 1-PDU-04"='6층_부하량'!A3:A3000)*(45='6층_부하량'!B3:B3000),0))</f>
        <v>0.0</v>
      </c>
      <c r="F314" s="157"/>
      <c r="G314" s="157"/>
      <c r="H314" s="143" t="s">
        <v>4597</v>
      </c>
      <c r="I314" s="1471" t="s">
        <v>4847</v>
      </c>
      <c r="J314" s="151" t="s">
        <v>4848</v>
      </c>
      <c r="K314" s="143" t="s">
        <v>4597</v>
      </c>
      <c r="L314" s="157"/>
      <c r="M314" s="2656" cm="1" t="n">
        <f t="array" ref="M314">INDEX('6층_부하량'!G3:G3000,MATCH(1,("6-DaHall 1-PDU-04"='6층_부하량'!A3:A3000)*(46='6층_부하량'!B3:B3000),0))</f>
        <v>0.0</v>
      </c>
      <c r="N314" s="157"/>
      <c r="O314" s="157"/>
      <c r="P314" s="157" t="s">
        <v>4635</v>
      </c>
      <c r="Q314" s="164" t="s">
        <v>4575</v>
      </c>
      <c r="R314" s="475" t="s">
        <v>5436</v>
      </c>
    </row>
    <row r="315" spans="1:18" ht="16.5" x14ac:dyDescent="0.15">
      <c r="A315" s="148" t="s">
        <v>3158</v>
      </c>
      <c r="B315" s="143" t="s">
        <v>4635</v>
      </c>
      <c r="C315" s="143" t="s">
        <v>4723</v>
      </c>
      <c r="D315" s="157"/>
      <c r="E315" s="157"/>
      <c r="F315" s="2656" cm="1" t="n">
        <f t="array" ref="F315">INDEX('6층_부하량'!H3:H3000,MATCH(1,("6-DaHall 1-PDU-04"='6층_부하량'!A3:A3000)*(47='6층_부하량'!B3:B3000),0))</f>
        <v>0.0</v>
      </c>
      <c r="G315" s="157"/>
      <c r="H315" s="143" t="s">
        <v>4597</v>
      </c>
      <c r="I315" s="1471" t="s">
        <v>4849</v>
      </c>
      <c r="J315" s="151" t="s">
        <v>4850</v>
      </c>
      <c r="K315" s="143" t="s">
        <v>4597</v>
      </c>
      <c r="L315" s="157"/>
      <c r="M315" s="157"/>
      <c r="N315" s="2656" cm="1" t="n">
        <f t="array" ref="N315">INDEX('6층_부하량'!H3:H3000,MATCH(1,("6-DaHall 1-PDU-04"='6층_부하량'!A3:A3000)*(48='6층_부하량'!B3:B3000),0))</f>
        <v>0.0</v>
      </c>
      <c r="O315" s="157"/>
      <c r="P315" s="157" t="s">
        <v>4635</v>
      </c>
      <c r="Q315" s="164" t="s">
        <v>4575</v>
      </c>
      <c r="R315" s="342" t="s">
        <v>5437</v>
      </c>
    </row>
    <row r="316" spans="1:18" ht="14.25" thickBot="1" x14ac:dyDescent="0.2">
      <c r="A316" s="165"/>
      <c r="B316" s="166" t="s">
        <v>565</v>
      </c>
      <c r="C316" s="166" t="s">
        <v>4723</v>
      </c>
      <c r="D316" s="2659" cm="1" t="n">
        <f t="array" ref="D316">INDEX('6층_부하량'!F3:F3000,MATCH(1,("6-DaHall 1-PDU-04"='6층_부하량'!A3:A3000)*(49='6층_부하량'!B3:B3000),0))</f>
        <v>0.0</v>
      </c>
      <c r="E316" s="167"/>
      <c r="F316" s="167"/>
      <c r="G316" s="167"/>
      <c r="H316" s="166" t="s">
        <v>4597</v>
      </c>
      <c r="I316" s="1472" t="s">
        <v>4851</v>
      </c>
      <c r="J316" s="1482" t="s">
        <v>4852</v>
      </c>
      <c r="K316" s="166" t="s">
        <v>4597</v>
      </c>
      <c r="L316" s="2659" cm="1" t="n">
        <f t="array" ref="L316">INDEX('6층_부하량'!F3:F3000,MATCH(1,("6-DaHall 1-PDU-04"='6층_부하량'!A3:A3000)*(50='6층_부하량'!B3:B3000),0))</f>
        <v>0.0</v>
      </c>
      <c r="M316" s="167"/>
      <c r="N316" s="167"/>
      <c r="O316" s="167"/>
      <c r="P316" s="167" t="s">
        <v>565</v>
      </c>
      <c r="Q316" s="166" t="s">
        <v>4723</v>
      </c>
      <c r="R316" s="170"/>
    </row>
    <row r="317" spans="1:18" ht="14.25" thickTop="1" x14ac:dyDescent="0.15">
      <c r="A317" s="128"/>
      <c r="B317" s="128"/>
      <c r="C317" s="128"/>
      <c r="D317" s="128"/>
      <c r="E317" s="128"/>
      <c r="F317" s="128"/>
      <c r="G317" s="128"/>
      <c r="H317" s="128"/>
      <c r="I317" s="128"/>
      <c r="J317" s="128"/>
      <c r="K317" s="128" t="s">
        <v>4713</v>
      </c>
      <c r="L317" s="128" t="n">
        <f>SUM(D292:D316,L292:L316)</f>
        <v>26.37</v>
      </c>
      <c r="M317" s="128" t="n">
        <f>SUM(E292:E316,M292:M316)</f>
        <v>20.87</v>
      </c>
      <c r="N317" s="128" t="n">
        <f>SUM(F292:F316,N292:N316)</f>
        <v>20.269999999999996</v>
      </c>
      <c r="O317" s="128"/>
      <c r="P317" s="128"/>
      <c r="Q317" s="128"/>
      <c r="R317" s="128"/>
    </row>
    <row r="318" spans="1:18" ht="14.25" thickBot="1" x14ac:dyDescent="0.2">
      <c r="A318" s="128"/>
      <c r="B318" s="128"/>
      <c r="C318" s="128"/>
      <c r="D318" s="128"/>
      <c r="E318" s="128"/>
      <c r="F318" s="128"/>
      <c r="G318" s="128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</row>
    <row r="319" spans="1:18" ht="15" thickTop="1" thickBot="1" x14ac:dyDescent="0.2">
      <c r="A319" s="173" t="s">
        <v>7007</v>
      </c>
      <c r="B319" s="128"/>
      <c r="C319" s="3660" t="s">
        <v>5438</v>
      </c>
      <c r="D319" s="3660"/>
      <c r="E319" s="3660"/>
      <c r="F319" s="173"/>
      <c r="G319" s="173"/>
      <c r="H319" s="133"/>
      <c r="I319" s="3665" t="s">
        <v>4715</v>
      </c>
      <c r="J319" s="3666"/>
      <c r="K319" s="133"/>
      <c r="L319" s="173"/>
      <c r="M319" s="173"/>
      <c r="N319" s="173"/>
      <c r="O319" s="173"/>
      <c r="P319" s="173"/>
      <c r="Q319" s="173"/>
      <c r="R319" s="128"/>
    </row>
    <row r="320" spans="1:18" ht="15" thickTop="1" thickBot="1" x14ac:dyDescent="0.2">
      <c r="A320" s="127"/>
      <c r="B320" s="128"/>
      <c r="C320" s="128"/>
      <c r="D320" s="129"/>
      <c r="E320" s="129"/>
      <c r="F320" s="130"/>
      <c r="G320" s="129"/>
      <c r="H320" s="131"/>
      <c r="I320" s="128"/>
      <c r="J320" s="132"/>
      <c r="K320" s="1371" t="s">
        <v>4562</v>
      </c>
      <c r="L320" s="1368">
        <v>19.5</v>
      </c>
      <c r="M320" s="1369">
        <v>43.6</v>
      </c>
      <c r="N320" s="1370">
        <v>27</v>
      </c>
      <c r="O320" s="508" t="s">
        <v>4563</v>
      </c>
      <c r="P320" s="133"/>
      <c r="Q320" s="128"/>
      <c r="R320" s="528"/>
    </row>
    <row r="321" spans="1:18" ht="15" thickTop="1" thickBot="1" x14ac:dyDescent="0.2">
      <c r="A321" s="134" t="s">
        <v>4564</v>
      </c>
      <c r="B321" s="135" t="s">
        <v>5031</v>
      </c>
      <c r="C321" s="136" t="s">
        <v>4566</v>
      </c>
      <c r="D321" s="135" t="s">
        <v>5032</v>
      </c>
      <c r="E321" s="135" t="s">
        <v>5033</v>
      </c>
      <c r="F321" s="135" t="s">
        <v>5034</v>
      </c>
      <c r="G321" s="135" t="s">
        <v>5035</v>
      </c>
      <c r="H321" s="135" t="s">
        <v>5036</v>
      </c>
      <c r="I321" s="138" t="s">
        <v>5037</v>
      </c>
      <c r="J321" s="139" t="s">
        <v>5037</v>
      </c>
      <c r="K321" s="135" t="s">
        <v>5036</v>
      </c>
      <c r="L321" s="135" t="s">
        <v>5032</v>
      </c>
      <c r="M321" s="135" t="s">
        <v>5033</v>
      </c>
      <c r="N321" s="135" t="s">
        <v>5034</v>
      </c>
      <c r="O321" s="135" t="s">
        <v>5035</v>
      </c>
      <c r="P321" s="135" t="s">
        <v>5031</v>
      </c>
      <c r="Q321" s="136" t="s">
        <v>4566</v>
      </c>
      <c r="R321" s="140" t="s">
        <v>4564</v>
      </c>
    </row>
    <row r="322" spans="1:18" ht="17.25" thickTop="1" x14ac:dyDescent="0.15">
      <c r="A322" s="277" t="s">
        <v>5439</v>
      </c>
      <c r="B322" s="142" t="s">
        <v>4635</v>
      </c>
      <c r="C322" s="152" t="s">
        <v>4575</v>
      </c>
      <c r="D322" s="144"/>
      <c r="E322" s="2654" cm="1" t="n">
        <f t="array" ref="E322">INDEX('6층_부하량'!G3:G3000,MATCH(1,("6-DaHall 1-PDU-05"='6층_부하량'!A3:A3000)*(1='6층_부하량'!B3:B3000),0))</f>
        <v>0.0</v>
      </c>
      <c r="F322" s="144"/>
      <c r="G322" s="144"/>
      <c r="H322" s="142" t="s">
        <v>4597</v>
      </c>
      <c r="I322" s="145" t="s">
        <v>4633</v>
      </c>
      <c r="J322" s="146" t="s">
        <v>4578</v>
      </c>
      <c r="K322" s="142" t="s">
        <v>4597</v>
      </c>
      <c r="L322" s="144"/>
      <c r="M322" s="2654" cm="1" t="n">
        <f t="array" ref="M322">INDEX('6층_부하량'!G3:G3000,MATCH(1,("6-DaHall 1-PDU-05"='6층_부하량'!A3:A3000)*(2='6층_부하량'!B3:B3000),0))</f>
        <v>13.0</v>
      </c>
      <c r="N322" s="144"/>
      <c r="O322" s="144"/>
      <c r="P322" s="142" t="s">
        <v>4635</v>
      </c>
      <c r="Q322" s="152" t="s">
        <v>4575</v>
      </c>
      <c r="R322" s="618" t="s">
        <v>5440</v>
      </c>
    </row>
    <row r="323" spans="1:18" ht="16.5" x14ac:dyDescent="0.15">
      <c r="A323" s="278" t="s">
        <v>5441</v>
      </c>
      <c r="B323" s="143" t="s">
        <v>4635</v>
      </c>
      <c r="C323" s="164" t="s">
        <v>4575</v>
      </c>
      <c r="D323" s="149"/>
      <c r="E323" s="149"/>
      <c r="F323" s="2655" cm="1" t="n">
        <f t="array" ref="F323">INDEX('6층_부하량'!H3:H3000,MATCH(1,("6-DaHall 1-PDU-05"='6층_부하량'!A3:A3000)*(3='6층_부하량'!B3:B3000),0))</f>
        <v>0.0</v>
      </c>
      <c r="G323" s="149"/>
      <c r="H323" s="143" t="s">
        <v>4597</v>
      </c>
      <c r="I323" s="150" t="s">
        <v>4638</v>
      </c>
      <c r="J323" s="151" t="s">
        <v>4583</v>
      </c>
      <c r="K323" s="143" t="s">
        <v>4597</v>
      </c>
      <c r="L323" s="149"/>
      <c r="M323" s="149"/>
      <c r="N323" s="2655" cm="1" t="n">
        <f t="array" ref="N323">INDEX('6층_부하량'!H3:H3000,MATCH(1,("6-DaHall 1-PDU-05"='6층_부하량'!A3:A3000)*(4='6층_부하량'!B3:B3000),0))</f>
        <v>5.74</v>
      </c>
      <c r="O323" s="149"/>
      <c r="P323" s="149" t="s">
        <v>4635</v>
      </c>
      <c r="Q323" s="164" t="s">
        <v>4575</v>
      </c>
      <c r="R323" s="342" t="s">
        <v>5442</v>
      </c>
    </row>
    <row r="324" spans="1:18" ht="16.5" x14ac:dyDescent="0.15">
      <c r="A324" s="148" t="s">
        <v>5443</v>
      </c>
      <c r="B324" s="143" t="s">
        <v>4635</v>
      </c>
      <c r="C324" s="143" t="s">
        <v>4723</v>
      </c>
      <c r="D324" s="2656" cm="1" t="n">
        <f t="array" ref="D324">INDEX('6층_부하량'!F3:F3000,MATCH(1,("6-DaHall 1-PDU-05"='6층_부하량'!A3:A3000)*(5='6층_부하량'!B3:B3000),0))</f>
        <v>0.0</v>
      </c>
      <c r="E324" s="157"/>
      <c r="F324" s="157"/>
      <c r="G324" s="157"/>
      <c r="H324" s="143" t="s">
        <v>4597</v>
      </c>
      <c r="I324" s="1471" t="s">
        <v>4641</v>
      </c>
      <c r="J324" s="151" t="s">
        <v>4588</v>
      </c>
      <c r="K324" s="143" t="s">
        <v>4597</v>
      </c>
      <c r="L324" s="2656" cm="1" t="n">
        <f t="array" ref="L324">INDEX('6층_부하량'!F3:F3000,MATCH(1,("6-DaHall 1-PDU-05"='6층_부하량'!A3:A3000)*(6='6층_부하량'!B3:B3000),0))</f>
        <v>1.76</v>
      </c>
      <c r="M324" s="157"/>
      <c r="N324" s="157"/>
      <c r="O324" s="157"/>
      <c r="P324" s="157" t="s">
        <v>4635</v>
      </c>
      <c r="Q324" s="164" t="s">
        <v>4575</v>
      </c>
      <c r="R324" s="342" t="s">
        <v>5444</v>
      </c>
    </row>
    <row r="325" spans="1:18" ht="16.5" x14ac:dyDescent="0.15">
      <c r="A325" s="260" t="s">
        <v>5445</v>
      </c>
      <c r="B325" s="143" t="s">
        <v>4635</v>
      </c>
      <c r="C325" s="164" t="s">
        <v>4575</v>
      </c>
      <c r="D325" s="157"/>
      <c r="E325" s="2656" cm="1" t="n">
        <f t="array" ref="E325">INDEX('6층_부하량'!G3:G3000,MATCH(1,("6-DaHall 1-PDU-05"='6층_부하량'!A3:A3000)*(7='6층_부하량'!B3:B3000),0))</f>
        <v>2.15</v>
      </c>
      <c r="F325" s="157"/>
      <c r="G325" s="157"/>
      <c r="H325" s="143" t="s">
        <v>4597</v>
      </c>
      <c r="I325" s="150" t="s">
        <v>4645</v>
      </c>
      <c r="J325" s="151" t="s">
        <v>4593</v>
      </c>
      <c r="K325" s="143" t="s">
        <v>4597</v>
      </c>
      <c r="L325" s="157"/>
      <c r="M325" s="2656" cm="1" t="n">
        <f t="array" ref="M325">INDEX('6층_부하량'!G3:G3000,MATCH(1,("6-DaHall 1-PDU-05"='6층_부하량'!A3:A3000)*(8='6층_부하량'!B3:B3000),0))</f>
        <v>3.94</v>
      </c>
      <c r="N325" s="157"/>
      <c r="O325" s="157"/>
      <c r="P325" s="157" t="s">
        <v>4635</v>
      </c>
      <c r="Q325" s="164" t="s">
        <v>4575</v>
      </c>
      <c r="R325" s="342" t="s">
        <v>5446</v>
      </c>
    </row>
    <row r="326" spans="1:18" ht="16.5" x14ac:dyDescent="0.15">
      <c r="A326" s="258" t="s">
        <v>5447</v>
      </c>
      <c r="B326" s="143" t="s">
        <v>4635</v>
      </c>
      <c r="C326" s="164" t="s">
        <v>4575</v>
      </c>
      <c r="D326" s="157"/>
      <c r="E326" s="157"/>
      <c r="F326" s="2656" cm="1" t="n">
        <f t="array" ref="F326">INDEX('6층_부하량'!H3:H3000,MATCH(1,("6-DaHall 1-PDU-05"='6층_부하량'!A3:A3000)*(9='6층_부하량'!B3:B3000),0))</f>
        <v>1.04</v>
      </c>
      <c r="G326" s="157"/>
      <c r="H326" s="143" t="s">
        <v>4597</v>
      </c>
      <c r="I326" s="150" t="s">
        <v>4648</v>
      </c>
      <c r="J326" s="151" t="s">
        <v>4596</v>
      </c>
      <c r="K326" s="143" t="s">
        <v>4597</v>
      </c>
      <c r="L326" s="157"/>
      <c r="M326" s="157"/>
      <c r="N326" s="2656" cm="1" t="n">
        <f t="array" ref="N326">INDEX('6층_부하량'!H3:H3000,MATCH(1,("6-DaHall 1-PDU-05"='6층_부하량'!A3:A3000)*(10='6층_부하량'!B3:B3000),0))</f>
        <v>0.86</v>
      </c>
      <c r="O326" s="157"/>
      <c r="P326" s="157" t="s">
        <v>4635</v>
      </c>
      <c r="Q326" s="164" t="s">
        <v>4575</v>
      </c>
      <c r="R326" s="342" t="s">
        <v>5448</v>
      </c>
    </row>
    <row r="327" spans="1:18" ht="16.5" x14ac:dyDescent="0.15">
      <c r="A327" s="632" t="s">
        <v>5449</v>
      </c>
      <c r="B327" s="143" t="s">
        <v>4635</v>
      </c>
      <c r="C327" s="164" t="s">
        <v>4575</v>
      </c>
      <c r="D327" s="2656" cm="1" t="n">
        <f t="array" ref="D327">INDEX('6층_부하량'!F3:F3000,MATCH(1,("6-DaHall 1-PDU-05"='6층_부하량'!A3:A3000)*(11='6층_부하량'!B3:B3000),0))</f>
        <v>1.78</v>
      </c>
      <c r="E327" s="157"/>
      <c r="F327" s="157"/>
      <c r="G327" s="157"/>
      <c r="H327" s="143" t="s">
        <v>4597</v>
      </c>
      <c r="I327" s="150" t="s">
        <v>4653</v>
      </c>
      <c r="J327" s="151" t="s">
        <v>4599</v>
      </c>
      <c r="K327" s="143" t="s">
        <v>4597</v>
      </c>
      <c r="L327" s="2656" cm="1" t="n">
        <f t="array" ref="L327">INDEX('6층_부하량'!F3:F3000,MATCH(1,("6-DaHall 1-PDU-05"='6층_부하량'!A3:A3000)*(12='6층_부하량'!B3:B3000),0))</f>
        <v>1.5</v>
      </c>
      <c r="M327" s="157"/>
      <c r="N327" s="157"/>
      <c r="O327" s="157"/>
      <c r="P327" s="157" t="s">
        <v>4635</v>
      </c>
      <c r="Q327" s="164" t="s">
        <v>4575</v>
      </c>
      <c r="R327" s="342" t="s">
        <v>5450</v>
      </c>
    </row>
    <row r="328" spans="1:18" ht="16.5" x14ac:dyDescent="0.15">
      <c r="A328" s="607" t="s">
        <v>5451</v>
      </c>
      <c r="B328" s="143" t="s">
        <v>4635</v>
      </c>
      <c r="C328" s="164" t="s">
        <v>4575</v>
      </c>
      <c r="D328" s="157"/>
      <c r="E328" s="2656" cm="1" t="n">
        <f t="array" ref="E328">INDEX('6층_부하량'!G3:G3000,MATCH(1,("6-DaHall 1-PDU-05"='6층_부하량'!A3:A3000)*(13='6층_부하량'!B3:B3000),0))</f>
        <v>7.43</v>
      </c>
      <c r="F328" s="157"/>
      <c r="G328" s="157"/>
      <c r="H328" s="143" t="s">
        <v>4597</v>
      </c>
      <c r="I328" s="150" t="s">
        <v>4657</v>
      </c>
      <c r="J328" s="155" t="s">
        <v>4601</v>
      </c>
      <c r="K328" s="143" t="s">
        <v>4597</v>
      </c>
      <c r="L328" s="157"/>
      <c r="M328" s="2656" cm="1" t="n">
        <f t="array" ref="M328">INDEX('6층_부하량'!G3:G3000,MATCH(1,("6-DaHall 1-PDU-05"='6층_부하량'!A3:A3000)*(14='6층_부하량'!B3:B3000),0))</f>
        <v>5.6</v>
      </c>
      <c r="N328" s="157"/>
      <c r="O328" s="157"/>
      <c r="P328" s="157" t="s">
        <v>4635</v>
      </c>
      <c r="Q328" s="164" t="s">
        <v>4575</v>
      </c>
      <c r="R328" s="342" t="s">
        <v>5452</v>
      </c>
    </row>
    <row r="329" spans="1:18" ht="16.5" x14ac:dyDescent="0.15">
      <c r="A329" s="632" t="s">
        <v>5453</v>
      </c>
      <c r="B329" s="143" t="s">
        <v>4635</v>
      </c>
      <c r="C329" s="164" t="s">
        <v>4575</v>
      </c>
      <c r="D329" s="157"/>
      <c r="E329" s="157"/>
      <c r="F329" s="2656" cm="1" t="n">
        <f t="array" ref="F329">INDEX('6층_부하량'!H3:H3000,MATCH(1,("6-DaHall 1-PDU-05"='6층_부하량'!A3:A3000)*(15='6층_부하량'!B3:B3000),0))</f>
        <v>3.95</v>
      </c>
      <c r="G329" s="157"/>
      <c r="H329" s="143" t="s">
        <v>4597</v>
      </c>
      <c r="I329" s="150" t="s">
        <v>4661</v>
      </c>
      <c r="J329" s="155" t="s">
        <v>4603</v>
      </c>
      <c r="K329" s="143" t="s">
        <v>4597</v>
      </c>
      <c r="L329" s="157"/>
      <c r="M329" s="157"/>
      <c r="N329" s="2656" cm="1" t="n">
        <f t="array" ref="N329">INDEX('6층_부하량'!H3:H3000,MATCH(1,("6-DaHall 1-PDU-05"='6층_부하량'!A3:A3000)*(16='6층_부하량'!B3:B3000),0))</f>
        <v>3.82</v>
      </c>
      <c r="O329" s="157"/>
      <c r="P329" s="157" t="s">
        <v>4635</v>
      </c>
      <c r="Q329" s="164" t="s">
        <v>4575</v>
      </c>
      <c r="R329" s="342" t="s">
        <v>5454</v>
      </c>
    </row>
    <row r="330" spans="1:18" ht="16.5" x14ac:dyDescent="0.15">
      <c r="A330" s="607" t="s">
        <v>5455</v>
      </c>
      <c r="B330" s="143" t="s">
        <v>4635</v>
      </c>
      <c r="C330" s="164" t="s">
        <v>4575</v>
      </c>
      <c r="D330" s="2656" cm="1" t="n">
        <f t="array" ref="D330">INDEX('6층_부하량'!F3:F3000,MATCH(1,("6-DaHall 1-PDU-05"='6층_부하량'!A3:A3000)*(17='6층_부하량'!B3:B3000),0))</f>
        <v>1.13</v>
      </c>
      <c r="E330" s="157"/>
      <c r="F330" s="157"/>
      <c r="G330" s="157"/>
      <c r="H330" s="143" t="s">
        <v>4597</v>
      </c>
      <c r="I330" s="150" t="s">
        <v>4665</v>
      </c>
      <c r="J330" s="1460" t="s">
        <v>4605</v>
      </c>
      <c r="K330" s="143" t="s">
        <v>4597</v>
      </c>
      <c r="L330" s="2656" cm="1" t="n">
        <f t="array" ref="L330">INDEX('6층_부하량'!F3:F3000,MATCH(1,("6-DaHall 1-PDU-05"='6층_부하량'!A3:A3000)*(18='6층_부하량'!B3:B3000),0))</f>
        <v>0.68</v>
      </c>
      <c r="M330" s="157"/>
      <c r="N330" s="157"/>
      <c r="O330" s="157"/>
      <c r="P330" s="157" t="s">
        <v>4635</v>
      </c>
      <c r="Q330" s="143" t="s">
        <v>4723</v>
      </c>
      <c r="R330" s="153" t="s">
        <v>5456</v>
      </c>
    </row>
    <row r="331" spans="1:18" ht="16.5" x14ac:dyDescent="0.15">
      <c r="A331" s="632" t="s">
        <v>5457</v>
      </c>
      <c r="B331" s="143" t="s">
        <v>4635</v>
      </c>
      <c r="C331" s="164" t="s">
        <v>4575</v>
      </c>
      <c r="D331" s="157"/>
      <c r="E331" s="2656" cm="1" t="n">
        <f t="array" ref="E331">INDEX('6층_부하량'!G3:G3000,MATCH(1,("6-DaHall 1-PDU-05"='6층_부하량'!A3:A3000)*(19='6층_부하량'!B3:B3000),0))</f>
        <v>8.47</v>
      </c>
      <c r="F331" s="157"/>
      <c r="G331" s="157"/>
      <c r="H331" s="143" t="s">
        <v>4597</v>
      </c>
      <c r="I331" s="150" t="s">
        <v>4670</v>
      </c>
      <c r="J331" s="151" t="s">
        <v>4609</v>
      </c>
      <c r="K331" s="143" t="s">
        <v>4597</v>
      </c>
      <c r="L331" s="157"/>
      <c r="M331" s="2656" cm="1" t="n">
        <f t="array" ref="M331">INDEX('6층_부하량'!G3:G3000,MATCH(1,("6-DaHall 1-PDU-05"='6층_부하량'!A3:A3000)*(20='6층_부하량'!B3:B3000),0))</f>
        <v>2.21</v>
      </c>
      <c r="N331" s="157"/>
      <c r="O331" s="157"/>
      <c r="P331" s="157" t="s">
        <v>4635</v>
      </c>
      <c r="Q331" s="164" t="s">
        <v>4575</v>
      </c>
      <c r="R331" s="342" t="s">
        <v>5458</v>
      </c>
    </row>
    <row r="332" spans="1:18" ht="16.5" x14ac:dyDescent="0.15">
      <c r="A332" s="148" t="s">
        <v>5459</v>
      </c>
      <c r="B332" s="143" t="s">
        <v>4635</v>
      </c>
      <c r="C332" s="143" t="s">
        <v>4723</v>
      </c>
      <c r="D332" s="157"/>
      <c r="E332" s="157"/>
      <c r="F332" s="2656" cm="1" t="n">
        <f t="array" ref="F332">INDEX('6층_부하량'!H3:H3000,MATCH(1,("6-DaHall 1-PDU-05"='6층_부하량'!A3:A3000)*(21='6층_부하량'!B3:B3000),0))</f>
        <v>2.08</v>
      </c>
      <c r="G332" s="157"/>
      <c r="H332" s="143" t="s">
        <v>4597</v>
      </c>
      <c r="I332" s="1471" t="s">
        <v>4674</v>
      </c>
      <c r="J332" s="151" t="s">
        <v>4613</v>
      </c>
      <c r="K332" s="143" t="s">
        <v>4597</v>
      </c>
      <c r="L332" s="157"/>
      <c r="M332" s="157"/>
      <c r="N332" s="2656" cm="1" t="n">
        <f t="array" ref="N332">INDEX('6층_부하량'!H3:H3000,MATCH(1,("6-DaHall 1-PDU-05"='6층_부하량'!A3:A3000)*(22='6층_부하량'!B3:B3000),0))</f>
        <v>6.08</v>
      </c>
      <c r="O332" s="157"/>
      <c r="P332" s="157" t="s">
        <v>4635</v>
      </c>
      <c r="Q332" s="164" t="s">
        <v>4575</v>
      </c>
      <c r="R332" s="342" t="s">
        <v>5460</v>
      </c>
    </row>
    <row r="333" spans="1:18" ht="16.5" x14ac:dyDescent="0.15">
      <c r="A333" s="2330" t="s">
        <v>5461</v>
      </c>
      <c r="B333" s="143" t="s">
        <v>4635</v>
      </c>
      <c r="C333" s="164" t="s">
        <v>4575</v>
      </c>
      <c r="D333" s="2656" cm="1" t="n">
        <f t="array" ref="D333">INDEX('6층_부하량'!F3:F3000,MATCH(1,("6-DaHall 1-PDU-05"='6층_부하량'!A3:A3000)*(23='6층_부하량'!B3:B3000),0))</f>
        <v>5.29</v>
      </c>
      <c r="E333" s="157"/>
      <c r="F333" s="157"/>
      <c r="G333" s="157"/>
      <c r="H333" s="143" t="s">
        <v>4597</v>
      </c>
      <c r="I333" s="150" t="s">
        <v>4678</v>
      </c>
      <c r="J333" s="151" t="s">
        <v>4680</v>
      </c>
      <c r="K333" s="143" t="s">
        <v>4597</v>
      </c>
      <c r="L333" s="2656" cm="1" t="n">
        <f t="array" ref="L333">INDEX('6층_부하량'!F3:F3000,MATCH(1,("6-DaHall 1-PDU-05"='6층_부하량'!A3:A3000)*(24='6층_부하량'!B3:B3000),0))</f>
        <v>7.33</v>
      </c>
      <c r="M333" s="157"/>
      <c r="N333" s="157"/>
      <c r="O333" s="157"/>
      <c r="P333" s="157" t="s">
        <v>4635</v>
      </c>
      <c r="Q333" s="164" t="s">
        <v>4575</v>
      </c>
      <c r="R333" s="342" t="s">
        <v>5462</v>
      </c>
    </row>
    <row r="334" spans="1:18" ht="16.5" x14ac:dyDescent="0.15">
      <c r="A334" s="607" t="s">
        <v>5463</v>
      </c>
      <c r="B334" s="143" t="s">
        <v>4635</v>
      </c>
      <c r="C334" s="164" t="s">
        <v>4575</v>
      </c>
      <c r="D334" s="157"/>
      <c r="E334" s="2656" cm="1" t="n">
        <f t="array" ref="E334">INDEX('6층_부하량'!G3:G3000,MATCH(1,("6-DaHall 1-PDU-05"='6층_부하량'!A3:A3000)*(25='6층_부하량'!B3:B3000),0))</f>
        <v>9.25</v>
      </c>
      <c r="F334" s="157"/>
      <c r="G334" s="157"/>
      <c r="H334" s="143" t="s">
        <v>4597</v>
      </c>
      <c r="I334" s="150" t="s">
        <v>4683</v>
      </c>
      <c r="J334" s="151" t="s">
        <v>4685</v>
      </c>
      <c r="K334" s="143" t="s">
        <v>4597</v>
      </c>
      <c r="L334" s="157"/>
      <c r="M334" s="2656" cm="1" t="n">
        <f t="array" ref="M334">INDEX('6층_부하량'!G3:G3000,MATCH(1,("6-DaHall 1-PDU-05"='6층_부하량'!A3:A3000)*(26='6층_부하량'!B3:B3000),0))</f>
        <v>4.97</v>
      </c>
      <c r="N334" s="157"/>
      <c r="O334" s="157"/>
      <c r="P334" s="157" t="s">
        <v>4635</v>
      </c>
      <c r="Q334" s="164" t="s">
        <v>4575</v>
      </c>
      <c r="R334" s="342" t="s">
        <v>5464</v>
      </c>
    </row>
    <row r="335" spans="1:18" ht="17.25" thickBot="1" x14ac:dyDescent="0.2">
      <c r="A335" s="623" t="s">
        <v>5465</v>
      </c>
      <c r="B335" s="176" t="s">
        <v>4635</v>
      </c>
      <c r="C335" s="185" t="s">
        <v>4575</v>
      </c>
      <c r="D335" s="177"/>
      <c r="E335" s="177"/>
      <c r="F335" s="2661" cm="1" t="n">
        <f t="array" ref="F335">INDEX('6층_부하량'!H3:H3000,MATCH(1,("6-DaHall 1-PDU-05"='6층_부하량'!A3:A3000)*(27='6층_부하량'!B3:B3000),0))</f>
        <v>6.68</v>
      </c>
      <c r="G335" s="177"/>
      <c r="H335" s="176" t="s">
        <v>4597</v>
      </c>
      <c r="I335" s="186" t="s">
        <v>4688</v>
      </c>
      <c r="J335" s="187" t="s">
        <v>4689</v>
      </c>
      <c r="K335" s="176" t="s">
        <v>4597</v>
      </c>
      <c r="L335" s="177"/>
      <c r="M335" s="177"/>
      <c r="N335" s="2661" cm="1" t="n">
        <f t="array" ref="N335">INDEX('6층_부하량'!H3:H3000,MATCH(1,("6-DaHall 1-PDU-05"='6층_부하량'!A3:A3000)*(28='6층_부하량'!B3:B3000),0))</f>
        <v>13.31</v>
      </c>
      <c r="O335" s="177"/>
      <c r="P335" s="177" t="s">
        <v>4635</v>
      </c>
      <c r="Q335" s="185" t="s">
        <v>4575</v>
      </c>
      <c r="R335" s="477" t="s">
        <v>5466</v>
      </c>
    </row>
    <row r="336" spans="1:18" ht="17.25" thickTop="1" x14ac:dyDescent="0.15">
      <c r="A336" s="632" t="s">
        <v>5467</v>
      </c>
      <c r="B336" s="156" t="s">
        <v>4635</v>
      </c>
      <c r="C336" s="152" t="s">
        <v>4575</v>
      </c>
      <c r="D336" s="2658" cm="1" t="n">
        <f t="array" ref="D336">INDEX('6층_부하량'!F3:F3000,MATCH(1,("6-DaHall 1-PDU-05"='6층_부하량'!A3:A3000)*(29='6층_부하량'!B3:B3000),0))</f>
        <v>5.59</v>
      </c>
      <c r="E336" s="179"/>
      <c r="F336" s="179"/>
      <c r="G336" s="179"/>
      <c r="H336" s="156" t="s">
        <v>4597</v>
      </c>
      <c r="I336" s="193" t="s">
        <v>4691</v>
      </c>
      <c r="J336" s="188" t="s">
        <v>4692</v>
      </c>
      <c r="K336" s="156" t="s">
        <v>4597</v>
      </c>
      <c r="L336" s="2658" cm="1" t="n">
        <f t="array" ref="L336">INDEX('6층_부하량'!F3:F3000,MATCH(1,("6-DaHall 1-PDU-05"='6층_부하량'!A3:A3000)*(30='6층_부하량'!B3:B3000),0))</f>
        <v>0.72</v>
      </c>
      <c r="M336" s="179"/>
      <c r="N336" s="179"/>
      <c r="O336" s="179"/>
      <c r="P336" s="179" t="s">
        <v>4635</v>
      </c>
      <c r="Q336" s="152" t="s">
        <v>4575</v>
      </c>
      <c r="R336" s="475" t="s">
        <v>5468</v>
      </c>
    </row>
    <row r="337" spans="1:18" ht="16.5" x14ac:dyDescent="0.15">
      <c r="A337" s="607" t="s">
        <v>5469</v>
      </c>
      <c r="B337" s="143" t="s">
        <v>4635</v>
      </c>
      <c r="C337" s="164" t="s">
        <v>4575</v>
      </c>
      <c r="D337" s="157"/>
      <c r="E337" s="2656" cm="1" t="n">
        <f t="array" ref="E337">INDEX('6층_부하량'!G3:G3000,MATCH(1,("6-DaHall 1-PDU-05"='6층_부하량'!A3:A3000)*(31='6층_부하량'!B3:B3000),0))</f>
        <v>3.68</v>
      </c>
      <c r="F337" s="157"/>
      <c r="G337" s="157"/>
      <c r="H337" s="143" t="s">
        <v>4597</v>
      </c>
      <c r="I337" s="150" t="s">
        <v>4693</v>
      </c>
      <c r="J337" s="151" t="s">
        <v>4694</v>
      </c>
      <c r="K337" s="143" t="s">
        <v>4597</v>
      </c>
      <c r="L337" s="157"/>
      <c r="M337" s="2656" cm="1" t="n">
        <f t="array" ref="M337">INDEX('6층_부하량'!G3:G3000,MATCH(1,("6-DaHall 1-PDU-05"='6층_부하량'!A3:A3000)*(32='6층_부하량'!B3:B3000),0))</f>
        <v>0.86</v>
      </c>
      <c r="N337" s="157"/>
      <c r="O337" s="157"/>
      <c r="P337" s="157" t="s">
        <v>4635</v>
      </c>
      <c r="Q337" s="164" t="s">
        <v>4575</v>
      </c>
      <c r="R337" s="342" t="s">
        <v>5470</v>
      </c>
    </row>
    <row r="338" spans="1:18" ht="16.5" x14ac:dyDescent="0.15">
      <c r="A338" s="607" t="s">
        <v>5471</v>
      </c>
      <c r="B338" s="143" t="s">
        <v>4635</v>
      </c>
      <c r="C338" s="164" t="s">
        <v>4575</v>
      </c>
      <c r="D338" s="157"/>
      <c r="E338" s="157"/>
      <c r="F338" s="2656" cm="1" t="n">
        <f t="array" ref="F338">INDEX('6층_부하량'!H3:H3000,MATCH(1,("6-DaHall 1-PDU-05"='6층_부하량'!A3:A3000)*(33='6층_부하량'!B3:B3000),0))</f>
        <v>1.49</v>
      </c>
      <c r="G338" s="157"/>
      <c r="H338" s="143" t="s">
        <v>4597</v>
      </c>
      <c r="I338" s="150" t="s">
        <v>4697</v>
      </c>
      <c r="J338" s="151" t="s">
        <v>4698</v>
      </c>
      <c r="K338" s="143" t="s">
        <v>4597</v>
      </c>
      <c r="L338" s="157"/>
      <c r="M338" s="157"/>
      <c r="N338" s="2656" cm="1" t="n">
        <f t="array" ref="N338">INDEX('6층_부하량'!H3:H3000,MATCH(1,("6-DaHall 1-PDU-05"='6층_부하량'!A3:A3000)*(34='6층_부하량'!B3:B3000),0))</f>
        <v>5.38</v>
      </c>
      <c r="O338" s="157"/>
      <c r="P338" s="157" t="s">
        <v>4635</v>
      </c>
      <c r="Q338" s="164" t="s">
        <v>4575</v>
      </c>
      <c r="R338" s="342" t="s">
        <v>5472</v>
      </c>
    </row>
    <row r="339" spans="1:18" ht="16.5" x14ac:dyDescent="0.15">
      <c r="A339" s="607" t="s">
        <v>5473</v>
      </c>
      <c r="B339" s="143" t="s">
        <v>4635</v>
      </c>
      <c r="C339" s="164" t="s">
        <v>4575</v>
      </c>
      <c r="D339" s="2656" cm="1" t="n">
        <f t="array" ref="D339">INDEX('6층_부하량'!F3:F3000,MATCH(1,("6-DaHall 1-PDU-05"='6층_부하량'!A3:A3000)*(35='6층_부하량'!B3:B3000),0))</f>
        <v>3.7199999999999998</v>
      </c>
      <c r="E339" s="157"/>
      <c r="F339" s="157"/>
      <c r="G339" s="157"/>
      <c r="H339" s="143" t="s">
        <v>4597</v>
      </c>
      <c r="I339" s="293" t="s">
        <v>4701</v>
      </c>
      <c r="J339" s="151" t="s">
        <v>4703</v>
      </c>
      <c r="K339" s="143" t="s">
        <v>4597</v>
      </c>
      <c r="L339" s="2656" cm="1" t="n">
        <f t="array" ref="L339">INDEX('6층_부하량'!F3:F3000,MATCH(1,("6-DaHall 1-PDU-05"='6층_부하량'!A3:A3000)*(36='6층_부하량'!B3:B3000),0))</f>
        <v>0.0</v>
      </c>
      <c r="M339" s="157"/>
      <c r="N339" s="157"/>
      <c r="O339" s="157"/>
      <c r="P339" s="157" t="s">
        <v>4635</v>
      </c>
      <c r="Q339" s="164" t="s">
        <v>4575</v>
      </c>
      <c r="R339" s="342" t="s">
        <v>5474</v>
      </c>
    </row>
    <row r="340" spans="1:18" ht="16.5" x14ac:dyDescent="0.15">
      <c r="A340" s="607" t="s">
        <v>5475</v>
      </c>
      <c r="B340" s="143" t="s">
        <v>4635</v>
      </c>
      <c r="C340" s="164" t="s">
        <v>4575</v>
      </c>
      <c r="D340" s="157"/>
      <c r="E340" s="2664" cm="1" t="n">
        <f t="array" ref="E340">INDEX('6층_부하량'!G3:G3000,MATCH(1,("6-DaHall 1-PDU-05"='6층_부하량'!A3:A3000)*(37='6층_부하량'!B3:B3000),0))</f>
        <v>7.58</v>
      </c>
      <c r="F340" s="157"/>
      <c r="G340" s="157"/>
      <c r="H340" s="143" t="s">
        <v>4597</v>
      </c>
      <c r="I340" s="293" t="s">
        <v>4706</v>
      </c>
      <c r="J340" s="151" t="s">
        <v>4707</v>
      </c>
      <c r="K340" s="143" t="s">
        <v>4597</v>
      </c>
      <c r="L340" s="157"/>
      <c r="M340" s="2664" cm="1" t="n">
        <f t="array" ref="M340">INDEX('6층_부하량'!G3:G3000,MATCH(1,("6-DaHall 1-PDU-05"='6층_부하량'!A3:A3000)*(38='6층_부하량'!B3:B3000),0))</f>
        <v>0.0</v>
      </c>
      <c r="N340" s="157"/>
      <c r="O340" s="157"/>
      <c r="P340" s="157" t="s">
        <v>4635</v>
      </c>
      <c r="Q340" s="164" t="s">
        <v>4575</v>
      </c>
      <c r="R340" s="342" t="s">
        <v>5476</v>
      </c>
    </row>
    <row r="341" spans="1:18" ht="16.5" x14ac:dyDescent="0.15">
      <c r="A341" s="607" t="s">
        <v>5477</v>
      </c>
      <c r="B341" s="143" t="s">
        <v>4635</v>
      </c>
      <c r="C341" s="164" t="s">
        <v>4575</v>
      </c>
      <c r="D341" s="157"/>
      <c r="E341" s="157"/>
      <c r="F341" s="2656" cm="1" t="n">
        <f t="array" ref="F341">INDEX('6층_부하량'!H3:H3000,MATCH(1,("6-DaHall 1-PDU-05"='6층_부하량'!A3:A3000)*(39='6층_부하량'!B3:B3000),0))</f>
        <v>2.27</v>
      </c>
      <c r="G341" s="157"/>
      <c r="H341" s="143" t="s">
        <v>4597</v>
      </c>
      <c r="I341" s="293" t="s">
        <v>4710</v>
      </c>
      <c r="J341" s="151" t="s">
        <v>4711</v>
      </c>
      <c r="K341" s="143" t="s">
        <v>4597</v>
      </c>
      <c r="L341" s="157"/>
      <c r="M341" s="157"/>
      <c r="N341" s="2656" cm="1" t="n">
        <f t="array" ref="N341">INDEX('6층_부하량'!H3:H3000,MATCH(1,("6-DaHall 1-PDU-05"='6층_부하량'!A3:A3000)*(40='6층_부하량'!B3:B3000),0))</f>
        <v>0.0</v>
      </c>
      <c r="O341" s="157"/>
      <c r="P341" s="157" t="s">
        <v>4635</v>
      </c>
      <c r="Q341" s="164" t="s">
        <v>4575</v>
      </c>
      <c r="R341" s="633" t="s">
        <v>5478</v>
      </c>
    </row>
    <row r="342" spans="1:18" ht="16.5" x14ac:dyDescent="0.15">
      <c r="A342" s="607" t="s">
        <v>5479</v>
      </c>
      <c r="B342" s="143" t="s">
        <v>4635</v>
      </c>
      <c r="C342" s="164" t="s">
        <v>4575</v>
      </c>
      <c r="D342" s="2656" cm="1" t="n">
        <f t="array" ref="D342">INDEX('6층_부하량'!F3:F3000,MATCH(1,("6-DaHall 1-PDU-05"='6층_부하량'!A3:A3000)*(41='6층_부하량'!B3:B3000),0))</f>
        <v>2.17</v>
      </c>
      <c r="E342" s="157"/>
      <c r="F342" s="157"/>
      <c r="G342" s="157"/>
      <c r="H342" s="143" t="s">
        <v>4597</v>
      </c>
      <c r="I342" s="293" t="s">
        <v>5055</v>
      </c>
      <c r="J342" s="151" t="s">
        <v>4843</v>
      </c>
      <c r="K342" s="143" t="s">
        <v>4597</v>
      </c>
      <c r="L342" s="2656" cm="1" t="n">
        <f t="array" ref="L342">INDEX('6층_부하량'!F3:F3000,MATCH(1,("6-DaHall 1-PDU-05"='6층_부하량'!A3:A3000)*(42='6층_부하량'!B3:B3000),0))</f>
        <v>0.0</v>
      </c>
      <c r="M342" s="157"/>
      <c r="N342" s="157"/>
      <c r="O342" s="157"/>
      <c r="P342" s="157" t="s">
        <v>4635</v>
      </c>
      <c r="Q342" s="164" t="s">
        <v>4575</v>
      </c>
      <c r="R342" s="342" t="s">
        <v>5480</v>
      </c>
    </row>
    <row r="343" spans="1:18" ht="16.5" x14ac:dyDescent="0.15">
      <c r="A343" s="607" t="s">
        <v>5481</v>
      </c>
      <c r="B343" s="143" t="s">
        <v>4635</v>
      </c>
      <c r="C343" s="164" t="s">
        <v>4575</v>
      </c>
      <c r="D343" s="157"/>
      <c r="E343" s="2656" cm="1" t="n">
        <f t="array" ref="E343">INDEX('6층_부하량'!G3:G3000,MATCH(1,("6-DaHall 1-PDU-05"='6층_부하량'!A3:A3000)*(43='6층_부하량'!B3:B3000),0))</f>
        <v>6.41</v>
      </c>
      <c r="F343" s="157"/>
      <c r="G343" s="157"/>
      <c r="H343" s="143" t="s">
        <v>4597</v>
      </c>
      <c r="I343" s="293" t="s">
        <v>4845</v>
      </c>
      <c r="J343" s="151" t="s">
        <v>4846</v>
      </c>
      <c r="K343" s="143" t="s">
        <v>4597</v>
      </c>
      <c r="L343" s="157"/>
      <c r="M343" s="2656" cm="1" t="n">
        <f t="array" ref="M343">INDEX('6층_부하량'!G3:G3000,MATCH(1,("6-DaHall 1-PDU-05"='6층_부하량'!A3:A3000)*(44='6층_부하량'!B3:B3000),0))</f>
        <v>0.0</v>
      </c>
      <c r="N343" s="157"/>
      <c r="O343" s="157"/>
      <c r="P343" s="157" t="s">
        <v>4635</v>
      </c>
      <c r="Q343" s="164" t="s">
        <v>4575</v>
      </c>
      <c r="R343" s="633" t="s">
        <v>5482</v>
      </c>
    </row>
    <row r="344" spans="1:18" ht="16.5" x14ac:dyDescent="0.15">
      <c r="A344" s="607" t="s">
        <v>5483</v>
      </c>
      <c r="B344" s="143" t="s">
        <v>4635</v>
      </c>
      <c r="C344" s="164" t="s">
        <v>4575</v>
      </c>
      <c r="D344" s="157"/>
      <c r="E344" s="157"/>
      <c r="F344" s="2656" cm="1" t="n">
        <f t="array" ref="F344">INDEX('6층_부하량'!H3:H3000,MATCH(1,("6-DaHall 1-PDU-05"='6층_부하량'!A3:A3000)*(45='6층_부하량'!B3:B3000),0))</f>
        <v>5.46</v>
      </c>
      <c r="G344" s="157"/>
      <c r="H344" s="143" t="s">
        <v>4597</v>
      </c>
      <c r="I344" s="293" t="s">
        <v>4847</v>
      </c>
      <c r="J344" s="151" t="s">
        <v>4848</v>
      </c>
      <c r="K344" s="143" t="s">
        <v>4597</v>
      </c>
      <c r="L344" s="157"/>
      <c r="M344" s="157"/>
      <c r="N344" s="2656" cm="1" t="n">
        <f t="array" ref="N344">INDEX('6층_부하량'!H3:H3000,MATCH(1,("6-DaHall 1-PDU-05"='6층_부하량'!A3:A3000)*(46='6층_부하량'!B3:B3000),0))</f>
        <v>0.0</v>
      </c>
      <c r="O344" s="157"/>
      <c r="P344" s="157" t="s">
        <v>4635</v>
      </c>
      <c r="Q344" s="164" t="s">
        <v>4575</v>
      </c>
      <c r="R344" s="342" t="s">
        <v>5484</v>
      </c>
    </row>
    <row r="345" spans="1:18" ht="16.5" x14ac:dyDescent="0.15">
      <c r="A345" s="607" t="s">
        <v>5485</v>
      </c>
      <c r="B345" s="143" t="s">
        <v>4635</v>
      </c>
      <c r="C345" s="164" t="s">
        <v>4575</v>
      </c>
      <c r="D345" s="2664" cm="1" t="n">
        <f t="array" ref="D345">INDEX('6층_부하량'!F3:F3000,MATCH(1,("6-DaHall 1-PDU-05"='6층_부하량'!A3:A3000)*(47='6층_부하량'!B3:B3000),0))</f>
        <v>5.85</v>
      </c>
      <c r="E345" s="157"/>
      <c r="F345" s="157"/>
      <c r="G345" s="157"/>
      <c r="H345" s="143" t="s">
        <v>4597</v>
      </c>
      <c r="I345" s="293" t="s">
        <v>4849</v>
      </c>
      <c r="J345" s="151" t="s">
        <v>4850</v>
      </c>
      <c r="K345" s="143" t="s">
        <v>4597</v>
      </c>
      <c r="L345" s="2664" cm="1" t="n">
        <f t="array" ref="L345">INDEX('6층_부하량'!F3:F3000,MATCH(1,("6-DaHall 1-PDU-05"='6층_부하량'!A3:A3000)*(48='6층_부하량'!B3:B3000),0))</f>
        <v>0.0</v>
      </c>
      <c r="M345" s="157"/>
      <c r="N345" s="157"/>
      <c r="O345" s="157"/>
      <c r="P345" s="157" t="s">
        <v>4635</v>
      </c>
      <c r="Q345" s="164" t="s">
        <v>4575</v>
      </c>
      <c r="R345" s="279" t="s">
        <v>5486</v>
      </c>
    </row>
    <row r="346" spans="1:18" ht="16.5" x14ac:dyDescent="0.15">
      <c r="A346" s="607" t="s">
        <v>5487</v>
      </c>
      <c r="B346" s="143" t="s">
        <v>4635</v>
      </c>
      <c r="C346" s="164" t="s">
        <v>4575</v>
      </c>
      <c r="D346" s="157"/>
      <c r="E346" s="2656" cm="1" t="n">
        <f t="array" ref="E346">INDEX('6층_부하량'!G3:G3000,MATCH(1,("6-DaHall 1-PDU-05"='6층_부하량'!A3:A3000)*(49='6층_부하량'!B3:B3000),0))</f>
        <v>9.31</v>
      </c>
      <c r="F346" s="157"/>
      <c r="G346" s="157"/>
      <c r="H346" s="143" t="s">
        <v>4597</v>
      </c>
      <c r="I346" s="293" t="s">
        <v>4851</v>
      </c>
      <c r="J346" s="1463" t="s">
        <v>4852</v>
      </c>
      <c r="K346" s="143" t="s">
        <v>4597</v>
      </c>
      <c r="L346" s="157"/>
      <c r="M346" s="2656" cm="1" t="n">
        <f t="array" ref="M346">INDEX('6층_부하량'!G3:G3000,MATCH(1,("6-DaHall 1-PDU-05"='6층_부하량'!A3:A3000)*(50='6층_부하량'!B3:B3000),0))</f>
        <v>0.0</v>
      </c>
      <c r="N346" s="157"/>
      <c r="O346" s="157"/>
      <c r="P346" s="157" t="s">
        <v>4635</v>
      </c>
      <c r="Q346" s="164" t="s">
        <v>4575</v>
      </c>
      <c r="R346" s="264" t="s">
        <v>5488</v>
      </c>
    </row>
    <row r="347" spans="1:18" ht="16.5" x14ac:dyDescent="0.15">
      <c r="A347" s="607" t="s">
        <v>5489</v>
      </c>
      <c r="B347" s="143" t="s">
        <v>4635</v>
      </c>
      <c r="C347" s="164" t="s">
        <v>4575</v>
      </c>
      <c r="D347" s="157"/>
      <c r="E347" s="157"/>
      <c r="F347" s="2664" cm="1" t="n">
        <f t="array" ref="F347">INDEX('6층_부하량'!H3:H3000,MATCH(1,("6-DaHall 1-PDU-05"='6층_부하량'!A3:A3000)*(51='6층_부하량'!B3:B3000),0))</f>
        <v>5.0</v>
      </c>
      <c r="G347" s="157"/>
      <c r="H347" s="143" t="s">
        <v>4597</v>
      </c>
      <c r="I347" s="293" t="s">
        <v>4791</v>
      </c>
      <c r="J347" s="1460" t="s">
        <v>4793</v>
      </c>
      <c r="K347" s="143" t="s">
        <v>4597</v>
      </c>
      <c r="L347" s="157"/>
      <c r="M347" s="157"/>
      <c r="N347" s="2664" cm="1" t="n">
        <f t="array" ref="N347">INDEX('6층_부하량'!H3:H3000,MATCH(1,("6-DaHall 1-PDU-05"='6층_부하량'!A3:A3000)*(52='6층_부하량'!B3:B3000),0))</f>
        <v>0.0</v>
      </c>
      <c r="O347" s="157"/>
      <c r="P347" s="157" t="s">
        <v>4635</v>
      </c>
      <c r="Q347" s="143" t="s">
        <v>4723</v>
      </c>
      <c r="R347" s="183" t="s">
        <v>5490</v>
      </c>
    </row>
    <row r="348" spans="1:18" ht="17.25" thickBot="1" x14ac:dyDescent="0.2">
      <c r="A348" s="275" t="s">
        <v>5491</v>
      </c>
      <c r="B348" s="166" t="s">
        <v>4635</v>
      </c>
      <c r="C348" s="184" t="s">
        <v>4575</v>
      </c>
      <c r="D348" s="2668" cm="1" t="n">
        <f t="array" ref="D348">INDEX('6층_부하량'!F3:F3000,MATCH(1,("6-DaHall 1-PDU-05"='6층_부하량'!A3:A3000)*(53='6층_부하량'!B3:B3000),0))</f>
        <v>7.24</v>
      </c>
      <c r="E348" s="167"/>
      <c r="F348" s="167"/>
      <c r="G348" s="167"/>
      <c r="H348" s="166" t="s">
        <v>4597</v>
      </c>
      <c r="I348" s="300" t="s">
        <v>4796</v>
      </c>
      <c r="J348" s="169" t="s">
        <v>4797</v>
      </c>
      <c r="K348" s="166" t="s">
        <v>4597</v>
      </c>
      <c r="L348" s="2668" cm="1" t="n">
        <f t="array" ref="L348">INDEX('6층_부하량'!F3:F3000,MATCH(1,("6-DaHall 1-PDU-05"='6층_부하량'!A3:A3000)*(54='6층_부하량'!B3:B3000),0))</f>
        <v>4.51</v>
      </c>
      <c r="M348" s="167"/>
      <c r="N348" s="167"/>
      <c r="O348" s="167"/>
      <c r="P348" s="166" t="s">
        <v>4635</v>
      </c>
      <c r="Q348" s="184" t="s">
        <v>4575</v>
      </c>
      <c r="R348" s="325" t="s">
        <v>5492</v>
      </c>
    </row>
    <row r="349" spans="1:18" ht="14.25" thickTop="1" x14ac:dyDescent="0.15">
      <c r="A349" s="171"/>
      <c r="B349" s="133"/>
      <c r="C349" s="133"/>
      <c r="D349" s="131"/>
      <c r="E349" s="131"/>
      <c r="F349" s="131"/>
      <c r="G349" s="131"/>
      <c r="H349" s="133"/>
      <c r="I349" s="172"/>
      <c r="J349" s="172"/>
      <c r="K349" s="133" t="s">
        <v>4713</v>
      </c>
      <c r="L349" s="131" t="n">
        <f>SUM(D322:D348,L322:L348)</f>
        <v>49.269999999999996</v>
      </c>
      <c r="M349" s="131" t="n">
        <f>SUM(E322:E348,M322:M348)</f>
        <v>84.85999999999999</v>
      </c>
      <c r="N349" s="131" t="n">
        <f>SUM(F322:F348,N322:N348)</f>
        <v>63.160000000000004</v>
      </c>
      <c r="O349" s="131"/>
      <c r="P349" s="131"/>
      <c r="Q349" s="133"/>
      <c r="R349" s="131"/>
    </row>
    <row r="350" spans="1:18" ht="14.25" thickBot="1" x14ac:dyDescent="0.2">
      <c r="A350" s="128"/>
      <c r="B350" s="128"/>
      <c r="C350" s="128"/>
      <c r="D350" s="128"/>
      <c r="E350" s="128"/>
      <c r="F350" s="128"/>
      <c r="G350" s="128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</row>
    <row r="351" spans="1:18" ht="15" thickTop="1" thickBot="1" x14ac:dyDescent="0.2">
      <c r="A351" s="173" t="s">
        <v>7008</v>
      </c>
      <c r="B351" s="128"/>
      <c r="C351" s="3660" t="s">
        <v>5493</v>
      </c>
      <c r="D351" s="3660"/>
      <c r="E351" s="3660"/>
      <c r="F351" s="173"/>
      <c r="G351" s="173"/>
      <c r="H351" s="133"/>
      <c r="I351" s="3665" t="s">
        <v>4715</v>
      </c>
      <c r="J351" s="3666"/>
      <c r="K351" s="133"/>
      <c r="L351" s="173"/>
      <c r="M351" s="173"/>
      <c r="N351" s="173"/>
      <c r="O351" s="173"/>
      <c r="P351" s="173"/>
      <c r="Q351" s="173"/>
      <c r="R351" s="128"/>
    </row>
    <row r="352" spans="1:18" ht="15" thickTop="1" thickBot="1" x14ac:dyDescent="0.2">
      <c r="A352" s="127"/>
      <c r="B352" s="128"/>
      <c r="C352" s="128"/>
      <c r="D352" s="129"/>
      <c r="E352" s="129"/>
      <c r="F352" s="130"/>
      <c r="G352" s="129"/>
      <c r="H352" s="131"/>
      <c r="I352" s="128"/>
      <c r="J352" s="132"/>
      <c r="K352" s="1371" t="s">
        <v>4562</v>
      </c>
      <c r="L352" s="1368">
        <v>12.5</v>
      </c>
      <c r="M352" s="1369">
        <v>37.1</v>
      </c>
      <c r="N352" s="1370">
        <v>24.7</v>
      </c>
      <c r="O352" s="508" t="s">
        <v>4563</v>
      </c>
      <c r="P352" s="133"/>
      <c r="Q352" s="128"/>
      <c r="R352" s="528"/>
    </row>
    <row r="353" spans="1:18" ht="15" thickTop="1" thickBot="1" x14ac:dyDescent="0.2">
      <c r="A353" s="134" t="s">
        <v>4564</v>
      </c>
      <c r="B353" s="135" t="s">
        <v>5031</v>
      </c>
      <c r="C353" s="136" t="s">
        <v>4566</v>
      </c>
      <c r="D353" s="135" t="s">
        <v>5032</v>
      </c>
      <c r="E353" s="135" t="s">
        <v>5033</v>
      </c>
      <c r="F353" s="135" t="s">
        <v>5034</v>
      </c>
      <c r="G353" s="135" t="s">
        <v>5035</v>
      </c>
      <c r="H353" s="135" t="s">
        <v>5036</v>
      </c>
      <c r="I353" s="138" t="s">
        <v>5037</v>
      </c>
      <c r="J353" s="139" t="s">
        <v>5037</v>
      </c>
      <c r="K353" s="135" t="s">
        <v>5036</v>
      </c>
      <c r="L353" s="135" t="s">
        <v>5032</v>
      </c>
      <c r="M353" s="135" t="s">
        <v>5033</v>
      </c>
      <c r="N353" s="135" t="s">
        <v>5034</v>
      </c>
      <c r="O353" s="135" t="s">
        <v>5035</v>
      </c>
      <c r="P353" s="135" t="s">
        <v>5031</v>
      </c>
      <c r="Q353" s="136" t="s">
        <v>4566</v>
      </c>
      <c r="R353" s="140" t="s">
        <v>4564</v>
      </c>
    </row>
    <row r="354" spans="1:18" ht="17.25" thickTop="1" x14ac:dyDescent="0.15">
      <c r="A354" s="277" t="s">
        <v>5494</v>
      </c>
      <c r="B354" s="142" t="s">
        <v>4635</v>
      </c>
      <c r="C354" s="164" t="s">
        <v>4575</v>
      </c>
      <c r="D354" s="144"/>
      <c r="E354" s="2654" cm="1" t="n">
        <f t="array" ref="E354">INDEX('6층_부하량'!G3:G3000,MATCH(1,("6-DaHall 1-PDU-06"='6층_부하량'!A3:A3000)*(1='6층_부하량'!B3:B3000),0))</f>
        <v>0.0</v>
      </c>
      <c r="F354" s="144"/>
      <c r="G354" s="144"/>
      <c r="H354" s="142" t="s">
        <v>4597</v>
      </c>
      <c r="I354" s="145" t="s">
        <v>4633</v>
      </c>
      <c r="J354" s="146" t="s">
        <v>4578</v>
      </c>
      <c r="K354" s="142" t="s">
        <v>4597</v>
      </c>
      <c r="L354" s="144"/>
      <c r="M354" s="2654" cm="1" t="n">
        <f t="array" ref="M354">INDEX('6층_부하량'!G3:G3000,MATCH(1,("6-DaHall 1-PDU-06"='6층_부하량'!A3:A3000)*(2='6층_부하량'!B3:B3000),0))</f>
        <v>11.95</v>
      </c>
      <c r="N354" s="144"/>
      <c r="O354" s="144"/>
      <c r="P354" s="142" t="s">
        <v>4635</v>
      </c>
      <c r="Q354" s="152" t="s">
        <v>4575</v>
      </c>
      <c r="R354" s="618" t="s">
        <v>5495</v>
      </c>
    </row>
    <row r="355" spans="1:18" ht="16.5" x14ac:dyDescent="0.15">
      <c r="A355" s="278" t="s">
        <v>5496</v>
      </c>
      <c r="B355" s="143" t="s">
        <v>4635</v>
      </c>
      <c r="C355" s="164" t="s">
        <v>4575</v>
      </c>
      <c r="D355" s="149"/>
      <c r="E355" s="149"/>
      <c r="F355" s="2655" cm="1" t="n">
        <f t="array" ref="F355">INDEX('6층_부하량'!H3:H3000,MATCH(1,("6-DaHall 1-PDU-06"='6층_부하량'!A3:A3000)*(3='6층_부하량'!B3:B3000),0))</f>
        <v>0.0</v>
      </c>
      <c r="G355" s="149"/>
      <c r="H355" s="143" t="s">
        <v>4597</v>
      </c>
      <c r="I355" s="150" t="s">
        <v>4638</v>
      </c>
      <c r="J355" s="151" t="s">
        <v>4583</v>
      </c>
      <c r="K355" s="143" t="s">
        <v>4597</v>
      </c>
      <c r="L355" s="149"/>
      <c r="M355" s="149"/>
      <c r="N355" s="2655" cm="1" t="n">
        <f t="array" ref="N355">INDEX('6층_부하량'!H3:H3000,MATCH(1,("6-DaHall 1-PDU-06"='6층_부하량'!A3:A3000)*(4='6층_부하량'!B3:B3000),0))</f>
        <v>4.53</v>
      </c>
      <c r="O355" s="149"/>
      <c r="P355" s="149" t="s">
        <v>4635</v>
      </c>
      <c r="Q355" s="164" t="s">
        <v>4575</v>
      </c>
      <c r="R355" s="342" t="s">
        <v>5497</v>
      </c>
    </row>
    <row r="356" spans="1:18" ht="16.5" x14ac:dyDescent="0.15">
      <c r="A356" s="148" t="s">
        <v>5498</v>
      </c>
      <c r="B356" s="143" t="s">
        <v>4635</v>
      </c>
      <c r="C356" s="143" t="s">
        <v>4723</v>
      </c>
      <c r="D356" s="2656" cm="1" t="n">
        <f t="array" ref="D356">INDEX('6층_부하량'!F3:F3000,MATCH(1,("6-DaHall 1-PDU-06"='6층_부하량'!A3:A3000)*(5='6층_부하량'!B3:B3000),0))</f>
        <v>0.0</v>
      </c>
      <c r="E356" s="157"/>
      <c r="F356" s="157"/>
      <c r="G356" s="157"/>
      <c r="H356" s="143" t="s">
        <v>4597</v>
      </c>
      <c r="I356" s="1465" t="s">
        <v>4641</v>
      </c>
      <c r="J356" s="151" t="s">
        <v>4588</v>
      </c>
      <c r="K356" s="143" t="s">
        <v>4597</v>
      </c>
      <c r="L356" s="2656" cm="1" t="n">
        <f t="array" ref="L356">INDEX('6층_부하량'!F3:F3000,MATCH(1,("6-DaHall 1-PDU-06"='6층_부하량'!A3:A3000)*(6='6층_부하량'!B3:B3000),0))</f>
        <v>1.9100000000000001</v>
      </c>
      <c r="M356" s="157"/>
      <c r="N356" s="157"/>
      <c r="O356" s="157"/>
      <c r="P356" s="157" t="s">
        <v>4635</v>
      </c>
      <c r="Q356" s="164" t="s">
        <v>4575</v>
      </c>
      <c r="R356" s="342" t="s">
        <v>5499</v>
      </c>
    </row>
    <row r="357" spans="1:18" ht="16.5" x14ac:dyDescent="0.15">
      <c r="A357" s="260" t="s">
        <v>5500</v>
      </c>
      <c r="B357" s="143" t="s">
        <v>4635</v>
      </c>
      <c r="C357" s="164" t="s">
        <v>4575</v>
      </c>
      <c r="D357" s="157"/>
      <c r="E357" s="2656" cm="1" t="n">
        <f t="array" ref="E357">INDEX('6층_부하량'!G3:G3000,MATCH(1,("6-DaHall 1-PDU-06"='6층_부하량'!A3:A3000)*(7='6층_부하량'!B3:B3000),0))</f>
        <v>3.66</v>
      </c>
      <c r="F357" s="157"/>
      <c r="G357" s="157"/>
      <c r="H357" s="143" t="s">
        <v>4597</v>
      </c>
      <c r="I357" s="150" t="s">
        <v>4645</v>
      </c>
      <c r="J357" s="151" t="s">
        <v>4593</v>
      </c>
      <c r="K357" s="143" t="s">
        <v>4597</v>
      </c>
      <c r="L357" s="157"/>
      <c r="M357" s="2656" cm="1" t="n">
        <f t="array" ref="M357">INDEX('6층_부하량'!G3:G3000,MATCH(1,("6-DaHall 1-PDU-06"='6층_부하량'!A3:A3000)*(8='6층_부하량'!B3:B3000),0))</f>
        <v>4.5</v>
      </c>
      <c r="N357" s="157"/>
      <c r="O357" s="157"/>
      <c r="P357" s="157" t="s">
        <v>4635</v>
      </c>
      <c r="Q357" s="164" t="s">
        <v>4575</v>
      </c>
      <c r="R357" s="342" t="s">
        <v>5501</v>
      </c>
    </row>
    <row r="358" spans="1:18" ht="16.5" x14ac:dyDescent="0.15">
      <c r="A358" s="258" t="s">
        <v>2436</v>
      </c>
      <c r="B358" s="143" t="s">
        <v>4635</v>
      </c>
      <c r="C358" s="164" t="s">
        <v>4575</v>
      </c>
      <c r="D358" s="157"/>
      <c r="E358" s="157"/>
      <c r="F358" s="2656" cm="1" t="n">
        <f t="array" ref="F358">INDEX('6층_부하량'!H3:H3000,MATCH(1,("6-DaHall 1-PDU-06"='6층_부하량'!A3:A3000)*(9='6층_부하량'!B3:B3000),0))</f>
        <v>1.02</v>
      </c>
      <c r="G358" s="157"/>
      <c r="H358" s="143" t="s">
        <v>4597</v>
      </c>
      <c r="I358" s="150" t="s">
        <v>4648</v>
      </c>
      <c r="J358" s="151" t="s">
        <v>4596</v>
      </c>
      <c r="K358" s="143" t="s">
        <v>4597</v>
      </c>
      <c r="L358" s="157"/>
      <c r="M358" s="157"/>
      <c r="N358" s="2656" cm="1" t="n">
        <f t="array" ref="N358">INDEX('6층_부하량'!H3:H3000,MATCH(1,("6-DaHall 1-PDU-06"='6층_부하량'!A3:A3000)*(10='6층_부하량'!B3:B3000),0))</f>
        <v>0.55</v>
      </c>
      <c r="O358" s="157"/>
      <c r="P358" s="157" t="s">
        <v>4635</v>
      </c>
      <c r="Q358" s="164" t="s">
        <v>4575</v>
      </c>
      <c r="R358" s="342" t="s">
        <v>5502</v>
      </c>
    </row>
    <row r="359" spans="1:18" ht="16.5" x14ac:dyDescent="0.15">
      <c r="A359" s="632" t="s">
        <v>5503</v>
      </c>
      <c r="B359" s="143" t="s">
        <v>4635</v>
      </c>
      <c r="C359" s="164" t="s">
        <v>4575</v>
      </c>
      <c r="D359" s="2656" cm="1" t="n">
        <f t="array" ref="D359">INDEX('6층_부하량'!F3:F3000,MATCH(1,("6-DaHall 1-PDU-06"='6층_부하량'!A3:A3000)*(11='6층_부하량'!B3:B3000),0))</f>
        <v>2.01</v>
      </c>
      <c r="E359" s="157"/>
      <c r="F359" s="157"/>
      <c r="G359" s="157"/>
      <c r="H359" s="143" t="s">
        <v>4597</v>
      </c>
      <c r="I359" s="150" t="s">
        <v>4653</v>
      </c>
      <c r="J359" s="151" t="s">
        <v>4599</v>
      </c>
      <c r="K359" s="143" t="s">
        <v>4597</v>
      </c>
      <c r="L359" s="2656" cm="1" t="n">
        <f t="array" ref="L359">INDEX('6층_부하량'!F3:F3000,MATCH(1,("6-DaHall 1-PDU-06"='6층_부하량'!A3:A3000)*(12='6층_부하량'!B3:B3000),0))</f>
        <v>0.0</v>
      </c>
      <c r="M359" s="157"/>
      <c r="N359" s="157"/>
      <c r="O359" s="157"/>
      <c r="P359" s="157" t="s">
        <v>4635</v>
      </c>
      <c r="Q359" s="164" t="s">
        <v>4575</v>
      </c>
      <c r="R359" s="342" t="s">
        <v>5504</v>
      </c>
    </row>
    <row r="360" spans="1:18" ht="16.5" x14ac:dyDescent="0.15">
      <c r="A360" s="607" t="s">
        <v>5505</v>
      </c>
      <c r="B360" s="143" t="s">
        <v>4635</v>
      </c>
      <c r="C360" s="164" t="s">
        <v>4575</v>
      </c>
      <c r="D360" s="157"/>
      <c r="E360" s="2656" cm="1" t="n">
        <f t="array" ref="E360">INDEX('6층_부하량'!G3:G3000,MATCH(1,("6-DaHall 1-PDU-06"='6층_부하량'!A3:A3000)*(13='6층_부하량'!B3:B3000),0))</f>
        <v>6.67</v>
      </c>
      <c r="F360" s="157"/>
      <c r="G360" s="157"/>
      <c r="H360" s="143" t="s">
        <v>4597</v>
      </c>
      <c r="I360" s="150" t="s">
        <v>4657</v>
      </c>
      <c r="J360" s="155" t="s">
        <v>4601</v>
      </c>
      <c r="K360" s="143" t="s">
        <v>4597</v>
      </c>
      <c r="L360" s="157"/>
      <c r="M360" s="2656" cm="1" t="n">
        <f t="array" ref="M360">INDEX('6층_부하량'!G3:G3000,MATCH(1,("6-DaHall 1-PDU-06"='6층_부하량'!A3:A3000)*(14='6층_부하량'!B3:B3000),0))</f>
        <v>4.28</v>
      </c>
      <c r="N360" s="157"/>
      <c r="O360" s="157"/>
      <c r="P360" s="157" t="s">
        <v>4635</v>
      </c>
      <c r="Q360" s="164" t="s">
        <v>4575</v>
      </c>
      <c r="R360" s="342" t="s">
        <v>5506</v>
      </c>
    </row>
    <row r="361" spans="1:18" ht="16.5" x14ac:dyDescent="0.15">
      <c r="A361" s="632" t="s">
        <v>5507</v>
      </c>
      <c r="B361" s="143" t="s">
        <v>4635</v>
      </c>
      <c r="C361" s="164" t="s">
        <v>4575</v>
      </c>
      <c r="D361" s="157"/>
      <c r="E361" s="157"/>
      <c r="F361" s="2656" cm="1" t="n">
        <f t="array" ref="F361">INDEX('6층_부하량'!H3:H3000,MATCH(1,("6-DaHall 1-PDU-06"='6층_부하량'!A3:A3000)*(15='6층_부하량'!B3:B3000),0))</f>
        <v>3.49</v>
      </c>
      <c r="G361" s="157"/>
      <c r="H361" s="143" t="s">
        <v>4597</v>
      </c>
      <c r="I361" s="150" t="s">
        <v>4661</v>
      </c>
      <c r="J361" s="155" t="s">
        <v>4603</v>
      </c>
      <c r="K361" s="143" t="s">
        <v>4597</v>
      </c>
      <c r="L361" s="157"/>
      <c r="M361" s="157"/>
      <c r="N361" s="2656" cm="1" t="n">
        <f t="array" ref="N361">INDEX('6층_부하량'!H3:H3000,MATCH(1,("6-DaHall 1-PDU-06"='6층_부하량'!A3:A3000)*(16='6층_부하량'!B3:B3000),0))</f>
        <v>4.77</v>
      </c>
      <c r="O361" s="157"/>
      <c r="P361" s="157" t="s">
        <v>4635</v>
      </c>
      <c r="Q361" s="164" t="s">
        <v>4575</v>
      </c>
      <c r="R361" s="342" t="s">
        <v>5508</v>
      </c>
    </row>
    <row r="362" spans="1:18" ht="16.5" x14ac:dyDescent="0.15">
      <c r="A362" s="607" t="s">
        <v>5509</v>
      </c>
      <c r="B362" s="143" t="s">
        <v>4635</v>
      </c>
      <c r="C362" s="164" t="s">
        <v>4575</v>
      </c>
      <c r="D362" s="2656" cm="1" t="n">
        <f t="array" ref="D362">INDEX('6층_부하량'!F3:F3000,MATCH(1,("6-DaHall 1-PDU-06"='6층_부하량'!A3:A3000)*(17='6층_부하량'!B3:B3000),0))</f>
        <v>1.19</v>
      </c>
      <c r="E362" s="157"/>
      <c r="F362" s="157"/>
      <c r="G362" s="157"/>
      <c r="H362" s="143" t="s">
        <v>4597</v>
      </c>
      <c r="I362" s="150" t="s">
        <v>4665</v>
      </c>
      <c r="J362" s="1460" t="s">
        <v>4605</v>
      </c>
      <c r="K362" s="143" t="s">
        <v>4597</v>
      </c>
      <c r="L362" s="2656" cm="1" t="n">
        <f t="array" ref="L362">INDEX('6층_부하량'!F3:F3000,MATCH(1,("6-DaHall 1-PDU-06"='6층_부하량'!A3:A3000)*(18='6층_부하량'!B3:B3000),0))</f>
        <v>0.39</v>
      </c>
      <c r="M362" s="157"/>
      <c r="N362" s="157"/>
      <c r="O362" s="157"/>
      <c r="P362" s="157" t="s">
        <v>4635</v>
      </c>
      <c r="Q362" s="143" t="s">
        <v>4723</v>
      </c>
      <c r="R362" s="153" t="s">
        <v>5510</v>
      </c>
    </row>
    <row r="363" spans="1:18" ht="16.5" x14ac:dyDescent="0.15">
      <c r="A363" s="632" t="s">
        <v>5511</v>
      </c>
      <c r="B363" s="143" t="s">
        <v>4635</v>
      </c>
      <c r="C363" s="164" t="s">
        <v>4575</v>
      </c>
      <c r="D363" s="157"/>
      <c r="E363" s="2656" cm="1" t="n">
        <f t="array" ref="E363">INDEX('6층_부하량'!G3:G3000,MATCH(1,("6-DaHall 1-PDU-06"='6층_부하량'!A3:A3000)*(19='6층_부하량'!B3:B3000),0))</f>
        <v>8.69</v>
      </c>
      <c r="F363" s="157"/>
      <c r="G363" s="157"/>
      <c r="H363" s="143" t="s">
        <v>4597</v>
      </c>
      <c r="I363" s="150" t="s">
        <v>4670</v>
      </c>
      <c r="J363" s="1463" t="s">
        <v>4609</v>
      </c>
      <c r="K363" s="143" t="s">
        <v>4597</v>
      </c>
      <c r="L363" s="157"/>
      <c r="M363" s="2656" cm="1" t="n">
        <f t="array" ref="M363">INDEX('6층_부하량'!G3:G3000,MATCH(1,("6-DaHall 1-PDU-06"='6층_부하량'!A3:A3000)*(20='6층_부하량'!B3:B3000),0))</f>
        <v>1.9300000000000002</v>
      </c>
      <c r="N363" s="157"/>
      <c r="O363" s="157"/>
      <c r="P363" s="157" t="s">
        <v>4635</v>
      </c>
      <c r="Q363" s="164" t="s">
        <v>4575</v>
      </c>
      <c r="R363" s="342" t="s">
        <v>5512</v>
      </c>
    </row>
    <row r="364" spans="1:18" ht="16.5" x14ac:dyDescent="0.15">
      <c r="A364" s="148" t="s">
        <v>5513</v>
      </c>
      <c r="B364" s="143" t="s">
        <v>4635</v>
      </c>
      <c r="C364" s="143" t="s">
        <v>4723</v>
      </c>
      <c r="D364" s="157"/>
      <c r="E364" s="157"/>
      <c r="F364" s="2656" cm="1" t="n">
        <f t="array" ref="F364">INDEX('6층_부하량'!H3:H3000,MATCH(1,("6-DaHall 1-PDU-06"='6층_부하량'!A3:A3000)*(21='6층_부하량'!B3:B3000),0))</f>
        <v>0.45</v>
      </c>
      <c r="G364" s="157"/>
      <c r="H364" s="143" t="s">
        <v>4597</v>
      </c>
      <c r="I364" s="1465" t="s">
        <v>4674</v>
      </c>
      <c r="J364" s="1463" t="s">
        <v>4613</v>
      </c>
      <c r="K364" s="143" t="s">
        <v>4597</v>
      </c>
      <c r="L364" s="157"/>
      <c r="M364" s="157"/>
      <c r="N364" s="2656" cm="1" t="n">
        <f t="array" ref="N364">INDEX('6층_부하량'!H3:H3000,MATCH(1,("6-DaHall 1-PDU-06"='6층_부하량'!A3:A3000)*(22='6층_부하량'!B3:B3000),0))</f>
        <v>5.29</v>
      </c>
      <c r="O364" s="157"/>
      <c r="P364" s="157" t="s">
        <v>4635</v>
      </c>
      <c r="Q364" s="164" t="s">
        <v>4575</v>
      </c>
      <c r="R364" s="342" t="s">
        <v>5514</v>
      </c>
    </row>
    <row r="365" spans="1:18" ht="16.5" x14ac:dyDescent="0.15">
      <c r="A365" s="2330" t="s">
        <v>5515</v>
      </c>
      <c r="B365" s="143" t="s">
        <v>4635</v>
      </c>
      <c r="C365" s="164" t="s">
        <v>4575</v>
      </c>
      <c r="D365" s="2656" cm="1" t="n">
        <f t="array" ref="D365">INDEX('6층_부하량'!F3:F3000,MATCH(1,("6-DaHall 1-PDU-06"='6층_부하량'!A3:A3000)*(23='6층_부하량'!B3:B3000),0))</f>
        <v>5.39</v>
      </c>
      <c r="E365" s="157"/>
      <c r="F365" s="157"/>
      <c r="G365" s="157"/>
      <c r="H365" s="143" t="s">
        <v>4597</v>
      </c>
      <c r="I365" s="150" t="s">
        <v>4678</v>
      </c>
      <c r="J365" s="1463" t="s">
        <v>4680</v>
      </c>
      <c r="K365" s="143" t="s">
        <v>4597</v>
      </c>
      <c r="L365" s="2656" cm="1" t="n">
        <f t="array" ref="L365">INDEX('6층_부하량'!F3:F3000,MATCH(1,("6-DaHall 1-PDU-06"='6층_부하량'!A3:A3000)*(24='6층_부하량'!B3:B3000),0))</f>
        <v>5.46</v>
      </c>
      <c r="M365" s="157"/>
      <c r="N365" s="157"/>
      <c r="O365" s="157"/>
      <c r="P365" s="157" t="s">
        <v>4635</v>
      </c>
      <c r="Q365" s="164" t="s">
        <v>4575</v>
      </c>
      <c r="R365" s="342" t="s">
        <v>5516</v>
      </c>
    </row>
    <row r="366" spans="1:18" ht="16.5" x14ac:dyDescent="0.15">
      <c r="A366" s="607" t="s">
        <v>5517</v>
      </c>
      <c r="B366" s="143" t="s">
        <v>4635</v>
      </c>
      <c r="C366" s="164" t="s">
        <v>4575</v>
      </c>
      <c r="D366" s="157"/>
      <c r="E366" s="2656" cm="1" t="n">
        <f t="array" ref="E366">INDEX('6층_부하량'!G3:G3000,MATCH(1,("6-DaHall 1-PDU-06"='6층_부하량'!A3:A3000)*(25='6층_부하량'!B3:B3000),0))</f>
        <v>6.73</v>
      </c>
      <c r="F366" s="157"/>
      <c r="G366" s="157"/>
      <c r="H366" s="143" t="s">
        <v>4597</v>
      </c>
      <c r="I366" s="150" t="s">
        <v>4683</v>
      </c>
      <c r="J366" s="1463" t="s">
        <v>4685</v>
      </c>
      <c r="K366" s="143" t="s">
        <v>4597</v>
      </c>
      <c r="L366" s="157"/>
      <c r="M366" s="2656" cm="1" t="n">
        <f t="array" ref="M366">INDEX('6층_부하량'!G3:G3000,MATCH(1,("6-DaHall 1-PDU-06"='6층_부하량'!A3:A3000)*(26='6층_부하량'!B3:B3000),0))</f>
        <v>6.29</v>
      </c>
      <c r="N366" s="157"/>
      <c r="O366" s="157"/>
      <c r="P366" s="157" t="s">
        <v>4635</v>
      </c>
      <c r="Q366" s="164" t="s">
        <v>4575</v>
      </c>
      <c r="R366" s="342" t="s">
        <v>5518</v>
      </c>
    </row>
    <row r="367" spans="1:18" ht="17.25" thickBot="1" x14ac:dyDescent="0.2">
      <c r="A367" s="623" t="s">
        <v>5519</v>
      </c>
      <c r="B367" s="176" t="s">
        <v>4635</v>
      </c>
      <c r="C367" s="185" t="s">
        <v>4575</v>
      </c>
      <c r="D367" s="177"/>
      <c r="E367" s="177"/>
      <c r="F367" s="2661" cm="1" t="n">
        <f t="array" ref="F367">INDEX('6층_부하량'!H3:H3000,MATCH(1,("6-DaHall 1-PDU-06"='6층_부하량'!A3:A3000)*(27='6층_부하량'!B3:B3000),0))</f>
        <v>5.13</v>
      </c>
      <c r="G367" s="177"/>
      <c r="H367" s="176" t="s">
        <v>4597</v>
      </c>
      <c r="I367" s="186" t="s">
        <v>4688</v>
      </c>
      <c r="J367" s="1477" t="s">
        <v>4689</v>
      </c>
      <c r="K367" s="176" t="s">
        <v>4597</v>
      </c>
      <c r="L367" s="177"/>
      <c r="M367" s="177"/>
      <c r="N367" s="2661" cm="1" t="n">
        <f t="array" ref="N367">INDEX('6층_부하량'!H3:H3000,MATCH(1,("6-DaHall 1-PDU-06"='6층_부하량'!A3:A3000)*(28='6층_부하량'!B3:B3000),0))</f>
        <v>12.07</v>
      </c>
      <c r="O367" s="177"/>
      <c r="P367" s="177" t="s">
        <v>4635</v>
      </c>
      <c r="Q367" s="185" t="s">
        <v>4575</v>
      </c>
      <c r="R367" s="477" t="s">
        <v>5520</v>
      </c>
    </row>
    <row r="368" spans="1:18" ht="17.25" thickTop="1" x14ac:dyDescent="0.15">
      <c r="A368" s="632" t="s">
        <v>5521</v>
      </c>
      <c r="B368" s="156" t="s">
        <v>4635</v>
      </c>
      <c r="C368" s="152" t="s">
        <v>4575</v>
      </c>
      <c r="D368" s="2658" cm="1" t="n">
        <f t="array" ref="D368">INDEX('6층_부하량'!F3:F3000,MATCH(1,("6-DaHall 1-PDU-06"='6층_부하량'!A3:A3000)*(29='6층_부하량'!B3:B3000),0))</f>
        <v>4.54</v>
      </c>
      <c r="E368" s="179"/>
      <c r="F368" s="179"/>
      <c r="G368" s="179"/>
      <c r="H368" s="156" t="s">
        <v>4597</v>
      </c>
      <c r="I368" s="193" t="s">
        <v>4691</v>
      </c>
      <c r="J368" s="1474" t="s">
        <v>4692</v>
      </c>
      <c r="K368" s="156" t="s">
        <v>4597</v>
      </c>
      <c r="L368" s="2658" cm="1" t="n">
        <f t="array" ref="L368">INDEX('6층_부하량'!F3:F3000,MATCH(1,("6-DaHall 1-PDU-06"='6층_부하량'!A3:A3000)*(30='6층_부하량'!B3:B3000),0))</f>
        <v>0.72</v>
      </c>
      <c r="M368" s="179"/>
      <c r="N368" s="179"/>
      <c r="O368" s="179"/>
      <c r="P368" s="179" t="s">
        <v>4635</v>
      </c>
      <c r="Q368" s="152" t="s">
        <v>4575</v>
      </c>
      <c r="R368" s="475" t="s">
        <v>5522</v>
      </c>
    </row>
    <row r="369" spans="1:18" ht="16.5" x14ac:dyDescent="0.15">
      <c r="A369" s="607" t="s">
        <v>5523</v>
      </c>
      <c r="B369" s="143" t="s">
        <v>4635</v>
      </c>
      <c r="C369" s="164" t="s">
        <v>4575</v>
      </c>
      <c r="D369" s="157"/>
      <c r="E369" s="2656" cm="1" t="n">
        <f t="array" ref="E369">INDEX('6층_부하량'!G3:G3000,MATCH(1,("6-DaHall 1-PDU-06"='6층_부하량'!A3:A3000)*(31='6층_부하량'!B3:B3000),0))</f>
        <v>4.47</v>
      </c>
      <c r="F369" s="157"/>
      <c r="G369" s="157"/>
      <c r="H369" s="143" t="s">
        <v>4597</v>
      </c>
      <c r="I369" s="150" t="s">
        <v>4693</v>
      </c>
      <c r="J369" s="1463" t="s">
        <v>4694</v>
      </c>
      <c r="K369" s="143" t="s">
        <v>4597</v>
      </c>
      <c r="L369" s="157"/>
      <c r="M369" s="2656" cm="1" t="n">
        <f t="array" ref="M369">INDEX('6층_부하량'!G3:G3000,MATCH(1,("6-DaHall 1-PDU-06"='6층_부하량'!A3:A3000)*(32='6층_부하량'!B3:B3000),0))</f>
        <v>0.55</v>
      </c>
      <c r="N369" s="157"/>
      <c r="O369" s="157"/>
      <c r="P369" s="157" t="s">
        <v>4635</v>
      </c>
      <c r="Q369" s="164" t="s">
        <v>4575</v>
      </c>
      <c r="R369" s="342" t="s">
        <v>5524</v>
      </c>
    </row>
    <row r="370" spans="1:18" ht="16.5" x14ac:dyDescent="0.15">
      <c r="A370" s="607" t="s">
        <v>5525</v>
      </c>
      <c r="B370" s="143" t="s">
        <v>4635</v>
      </c>
      <c r="C370" s="164" t="s">
        <v>4575</v>
      </c>
      <c r="D370" s="157"/>
      <c r="E370" s="157"/>
      <c r="F370" s="2656" cm="1" t="n">
        <f t="array" ref="F370">INDEX('6층_부하량'!H3:H3000,MATCH(1,("6-DaHall 1-PDU-06"='6층_부하량'!A3:A3000)*(33='6층_부하량'!B3:B3000),0))</f>
        <v>1.19</v>
      </c>
      <c r="G370" s="157"/>
      <c r="H370" s="143" t="s">
        <v>4597</v>
      </c>
      <c r="I370" s="150" t="s">
        <v>4697</v>
      </c>
      <c r="J370" s="1463" t="s">
        <v>4698</v>
      </c>
      <c r="K370" s="143" t="s">
        <v>4597</v>
      </c>
      <c r="L370" s="157"/>
      <c r="M370" s="157"/>
      <c r="N370" s="2656" cm="1" t="n">
        <f t="array" ref="N370">INDEX('6층_부하량'!H3:H3000,MATCH(1,("6-DaHall 1-PDU-06"='6층_부하량'!A3:A3000)*(34='6층_부하량'!B3:B3000),0))</f>
        <v>3.45</v>
      </c>
      <c r="O370" s="157"/>
      <c r="P370" s="157" t="s">
        <v>4635</v>
      </c>
      <c r="Q370" s="164" t="s">
        <v>4575</v>
      </c>
      <c r="R370" s="342" t="s">
        <v>5526</v>
      </c>
    </row>
    <row r="371" spans="1:18" ht="16.5" x14ac:dyDescent="0.15">
      <c r="A371" s="607" t="s">
        <v>5527</v>
      </c>
      <c r="B371" s="143" t="s">
        <v>4635</v>
      </c>
      <c r="C371" s="164" t="s">
        <v>4575</v>
      </c>
      <c r="D371" s="2656" cm="1" t="n">
        <f t="array" ref="D371">INDEX('6층_부하량'!F3:F3000,MATCH(1,("6-DaHall 1-PDU-06"='6층_부하량'!A3:A3000)*(35='6층_부하량'!B3:B3000),0))</f>
        <v>4.7</v>
      </c>
      <c r="E371" s="157"/>
      <c r="F371" s="157"/>
      <c r="G371" s="157"/>
      <c r="H371" s="143" t="s">
        <v>4597</v>
      </c>
      <c r="I371" s="150" t="s">
        <v>4701</v>
      </c>
      <c r="J371" s="1463" t="s">
        <v>4703</v>
      </c>
      <c r="K371" s="143" t="s">
        <v>4597</v>
      </c>
      <c r="L371" s="2656" cm="1" t="n">
        <f t="array" ref="L371">INDEX('6층_부하량'!F3:F3000,MATCH(1,("6-DaHall 1-PDU-06"='6층_부하량'!A3:A3000)*(36='6층_부하량'!B3:B3000),0))</f>
        <v>0.0</v>
      </c>
      <c r="M371" s="157"/>
      <c r="N371" s="157"/>
      <c r="O371" s="157"/>
      <c r="P371" s="157" t="s">
        <v>4635</v>
      </c>
      <c r="Q371" s="164" t="s">
        <v>4575</v>
      </c>
      <c r="R371" s="342" t="s">
        <v>5528</v>
      </c>
    </row>
    <row r="372" spans="1:18" ht="16.5" x14ac:dyDescent="0.15">
      <c r="A372" s="607" t="s">
        <v>5475</v>
      </c>
      <c r="B372" s="143" t="s">
        <v>4635</v>
      </c>
      <c r="C372" s="164" t="s">
        <v>4575</v>
      </c>
      <c r="D372" s="157"/>
      <c r="E372" s="2664" cm="1" t="n">
        <f t="array" ref="E372">INDEX('6층_부하량'!G3:G3000,MATCH(1,("6-DaHall 1-PDU-06"='6층_부하량'!A3:A3000)*(37='6층_부하량'!B3:B3000),0))</f>
        <v>7.8</v>
      </c>
      <c r="F372" s="157"/>
      <c r="G372" s="157"/>
      <c r="H372" s="143" t="s">
        <v>4597</v>
      </c>
      <c r="I372" s="150" t="s">
        <v>4706</v>
      </c>
      <c r="J372" s="1463" t="s">
        <v>4707</v>
      </c>
      <c r="K372" s="143" t="s">
        <v>4597</v>
      </c>
      <c r="L372" s="157"/>
      <c r="M372" s="2664" cm="1" t="n">
        <f t="array" ref="M372">INDEX('6층_부하량'!G3:G3000,MATCH(1,("6-DaHall 1-PDU-06"='6층_부하량'!A3:A3000)*(38='6층_부하량'!B3:B3000),0))</f>
        <v>0.0</v>
      </c>
      <c r="N372" s="157"/>
      <c r="O372" s="157"/>
      <c r="P372" s="157" t="s">
        <v>4635</v>
      </c>
      <c r="Q372" s="164" t="s">
        <v>4575</v>
      </c>
      <c r="R372" s="342" t="s">
        <v>5529</v>
      </c>
    </row>
    <row r="373" spans="1:18" ht="16.5" x14ac:dyDescent="0.15">
      <c r="A373" s="607" t="s">
        <v>5477</v>
      </c>
      <c r="B373" s="143" t="s">
        <v>4635</v>
      </c>
      <c r="C373" s="164" t="s">
        <v>4575</v>
      </c>
      <c r="D373" s="157"/>
      <c r="E373" s="157"/>
      <c r="F373" s="2656" cm="1" t="n">
        <f t="array" ref="F373">INDEX('6층_부하량'!H3:H3000,MATCH(1,("6-DaHall 1-PDU-06"='6층_부하량'!A3:A3000)*(39='6층_부하량'!B3:B3000),0))</f>
        <v>1.9300000000000002</v>
      </c>
      <c r="G373" s="157"/>
      <c r="H373" s="143" t="s">
        <v>4597</v>
      </c>
      <c r="I373" s="293" t="s">
        <v>4710</v>
      </c>
      <c r="J373" s="1463" t="s">
        <v>4711</v>
      </c>
      <c r="K373" s="143" t="s">
        <v>4597</v>
      </c>
      <c r="L373" s="157"/>
      <c r="M373" s="157"/>
      <c r="N373" s="2656" cm="1" t="n">
        <f t="array" ref="N373">INDEX('6층_부하량'!H3:H3000,MATCH(1,("6-DaHall 1-PDU-06"='6층_부하량'!A3:A3000)*(40='6층_부하량'!B3:B3000),0))</f>
        <v>0.0</v>
      </c>
      <c r="O373" s="157"/>
      <c r="P373" s="157" t="s">
        <v>4635</v>
      </c>
      <c r="Q373" s="164" t="s">
        <v>4575</v>
      </c>
      <c r="R373" s="633" t="s">
        <v>5530</v>
      </c>
    </row>
    <row r="374" spans="1:18" ht="16.5" x14ac:dyDescent="0.15">
      <c r="A374" s="607" t="s">
        <v>5479</v>
      </c>
      <c r="B374" s="143" t="s">
        <v>4635</v>
      </c>
      <c r="C374" s="164" t="s">
        <v>4575</v>
      </c>
      <c r="D374" s="2656" cm="1" t="n">
        <f t="array" ref="D374">INDEX('6층_부하량'!F3:F3000,MATCH(1,("6-DaHall 1-PDU-06"='6층_부하량'!A3:A3000)*(41='6층_부하량'!B3:B3000),0))</f>
        <v>1.07</v>
      </c>
      <c r="E374" s="157"/>
      <c r="F374" s="157"/>
      <c r="G374" s="157"/>
      <c r="H374" s="143" t="s">
        <v>4597</v>
      </c>
      <c r="I374" s="293" t="s">
        <v>5055</v>
      </c>
      <c r="J374" s="1463" t="s">
        <v>4843</v>
      </c>
      <c r="K374" s="143" t="s">
        <v>4597</v>
      </c>
      <c r="L374" s="2656" cm="1" t="n">
        <f t="array" ref="L374">INDEX('6층_부하량'!F3:F3000,MATCH(1,("6-DaHall 1-PDU-06"='6층_부하량'!A3:A3000)*(42='6층_부하량'!B3:B3000),0))</f>
        <v>0.0</v>
      </c>
      <c r="M374" s="157"/>
      <c r="N374" s="157"/>
      <c r="O374" s="157"/>
      <c r="P374" s="157" t="s">
        <v>4635</v>
      </c>
      <c r="Q374" s="164" t="s">
        <v>4575</v>
      </c>
      <c r="R374" s="342" t="s">
        <v>5531</v>
      </c>
    </row>
    <row r="375" spans="1:18" ht="16.5" x14ac:dyDescent="0.15">
      <c r="A375" s="607" t="s">
        <v>5481</v>
      </c>
      <c r="B375" s="143" t="s">
        <v>4635</v>
      </c>
      <c r="C375" s="164" t="s">
        <v>4575</v>
      </c>
      <c r="D375" s="157"/>
      <c r="E375" s="2656" cm="1" t="n">
        <f t="array" ref="E375">INDEX('6층_부하량'!G3:G3000,MATCH(1,("6-DaHall 1-PDU-06"='6층_부하량'!A3:A3000)*(43='6층_부하량'!B3:B3000),0))</f>
        <v>5.67</v>
      </c>
      <c r="F375" s="157"/>
      <c r="G375" s="157"/>
      <c r="H375" s="143" t="s">
        <v>4597</v>
      </c>
      <c r="I375" s="293" t="s">
        <v>4845</v>
      </c>
      <c r="J375" s="1463" t="s">
        <v>4846</v>
      </c>
      <c r="K375" s="143" t="s">
        <v>4597</v>
      </c>
      <c r="L375" s="157"/>
      <c r="M375" s="2656" cm="1" t="n">
        <f t="array" ref="M375">INDEX('6층_부하량'!G3:G3000,MATCH(1,("6-DaHall 1-PDU-06"='6층_부하량'!A3:A3000)*(44='6층_부하량'!B3:B3000),0))</f>
        <v>0.0</v>
      </c>
      <c r="N375" s="157"/>
      <c r="O375" s="157"/>
      <c r="P375" s="157" t="s">
        <v>4635</v>
      </c>
      <c r="Q375" s="164" t="s">
        <v>4575</v>
      </c>
      <c r="R375" s="633" t="s">
        <v>5532</v>
      </c>
    </row>
    <row r="376" spans="1:18" ht="16.5" x14ac:dyDescent="0.15">
      <c r="A376" s="607" t="s">
        <v>5483</v>
      </c>
      <c r="B376" s="143" t="s">
        <v>4635</v>
      </c>
      <c r="C376" s="164" t="s">
        <v>4575</v>
      </c>
      <c r="D376" s="157"/>
      <c r="E376" s="157"/>
      <c r="F376" s="2656" cm="1" t="n">
        <f t="array" ref="F376">INDEX('6층_부하량'!H3:H3000,MATCH(1,("6-DaHall 1-PDU-06"='6층_부하량'!A3:A3000)*(45='6층_부하량'!B3:B3000),0))</f>
        <v>5.53</v>
      </c>
      <c r="G376" s="157"/>
      <c r="H376" s="143" t="s">
        <v>4597</v>
      </c>
      <c r="I376" s="293" t="s">
        <v>4847</v>
      </c>
      <c r="J376" s="1463" t="s">
        <v>4848</v>
      </c>
      <c r="K376" s="143" t="s">
        <v>4597</v>
      </c>
      <c r="L376" s="157"/>
      <c r="M376" s="157"/>
      <c r="N376" s="2656" cm="1" t="n">
        <f t="array" ref="N376">INDEX('6층_부하량'!H3:H3000,MATCH(1,("6-DaHall 1-PDU-06"='6층_부하량'!A3:A3000)*(46='6층_부하량'!B3:B3000),0))</f>
        <v>0.0</v>
      </c>
      <c r="O376" s="157"/>
      <c r="P376" s="157" t="s">
        <v>4635</v>
      </c>
      <c r="Q376" s="164" t="s">
        <v>4575</v>
      </c>
      <c r="R376" s="342" t="s">
        <v>5533</v>
      </c>
    </row>
    <row r="377" spans="1:18" ht="16.5" x14ac:dyDescent="0.15">
      <c r="A377" s="607" t="s">
        <v>5534</v>
      </c>
      <c r="B377" s="143" t="s">
        <v>4635</v>
      </c>
      <c r="C377" s="164" t="s">
        <v>4575</v>
      </c>
      <c r="D377" s="2664" cm="1" t="n">
        <f t="array" ref="D377">INDEX('6층_부하량'!F3:F3000,MATCH(1,("6-DaHall 1-PDU-06"='6층_부하량'!A3:A3000)*(47='6층_부하량'!B3:B3000),0))</f>
        <v>5.44</v>
      </c>
      <c r="E377" s="157"/>
      <c r="F377" s="157"/>
      <c r="G377" s="157"/>
      <c r="H377" s="143" t="s">
        <v>4597</v>
      </c>
      <c r="I377" s="293" t="s">
        <v>4849</v>
      </c>
      <c r="J377" s="151" t="s">
        <v>4850</v>
      </c>
      <c r="K377" s="143" t="s">
        <v>4597</v>
      </c>
      <c r="L377" s="2664" cm="1" t="n">
        <f t="array" ref="L377">INDEX('6층_부하량'!F3:F3000,MATCH(1,("6-DaHall 1-PDU-06"='6층_부하량'!A3:A3000)*(48='6층_부하량'!B3:B3000),0))</f>
        <v>0.0</v>
      </c>
      <c r="M377" s="157"/>
      <c r="N377" s="157"/>
      <c r="O377" s="157"/>
      <c r="P377" s="157" t="s">
        <v>4635</v>
      </c>
      <c r="Q377" s="164" t="s">
        <v>4575</v>
      </c>
      <c r="R377" s="279" t="s">
        <v>5535</v>
      </c>
    </row>
    <row r="378" spans="1:18" ht="16.5" x14ac:dyDescent="0.15">
      <c r="A378" s="607" t="s">
        <v>5487</v>
      </c>
      <c r="B378" s="143" t="s">
        <v>4635</v>
      </c>
      <c r="C378" s="164" t="s">
        <v>4575</v>
      </c>
      <c r="D378" s="157"/>
      <c r="E378" s="2656" cm="1" t="n">
        <f t="array" ref="E378">INDEX('6층_부하량'!G3:G3000,MATCH(1,("6-DaHall 1-PDU-06"='6층_부하량'!A3:A3000)*(49='6층_부하량'!B3:B3000),0))</f>
        <v>1.49</v>
      </c>
      <c r="F378" s="157"/>
      <c r="G378" s="157"/>
      <c r="H378" s="143" t="s">
        <v>4597</v>
      </c>
      <c r="I378" s="293" t="s">
        <v>4851</v>
      </c>
      <c r="J378" s="151" t="s">
        <v>4852</v>
      </c>
      <c r="K378" s="143" t="s">
        <v>4597</v>
      </c>
      <c r="L378" s="157"/>
      <c r="M378" s="2656" cm="1" t="n">
        <f t="array" ref="M378">INDEX('6층_부하량'!G3:G3000,MATCH(1,("6-DaHall 1-PDU-06"='6층_부하량'!A3:A3000)*(50='6층_부하량'!B3:B3000),0))</f>
        <v>0.0</v>
      </c>
      <c r="N378" s="157"/>
      <c r="O378" s="157"/>
      <c r="P378" s="157" t="s">
        <v>4635</v>
      </c>
      <c r="Q378" s="164" t="s">
        <v>4575</v>
      </c>
      <c r="R378" s="264" t="s">
        <v>5536</v>
      </c>
    </row>
    <row r="379" spans="1:18" ht="16.5" x14ac:dyDescent="0.15">
      <c r="A379" s="607" t="s">
        <v>5537</v>
      </c>
      <c r="B379" s="143" t="s">
        <v>4635</v>
      </c>
      <c r="C379" s="164" t="s">
        <v>4575</v>
      </c>
      <c r="D379" s="157"/>
      <c r="E379" s="157"/>
      <c r="F379" s="2664" cm="1" t="n">
        <f t="array" ref="F379">INDEX('6층_부하량'!H3:H3000,MATCH(1,("6-DaHall 1-PDU-06"='6층_부하량'!A3:A3000)*(51='6층_부하량'!B3:B3000),0))</f>
        <v>5.77</v>
      </c>
      <c r="G379" s="157"/>
      <c r="H379" s="143" t="s">
        <v>4597</v>
      </c>
      <c r="I379" s="293" t="s">
        <v>4791</v>
      </c>
      <c r="J379" s="1460" t="s">
        <v>4793</v>
      </c>
      <c r="K379" s="143" t="s">
        <v>4597</v>
      </c>
      <c r="L379" s="157"/>
      <c r="M379" s="157"/>
      <c r="N379" s="2664" cm="1" t="n">
        <f t="array" ref="N379">INDEX('6층_부하량'!H3:H3000,MATCH(1,("6-DaHall 1-PDU-06"='6층_부하량'!A3:A3000)*(52='6층_부하량'!B3:B3000),0))</f>
        <v>0.0</v>
      </c>
      <c r="O379" s="157"/>
      <c r="P379" s="157" t="s">
        <v>4635</v>
      </c>
      <c r="Q379" s="143" t="s">
        <v>4723</v>
      </c>
      <c r="R379" s="183" t="s">
        <v>5538</v>
      </c>
    </row>
    <row r="380" spans="1:18" ht="17.25" thickBot="1" x14ac:dyDescent="0.2">
      <c r="A380" s="280" t="s">
        <v>5539</v>
      </c>
      <c r="B380" s="166" t="s">
        <v>4635</v>
      </c>
      <c r="C380" s="184" t="s">
        <v>4575</v>
      </c>
      <c r="D380" s="2668" cm="1" t="n">
        <f t="array" ref="D380">INDEX('6층_부하량'!F3:F3000,MATCH(1,("6-DaHall 1-PDU-06"='6층_부하량'!A3:A3000)*(53='6층_부하량'!B3:B3000),0))</f>
        <v>1.0</v>
      </c>
      <c r="E380" s="167"/>
      <c r="F380" s="167"/>
      <c r="G380" s="167"/>
      <c r="H380" s="166" t="s">
        <v>4597</v>
      </c>
      <c r="I380" s="300" t="s">
        <v>4796</v>
      </c>
      <c r="J380" s="169" t="s">
        <v>4797</v>
      </c>
      <c r="K380" s="166" t="s">
        <v>4597</v>
      </c>
      <c r="L380" s="2668" cm="1" t="n">
        <f t="array" ref="L380">INDEX('6층_부하량'!F3:F3000,MATCH(1,("6-DaHall 1-PDU-06"='6층_부하량'!A3:A3000)*(54='6층_부하량'!B3:B3000),0))</f>
        <v>2.9</v>
      </c>
      <c r="M380" s="167"/>
      <c r="N380" s="167"/>
      <c r="O380" s="167"/>
      <c r="P380" s="166" t="s">
        <v>4635</v>
      </c>
      <c r="Q380" s="184" t="s">
        <v>4575</v>
      </c>
      <c r="R380" s="325" t="s">
        <v>5540</v>
      </c>
    </row>
    <row r="381" spans="1:18" ht="14.25" thickTop="1" x14ac:dyDescent="0.15">
      <c r="A381" s="128"/>
      <c r="B381" s="128"/>
      <c r="C381" s="128"/>
      <c r="D381" s="128"/>
      <c r="E381" s="128"/>
      <c r="F381" s="128"/>
      <c r="G381" s="128"/>
      <c r="H381" s="128"/>
      <c r="I381" s="128"/>
      <c r="J381" s="128"/>
      <c r="K381" s="128" t="s">
        <v>4713</v>
      </c>
      <c r="L381" s="128" t="n">
        <f>SUM(D354:D380,L354:L380)</f>
        <v>36.72</v>
      </c>
      <c r="M381" s="128" t="n">
        <f>SUM(E354:E380,M354:M380)</f>
        <v>74.68</v>
      </c>
      <c r="N381" s="128" t="n">
        <f>SUM(F354:F380,N354:N380)</f>
        <v>55.17</v>
      </c>
      <c r="O381" s="128"/>
      <c r="P381" s="128"/>
      <c r="Q381" s="128"/>
      <c r="R381" s="128"/>
    </row>
    <row r="382" spans="1:18" ht="14.25" thickBot="1" x14ac:dyDescent="0.2">
      <c r="A382" s="128"/>
      <c r="B382" s="128"/>
      <c r="C382" s="128"/>
      <c r="D382" s="128"/>
      <c r="E382" s="128"/>
      <c r="F382" s="128"/>
      <c r="G382" s="128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</row>
    <row r="383" spans="1:18" ht="15" thickTop="1" thickBot="1" x14ac:dyDescent="0.2">
      <c r="A383" s="173" t="s">
        <v>7009</v>
      </c>
      <c r="B383" s="128"/>
      <c r="C383" s="3660" t="s">
        <v>5541</v>
      </c>
      <c r="D383" s="3660"/>
      <c r="E383" s="3660"/>
      <c r="F383" s="173"/>
      <c r="G383" s="173"/>
      <c r="H383" s="133"/>
      <c r="I383" s="3665" t="s">
        <v>4715</v>
      </c>
      <c r="J383" s="3666"/>
      <c r="K383" s="133"/>
      <c r="L383" s="173"/>
      <c r="M383" s="173"/>
      <c r="N383" s="173"/>
      <c r="O383" s="173"/>
      <c r="P383" s="173"/>
      <c r="Q383" s="173"/>
      <c r="R383" s="128"/>
    </row>
    <row r="384" spans="1:18" ht="15" thickTop="1" thickBot="1" x14ac:dyDescent="0.2">
      <c r="A384" s="127"/>
      <c r="B384" s="128"/>
      <c r="C384" s="128"/>
      <c r="D384" s="129"/>
      <c r="E384" s="129"/>
      <c r="F384" s="130"/>
      <c r="G384" s="129"/>
      <c r="H384" s="131"/>
      <c r="I384" s="128"/>
      <c r="J384" s="132"/>
      <c r="K384" s="1371" t="s">
        <v>4562</v>
      </c>
      <c r="L384" s="1368">
        <v>0</v>
      </c>
      <c r="M384" s="1369">
        <v>0</v>
      </c>
      <c r="N384" s="1370">
        <v>0</v>
      </c>
      <c r="O384" s="508" t="s">
        <v>4563</v>
      </c>
      <c r="P384" s="133"/>
      <c r="Q384" s="128"/>
      <c r="R384" s="528"/>
    </row>
    <row r="385" spans="1:18" ht="15" thickTop="1" thickBot="1" x14ac:dyDescent="0.2">
      <c r="A385" s="134" t="s">
        <v>4564</v>
      </c>
      <c r="B385" s="135" t="s">
        <v>5031</v>
      </c>
      <c r="C385" s="136" t="s">
        <v>4566</v>
      </c>
      <c r="D385" s="135" t="s">
        <v>5032</v>
      </c>
      <c r="E385" s="135" t="s">
        <v>5033</v>
      </c>
      <c r="F385" s="135" t="s">
        <v>5034</v>
      </c>
      <c r="G385" s="135" t="s">
        <v>5035</v>
      </c>
      <c r="H385" s="135" t="s">
        <v>5036</v>
      </c>
      <c r="I385" s="138" t="s">
        <v>5037</v>
      </c>
      <c r="J385" s="139" t="s">
        <v>5037</v>
      </c>
      <c r="K385" s="135" t="s">
        <v>5036</v>
      </c>
      <c r="L385" s="135" t="s">
        <v>5032</v>
      </c>
      <c r="M385" s="135" t="s">
        <v>5033</v>
      </c>
      <c r="N385" s="135" t="s">
        <v>5034</v>
      </c>
      <c r="O385" s="135" t="s">
        <v>5035</v>
      </c>
      <c r="P385" s="135" t="s">
        <v>5031</v>
      </c>
      <c r="Q385" s="136" t="s">
        <v>4566</v>
      </c>
      <c r="R385" s="140" t="s">
        <v>4564</v>
      </c>
    </row>
    <row r="386" spans="1:18" ht="14.25" thickTop="1" x14ac:dyDescent="0.15">
      <c r="A386" s="141" t="s">
        <v>5542</v>
      </c>
      <c r="B386" s="142" t="s">
        <v>4635</v>
      </c>
      <c r="C386" s="142" t="s">
        <v>4723</v>
      </c>
      <c r="D386" s="144"/>
      <c r="E386" s="2654" cm="1" t="n">
        <f t="array" ref="E386">INDEX('6층_부하량'!G3:G3000,MATCH(1,("6-DaHall 1-PDU-07"='6층_부하량'!A3:A3000)*(1='6층_부하량'!B3:B3000),0))</f>
        <v>0.0</v>
      </c>
      <c r="F386" s="144"/>
      <c r="G386" s="144"/>
      <c r="H386" s="142" t="s">
        <v>4597</v>
      </c>
      <c r="I386" s="1469" t="s">
        <v>4633</v>
      </c>
      <c r="J386" s="1476" t="s">
        <v>4578</v>
      </c>
      <c r="K386" s="142" t="s">
        <v>4597</v>
      </c>
      <c r="L386" s="144"/>
      <c r="M386" s="2654" cm="1" t="n">
        <f t="array" ref="M386">INDEX('6층_부하량'!G3:G3000,MATCH(1,("6-DaHall 1-PDU-07"='6층_부하량'!A3:A3000)*(2='6층_부하량'!B3:B3000),0))</f>
        <v>0.0</v>
      </c>
      <c r="N386" s="144"/>
      <c r="O386" s="144"/>
      <c r="P386" s="144" t="s">
        <v>4635</v>
      </c>
      <c r="Q386" s="143" t="s">
        <v>4723</v>
      </c>
      <c r="R386" s="147" t="s">
        <v>5543</v>
      </c>
    </row>
    <row r="387" spans="1:18" x14ac:dyDescent="0.15">
      <c r="A387" s="158" t="s">
        <v>5544</v>
      </c>
      <c r="B387" s="143" t="s">
        <v>4635</v>
      </c>
      <c r="C387" s="143" t="s">
        <v>4723</v>
      </c>
      <c r="D387" s="149"/>
      <c r="E387" s="149"/>
      <c r="F387" s="2655" cm="1" t="n">
        <f t="array" ref="F387">INDEX('6층_부하량'!H3:H3000,MATCH(1,("6-DaHall 1-PDU-07"='6층_부하량'!A3:A3000)*(3='6층_부하량'!B3:B3000),0))</f>
        <v>0.0</v>
      </c>
      <c r="G387" s="149"/>
      <c r="H387" s="143" t="s">
        <v>4597</v>
      </c>
      <c r="I387" s="1465" t="s">
        <v>4638</v>
      </c>
      <c r="J387" s="1463" t="s">
        <v>4583</v>
      </c>
      <c r="K387" s="143" t="s">
        <v>4597</v>
      </c>
      <c r="L387" s="149"/>
      <c r="M387" s="149"/>
      <c r="N387" s="2655" cm="1" t="n">
        <f t="array" ref="N387">INDEX('6층_부하량'!H3:H3000,MATCH(1,("6-DaHall 1-PDU-07"='6층_부하량'!A3:A3000)*(4='6층_부하량'!B3:B3000),0))</f>
        <v>0.0</v>
      </c>
      <c r="O387" s="149"/>
      <c r="P387" s="149" t="s">
        <v>4635</v>
      </c>
      <c r="Q387" s="143" t="s">
        <v>4723</v>
      </c>
      <c r="R387" s="153" t="s">
        <v>5545</v>
      </c>
    </row>
    <row r="388" spans="1:18" x14ac:dyDescent="0.15">
      <c r="A388" s="148" t="s">
        <v>5546</v>
      </c>
      <c r="B388" s="143" t="s">
        <v>4635</v>
      </c>
      <c r="C388" s="143" t="s">
        <v>4723</v>
      </c>
      <c r="D388" s="2656" cm="1" t="n">
        <f t="array" ref="D388">INDEX('6층_부하량'!F3:F3000,MATCH(1,("6-DaHall 1-PDU-07"='6층_부하량'!A3:A3000)*(5='6층_부하량'!B3:B3000),0))</f>
        <v>0.0</v>
      </c>
      <c r="E388" s="157"/>
      <c r="F388" s="157"/>
      <c r="G388" s="157"/>
      <c r="H388" s="143" t="s">
        <v>4597</v>
      </c>
      <c r="I388" s="1471" t="s">
        <v>4641</v>
      </c>
      <c r="J388" s="1460" t="s">
        <v>4588</v>
      </c>
      <c r="K388" s="143" t="s">
        <v>4597</v>
      </c>
      <c r="L388" s="2656" cm="1" t="n">
        <f t="array" ref="L388">INDEX('6층_부하량'!F3:F3000,MATCH(1,("6-DaHall 1-PDU-07"='6층_부하량'!A3:A3000)*(6='6층_부하량'!B3:B3000),0))</f>
        <v>0.0</v>
      </c>
      <c r="M388" s="157"/>
      <c r="N388" s="157"/>
      <c r="O388" s="157"/>
      <c r="P388" s="157" t="s">
        <v>4635</v>
      </c>
      <c r="Q388" s="143" t="s">
        <v>4723</v>
      </c>
      <c r="R388" s="153" t="s">
        <v>5547</v>
      </c>
    </row>
    <row r="389" spans="1:18" ht="16.5" x14ac:dyDescent="0.15">
      <c r="A389" s="174" t="s">
        <v>5548</v>
      </c>
      <c r="B389" s="143" t="s">
        <v>4635</v>
      </c>
      <c r="C389" s="143" t="s">
        <v>4723</v>
      </c>
      <c r="D389" s="157"/>
      <c r="E389" s="2656" cm="1" t="n">
        <f t="array" ref="E389">INDEX('6층_부하량'!G3:G3000,MATCH(1,("6-DaHall 1-PDU-07"='6층_부하량'!A3:A3000)*(7='6층_부하량'!B3:B3000),0))</f>
        <v>0.0</v>
      </c>
      <c r="F389" s="157"/>
      <c r="G389" s="157"/>
      <c r="H389" s="143" t="s">
        <v>4597</v>
      </c>
      <c r="I389" s="1471" t="s">
        <v>4645</v>
      </c>
      <c r="J389" s="151" t="s">
        <v>4593</v>
      </c>
      <c r="K389" s="143" t="s">
        <v>4597</v>
      </c>
      <c r="L389" s="157"/>
      <c r="M389" s="2656" cm="1" t="n">
        <f t="array" ref="M389">INDEX('6층_부하량'!G3:G3000,MATCH(1,("6-DaHall 1-PDU-07"='6층_부하량'!A3:A3000)*(8='6층_부하량'!B3:B3000),0))</f>
        <v>0.0</v>
      </c>
      <c r="N389" s="157"/>
      <c r="O389" s="157"/>
      <c r="P389" s="157" t="s">
        <v>4635</v>
      </c>
      <c r="Q389" s="164" t="s">
        <v>4575</v>
      </c>
      <c r="R389" s="342" t="s">
        <v>5549</v>
      </c>
    </row>
    <row r="390" spans="1:18" ht="16.5" x14ac:dyDescent="0.15">
      <c r="A390" s="148" t="s">
        <v>5550</v>
      </c>
      <c r="B390" s="143" t="s">
        <v>4635</v>
      </c>
      <c r="C390" s="143" t="s">
        <v>4723</v>
      </c>
      <c r="D390" s="157"/>
      <c r="E390" s="157"/>
      <c r="F390" s="2656" cm="1" t="n">
        <f t="array" ref="F390">INDEX('6층_부하량'!H3:H3000,MATCH(1,("6-DaHall 1-PDU-07"='6층_부하량'!A3:A3000)*(9='6층_부하량'!B3:B3000),0))</f>
        <v>0.0</v>
      </c>
      <c r="G390" s="157"/>
      <c r="H390" s="143" t="s">
        <v>4597</v>
      </c>
      <c r="I390" s="1471" t="s">
        <v>4648</v>
      </c>
      <c r="J390" s="151" t="s">
        <v>4596</v>
      </c>
      <c r="K390" s="143" t="s">
        <v>4597</v>
      </c>
      <c r="L390" s="157"/>
      <c r="M390" s="157"/>
      <c r="N390" s="2656" cm="1" t="n">
        <f t="array" ref="N390">INDEX('6층_부하량'!H3:H3000,MATCH(1,("6-DaHall 1-PDU-07"='6층_부하량'!A3:A3000)*(10='6층_부하량'!B3:B3000),0))</f>
        <v>0.0</v>
      </c>
      <c r="O390" s="157"/>
      <c r="P390" s="157" t="s">
        <v>4635</v>
      </c>
      <c r="Q390" s="164" t="s">
        <v>4575</v>
      </c>
      <c r="R390" s="342" t="s">
        <v>5551</v>
      </c>
    </row>
    <row r="391" spans="1:18" ht="16.5" x14ac:dyDescent="0.15">
      <c r="A391" s="174" t="s">
        <v>5552</v>
      </c>
      <c r="B391" s="143" t="s">
        <v>4635</v>
      </c>
      <c r="C391" s="143" t="s">
        <v>4723</v>
      </c>
      <c r="D391" s="2656" cm="1" t="n">
        <f t="array" ref="D391">INDEX('6층_부하량'!F3:F3000,MATCH(1,("6-DaHall 1-PDU-07"='6층_부하량'!A3:A3000)*(11='6층_부하량'!B3:B3000),0))</f>
        <v>0.0</v>
      </c>
      <c r="E391" s="157"/>
      <c r="F391" s="157"/>
      <c r="G391" s="157"/>
      <c r="H391" s="143" t="s">
        <v>4597</v>
      </c>
      <c r="I391" s="1471" t="s">
        <v>4653</v>
      </c>
      <c r="J391" s="151" t="s">
        <v>4599</v>
      </c>
      <c r="K391" s="143" t="s">
        <v>4597</v>
      </c>
      <c r="L391" s="2656" cm="1" t="n">
        <f t="array" ref="L391">INDEX('6층_부하량'!F3:F3000,MATCH(1,("6-DaHall 1-PDU-07"='6층_부하량'!A3:A3000)*(12='6층_부하량'!B3:B3000),0))</f>
        <v>0.0</v>
      </c>
      <c r="M391" s="157"/>
      <c r="N391" s="157"/>
      <c r="O391" s="157"/>
      <c r="P391" s="157" t="s">
        <v>4635</v>
      </c>
      <c r="Q391" s="164" t="s">
        <v>4575</v>
      </c>
      <c r="R391" s="342" t="s">
        <v>5553</v>
      </c>
    </row>
    <row r="392" spans="1:18" ht="16.5" x14ac:dyDescent="0.15">
      <c r="A392" s="148" t="s">
        <v>5554</v>
      </c>
      <c r="B392" s="143" t="s">
        <v>4635</v>
      </c>
      <c r="C392" s="143" t="s">
        <v>4723</v>
      </c>
      <c r="D392" s="157"/>
      <c r="E392" s="2656" cm="1" t="n">
        <f t="array" ref="E392">INDEX('6층_부하량'!G3:G3000,MATCH(1,("6-DaHall 1-PDU-07"='6층_부하량'!A3:A3000)*(13='6층_부하량'!B3:B3000),0))</f>
        <v>0.0</v>
      </c>
      <c r="F392" s="157"/>
      <c r="G392" s="157"/>
      <c r="H392" s="143" t="s">
        <v>4597</v>
      </c>
      <c r="I392" s="1471" t="s">
        <v>4657</v>
      </c>
      <c r="J392" s="151" t="s">
        <v>4601</v>
      </c>
      <c r="K392" s="143" t="s">
        <v>4597</v>
      </c>
      <c r="L392" s="157"/>
      <c r="M392" s="2656" cm="1" t="n">
        <f t="array" ref="M392">INDEX('6층_부하량'!G3:G3000,MATCH(1,("6-DaHall 1-PDU-07"='6층_부하량'!A3:A3000)*(14='6층_부하량'!B3:B3000),0))</f>
        <v>0.0</v>
      </c>
      <c r="N392" s="157"/>
      <c r="O392" s="157"/>
      <c r="P392" s="157" t="s">
        <v>4635</v>
      </c>
      <c r="Q392" s="164" t="s">
        <v>4575</v>
      </c>
      <c r="R392" s="342" t="s">
        <v>5555</v>
      </c>
    </row>
    <row r="393" spans="1:18" x14ac:dyDescent="0.15">
      <c r="A393" s="174" t="s">
        <v>5556</v>
      </c>
      <c r="B393" s="143" t="s">
        <v>4635</v>
      </c>
      <c r="C393" s="143" t="s">
        <v>4723</v>
      </c>
      <c r="D393" s="157"/>
      <c r="E393" s="157"/>
      <c r="F393" s="2656" cm="1" t="n">
        <f t="array" ref="F393">INDEX('6층_부하량'!H3:H3000,MATCH(1,("6-DaHall 1-PDU-07"='6층_부하량'!A3:A3000)*(15='6층_부하량'!B3:B3000),0))</f>
        <v>0.0</v>
      </c>
      <c r="G393" s="157"/>
      <c r="H393" s="143" t="s">
        <v>4597</v>
      </c>
      <c r="I393" s="1471" t="s">
        <v>4661</v>
      </c>
      <c r="J393" s="1460" t="s">
        <v>4603</v>
      </c>
      <c r="K393" s="143" t="s">
        <v>4597</v>
      </c>
      <c r="L393" s="157"/>
      <c r="M393" s="157"/>
      <c r="N393" s="2656" cm="1" t="n">
        <f t="array" ref="N393">INDEX('6층_부하량'!H3:H3000,MATCH(1,("6-DaHall 1-PDU-07"='6층_부하량'!A3:A3000)*(16='6층_부하량'!B3:B3000),0))</f>
        <v>0.0</v>
      </c>
      <c r="O393" s="157"/>
      <c r="P393" s="157" t="s">
        <v>4635</v>
      </c>
      <c r="Q393" s="143" t="s">
        <v>4723</v>
      </c>
      <c r="R393" s="153" t="s">
        <v>5557</v>
      </c>
    </row>
    <row r="394" spans="1:18" x14ac:dyDescent="0.15">
      <c r="A394" s="148" t="s">
        <v>5558</v>
      </c>
      <c r="B394" s="143" t="s">
        <v>4635</v>
      </c>
      <c r="C394" s="143" t="s">
        <v>4723</v>
      </c>
      <c r="D394" s="2656" cm="1" t="n">
        <f t="array" ref="D394">INDEX('6층_부하량'!F3:F3000,MATCH(1,("6-DaHall 1-PDU-07"='6층_부하량'!A3:A3000)*(17='6층_부하량'!B3:B3000),0))</f>
        <v>0.0</v>
      </c>
      <c r="E394" s="157"/>
      <c r="F394" s="157"/>
      <c r="G394" s="157"/>
      <c r="H394" s="143" t="s">
        <v>4597</v>
      </c>
      <c r="I394" s="1471" t="s">
        <v>4665</v>
      </c>
      <c r="J394" s="1460" t="s">
        <v>4605</v>
      </c>
      <c r="K394" s="143" t="s">
        <v>4597</v>
      </c>
      <c r="L394" s="2656" cm="1" t="n">
        <f t="array" ref="L394">INDEX('6층_부하량'!F3:F3000,MATCH(1,("6-DaHall 1-PDU-07"='6층_부하량'!A3:A3000)*(18='6층_부하량'!B3:B3000),0))</f>
        <v>0.0</v>
      </c>
      <c r="M394" s="157"/>
      <c r="N394" s="157"/>
      <c r="O394" s="157"/>
      <c r="P394" s="157" t="s">
        <v>4635</v>
      </c>
      <c r="Q394" s="143" t="s">
        <v>4723</v>
      </c>
      <c r="R394" s="153" t="s">
        <v>5559</v>
      </c>
    </row>
    <row r="395" spans="1:18" x14ac:dyDescent="0.15">
      <c r="A395" s="174" t="s">
        <v>5560</v>
      </c>
      <c r="B395" s="143" t="s">
        <v>4635</v>
      </c>
      <c r="C395" s="143" t="s">
        <v>4723</v>
      </c>
      <c r="D395" s="157"/>
      <c r="E395" s="2656" cm="1" t="n">
        <f t="array" ref="E395">INDEX('6층_부하량'!G3:G3000,MATCH(1,("6-DaHall 1-PDU-07"='6층_부하량'!A3:A3000)*(19='6층_부하량'!B3:B3000),0))</f>
        <v>0.0</v>
      </c>
      <c r="F395" s="157"/>
      <c r="G395" s="157"/>
      <c r="H395" s="143" t="s">
        <v>4597</v>
      </c>
      <c r="I395" s="1471" t="s">
        <v>4670</v>
      </c>
      <c r="J395" s="1460" t="s">
        <v>4609</v>
      </c>
      <c r="K395" s="143" t="s">
        <v>4597</v>
      </c>
      <c r="L395" s="157"/>
      <c r="M395" s="2656" cm="1" t="n">
        <f t="array" ref="M395">INDEX('6층_부하량'!G3:G3000,MATCH(1,("6-DaHall 1-PDU-07"='6층_부하량'!A3:A3000)*(20='6층_부하량'!B3:B3000),0))</f>
        <v>0.0</v>
      </c>
      <c r="N395" s="157"/>
      <c r="O395" s="157"/>
      <c r="P395" s="157" t="s">
        <v>4635</v>
      </c>
      <c r="Q395" s="143" t="s">
        <v>4723</v>
      </c>
      <c r="R395" s="153" t="s">
        <v>5561</v>
      </c>
    </row>
    <row r="396" spans="1:18" ht="16.5" x14ac:dyDescent="0.15">
      <c r="A396" s="148" t="s">
        <v>5562</v>
      </c>
      <c r="B396" s="143" t="s">
        <v>4635</v>
      </c>
      <c r="C396" s="143" t="s">
        <v>4723</v>
      </c>
      <c r="D396" s="157"/>
      <c r="E396" s="157"/>
      <c r="F396" s="2656" cm="1" t="n">
        <f t="array" ref="F396">INDEX('6층_부하량'!H3:H3000,MATCH(1,("6-DaHall 1-PDU-07"='6층_부하량'!A3:A3000)*(21='6층_부하량'!B3:B3000),0))</f>
        <v>0.0</v>
      </c>
      <c r="G396" s="157"/>
      <c r="H396" s="143" t="s">
        <v>4597</v>
      </c>
      <c r="I396" s="1471" t="s">
        <v>4674</v>
      </c>
      <c r="J396" s="151" t="s">
        <v>4613</v>
      </c>
      <c r="K396" s="143" t="s">
        <v>4597</v>
      </c>
      <c r="L396" s="157"/>
      <c r="M396" s="157"/>
      <c r="N396" s="2656" cm="1" t="n">
        <f t="array" ref="N396">INDEX('6층_부하량'!H3:H3000,MATCH(1,("6-DaHall 1-PDU-07"='6층_부하량'!A3:A3000)*(22='6층_부하량'!B3:B3000),0))</f>
        <v>0.0</v>
      </c>
      <c r="O396" s="157"/>
      <c r="P396" s="157" t="s">
        <v>4635</v>
      </c>
      <c r="Q396" s="164" t="s">
        <v>4575</v>
      </c>
      <c r="R396" s="342" t="s">
        <v>5563</v>
      </c>
    </row>
    <row r="397" spans="1:18" ht="16.5" x14ac:dyDescent="0.15">
      <c r="A397" s="148" t="s">
        <v>5564</v>
      </c>
      <c r="B397" s="143" t="s">
        <v>4635</v>
      </c>
      <c r="C397" s="143" t="s">
        <v>4723</v>
      </c>
      <c r="D397" s="2656" cm="1" t="n">
        <f t="array" ref="D397">INDEX('6층_부하량'!F3:F3000,MATCH(1,("6-DaHall 1-PDU-07"='6층_부하량'!A3:A3000)*(23='6층_부하량'!B3:B3000),0))</f>
        <v>0.0</v>
      </c>
      <c r="E397" s="157"/>
      <c r="F397" s="157"/>
      <c r="G397" s="157"/>
      <c r="H397" s="143" t="s">
        <v>4597</v>
      </c>
      <c r="I397" s="1471" t="s">
        <v>4678</v>
      </c>
      <c r="J397" s="151" t="s">
        <v>4680</v>
      </c>
      <c r="K397" s="143" t="s">
        <v>4597</v>
      </c>
      <c r="L397" s="2656" cm="1" t="n">
        <f t="array" ref="L397">INDEX('6층_부하량'!F3:F3000,MATCH(1,("6-DaHall 1-PDU-07"='6층_부하량'!A3:A3000)*(24='6층_부하량'!B3:B3000),0))</f>
        <v>0.0</v>
      </c>
      <c r="M397" s="157"/>
      <c r="N397" s="157"/>
      <c r="O397" s="157"/>
      <c r="P397" s="157" t="s">
        <v>4635</v>
      </c>
      <c r="Q397" s="164" t="s">
        <v>4575</v>
      </c>
      <c r="R397" s="342" t="s">
        <v>5565</v>
      </c>
    </row>
    <row r="398" spans="1:18" ht="16.5" x14ac:dyDescent="0.15">
      <c r="A398" s="148" t="s">
        <v>5566</v>
      </c>
      <c r="B398" s="143" t="s">
        <v>4635</v>
      </c>
      <c r="C398" s="143" t="s">
        <v>4723</v>
      </c>
      <c r="D398" s="157"/>
      <c r="E398" s="2656" cm="1" t="n">
        <f t="array" ref="E398">INDEX('6층_부하량'!G3:G3000,MATCH(1,("6-DaHall 1-PDU-07"='6층_부하량'!A3:A3000)*(25='6층_부하량'!B3:B3000),0))</f>
        <v>0.0</v>
      </c>
      <c r="F398" s="157"/>
      <c r="G398" s="157"/>
      <c r="H398" s="143" t="s">
        <v>4597</v>
      </c>
      <c r="I398" s="1471" t="s">
        <v>4683</v>
      </c>
      <c r="J398" s="151" t="s">
        <v>4685</v>
      </c>
      <c r="K398" s="143" t="s">
        <v>4597</v>
      </c>
      <c r="L398" s="157"/>
      <c r="M398" s="2656" cm="1" t="n">
        <f t="array" ref="M398">INDEX('6층_부하량'!G3:G3000,MATCH(1,("6-DaHall 1-PDU-07"='6층_부하량'!A3:A3000)*(26='6층_부하량'!B3:B3000),0))</f>
        <v>0.0</v>
      </c>
      <c r="N398" s="157"/>
      <c r="O398" s="157"/>
      <c r="P398" s="157" t="s">
        <v>4635</v>
      </c>
      <c r="Q398" s="164" t="s">
        <v>4575</v>
      </c>
      <c r="R398" s="342" t="s">
        <v>5567</v>
      </c>
    </row>
    <row r="399" spans="1:18" ht="17.25" thickBot="1" x14ac:dyDescent="0.2">
      <c r="A399" s="175" t="s">
        <v>5568</v>
      </c>
      <c r="B399" s="176" t="s">
        <v>4635</v>
      </c>
      <c r="C399" s="176" t="s">
        <v>4723</v>
      </c>
      <c r="D399" s="177"/>
      <c r="E399" s="177"/>
      <c r="F399" s="2661" cm="1" t="n">
        <f t="array" ref="F399">INDEX('6층_부하량'!H3:H3000,MATCH(1,("6-DaHall 1-PDU-07"='6층_부하량'!A3:A3000)*(27='6층_부하량'!B3:B3000),0))</f>
        <v>0.0</v>
      </c>
      <c r="G399" s="177"/>
      <c r="H399" s="176" t="s">
        <v>4597</v>
      </c>
      <c r="I399" s="1483" t="s">
        <v>4688</v>
      </c>
      <c r="J399" s="187" t="s">
        <v>4689</v>
      </c>
      <c r="K399" s="176" t="s">
        <v>4597</v>
      </c>
      <c r="L399" s="177"/>
      <c r="M399" s="177"/>
      <c r="N399" s="2661" cm="1" t="n">
        <f t="array" ref="N399">INDEX('6층_부하량'!H3:H3000,MATCH(1,("6-DaHall 1-PDU-07"='6층_부하량'!A3:A3000)*(28='6층_부하량'!B3:B3000),0))</f>
        <v>0.0</v>
      </c>
      <c r="O399" s="177"/>
      <c r="P399" s="177" t="s">
        <v>4635</v>
      </c>
      <c r="Q399" s="191" t="s">
        <v>4575</v>
      </c>
      <c r="R399" s="477" t="s">
        <v>5569</v>
      </c>
    </row>
    <row r="400" spans="1:18" ht="14.25" thickTop="1" x14ac:dyDescent="0.15">
      <c r="A400" s="174" t="s">
        <v>5570</v>
      </c>
      <c r="B400" s="156" t="s">
        <v>4635</v>
      </c>
      <c r="C400" s="156" t="s">
        <v>4723</v>
      </c>
      <c r="D400" s="2658" cm="1" t="n">
        <f t="array" ref="D400">INDEX('6층_부하량'!F3:F3000,MATCH(1,("6-DaHall 1-PDU-07"='6층_부하량'!A3:A3000)*(29='6층_부하량'!B3:B3000),0))</f>
        <v>0.0</v>
      </c>
      <c r="E400" s="179"/>
      <c r="F400" s="179"/>
      <c r="G400" s="179"/>
      <c r="H400" s="156" t="s">
        <v>4597</v>
      </c>
      <c r="I400" s="1470" t="s">
        <v>4691</v>
      </c>
      <c r="J400" s="1462" t="s">
        <v>4692</v>
      </c>
      <c r="K400" s="156" t="s">
        <v>4597</v>
      </c>
      <c r="L400" s="2658" cm="1" t="n">
        <f t="array" ref="L400">INDEX('6층_부하량'!F3:F3000,MATCH(1,("6-DaHall 1-PDU-07"='6층_부하량'!A3:A3000)*(30='6층_부하량'!B3:B3000),0))</f>
        <v>0.0</v>
      </c>
      <c r="M400" s="179"/>
      <c r="N400" s="179"/>
      <c r="O400" s="179"/>
      <c r="P400" s="179" t="s">
        <v>4635</v>
      </c>
      <c r="Q400" s="143" t="s">
        <v>4723</v>
      </c>
      <c r="R400" s="182" t="s">
        <v>5571</v>
      </c>
    </row>
    <row r="401" spans="1:18" x14ac:dyDescent="0.15">
      <c r="A401" s="148" t="s">
        <v>5572</v>
      </c>
      <c r="B401" s="143" t="s">
        <v>4635</v>
      </c>
      <c r="C401" s="143" t="s">
        <v>4723</v>
      </c>
      <c r="D401" s="157"/>
      <c r="E401" s="2656" cm="1" t="n">
        <f t="array" ref="E401">INDEX('6층_부하량'!G3:G3000,MATCH(1,("6-DaHall 1-PDU-07"='6층_부하량'!A3:A3000)*(31='6층_부하량'!B3:B3000),0))</f>
        <v>0.0</v>
      </c>
      <c r="F401" s="157"/>
      <c r="G401" s="157"/>
      <c r="H401" s="143" t="s">
        <v>4597</v>
      </c>
      <c r="I401" s="1471" t="s">
        <v>4693</v>
      </c>
      <c r="J401" s="1460" t="s">
        <v>4694</v>
      </c>
      <c r="K401" s="143" t="s">
        <v>4597</v>
      </c>
      <c r="L401" s="157"/>
      <c r="M401" s="2656" cm="1" t="n">
        <f t="array" ref="M401">INDEX('6층_부하량'!G3:G3000,MATCH(1,("6-DaHall 1-PDU-07"='6층_부하량'!A3:A3000)*(32='6층_부하량'!B3:B3000),0))</f>
        <v>0.0</v>
      </c>
      <c r="N401" s="157"/>
      <c r="O401" s="157"/>
      <c r="P401" s="157" t="s">
        <v>4635</v>
      </c>
      <c r="Q401" s="143" t="s">
        <v>4723</v>
      </c>
      <c r="R401" s="153" t="s">
        <v>5573</v>
      </c>
    </row>
    <row r="402" spans="1:18" x14ac:dyDescent="0.15">
      <c r="A402" s="148" t="s">
        <v>5574</v>
      </c>
      <c r="B402" s="143" t="s">
        <v>4635</v>
      </c>
      <c r="C402" s="143" t="s">
        <v>4723</v>
      </c>
      <c r="D402" s="157"/>
      <c r="E402" s="157"/>
      <c r="F402" s="2656" cm="1" t="n">
        <f t="array" ref="F402">INDEX('6층_부하량'!H3:H3000,MATCH(1,("6-DaHall 1-PDU-07"='6층_부하량'!A3:A3000)*(33='6층_부하량'!B3:B3000),0))</f>
        <v>0.0</v>
      </c>
      <c r="G402" s="157"/>
      <c r="H402" s="143" t="s">
        <v>4597</v>
      </c>
      <c r="I402" s="1471" t="s">
        <v>4697</v>
      </c>
      <c r="J402" s="1460" t="s">
        <v>4698</v>
      </c>
      <c r="K402" s="143" t="s">
        <v>4597</v>
      </c>
      <c r="L402" s="157"/>
      <c r="M402" s="157"/>
      <c r="N402" s="2656" cm="1" t="n">
        <f t="array" ref="N402">INDEX('6층_부하량'!H3:H3000,MATCH(1,("6-DaHall 1-PDU-07"='6층_부하량'!A3:A3000)*(34='6층_부하량'!B3:B3000),0))</f>
        <v>0.0</v>
      </c>
      <c r="O402" s="157"/>
      <c r="P402" s="157" t="s">
        <v>4635</v>
      </c>
      <c r="Q402" s="143" t="s">
        <v>4723</v>
      </c>
      <c r="R402" s="182" t="s">
        <v>5575</v>
      </c>
    </row>
    <row r="403" spans="1:18" ht="16.5" x14ac:dyDescent="0.15">
      <c r="A403" s="148" t="s">
        <v>5576</v>
      </c>
      <c r="B403" s="143" t="s">
        <v>4635</v>
      </c>
      <c r="C403" s="143" t="s">
        <v>4723</v>
      </c>
      <c r="D403" s="2656" cm="1" t="n">
        <f t="array" ref="D403">INDEX('6층_부하량'!F3:F3000,MATCH(1,("6-DaHall 1-PDU-07"='6층_부하량'!A3:A3000)*(35='6층_부하량'!B3:B3000),0))</f>
        <v>0.0</v>
      </c>
      <c r="E403" s="157"/>
      <c r="F403" s="157"/>
      <c r="G403" s="157"/>
      <c r="H403" s="143" t="s">
        <v>4597</v>
      </c>
      <c r="I403" s="1471" t="s">
        <v>4701</v>
      </c>
      <c r="J403" s="151" t="s">
        <v>4703</v>
      </c>
      <c r="K403" s="143" t="s">
        <v>4597</v>
      </c>
      <c r="L403" s="2656" cm="1" t="n">
        <f t="array" ref="L403">INDEX('6층_부하량'!F3:F3000,MATCH(1,("6-DaHall 1-PDU-07"='6층_부하량'!A3:A3000)*(36='6층_부하량'!B3:B3000),0))</f>
        <v>0.0</v>
      </c>
      <c r="M403" s="157"/>
      <c r="N403" s="157"/>
      <c r="O403" s="157"/>
      <c r="P403" s="157" t="s">
        <v>4635</v>
      </c>
      <c r="Q403" s="164" t="s">
        <v>4575</v>
      </c>
      <c r="R403" s="342" t="s">
        <v>5577</v>
      </c>
    </row>
    <row r="404" spans="1:18" ht="16.5" x14ac:dyDescent="0.15">
      <c r="A404" s="148" t="s">
        <v>5578</v>
      </c>
      <c r="B404" s="143" t="s">
        <v>4635</v>
      </c>
      <c r="C404" s="143" t="s">
        <v>4723</v>
      </c>
      <c r="D404" s="157"/>
      <c r="E404" s="2664" cm="1" t="n">
        <f t="array" ref="E404">INDEX('6층_부하량'!G3:G3000,MATCH(1,("6-DaHall 1-PDU-07"='6층_부하량'!A3:A3000)*(37='6층_부하량'!B3:B3000),0))</f>
        <v>0.0</v>
      </c>
      <c r="F404" s="157"/>
      <c r="G404" s="157"/>
      <c r="H404" s="143" t="s">
        <v>4597</v>
      </c>
      <c r="I404" s="1471" t="s">
        <v>4706</v>
      </c>
      <c r="J404" s="151" t="s">
        <v>4707</v>
      </c>
      <c r="K404" s="143" t="s">
        <v>4597</v>
      </c>
      <c r="L404" s="157"/>
      <c r="M404" s="2664" cm="1" t="n">
        <f t="array" ref="M404">INDEX('6층_부하량'!G3:G3000,MATCH(1,("6-DaHall 1-PDU-07"='6층_부하량'!A3:A3000)*(38='6층_부하량'!B3:B3000),0))</f>
        <v>0.0</v>
      </c>
      <c r="N404" s="157"/>
      <c r="O404" s="157"/>
      <c r="P404" s="157" t="s">
        <v>4635</v>
      </c>
      <c r="Q404" s="164" t="s">
        <v>4575</v>
      </c>
      <c r="R404" s="475" t="s">
        <v>5579</v>
      </c>
    </row>
    <row r="405" spans="1:18" ht="16.5" x14ac:dyDescent="0.15">
      <c r="A405" s="148" t="s">
        <v>5580</v>
      </c>
      <c r="B405" s="143" t="s">
        <v>4635</v>
      </c>
      <c r="C405" s="143" t="s">
        <v>4723</v>
      </c>
      <c r="D405" s="157"/>
      <c r="E405" s="157"/>
      <c r="F405" s="2656" cm="1" t="n">
        <f t="array" ref="F405">INDEX('6층_부하량'!H3:H3000,MATCH(1,("6-DaHall 1-PDU-07"='6층_부하량'!A3:A3000)*(39='6층_부하량'!B3:B3000),0))</f>
        <v>0.0</v>
      </c>
      <c r="G405" s="157"/>
      <c r="H405" s="143" t="s">
        <v>4597</v>
      </c>
      <c r="I405" s="1471" t="s">
        <v>4710</v>
      </c>
      <c r="J405" s="151" t="s">
        <v>4711</v>
      </c>
      <c r="K405" s="143" t="s">
        <v>4597</v>
      </c>
      <c r="L405" s="157"/>
      <c r="M405" s="157"/>
      <c r="N405" s="2656" cm="1" t="n">
        <f t="array" ref="N405">INDEX('6층_부하량'!H3:H3000,MATCH(1,("6-DaHall 1-PDU-07"='6층_부하량'!A3:A3000)*(40='6층_부하량'!B3:B3000),0))</f>
        <v>0.0</v>
      </c>
      <c r="O405" s="157"/>
      <c r="P405" s="157" t="s">
        <v>4635</v>
      </c>
      <c r="Q405" s="164" t="s">
        <v>4575</v>
      </c>
      <c r="R405" s="342" t="s">
        <v>5581</v>
      </c>
    </row>
    <row r="406" spans="1:18" ht="16.5" x14ac:dyDescent="0.15">
      <c r="A406" s="257" t="s">
        <v>5582</v>
      </c>
      <c r="B406" s="143" t="s">
        <v>5583</v>
      </c>
      <c r="C406" s="164" t="s">
        <v>4575</v>
      </c>
      <c r="D406" s="2656" cm="1" t="n">
        <f t="array" ref="D406">INDEX('6층_부하량'!F3:F3000,MATCH(1,("6-DaHall 1-PDU-07"='6층_부하량'!A3:A3000)*(41='6층_부하량'!B3:B3000),0))</f>
        <v>0.0</v>
      </c>
      <c r="E406" s="157"/>
      <c r="F406" s="157"/>
      <c r="G406" s="157"/>
      <c r="H406" s="143" t="s">
        <v>4597</v>
      </c>
      <c r="I406" s="154" t="s">
        <v>5055</v>
      </c>
      <c r="J406" s="151" t="s">
        <v>4843</v>
      </c>
      <c r="K406" s="143" t="s">
        <v>4597</v>
      </c>
      <c r="L406" s="2656" cm="1" t="n">
        <f t="array" ref="L406">INDEX('6층_부하량'!F3:F3000,MATCH(1,("6-DaHall 1-PDU-07"='6층_부하량'!A3:A3000)*(42='6층_부하량'!B3:B3000),0))</f>
        <v>0.0</v>
      </c>
      <c r="M406" s="157"/>
      <c r="N406" s="157"/>
      <c r="O406" s="157"/>
      <c r="P406" s="157" t="s">
        <v>4635</v>
      </c>
      <c r="Q406" s="164" t="s">
        <v>4575</v>
      </c>
      <c r="R406" s="475" t="s">
        <v>5584</v>
      </c>
    </row>
    <row r="407" spans="1:18" ht="16.5" x14ac:dyDescent="0.15">
      <c r="A407" s="257" t="s">
        <v>5585</v>
      </c>
      <c r="B407" s="143" t="s">
        <v>5583</v>
      </c>
      <c r="C407" s="164" t="s">
        <v>4575</v>
      </c>
      <c r="D407" s="157"/>
      <c r="E407" s="2656" cm="1" t="n">
        <f t="array" ref="E407">INDEX('6층_부하량'!G3:G3000,MATCH(1,("6-DaHall 1-PDU-07"='6층_부하량'!A3:A3000)*(43='6층_부하량'!B3:B3000),0))</f>
        <v>0.0</v>
      </c>
      <c r="F407" s="157"/>
      <c r="G407" s="157"/>
      <c r="H407" s="143" t="s">
        <v>4597</v>
      </c>
      <c r="I407" s="154" t="s">
        <v>4845</v>
      </c>
      <c r="J407" s="151" t="s">
        <v>4846</v>
      </c>
      <c r="K407" s="143" t="s">
        <v>4597</v>
      </c>
      <c r="L407" s="157"/>
      <c r="M407" s="2656" cm="1" t="n">
        <f t="array" ref="M407">INDEX('6층_부하량'!G3:G3000,MATCH(1,("6-DaHall 1-PDU-07"='6층_부하량'!A3:A3000)*(44='6층_부하량'!B3:B3000),0))</f>
        <v>0.0</v>
      </c>
      <c r="N407" s="157"/>
      <c r="O407" s="157"/>
      <c r="P407" s="157" t="s">
        <v>4635</v>
      </c>
      <c r="Q407" s="164" t="s">
        <v>4575</v>
      </c>
      <c r="R407" s="342" t="s">
        <v>5586</v>
      </c>
    </row>
    <row r="408" spans="1:18" ht="16.5" x14ac:dyDescent="0.15">
      <c r="A408" s="257" t="s">
        <v>5587</v>
      </c>
      <c r="B408" s="143" t="s">
        <v>5583</v>
      </c>
      <c r="C408" s="164" t="s">
        <v>4575</v>
      </c>
      <c r="D408" s="157"/>
      <c r="E408" s="157"/>
      <c r="F408" s="2656" cm="1" t="n">
        <f t="array" ref="F408">INDEX('6층_부하량'!H3:H3000,MATCH(1,("6-DaHall 1-PDU-07"='6층_부하량'!A3:A3000)*(45='6층_부하량'!B3:B3000),0))</f>
        <v>0.0</v>
      </c>
      <c r="G408" s="157"/>
      <c r="H408" s="143" t="s">
        <v>4597</v>
      </c>
      <c r="I408" s="154" t="s">
        <v>4847</v>
      </c>
      <c r="J408" s="151" t="s">
        <v>4848</v>
      </c>
      <c r="K408" s="143" t="s">
        <v>4597</v>
      </c>
      <c r="L408" s="157"/>
      <c r="M408" s="157"/>
      <c r="N408" s="2656" cm="1" t="n">
        <f t="array" ref="N408">INDEX('6층_부하량'!H3:H3000,MATCH(1,("6-DaHall 1-PDU-07"='6층_부하량'!A3:A3000)*(46='6층_부하량'!B3:B3000),0))</f>
        <v>0.0</v>
      </c>
      <c r="O408" s="157"/>
      <c r="P408" s="157" t="s">
        <v>4635</v>
      </c>
      <c r="Q408" s="164" t="s">
        <v>4575</v>
      </c>
      <c r="R408" s="475" t="s">
        <v>5588</v>
      </c>
    </row>
    <row r="409" spans="1:18" x14ac:dyDescent="0.15">
      <c r="A409" s="257" t="s">
        <v>5589</v>
      </c>
      <c r="B409" s="143" t="s">
        <v>565</v>
      </c>
      <c r="C409" s="143" t="s">
        <v>4723</v>
      </c>
      <c r="D409" s="2664" cm="1" t="n">
        <f t="array" ref="D409">INDEX('6층_부하량'!F3:F3000,MATCH(1,("6-DaHall 1-PDU-07"='6층_부하량'!A3:A3000)*(47='6층_부하량'!B3:B3000),0))</f>
        <v>0.0</v>
      </c>
      <c r="E409" s="157"/>
      <c r="F409" s="157"/>
      <c r="G409" s="157"/>
      <c r="H409" s="143" t="s">
        <v>4597</v>
      </c>
      <c r="I409" s="1471" t="s">
        <v>4849</v>
      </c>
      <c r="J409" s="1460" t="s">
        <v>4850</v>
      </c>
      <c r="K409" s="143" t="s">
        <v>4597</v>
      </c>
      <c r="L409" s="2664" cm="1" t="n">
        <f t="array" ref="L409">INDEX('6층_부하량'!F3:F3000,MATCH(1,("6-DaHall 1-PDU-07"='6층_부하량'!A3:A3000)*(48='6층_부하량'!B3:B3000),0))</f>
        <v>0.0</v>
      </c>
      <c r="M409" s="157"/>
      <c r="N409" s="157"/>
      <c r="O409" s="157"/>
      <c r="P409" s="157" t="s">
        <v>4635</v>
      </c>
      <c r="Q409" s="143" t="s">
        <v>4723</v>
      </c>
      <c r="R409" s="183" t="s">
        <v>5590</v>
      </c>
    </row>
    <row r="410" spans="1:18" ht="16.5" x14ac:dyDescent="0.15">
      <c r="A410" s="607" t="s">
        <v>5591</v>
      </c>
      <c r="B410" s="143" t="s">
        <v>4635</v>
      </c>
      <c r="C410" s="164" t="s">
        <v>4575</v>
      </c>
      <c r="D410" s="157"/>
      <c r="E410" s="2656" cm="1" t="n">
        <f t="array" ref="E410">INDEX('6층_부하량'!G3:G3000,MATCH(1,("6-DaHall 1-PDU-07"='6층_부하량'!A3:A3000)*(49='6층_부하량'!B3:B3000),0))</f>
        <v>0.0</v>
      </c>
      <c r="F410" s="157"/>
      <c r="G410" s="157"/>
      <c r="H410" s="143" t="s">
        <v>4597</v>
      </c>
      <c r="I410" s="150" t="s">
        <v>4851</v>
      </c>
      <c r="J410" s="1460" t="s">
        <v>4852</v>
      </c>
      <c r="K410" s="143" t="s">
        <v>4597</v>
      </c>
      <c r="L410" s="157"/>
      <c r="M410" s="2656" cm="1" t="n">
        <f t="array" ref="M410">INDEX('6층_부하량'!G3:G3000,MATCH(1,("6-DaHall 1-PDU-07"='6층_부하량'!A3:A3000)*(50='6층_부하량'!B3:B3000),0))</f>
        <v>0.0</v>
      </c>
      <c r="N410" s="157"/>
      <c r="O410" s="157"/>
      <c r="P410" s="157" t="s">
        <v>4635</v>
      </c>
      <c r="Q410" s="143" t="s">
        <v>4723</v>
      </c>
      <c r="R410" s="153" t="s">
        <v>5592</v>
      </c>
    </row>
    <row r="411" spans="1:18" ht="16.5" x14ac:dyDescent="0.15">
      <c r="A411" s="607" t="s">
        <v>5593</v>
      </c>
      <c r="B411" s="143" t="s">
        <v>4635</v>
      </c>
      <c r="C411" s="164" t="s">
        <v>4575</v>
      </c>
      <c r="D411" s="157"/>
      <c r="E411" s="157"/>
      <c r="F411" s="2664" cm="1" t="n">
        <f t="array" ref="F411">INDEX('6층_부하량'!H3:H3000,MATCH(1,("6-DaHall 1-PDU-07"='6층_부하량'!A3:A3000)*(51='6층_부하량'!B3:B3000),0))</f>
        <v>0.0</v>
      </c>
      <c r="G411" s="157"/>
      <c r="H411" s="143" t="s">
        <v>4597</v>
      </c>
      <c r="I411" s="150" t="s">
        <v>4791</v>
      </c>
      <c r="J411" s="1460" t="s">
        <v>4793</v>
      </c>
      <c r="K411" s="143" t="s">
        <v>4597</v>
      </c>
      <c r="L411" s="157"/>
      <c r="M411" s="157"/>
      <c r="N411" s="2664" cm="1" t="n">
        <f t="array" ref="N411">INDEX('6층_부하량'!H3:H3000,MATCH(1,("6-DaHall 1-PDU-07"='6층_부하량'!A3:A3000)*(52='6층_부하량'!B3:B3000),0))</f>
        <v>0.0</v>
      </c>
      <c r="O411" s="157"/>
      <c r="P411" s="157" t="s">
        <v>4635</v>
      </c>
      <c r="Q411" s="143" t="s">
        <v>4723</v>
      </c>
      <c r="R411" s="183" t="s">
        <v>5594</v>
      </c>
    </row>
    <row r="412" spans="1:18" ht="17.25" thickBot="1" x14ac:dyDescent="0.2">
      <c r="A412" s="275" t="s">
        <v>5595</v>
      </c>
      <c r="B412" s="166" t="s">
        <v>4635</v>
      </c>
      <c r="C412" s="184" t="s">
        <v>4575</v>
      </c>
      <c r="D412" s="2668" cm="1" t="n">
        <f t="array" ref="D412">INDEX('6층_부하량'!F3:F3000,MATCH(1,("6-DaHall 1-PDU-07"='6층_부하량'!A3:A3000)*(53='6층_부하량'!B3:B3000),0))</f>
        <v>0.0</v>
      </c>
      <c r="E412" s="167"/>
      <c r="F412" s="167"/>
      <c r="G412" s="167"/>
      <c r="H412" s="166" t="s">
        <v>4597</v>
      </c>
      <c r="I412" s="194" t="s">
        <v>4796</v>
      </c>
      <c r="J412" s="190" t="s">
        <v>4797</v>
      </c>
      <c r="K412" s="166" t="s">
        <v>4597</v>
      </c>
      <c r="L412" s="2668" cm="1" t="n">
        <f t="array" ref="L412">INDEX('6층_부하량'!F3:F3000,MATCH(1,("6-DaHall 1-PDU-07"='6층_부하량'!A3:A3000)*(54='6층_부하량'!B3:B3000),0))</f>
        <v>0.0</v>
      </c>
      <c r="M412" s="167"/>
      <c r="N412" s="167"/>
      <c r="O412" s="167"/>
      <c r="P412" s="167" t="s">
        <v>4635</v>
      </c>
      <c r="Q412" s="184" t="s">
        <v>4575</v>
      </c>
      <c r="R412" s="634" t="s">
        <v>5596</v>
      </c>
    </row>
    <row r="413" spans="1:18" ht="14.25" thickTop="1" x14ac:dyDescent="0.15">
      <c r="A413" s="128"/>
      <c r="C413" s="128"/>
      <c r="D413" s="128"/>
      <c r="E413" s="128"/>
      <c r="F413" s="128"/>
      <c r="G413" s="128"/>
      <c r="H413" s="128"/>
      <c r="I413" s="128"/>
      <c r="J413" s="128"/>
      <c r="K413" s="128" t="s">
        <v>4713</v>
      </c>
      <c r="L413" s="128" t="n">
        <f>SUM(D386:D412,L386:L412)</f>
        <v>0.0</v>
      </c>
      <c r="M413" s="128" t="n">
        <f>SUM(E386:E412,M386:M412)</f>
        <v>0.0</v>
      </c>
      <c r="N413" s="128" t="n">
        <f>SUM(F386:F412,N386:N412)</f>
        <v>0.0</v>
      </c>
      <c r="O413" s="128"/>
      <c r="P413" s="128"/>
      <c r="Q413" s="128"/>
      <c r="R413" s="128"/>
    </row>
    <row r="414" spans="1:18" ht="14.25" thickBot="1" x14ac:dyDescent="0.2">
      <c r="A414" s="128"/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</row>
    <row r="415" spans="1:18" ht="15" thickTop="1" thickBot="1" x14ac:dyDescent="0.2">
      <c r="A415" s="173" t="s">
        <v>7010</v>
      </c>
      <c r="B415" s="128"/>
      <c r="C415" s="3660" t="s">
        <v>5597</v>
      </c>
      <c r="D415" s="3660"/>
      <c r="E415" s="3660"/>
      <c r="F415" s="173"/>
      <c r="G415" s="173"/>
      <c r="H415" s="133"/>
      <c r="I415" s="3665" t="s">
        <v>4715</v>
      </c>
      <c r="J415" s="3666"/>
      <c r="K415" s="133"/>
      <c r="L415" s="173"/>
      <c r="M415" s="173"/>
      <c r="N415" s="173"/>
      <c r="O415" s="173"/>
      <c r="P415" s="173"/>
      <c r="Q415" s="173"/>
      <c r="R415" s="128"/>
    </row>
    <row r="416" spans="1:18" ht="15" thickTop="1" thickBot="1" x14ac:dyDescent="0.2">
      <c r="A416" s="127"/>
      <c r="B416" s="128"/>
      <c r="C416" s="128"/>
      <c r="D416" s="129"/>
      <c r="E416" s="129"/>
      <c r="F416" s="130"/>
      <c r="G416" s="129"/>
      <c r="H416" s="131"/>
      <c r="I416" s="128"/>
      <c r="J416" s="132"/>
      <c r="K416" s="1371" t="s">
        <v>4562</v>
      </c>
      <c r="L416" s="1368">
        <v>0</v>
      </c>
      <c r="M416" s="1369">
        <v>0</v>
      </c>
      <c r="N416" s="1370">
        <v>0</v>
      </c>
      <c r="O416" s="508" t="s">
        <v>4563</v>
      </c>
      <c r="P416" s="133"/>
      <c r="Q416" s="128"/>
      <c r="R416" s="528"/>
    </row>
    <row r="417" spans="1:18" ht="15" thickTop="1" thickBot="1" x14ac:dyDescent="0.2">
      <c r="A417" s="134" t="s">
        <v>4564</v>
      </c>
      <c r="B417" s="135" t="s">
        <v>5031</v>
      </c>
      <c r="C417" s="136" t="s">
        <v>4566</v>
      </c>
      <c r="D417" s="135" t="s">
        <v>5032</v>
      </c>
      <c r="E417" s="135" t="s">
        <v>5033</v>
      </c>
      <c r="F417" s="135" t="s">
        <v>5034</v>
      </c>
      <c r="G417" s="135" t="s">
        <v>5035</v>
      </c>
      <c r="H417" s="135" t="s">
        <v>5036</v>
      </c>
      <c r="I417" s="138" t="s">
        <v>5037</v>
      </c>
      <c r="J417" s="139" t="s">
        <v>5037</v>
      </c>
      <c r="K417" s="135" t="s">
        <v>5036</v>
      </c>
      <c r="L417" s="135" t="s">
        <v>5032</v>
      </c>
      <c r="M417" s="135" t="s">
        <v>5033</v>
      </c>
      <c r="N417" s="135" t="s">
        <v>5034</v>
      </c>
      <c r="O417" s="135" t="s">
        <v>5035</v>
      </c>
      <c r="P417" s="135" t="s">
        <v>5031</v>
      </c>
      <c r="Q417" s="136" t="s">
        <v>4566</v>
      </c>
      <c r="R417" s="140" t="s">
        <v>4564</v>
      </c>
    </row>
    <row r="418" spans="1:18" ht="14.25" thickTop="1" x14ac:dyDescent="0.15">
      <c r="A418" s="141" t="s">
        <v>5598</v>
      </c>
      <c r="B418" s="142" t="s">
        <v>565</v>
      </c>
      <c r="C418" s="143" t="s">
        <v>4723</v>
      </c>
      <c r="D418" s="144"/>
      <c r="E418" s="2654" cm="1" t="n">
        <f t="array" ref="E418">INDEX('6층_부하량'!G3:G3000,MATCH(1,("6-DaHall 1-PDU-08"='6층_부하량'!A3:A3000)*(1='6층_부하량'!B3:B3000),0))</f>
        <v>0.0</v>
      </c>
      <c r="F418" s="144"/>
      <c r="G418" s="144"/>
      <c r="H418" s="142" t="s">
        <v>4597</v>
      </c>
      <c r="I418" s="1469" t="s">
        <v>4633</v>
      </c>
      <c r="J418" s="1476" t="s">
        <v>4578</v>
      </c>
      <c r="K418" s="142" t="s">
        <v>4597</v>
      </c>
      <c r="L418" s="144"/>
      <c r="M418" s="2654" cm="1" t="n">
        <f t="array" ref="M418">INDEX('6층_부하량'!G3:G3000,MATCH(1,("6-DaHall 1-PDU-08"='6층_부하량'!A3:A3000)*(2='6층_부하량'!B3:B3000),0))</f>
        <v>0.0</v>
      </c>
      <c r="N418" s="144"/>
      <c r="O418" s="144"/>
      <c r="P418" s="144" t="s">
        <v>4635</v>
      </c>
      <c r="Q418" s="143" t="s">
        <v>4723</v>
      </c>
      <c r="R418" s="147" t="s">
        <v>5599</v>
      </c>
    </row>
    <row r="419" spans="1:18" x14ac:dyDescent="0.15">
      <c r="A419" s="158" t="s">
        <v>5600</v>
      </c>
      <c r="B419" s="143" t="s">
        <v>565</v>
      </c>
      <c r="C419" s="143" t="s">
        <v>4723</v>
      </c>
      <c r="D419" s="149"/>
      <c r="E419" s="149"/>
      <c r="F419" s="2655" cm="1" t="n">
        <f t="array" ref="F419">INDEX('6층_부하량'!H3:H3000,MATCH(1,("6-DaHall 1-PDU-08"='6층_부하량'!A3:A3000)*(3='6층_부하량'!B3:B3000),0))</f>
        <v>0.0</v>
      </c>
      <c r="G419" s="149"/>
      <c r="H419" s="143" t="s">
        <v>4597</v>
      </c>
      <c r="I419" s="1465" t="s">
        <v>4638</v>
      </c>
      <c r="J419" s="1463" t="s">
        <v>4583</v>
      </c>
      <c r="K419" s="143" t="s">
        <v>4597</v>
      </c>
      <c r="L419" s="149"/>
      <c r="M419" s="149"/>
      <c r="N419" s="2655" cm="1" t="n">
        <f t="array" ref="N419">INDEX('6층_부하량'!H3:H3000,MATCH(1,("6-DaHall 1-PDU-08"='6층_부하량'!A3:A3000)*(4='6층_부하량'!B3:B3000),0))</f>
        <v>0.0</v>
      </c>
      <c r="O419" s="149"/>
      <c r="P419" s="149" t="s">
        <v>4635</v>
      </c>
      <c r="Q419" s="143" t="s">
        <v>4723</v>
      </c>
      <c r="R419" s="153" t="s">
        <v>5601</v>
      </c>
    </row>
    <row r="420" spans="1:18" x14ac:dyDescent="0.15">
      <c r="A420" s="148" t="s">
        <v>5602</v>
      </c>
      <c r="B420" s="143" t="s">
        <v>565</v>
      </c>
      <c r="C420" s="143" t="s">
        <v>4723</v>
      </c>
      <c r="D420" s="2656" cm="1" t="n">
        <f t="array" ref="D420">INDEX('6층_부하량'!F3:F3000,MATCH(1,("6-DaHall 1-PDU-08"='6층_부하량'!A3:A3000)*(5='6층_부하량'!B3:B3000),0))</f>
        <v>0.0</v>
      </c>
      <c r="E420" s="157"/>
      <c r="F420" s="157"/>
      <c r="G420" s="157"/>
      <c r="H420" s="143" t="s">
        <v>4597</v>
      </c>
      <c r="I420" s="1471" t="s">
        <v>4641</v>
      </c>
      <c r="J420" s="1460" t="s">
        <v>4588</v>
      </c>
      <c r="K420" s="143" t="s">
        <v>4597</v>
      </c>
      <c r="L420" s="2656" cm="1" t="n">
        <f t="array" ref="L420">INDEX('6층_부하량'!F3:F3000,MATCH(1,("6-DaHall 1-PDU-08"='6층_부하량'!A3:A3000)*(6='6층_부하량'!B3:B3000),0))</f>
        <v>0.0</v>
      </c>
      <c r="M420" s="157"/>
      <c r="N420" s="157"/>
      <c r="O420" s="157"/>
      <c r="P420" s="157" t="s">
        <v>4635</v>
      </c>
      <c r="Q420" s="143" t="s">
        <v>4723</v>
      </c>
      <c r="R420" s="153" t="s">
        <v>5603</v>
      </c>
    </row>
    <row r="421" spans="1:18" ht="16.5" x14ac:dyDescent="0.15">
      <c r="A421" s="174" t="s">
        <v>5604</v>
      </c>
      <c r="B421" s="143" t="s">
        <v>565</v>
      </c>
      <c r="C421" s="143" t="s">
        <v>4723</v>
      </c>
      <c r="D421" s="157"/>
      <c r="E421" s="2656" cm="1" t="n">
        <f t="array" ref="E421">INDEX('6층_부하량'!G3:G3000,MATCH(1,("6-DaHall 1-PDU-08"='6층_부하량'!A3:A3000)*(7='6층_부하량'!B3:B3000),0))</f>
        <v>0.0</v>
      </c>
      <c r="F421" s="157"/>
      <c r="G421" s="157"/>
      <c r="H421" s="143" t="s">
        <v>4597</v>
      </c>
      <c r="I421" s="1471" t="s">
        <v>4645</v>
      </c>
      <c r="J421" s="151" t="s">
        <v>4593</v>
      </c>
      <c r="K421" s="143" t="s">
        <v>4597</v>
      </c>
      <c r="L421" s="157"/>
      <c r="M421" s="2656" cm="1" t="n">
        <f t="array" ref="M421">INDEX('6층_부하량'!G3:G3000,MATCH(1,("6-DaHall 1-PDU-08"='6층_부하량'!A3:A3000)*(8='6층_부하량'!B3:B3000),0))</f>
        <v>0.0</v>
      </c>
      <c r="N421" s="157"/>
      <c r="O421" s="157"/>
      <c r="P421" s="157" t="s">
        <v>4635</v>
      </c>
      <c r="Q421" s="164" t="s">
        <v>4575</v>
      </c>
      <c r="R421" s="342" t="s">
        <v>5605</v>
      </c>
    </row>
    <row r="422" spans="1:18" ht="16.5" x14ac:dyDescent="0.15">
      <c r="A422" s="148" t="s">
        <v>5606</v>
      </c>
      <c r="B422" s="143" t="s">
        <v>565</v>
      </c>
      <c r="C422" s="143" t="s">
        <v>4723</v>
      </c>
      <c r="D422" s="157"/>
      <c r="E422" s="157"/>
      <c r="F422" s="2656" cm="1" t="n">
        <f t="array" ref="F422">INDEX('6층_부하량'!H3:H3000,MATCH(1,("6-DaHall 1-PDU-08"='6층_부하량'!A3:A3000)*(9='6층_부하량'!B3:B3000),0))</f>
        <v>0.0</v>
      </c>
      <c r="G422" s="157"/>
      <c r="H422" s="143" t="s">
        <v>4597</v>
      </c>
      <c r="I422" s="1471" t="s">
        <v>4648</v>
      </c>
      <c r="J422" s="151" t="s">
        <v>4596</v>
      </c>
      <c r="K422" s="143" t="s">
        <v>4597</v>
      </c>
      <c r="L422" s="157"/>
      <c r="M422" s="157"/>
      <c r="N422" s="2656" cm="1" t="n">
        <f t="array" ref="N422">INDEX('6층_부하량'!H3:H3000,MATCH(1,("6-DaHall 1-PDU-08"='6층_부하량'!A3:A3000)*(10='6층_부하량'!B3:B3000),0))</f>
        <v>0.0</v>
      </c>
      <c r="O422" s="157"/>
      <c r="P422" s="157" t="s">
        <v>4635</v>
      </c>
      <c r="Q422" s="164" t="s">
        <v>4575</v>
      </c>
      <c r="R422" s="342" t="s">
        <v>5607</v>
      </c>
    </row>
    <row r="423" spans="1:18" ht="16.5" x14ac:dyDescent="0.15">
      <c r="A423" s="174" t="s">
        <v>5608</v>
      </c>
      <c r="B423" s="143" t="s">
        <v>565</v>
      </c>
      <c r="C423" s="143" t="s">
        <v>4723</v>
      </c>
      <c r="D423" s="2656" cm="1" t="n">
        <f t="array" ref="D423">INDEX('6층_부하량'!F3:F3000,MATCH(1,("6-DaHall 1-PDU-08"='6층_부하량'!A3:A3000)*(11='6층_부하량'!B3:B3000),0))</f>
        <v>0.0</v>
      </c>
      <c r="E423" s="157"/>
      <c r="F423" s="157"/>
      <c r="G423" s="157"/>
      <c r="H423" s="143" t="s">
        <v>4597</v>
      </c>
      <c r="I423" s="1471" t="s">
        <v>4653</v>
      </c>
      <c r="J423" s="151" t="s">
        <v>4599</v>
      </c>
      <c r="K423" s="143" t="s">
        <v>4597</v>
      </c>
      <c r="L423" s="2656" cm="1" t="n">
        <f t="array" ref="L423">INDEX('6층_부하량'!F3:F3000,MATCH(1,("6-DaHall 1-PDU-08"='6층_부하량'!A3:A3000)*(12='6층_부하량'!B3:B3000),0))</f>
        <v>0.0</v>
      </c>
      <c r="M423" s="157"/>
      <c r="N423" s="157"/>
      <c r="O423" s="157"/>
      <c r="P423" s="157" t="s">
        <v>4635</v>
      </c>
      <c r="Q423" s="164" t="s">
        <v>4575</v>
      </c>
      <c r="R423" s="342" t="s">
        <v>5609</v>
      </c>
    </row>
    <row r="424" spans="1:18" ht="16.5" x14ac:dyDescent="0.15">
      <c r="A424" s="148" t="s">
        <v>5610</v>
      </c>
      <c r="B424" s="143" t="s">
        <v>565</v>
      </c>
      <c r="C424" s="143" t="s">
        <v>4723</v>
      </c>
      <c r="D424" s="157"/>
      <c r="E424" s="2656" cm="1" t="n">
        <f t="array" ref="E424">INDEX('6층_부하량'!G3:G3000,MATCH(1,("6-DaHall 1-PDU-08"='6층_부하량'!A3:A3000)*(13='6층_부하량'!B3:B3000),0))</f>
        <v>0.0</v>
      </c>
      <c r="F424" s="157"/>
      <c r="G424" s="157"/>
      <c r="H424" s="143" t="s">
        <v>4597</v>
      </c>
      <c r="I424" s="1471" t="s">
        <v>4657</v>
      </c>
      <c r="J424" s="151" t="s">
        <v>4601</v>
      </c>
      <c r="K424" s="143" t="s">
        <v>4597</v>
      </c>
      <c r="L424" s="157"/>
      <c r="M424" s="2656" cm="1" t="n">
        <f t="array" ref="M424">INDEX('6층_부하량'!G3:G3000,MATCH(1,("6-DaHall 1-PDU-08"='6층_부하량'!A3:A3000)*(14='6층_부하량'!B3:B3000),0))</f>
        <v>0.0</v>
      </c>
      <c r="N424" s="157"/>
      <c r="O424" s="157"/>
      <c r="P424" s="157" t="s">
        <v>4635</v>
      </c>
      <c r="Q424" s="164" t="s">
        <v>4575</v>
      </c>
      <c r="R424" s="342" t="s">
        <v>5611</v>
      </c>
    </row>
    <row r="425" spans="1:18" x14ac:dyDescent="0.15">
      <c r="A425" s="174" t="s">
        <v>5612</v>
      </c>
      <c r="B425" s="143" t="s">
        <v>565</v>
      </c>
      <c r="C425" s="143" t="s">
        <v>4723</v>
      </c>
      <c r="D425" s="157"/>
      <c r="E425" s="157"/>
      <c r="F425" s="2656" cm="1" t="n">
        <f t="array" ref="F425">INDEX('6층_부하량'!H3:H3000,MATCH(1,("6-DaHall 1-PDU-08"='6층_부하량'!A3:A3000)*(15='6층_부하량'!B3:B3000),0))</f>
        <v>0.0</v>
      </c>
      <c r="G425" s="157"/>
      <c r="H425" s="143" t="s">
        <v>4597</v>
      </c>
      <c r="I425" s="1471" t="s">
        <v>4661</v>
      </c>
      <c r="J425" s="1460" t="s">
        <v>4603</v>
      </c>
      <c r="K425" s="143" t="s">
        <v>4597</v>
      </c>
      <c r="L425" s="157"/>
      <c r="M425" s="157"/>
      <c r="N425" s="2656" cm="1" t="n">
        <f t="array" ref="N425">INDEX('6층_부하량'!H3:H3000,MATCH(1,("6-DaHall 1-PDU-08"='6층_부하량'!A3:A3000)*(16='6층_부하량'!B3:B3000),0))</f>
        <v>0.0</v>
      </c>
      <c r="O425" s="157"/>
      <c r="P425" s="157" t="s">
        <v>4635</v>
      </c>
      <c r="Q425" s="143" t="s">
        <v>4723</v>
      </c>
      <c r="R425" s="153" t="s">
        <v>5613</v>
      </c>
    </row>
    <row r="426" spans="1:18" x14ac:dyDescent="0.15">
      <c r="A426" s="148" t="s">
        <v>5614</v>
      </c>
      <c r="B426" s="143" t="s">
        <v>565</v>
      </c>
      <c r="C426" s="143" t="s">
        <v>4723</v>
      </c>
      <c r="D426" s="2656" cm="1" t="n">
        <f t="array" ref="D426">INDEX('6층_부하량'!F3:F3000,MATCH(1,("6-DaHall 1-PDU-08"='6층_부하량'!A3:A3000)*(17='6층_부하량'!B3:B3000),0))</f>
        <v>0.0</v>
      </c>
      <c r="E426" s="157"/>
      <c r="F426" s="157"/>
      <c r="G426" s="157"/>
      <c r="H426" s="143" t="s">
        <v>4597</v>
      </c>
      <c r="I426" s="1471" t="s">
        <v>4665</v>
      </c>
      <c r="J426" s="1460" t="s">
        <v>4605</v>
      </c>
      <c r="K426" s="143" t="s">
        <v>4597</v>
      </c>
      <c r="L426" s="2656" cm="1" t="n">
        <f t="array" ref="L426">INDEX('6층_부하량'!F3:F3000,MATCH(1,("6-DaHall 1-PDU-08"='6층_부하량'!A3:A3000)*(18='6층_부하량'!B3:B3000),0))</f>
        <v>0.0</v>
      </c>
      <c r="M426" s="157"/>
      <c r="N426" s="157"/>
      <c r="O426" s="157"/>
      <c r="P426" s="157" t="s">
        <v>4635</v>
      </c>
      <c r="Q426" s="143" t="s">
        <v>4723</v>
      </c>
      <c r="R426" s="153" t="s">
        <v>5615</v>
      </c>
    </row>
    <row r="427" spans="1:18" x14ac:dyDescent="0.15">
      <c r="A427" s="174" t="s">
        <v>5616</v>
      </c>
      <c r="B427" s="143" t="s">
        <v>565</v>
      </c>
      <c r="C427" s="143" t="s">
        <v>4723</v>
      </c>
      <c r="D427" s="157"/>
      <c r="E427" s="2656" cm="1" t="n">
        <f t="array" ref="E427">INDEX('6층_부하량'!G3:G3000,MATCH(1,("6-DaHall 1-PDU-08"='6층_부하량'!A3:A3000)*(19='6층_부하량'!B3:B3000),0))</f>
        <v>0.0</v>
      </c>
      <c r="F427" s="157"/>
      <c r="G427" s="157"/>
      <c r="H427" s="143" t="s">
        <v>4597</v>
      </c>
      <c r="I427" s="1471" t="s">
        <v>4670</v>
      </c>
      <c r="J427" s="1460" t="s">
        <v>4609</v>
      </c>
      <c r="K427" s="143" t="s">
        <v>4597</v>
      </c>
      <c r="L427" s="157"/>
      <c r="M427" s="2656" cm="1" t="n">
        <f t="array" ref="M427">INDEX('6층_부하량'!G3:G3000,MATCH(1,("6-DaHall 1-PDU-08"='6층_부하량'!A3:A3000)*(20='6층_부하량'!B3:B3000),0))</f>
        <v>0.0</v>
      </c>
      <c r="N427" s="157"/>
      <c r="O427" s="157"/>
      <c r="P427" s="157" t="s">
        <v>4635</v>
      </c>
      <c r="Q427" s="143" t="s">
        <v>4723</v>
      </c>
      <c r="R427" s="153" t="s">
        <v>5617</v>
      </c>
    </row>
    <row r="428" spans="1:18" ht="16.5" x14ac:dyDescent="0.15">
      <c r="A428" s="148" t="s">
        <v>5618</v>
      </c>
      <c r="B428" s="143" t="s">
        <v>565</v>
      </c>
      <c r="C428" s="143" t="s">
        <v>4723</v>
      </c>
      <c r="D428" s="157"/>
      <c r="E428" s="157"/>
      <c r="F428" s="2656" cm="1" t="n">
        <f t="array" ref="F428">INDEX('6층_부하량'!H3:H3000,MATCH(1,("6-DaHall 1-PDU-08"='6층_부하량'!A3:A3000)*(21='6층_부하량'!B3:B3000),0))</f>
        <v>0.0</v>
      </c>
      <c r="G428" s="157"/>
      <c r="H428" s="143" t="s">
        <v>4597</v>
      </c>
      <c r="I428" s="1471" t="s">
        <v>4674</v>
      </c>
      <c r="J428" s="151" t="s">
        <v>4613</v>
      </c>
      <c r="K428" s="143" t="s">
        <v>4597</v>
      </c>
      <c r="L428" s="157"/>
      <c r="M428" s="157"/>
      <c r="N428" s="2656" cm="1" t="n">
        <f t="array" ref="N428">INDEX('6층_부하량'!H3:H3000,MATCH(1,("6-DaHall 1-PDU-08"='6층_부하량'!A3:A3000)*(22='6층_부하량'!B3:B3000),0))</f>
        <v>0.0</v>
      </c>
      <c r="O428" s="157"/>
      <c r="P428" s="157" t="s">
        <v>4635</v>
      </c>
      <c r="Q428" s="164" t="s">
        <v>4575</v>
      </c>
      <c r="R428" s="342" t="s">
        <v>5619</v>
      </c>
    </row>
    <row r="429" spans="1:18" ht="16.5" x14ac:dyDescent="0.15">
      <c r="A429" s="148" t="s">
        <v>5620</v>
      </c>
      <c r="B429" s="143" t="s">
        <v>565</v>
      </c>
      <c r="C429" s="143" t="s">
        <v>4723</v>
      </c>
      <c r="D429" s="2656" cm="1" t="n">
        <f t="array" ref="D429">INDEX('6층_부하량'!F3:F3000,MATCH(1,("6-DaHall 1-PDU-08"='6층_부하량'!A3:A3000)*(23='6층_부하량'!B3:B3000),0))</f>
        <v>0.0</v>
      </c>
      <c r="E429" s="157"/>
      <c r="F429" s="157"/>
      <c r="G429" s="157"/>
      <c r="H429" s="143" t="s">
        <v>4597</v>
      </c>
      <c r="I429" s="1471" t="s">
        <v>4678</v>
      </c>
      <c r="J429" s="151" t="s">
        <v>4680</v>
      </c>
      <c r="K429" s="143" t="s">
        <v>4597</v>
      </c>
      <c r="L429" s="2656" cm="1" t="n">
        <f t="array" ref="L429">INDEX('6층_부하량'!F3:F3000,MATCH(1,("6-DaHall 1-PDU-08"='6층_부하량'!A3:A3000)*(24='6층_부하량'!B3:B3000),0))</f>
        <v>0.0</v>
      </c>
      <c r="M429" s="157"/>
      <c r="N429" s="157"/>
      <c r="O429" s="157"/>
      <c r="P429" s="157" t="s">
        <v>4635</v>
      </c>
      <c r="Q429" s="164" t="s">
        <v>4575</v>
      </c>
      <c r="R429" s="342" t="s">
        <v>5621</v>
      </c>
    </row>
    <row r="430" spans="1:18" ht="16.5" x14ac:dyDescent="0.15">
      <c r="A430" s="148"/>
      <c r="B430" s="143" t="s">
        <v>565</v>
      </c>
      <c r="C430" s="143" t="s">
        <v>4723</v>
      </c>
      <c r="D430" s="157"/>
      <c r="E430" s="2656" cm="1" t="n">
        <f t="array" ref="E430">INDEX('6층_부하량'!G3:G3000,MATCH(1,("6-DaHall 1-PDU-08"='6층_부하량'!A3:A3000)*(25='6층_부하량'!B3:B3000),0))</f>
        <v>0.0</v>
      </c>
      <c r="F430" s="157"/>
      <c r="G430" s="157"/>
      <c r="H430" s="143" t="s">
        <v>4597</v>
      </c>
      <c r="I430" s="1471" t="s">
        <v>4683</v>
      </c>
      <c r="J430" s="151" t="s">
        <v>4685</v>
      </c>
      <c r="K430" s="143" t="s">
        <v>4597</v>
      </c>
      <c r="L430" s="157"/>
      <c r="M430" s="2656" cm="1" t="n">
        <f t="array" ref="M430">INDEX('6층_부하량'!G3:G3000,MATCH(1,("6-DaHall 1-PDU-08"='6층_부하량'!A3:A3000)*(26='6층_부하량'!B3:B3000),0))</f>
        <v>0.0</v>
      </c>
      <c r="N430" s="157"/>
      <c r="O430" s="157"/>
      <c r="P430" s="157" t="s">
        <v>4635</v>
      </c>
      <c r="Q430" s="164" t="s">
        <v>4575</v>
      </c>
      <c r="R430" s="342" t="s">
        <v>5622</v>
      </c>
    </row>
    <row r="431" spans="1:18" ht="17.25" thickBot="1" x14ac:dyDescent="0.2">
      <c r="A431" s="175"/>
      <c r="B431" s="176" t="s">
        <v>565</v>
      </c>
      <c r="C431" s="176" t="s">
        <v>4723</v>
      </c>
      <c r="D431" s="177"/>
      <c r="E431" s="177"/>
      <c r="F431" s="2661" cm="1" t="n">
        <f t="array" ref="F431">INDEX('6층_부하량'!H3:H3000,MATCH(1,("6-DaHall 1-PDU-08"='6층_부하량'!A3:A3000)*(27='6층_부하량'!B3:B3000),0))</f>
        <v>0.0</v>
      </c>
      <c r="G431" s="177"/>
      <c r="H431" s="176" t="s">
        <v>4597</v>
      </c>
      <c r="I431" s="1483" t="s">
        <v>4688</v>
      </c>
      <c r="J431" s="187" t="s">
        <v>4689</v>
      </c>
      <c r="K431" s="176" t="s">
        <v>4597</v>
      </c>
      <c r="L431" s="177"/>
      <c r="M431" s="177"/>
      <c r="N431" s="2661" cm="1" t="n">
        <f t="array" ref="N431">INDEX('6층_부하량'!H3:H3000,MATCH(1,("6-DaHall 1-PDU-08"='6층_부하량'!A3:A3000)*(28='6층_부하량'!B3:B3000),0))</f>
        <v>0.0</v>
      </c>
      <c r="O431" s="177"/>
      <c r="P431" s="177" t="s">
        <v>4635</v>
      </c>
      <c r="Q431" s="191" t="s">
        <v>4575</v>
      </c>
      <c r="R431" s="477" t="s">
        <v>5623</v>
      </c>
    </row>
    <row r="432" spans="1:18" ht="14.25" thickTop="1" x14ac:dyDescent="0.15">
      <c r="A432" s="174"/>
      <c r="B432" s="156" t="s">
        <v>565</v>
      </c>
      <c r="C432" s="156" t="s">
        <v>4723</v>
      </c>
      <c r="D432" s="2658" cm="1" t="n">
        <f t="array" ref="D432">INDEX('6층_부하량'!F3:F3000,MATCH(1,("6-DaHall 1-PDU-08"='6층_부하량'!A3:A3000)*(29='6층_부하량'!B3:B3000),0))</f>
        <v>0.0</v>
      </c>
      <c r="E432" s="179"/>
      <c r="F432" s="179"/>
      <c r="G432" s="179"/>
      <c r="H432" s="156" t="s">
        <v>4597</v>
      </c>
      <c r="I432" s="1470" t="s">
        <v>4691</v>
      </c>
      <c r="J432" s="1462" t="s">
        <v>4692</v>
      </c>
      <c r="K432" s="156" t="s">
        <v>4597</v>
      </c>
      <c r="L432" s="2658" cm="1" t="n">
        <f t="array" ref="L432">INDEX('6층_부하량'!F3:F3000,MATCH(1,("6-DaHall 1-PDU-08"='6층_부하량'!A3:A3000)*(30='6층_부하량'!B3:B3000),0))</f>
        <v>0.0</v>
      </c>
      <c r="M432" s="179"/>
      <c r="N432" s="179"/>
      <c r="O432" s="179"/>
      <c r="P432" s="179" t="s">
        <v>4635</v>
      </c>
      <c r="Q432" s="143" t="s">
        <v>4723</v>
      </c>
      <c r="R432" s="182" t="s">
        <v>5624</v>
      </c>
    </row>
    <row r="433" spans="1:18" x14ac:dyDescent="0.15">
      <c r="A433" s="148"/>
      <c r="B433" s="143" t="s">
        <v>565</v>
      </c>
      <c r="C433" s="143" t="s">
        <v>4723</v>
      </c>
      <c r="D433" s="157"/>
      <c r="E433" s="2656" cm="1" t="n">
        <f t="array" ref="E433">INDEX('6층_부하량'!G3:G3000,MATCH(1,("6-DaHall 1-PDU-08"='6층_부하량'!A3:A3000)*(31='6층_부하량'!B3:B3000),0))</f>
        <v>0.0</v>
      </c>
      <c r="F433" s="157"/>
      <c r="G433" s="157"/>
      <c r="H433" s="143" t="s">
        <v>4597</v>
      </c>
      <c r="I433" s="1471" t="s">
        <v>4693</v>
      </c>
      <c r="J433" s="1460" t="s">
        <v>4694</v>
      </c>
      <c r="K433" s="143" t="s">
        <v>4597</v>
      </c>
      <c r="L433" s="157"/>
      <c r="M433" s="2656" cm="1" t="n">
        <f t="array" ref="M433">INDEX('6층_부하량'!G3:G3000,MATCH(1,("6-DaHall 1-PDU-08"='6층_부하량'!A3:A3000)*(32='6층_부하량'!B3:B3000),0))</f>
        <v>0.0</v>
      </c>
      <c r="N433" s="157"/>
      <c r="O433" s="157"/>
      <c r="P433" s="157" t="s">
        <v>4635</v>
      </c>
      <c r="Q433" s="143" t="s">
        <v>4723</v>
      </c>
      <c r="R433" s="153" t="s">
        <v>5625</v>
      </c>
    </row>
    <row r="434" spans="1:18" x14ac:dyDescent="0.15">
      <c r="A434" s="148"/>
      <c r="B434" s="143" t="s">
        <v>565</v>
      </c>
      <c r="C434" s="143" t="s">
        <v>4723</v>
      </c>
      <c r="D434" s="157"/>
      <c r="E434" s="157"/>
      <c r="F434" s="2656" cm="1" t="n">
        <f t="array" ref="F434">INDEX('6층_부하량'!H3:H3000,MATCH(1,("6-DaHall 1-PDU-08"='6층_부하량'!A3:A3000)*(33='6층_부하량'!B3:B3000),0))</f>
        <v>0.0</v>
      </c>
      <c r="G434" s="157"/>
      <c r="H434" s="143" t="s">
        <v>4597</v>
      </c>
      <c r="I434" s="1471" t="s">
        <v>4697</v>
      </c>
      <c r="J434" s="1460" t="s">
        <v>4698</v>
      </c>
      <c r="K434" s="143" t="s">
        <v>4597</v>
      </c>
      <c r="L434" s="157"/>
      <c r="M434" s="157"/>
      <c r="N434" s="2656" cm="1" t="n">
        <f t="array" ref="N434">INDEX('6층_부하량'!H3:H3000,MATCH(1,("6-DaHall 1-PDU-08"='6층_부하량'!A3:A3000)*(34='6층_부하량'!B3:B3000),0))</f>
        <v>0.0</v>
      </c>
      <c r="O434" s="157"/>
      <c r="P434" s="157" t="s">
        <v>4635</v>
      </c>
      <c r="Q434" s="143" t="s">
        <v>4723</v>
      </c>
      <c r="R434" s="182" t="s">
        <v>5626</v>
      </c>
    </row>
    <row r="435" spans="1:18" ht="16.5" x14ac:dyDescent="0.15">
      <c r="A435" s="148"/>
      <c r="B435" s="143" t="s">
        <v>565</v>
      </c>
      <c r="C435" s="143" t="s">
        <v>4723</v>
      </c>
      <c r="D435" s="2656" cm="1" t="n">
        <f t="array" ref="D435">INDEX('6층_부하량'!F3:F3000,MATCH(1,("6-DaHall 1-PDU-08"='6층_부하량'!A3:A3000)*(35='6층_부하량'!B3:B3000),0))</f>
        <v>0.0</v>
      </c>
      <c r="E435" s="157"/>
      <c r="F435" s="157"/>
      <c r="G435" s="157"/>
      <c r="H435" s="143" t="s">
        <v>4597</v>
      </c>
      <c r="I435" s="1471" t="s">
        <v>4701</v>
      </c>
      <c r="J435" s="151" t="s">
        <v>4703</v>
      </c>
      <c r="K435" s="143" t="s">
        <v>4597</v>
      </c>
      <c r="L435" s="2656" cm="1" t="n">
        <f t="array" ref="L435">INDEX('6층_부하량'!F3:F3000,MATCH(1,("6-DaHall 1-PDU-08"='6층_부하량'!A3:A3000)*(36='6층_부하량'!B3:B3000),0))</f>
        <v>0.0</v>
      </c>
      <c r="M435" s="157"/>
      <c r="N435" s="157"/>
      <c r="O435" s="157"/>
      <c r="P435" s="157" t="s">
        <v>4635</v>
      </c>
      <c r="Q435" s="164" t="s">
        <v>4575</v>
      </c>
      <c r="R435" s="342" t="s">
        <v>5627</v>
      </c>
    </row>
    <row r="436" spans="1:18" ht="16.5" x14ac:dyDescent="0.15">
      <c r="A436" s="148"/>
      <c r="B436" s="143" t="s">
        <v>565</v>
      </c>
      <c r="C436" s="143" t="s">
        <v>4723</v>
      </c>
      <c r="D436" s="157"/>
      <c r="E436" s="2664" cm="1" t="n">
        <f t="array" ref="E436">INDEX('6층_부하량'!G3:G3000,MATCH(1,("6-DaHall 1-PDU-08"='6층_부하량'!A3:A3000)*(37='6층_부하량'!B3:B3000),0))</f>
        <v>0.0</v>
      </c>
      <c r="F436" s="157"/>
      <c r="G436" s="157"/>
      <c r="H436" s="143" t="s">
        <v>4597</v>
      </c>
      <c r="I436" s="1471" t="s">
        <v>4706</v>
      </c>
      <c r="J436" s="151" t="s">
        <v>4707</v>
      </c>
      <c r="K436" s="143" t="s">
        <v>4597</v>
      </c>
      <c r="L436" s="157"/>
      <c r="M436" s="2664" cm="1" t="n">
        <f t="array" ref="M436">INDEX('6층_부하량'!G3:G3000,MATCH(1,("6-DaHall 1-PDU-08"='6층_부하량'!A3:A3000)*(38='6층_부하량'!B3:B3000),0))</f>
        <v>0.0</v>
      </c>
      <c r="N436" s="157"/>
      <c r="O436" s="157"/>
      <c r="P436" s="157" t="s">
        <v>4635</v>
      </c>
      <c r="Q436" s="164" t="s">
        <v>4575</v>
      </c>
      <c r="R436" s="475" t="s">
        <v>5628</v>
      </c>
    </row>
    <row r="437" spans="1:18" ht="16.5" x14ac:dyDescent="0.15">
      <c r="A437" s="148"/>
      <c r="B437" s="143" t="s">
        <v>565</v>
      </c>
      <c r="C437" s="143" t="s">
        <v>4723</v>
      </c>
      <c r="D437" s="157"/>
      <c r="E437" s="157"/>
      <c r="F437" s="2656" cm="1" t="n">
        <f t="array" ref="F437">INDEX('6층_부하량'!H3:H3000,MATCH(1,("6-DaHall 1-PDU-08"='6층_부하량'!A3:A3000)*(39='6층_부하량'!B3:B3000),0))</f>
        <v>0.0</v>
      </c>
      <c r="G437" s="157"/>
      <c r="H437" s="143" t="s">
        <v>4597</v>
      </c>
      <c r="I437" s="1471" t="s">
        <v>4710</v>
      </c>
      <c r="J437" s="151" t="s">
        <v>4711</v>
      </c>
      <c r="K437" s="143" t="s">
        <v>4597</v>
      </c>
      <c r="L437" s="157"/>
      <c r="M437" s="157"/>
      <c r="N437" s="2656" cm="1" t="n">
        <f t="array" ref="N437">INDEX('6층_부하량'!H3:H3000,MATCH(1,("6-DaHall 1-PDU-08"='6층_부하량'!A3:A3000)*(40='6층_부하량'!B3:B3000),0))</f>
        <v>0.0</v>
      </c>
      <c r="O437" s="157"/>
      <c r="P437" s="157" t="s">
        <v>4635</v>
      </c>
      <c r="Q437" s="164" t="s">
        <v>4575</v>
      </c>
      <c r="R437" s="342" t="s">
        <v>5629</v>
      </c>
    </row>
    <row r="438" spans="1:18" ht="16.5" x14ac:dyDescent="0.15">
      <c r="A438" s="148"/>
      <c r="B438" s="143" t="s">
        <v>565</v>
      </c>
      <c r="C438" s="143" t="s">
        <v>4723</v>
      </c>
      <c r="D438" s="2656" cm="1" t="n">
        <f t="array" ref="D438">INDEX('6층_부하량'!F3:F3000,MATCH(1,("6-DaHall 1-PDU-08"='6층_부하량'!A3:A3000)*(41='6층_부하량'!B3:B3000),0))</f>
        <v>0.0</v>
      </c>
      <c r="E438" s="157"/>
      <c r="F438" s="157"/>
      <c r="G438" s="157"/>
      <c r="H438" s="143" t="s">
        <v>4597</v>
      </c>
      <c r="I438" s="1471" t="s">
        <v>5055</v>
      </c>
      <c r="J438" s="151" t="s">
        <v>4843</v>
      </c>
      <c r="K438" s="143" t="s">
        <v>4597</v>
      </c>
      <c r="L438" s="2656" cm="1" t="n">
        <f t="array" ref="L438">INDEX('6층_부하량'!F3:F3000,MATCH(1,("6-DaHall 1-PDU-08"='6층_부하량'!A3:A3000)*(42='6층_부하량'!B3:B3000),0))</f>
        <v>0.0</v>
      </c>
      <c r="M438" s="157"/>
      <c r="N438" s="157"/>
      <c r="O438" s="157"/>
      <c r="P438" s="157" t="s">
        <v>4635</v>
      </c>
      <c r="Q438" s="164" t="s">
        <v>4575</v>
      </c>
      <c r="R438" s="475" t="s">
        <v>5630</v>
      </c>
    </row>
    <row r="439" spans="1:18" ht="16.5" x14ac:dyDescent="0.15">
      <c r="A439" s="257" t="s">
        <v>5631</v>
      </c>
      <c r="B439" s="143" t="s">
        <v>5583</v>
      </c>
      <c r="C439" s="164" t="s">
        <v>4575</v>
      </c>
      <c r="D439" s="157"/>
      <c r="E439" s="2656" cm="1" t="n">
        <f t="array" ref="E439">INDEX('6층_부하량'!G3:G3000,MATCH(1,("6-DaHall 1-PDU-08"='6층_부하량'!A3:A3000)*(43='6층_부하량'!B3:B3000),0))</f>
        <v>0.0</v>
      </c>
      <c r="F439" s="157"/>
      <c r="G439" s="157"/>
      <c r="H439" s="143" t="s">
        <v>4597</v>
      </c>
      <c r="I439" s="154" t="s">
        <v>4845</v>
      </c>
      <c r="J439" s="151" t="s">
        <v>4846</v>
      </c>
      <c r="K439" s="143" t="s">
        <v>4597</v>
      </c>
      <c r="L439" s="157"/>
      <c r="M439" s="2656" cm="1" t="n">
        <f t="array" ref="M439">INDEX('6층_부하량'!G3:G3000,MATCH(1,("6-DaHall 1-PDU-08"='6층_부하량'!A3:A3000)*(44='6층_부하량'!B3:B3000),0))</f>
        <v>0.0</v>
      </c>
      <c r="N439" s="157"/>
      <c r="O439" s="157"/>
      <c r="P439" s="157" t="s">
        <v>4635</v>
      </c>
      <c r="Q439" s="164" t="s">
        <v>4575</v>
      </c>
      <c r="R439" s="342" t="s">
        <v>5632</v>
      </c>
    </row>
    <row r="440" spans="1:18" ht="16.5" x14ac:dyDescent="0.15">
      <c r="A440" s="257" t="s">
        <v>5633</v>
      </c>
      <c r="B440" s="143" t="s">
        <v>5583</v>
      </c>
      <c r="C440" s="164" t="s">
        <v>4575</v>
      </c>
      <c r="D440" s="157"/>
      <c r="E440" s="157"/>
      <c r="F440" s="2656" cm="1" t="n">
        <f t="array" ref="F440">INDEX('6층_부하량'!H3:H3000,MATCH(1,("6-DaHall 1-PDU-08"='6층_부하량'!A3:A3000)*(45='6층_부하량'!B3:B3000),0))</f>
        <v>0.0</v>
      </c>
      <c r="G440" s="157"/>
      <c r="H440" s="143" t="s">
        <v>4597</v>
      </c>
      <c r="I440" s="154" t="s">
        <v>4847</v>
      </c>
      <c r="J440" s="151" t="s">
        <v>4848</v>
      </c>
      <c r="K440" s="143" t="s">
        <v>4597</v>
      </c>
      <c r="L440" s="157"/>
      <c r="M440" s="157"/>
      <c r="N440" s="2656" cm="1" t="n">
        <f t="array" ref="N440">INDEX('6층_부하량'!H3:H3000,MATCH(1,("6-DaHall 1-PDU-08"='6층_부하량'!A3:A3000)*(46='6층_부하량'!B3:B3000),0))</f>
        <v>0.0</v>
      </c>
      <c r="O440" s="157"/>
      <c r="P440" s="157" t="s">
        <v>4635</v>
      </c>
      <c r="Q440" s="164" t="s">
        <v>4575</v>
      </c>
      <c r="R440" s="475" t="s">
        <v>5634</v>
      </c>
    </row>
    <row r="441" spans="1:18" ht="16.5" x14ac:dyDescent="0.15">
      <c r="A441" s="257" t="s">
        <v>5635</v>
      </c>
      <c r="B441" s="143" t="s">
        <v>4635</v>
      </c>
      <c r="C441" s="164" t="s">
        <v>4575</v>
      </c>
      <c r="D441" s="2664" cm="1" t="n">
        <f t="array" ref="D441">INDEX('6층_부하량'!F3:F3000,MATCH(1,("6-DaHall 1-PDU-08"='6층_부하량'!A3:A3000)*(47='6층_부하량'!B3:B3000),0))</f>
        <v>0.0</v>
      </c>
      <c r="E441" s="157"/>
      <c r="F441" s="157"/>
      <c r="G441" s="157"/>
      <c r="H441" s="143" t="s">
        <v>4597</v>
      </c>
      <c r="I441" s="154" t="s">
        <v>4849</v>
      </c>
      <c r="J441" s="1460" t="s">
        <v>4850</v>
      </c>
      <c r="K441" s="143" t="s">
        <v>4597</v>
      </c>
      <c r="L441" s="2664" cm="1" t="n">
        <f t="array" ref="L441">INDEX('6층_부하량'!F3:F3000,MATCH(1,("6-DaHall 1-PDU-08"='6층_부하량'!A3:A3000)*(48='6층_부하량'!B3:B3000),0))</f>
        <v>0.0</v>
      </c>
      <c r="M441" s="157"/>
      <c r="N441" s="157"/>
      <c r="O441" s="157"/>
      <c r="P441" s="157" t="s">
        <v>4635</v>
      </c>
      <c r="Q441" s="143" t="s">
        <v>4723</v>
      </c>
      <c r="R441" s="183" t="s">
        <v>5636</v>
      </c>
    </row>
    <row r="442" spans="1:18" ht="16.5" x14ac:dyDescent="0.15">
      <c r="A442" s="607" t="s">
        <v>5637</v>
      </c>
      <c r="B442" s="143" t="s">
        <v>4635</v>
      </c>
      <c r="C442" s="164" t="s">
        <v>4575</v>
      </c>
      <c r="D442" s="157"/>
      <c r="E442" s="2656" cm="1" t="n">
        <f t="array" ref="E442">INDEX('6층_부하량'!G3:G3000,MATCH(1,("6-DaHall 1-PDU-08"='6층_부하량'!A3:A3000)*(49='6층_부하량'!B3:B3000),0))</f>
        <v>0.0</v>
      </c>
      <c r="F442" s="157"/>
      <c r="G442" s="157"/>
      <c r="H442" s="143" t="s">
        <v>4597</v>
      </c>
      <c r="I442" s="150" t="s">
        <v>4851</v>
      </c>
      <c r="J442" s="1460" t="s">
        <v>4852</v>
      </c>
      <c r="K442" s="143" t="s">
        <v>4597</v>
      </c>
      <c r="L442" s="157"/>
      <c r="M442" s="2656" cm="1" t="n">
        <f t="array" ref="M442">INDEX('6층_부하량'!G3:G3000,MATCH(1,("6-DaHall 1-PDU-08"='6층_부하량'!A3:A3000)*(50='6층_부하량'!B3:B3000),0))</f>
        <v>0.0</v>
      </c>
      <c r="N442" s="157"/>
      <c r="O442" s="157"/>
      <c r="P442" s="157" t="s">
        <v>4635</v>
      </c>
      <c r="Q442" s="143" t="s">
        <v>4723</v>
      </c>
      <c r="R442" s="153" t="s">
        <v>5638</v>
      </c>
    </row>
    <row r="443" spans="1:18" ht="16.5" x14ac:dyDescent="0.15">
      <c r="A443" s="607" t="s">
        <v>5639</v>
      </c>
      <c r="B443" s="143" t="s">
        <v>4635</v>
      </c>
      <c r="C443" s="164" t="s">
        <v>4575</v>
      </c>
      <c r="D443" s="157"/>
      <c r="E443" s="157"/>
      <c r="F443" s="2664" cm="1" t="n">
        <f t="array" ref="F443">INDEX('6층_부하량'!H3:H3000,MATCH(1,("6-DaHall 1-PDU-08"='6층_부하량'!A3:A3000)*(51='6층_부하량'!B3:B3000),0))</f>
        <v>0.0</v>
      </c>
      <c r="G443" s="157"/>
      <c r="H443" s="143" t="s">
        <v>4597</v>
      </c>
      <c r="I443" s="150" t="s">
        <v>4853</v>
      </c>
      <c r="J443" s="1460" t="s">
        <v>4854</v>
      </c>
      <c r="K443" s="143" t="s">
        <v>4597</v>
      </c>
      <c r="L443" s="157"/>
      <c r="M443" s="157"/>
      <c r="N443" s="2664" cm="1" t="n">
        <f t="array" ref="N443">INDEX('6층_부하량'!H3:H3000,MATCH(1,("6-DaHall 1-PDU-08"='6층_부하량'!A3:A3000)*(52='6층_부하량'!B3:B3000),0))</f>
        <v>0.0</v>
      </c>
      <c r="O443" s="157"/>
      <c r="P443" s="157" t="s">
        <v>4635</v>
      </c>
      <c r="Q443" s="143" t="s">
        <v>4723</v>
      </c>
      <c r="R443" s="183" t="s">
        <v>5640</v>
      </c>
    </row>
    <row r="444" spans="1:18" ht="17.25" thickBot="1" x14ac:dyDescent="0.2">
      <c r="A444" s="275" t="s">
        <v>5641</v>
      </c>
      <c r="B444" s="166" t="s">
        <v>4635</v>
      </c>
      <c r="C444" s="184" t="s">
        <v>4575</v>
      </c>
      <c r="D444" s="2668" cm="1" t="n">
        <f t="array" ref="D444">INDEX('6층_부하량'!F3:F3000,MATCH(1,("6-DaHall 1-PDU-08"='6층_부하량'!A3:A3000)*(53='6층_부하량'!B3:B3000),0))</f>
        <v>0.0</v>
      </c>
      <c r="E444" s="167"/>
      <c r="F444" s="167"/>
      <c r="G444" s="167"/>
      <c r="H444" s="166" t="s">
        <v>4597</v>
      </c>
      <c r="I444" s="194" t="s">
        <v>4856</v>
      </c>
      <c r="J444" s="190" t="s">
        <v>4857</v>
      </c>
      <c r="K444" s="166" t="s">
        <v>4597</v>
      </c>
      <c r="L444" s="2668" cm="1" t="n">
        <f t="array" ref="L444">INDEX('6층_부하량'!F3:F3000,MATCH(1,("6-DaHall 1-PDU-08"='6층_부하량'!A3:A3000)*(54='6층_부하량'!B3:B3000),0))</f>
        <v>0.0</v>
      </c>
      <c r="M444" s="167"/>
      <c r="N444" s="167"/>
      <c r="O444" s="167"/>
      <c r="P444" s="167" t="s">
        <v>4635</v>
      </c>
      <c r="Q444" s="184" t="s">
        <v>4575</v>
      </c>
      <c r="R444" s="634" t="s">
        <v>5642</v>
      </c>
    </row>
    <row r="445" spans="1:18" ht="14.25" thickTop="1" x14ac:dyDescent="0.15">
      <c r="A445" s="128"/>
      <c r="B445" s="128"/>
      <c r="C445" s="128"/>
      <c r="D445" s="128"/>
      <c r="E445" s="128"/>
      <c r="F445" s="128"/>
      <c r="G445" s="128"/>
      <c r="H445" s="128"/>
      <c r="I445" s="128"/>
      <c r="J445" s="128"/>
      <c r="K445" s="128" t="s">
        <v>4713</v>
      </c>
      <c r="L445" s="128" t="n">
        <f>SUM(D418:D444,L418:L444)</f>
        <v>0.0</v>
      </c>
      <c r="M445" s="128" t="n">
        <f>SUM(E418:E444,M418:M444)</f>
        <v>0.0</v>
      </c>
      <c r="N445" s="128" t="n">
        <f>SUM(F418:F444,N418:N444)</f>
        <v>0.0</v>
      </c>
      <c r="O445" s="128"/>
      <c r="P445" s="128"/>
      <c r="Q445" s="128"/>
      <c r="R445" s="128"/>
    </row>
    <row r="446" spans="1:18" x14ac:dyDescent="0.15">
      <c r="A446" s="128"/>
      <c r="B446" s="128"/>
      <c r="C446" s="128"/>
      <c r="D446" s="128"/>
      <c r="E446" s="128"/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</row>
    <row r="447" spans="1:18" x14ac:dyDescent="0.15">
      <c r="A447" s="128"/>
      <c r="B447" s="50" t="s">
        <v>4649</v>
      </c>
      <c r="C447" s="50" t="n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794.4900000000001</v>
      </c>
      <c r="D447" s="128"/>
      <c r="E447" s="128"/>
      <c r="F447" s="51"/>
      <c r="G447" s="128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</row>
    <row r="448" spans="1:18" x14ac:dyDescent="0.15">
      <c r="A448" s="128"/>
      <c r="B448" s="50"/>
      <c r="C448" s="50"/>
      <c r="D448" s="128"/>
      <c r="E448" s="128"/>
      <c r="F448" s="51"/>
      <c r="G448" s="128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</row>
    <row r="449" spans="1:18" x14ac:dyDescent="0.15">
      <c r="A449" s="128"/>
      <c r="B449" s="50"/>
      <c r="C449" s="50"/>
      <c r="D449" s="128"/>
      <c r="E449" s="128"/>
      <c r="F449" s="51"/>
      <c r="G449" s="128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</row>
    <row r="450" spans="1:18" x14ac:dyDescent="0.15">
      <c r="A450" s="128"/>
      <c r="B450" s="50"/>
      <c r="C450" s="50"/>
      <c r="D450" s="128"/>
      <c r="E450" s="128"/>
      <c r="F450" s="51"/>
      <c r="G450" s="128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</row>
    <row r="451" spans="1:18" x14ac:dyDescent="0.15">
      <c r="A451" s="128"/>
      <c r="B451" s="50"/>
      <c r="C451" s="50"/>
      <c r="D451" s="128"/>
      <c r="E451" s="128"/>
      <c r="F451" s="51"/>
      <c r="G451" s="128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</row>
    <row r="452" spans="1:18" x14ac:dyDescent="0.15">
      <c r="A452" s="128"/>
      <c r="B452" s="50"/>
      <c r="C452" s="50"/>
      <c r="D452" s="128"/>
      <c r="E452" s="128"/>
      <c r="F452" s="51"/>
      <c r="G452" s="128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</row>
    <row r="453" spans="1:18" x14ac:dyDescent="0.15">
      <c r="A453" s="128"/>
      <c r="B453" s="50"/>
      <c r="C453" s="50"/>
      <c r="D453" s="128"/>
      <c r="E453" s="128"/>
      <c r="F453" s="51"/>
      <c r="G453" s="128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</row>
    <row r="454" spans="1:18" x14ac:dyDescent="0.15">
      <c r="A454" s="128"/>
      <c r="B454" s="50"/>
      <c r="C454" s="50"/>
      <c r="D454" s="128"/>
      <c r="E454" s="128"/>
      <c r="F454" s="51"/>
      <c r="G454" s="128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</row>
    <row r="455" spans="1:18" x14ac:dyDescent="0.15">
      <c r="A455" s="128"/>
      <c r="B455" s="50"/>
      <c r="C455" s="50"/>
      <c r="D455" s="128"/>
      <c r="E455" s="128"/>
      <c r="F455" s="51"/>
      <c r="G455" s="128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</row>
    <row r="456" spans="1:18" x14ac:dyDescent="0.15">
      <c r="A456" s="128"/>
      <c r="B456" s="50"/>
      <c r="C456" s="50"/>
      <c r="D456" s="128"/>
      <c r="E456" s="128"/>
      <c r="F456" s="51"/>
      <c r="G456" s="128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</row>
    <row r="457" spans="1:18" x14ac:dyDescent="0.15">
      <c r="A457" s="128"/>
      <c r="B457" s="50"/>
      <c r="C457" s="50"/>
      <c r="D457" s="128"/>
      <c r="E457" s="128"/>
      <c r="F457" s="51"/>
      <c r="G457" s="128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</row>
    <row r="458" spans="1:18" x14ac:dyDescent="0.15">
      <c r="B458" s="50"/>
      <c r="C458" s="50"/>
      <c r="E458" s="128"/>
      <c r="F458" s="51"/>
    </row>
    <row r="459" spans="1:18" x14ac:dyDescent="0.15">
      <c r="B459" s="50"/>
      <c r="C459" s="50"/>
      <c r="E459" s="128"/>
      <c r="F459" s="51"/>
    </row>
    <row r="460" spans="1:18" x14ac:dyDescent="0.15">
      <c r="B460" s="50"/>
      <c r="C460" s="50"/>
      <c r="E460" s="128"/>
      <c r="F460" s="51"/>
    </row>
    <row r="461" spans="1:18" x14ac:dyDescent="0.15">
      <c r="B461" s="50"/>
      <c r="C461" s="50"/>
      <c r="E461" s="128"/>
      <c r="F461" s="51"/>
    </row>
    <row r="462" spans="1:18" x14ac:dyDescent="0.15">
      <c r="B462" s="50"/>
      <c r="C462" s="50"/>
      <c r="E462" s="128"/>
      <c r="F462" s="51"/>
    </row>
    <row r="463" spans="1:18" x14ac:dyDescent="0.15">
      <c r="B463" s="50"/>
      <c r="C463" s="50"/>
      <c r="E463" s="128"/>
      <c r="F463" s="51"/>
    </row>
    <row r="464" spans="1:18" x14ac:dyDescent="0.15">
      <c r="B464" s="50"/>
      <c r="C464" s="50"/>
      <c r="E464" s="128"/>
      <c r="F464" s="51"/>
    </row>
    <row r="465" spans="2:6" ht="14.25" thickBot="1" x14ac:dyDescent="0.2">
      <c r="B465" s="195"/>
      <c r="C465" s="195"/>
      <c r="E465" s="128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1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3.5" x14ac:dyDescent="0.15"/>
  <cols>
    <col min="1" max="1" customWidth="true" width="18.33203125" collapsed="false"/>
    <col min="2" max="3" customWidth="true" width="6.77734375" collapsed="false"/>
    <col min="4" max="7" customWidth="true" width="8.109375" collapsed="false"/>
    <col min="8" max="11" customWidth="true" width="10.33203125" collapsed="false"/>
    <col min="12" max="15" customWidth="true" width="8.109375" collapsed="false"/>
    <col min="16" max="17" customWidth="true" width="6.77734375" collapsed="false"/>
    <col min="18" max="18" customWidth="true" width="18.33203125" collapsed="false"/>
  </cols>
  <sheetData>
    <row r="1" spans="1:21" x14ac:dyDescent="0.15">
      <c r="A1" s="2694" t="s">
        <v>9602</v>
      </c>
    </row>
    <row r="2" spans="1:21" ht="14.25" thickBot="1" x14ac:dyDescent="0.2">
      <c r="A2" s="124"/>
      <c r="D2" s="125"/>
      <c r="E2" s="125"/>
      <c r="F2" s="125"/>
      <c r="G2" s="125"/>
      <c r="H2" s="124"/>
      <c r="I2" s="124"/>
      <c r="J2" s="124"/>
      <c r="K2" s="124"/>
      <c r="L2" s="125"/>
      <c r="M2" s="125"/>
      <c r="N2" s="125"/>
      <c r="O2" s="125"/>
      <c r="P2" s="125"/>
      <c r="Q2" s="125"/>
      <c r="S2" s="2147"/>
    </row>
    <row r="3" spans="1:21" ht="15" thickTop="1" thickBot="1" x14ac:dyDescent="0.2">
      <c r="A3" s="126" t="s">
        <v>6978</v>
      </c>
      <c r="D3" s="126"/>
      <c r="E3" s="126"/>
      <c r="F3" s="126"/>
      <c r="G3" s="126"/>
      <c r="H3" s="124"/>
      <c r="I3" s="3661" t="s">
        <v>4989</v>
      </c>
      <c r="J3" s="3667"/>
      <c r="K3" s="124"/>
      <c r="L3" s="126"/>
      <c r="M3" s="126"/>
      <c r="N3" s="126"/>
      <c r="O3" s="126"/>
      <c r="P3" s="126"/>
      <c r="Q3" s="126"/>
    </row>
    <row r="4" spans="1:21" ht="30" customHeight="1" thickTop="1" thickBot="1" x14ac:dyDescent="0.2">
      <c r="A4" s="127"/>
      <c r="B4" s="128"/>
      <c r="C4" s="128"/>
      <c r="D4" s="129"/>
      <c r="E4" s="129"/>
      <c r="F4" s="130"/>
      <c r="G4" s="129"/>
      <c r="H4" s="131"/>
      <c r="I4" s="128"/>
      <c r="J4" s="132"/>
      <c r="K4" s="1371" t="s">
        <v>4562</v>
      </c>
      <c r="L4" s="1368">
        <v>2.2999999999999998</v>
      </c>
      <c r="M4" s="1369">
        <v>2.1</v>
      </c>
      <c r="N4" s="1370">
        <v>2.9</v>
      </c>
      <c r="O4" s="508" t="s">
        <v>4563</v>
      </c>
      <c r="P4" s="133"/>
      <c r="Q4" s="128"/>
      <c r="R4" s="528" t="s">
        <v>6980</v>
      </c>
    </row>
    <row r="5" spans="1:21" ht="20.100000000000001" customHeight="1" thickTop="1" thickBot="1" x14ac:dyDescent="0.2">
      <c r="A5" s="134" t="s">
        <v>4629</v>
      </c>
      <c r="B5" s="135" t="s">
        <v>4565</v>
      </c>
      <c r="C5" s="136" t="s">
        <v>4566</v>
      </c>
      <c r="D5" s="135" t="s">
        <v>4567</v>
      </c>
      <c r="E5" s="135" t="s">
        <v>4568</v>
      </c>
      <c r="F5" s="135" t="s">
        <v>4569</v>
      </c>
      <c r="G5" s="135" t="s">
        <v>4570</v>
      </c>
      <c r="H5" s="137" t="s">
        <v>4571</v>
      </c>
      <c r="I5" s="138" t="s">
        <v>4572</v>
      </c>
      <c r="J5" s="139" t="s">
        <v>4572</v>
      </c>
      <c r="K5" s="135" t="s">
        <v>4571</v>
      </c>
      <c r="L5" s="135" t="s">
        <v>4567</v>
      </c>
      <c r="M5" s="135" t="s">
        <v>4568</v>
      </c>
      <c r="N5" s="135" t="s">
        <v>4569</v>
      </c>
      <c r="O5" s="135" t="s">
        <v>4570</v>
      </c>
      <c r="P5" s="135" t="s">
        <v>4565</v>
      </c>
      <c r="Q5" s="136" t="s">
        <v>4566</v>
      </c>
      <c r="R5" s="140" t="s">
        <v>4629</v>
      </c>
      <c r="S5" s="2691"/>
      <c r="U5" s="2691"/>
    </row>
    <row r="6" spans="1:21" ht="20.100000000000001" customHeight="1" thickTop="1" x14ac:dyDescent="0.15">
      <c r="A6" s="636" t="s">
        <v>6944</v>
      </c>
      <c r="B6" s="142" t="s">
        <v>4631</v>
      </c>
      <c r="C6" s="152" t="s">
        <v>4575</v>
      </c>
      <c r="D6" s="2654" cm="1" t="n">
        <f t="array" ref="D6">INDEX('6층_부하량'!I3:I3000,MATCH(1,("6-DaHall 1-CEP-05"='6층_부하량'!A3:A3000)*(1='6층_부하량'!B3:B3000),0))</f>
        <v>0.17477083333333338</v>
      </c>
      <c r="E6" s="2654" cm="1" t="n">
        <f t="array" ref="E6">INDEX('6층_부하량'!J3:J3000,MATCH(1,("6-DaHall 1-CEP-05"='6층_부하량'!A3:A3000)*(1='6층_부하량'!B3:B3000),0))</f>
        <v>0.781115517022065</v>
      </c>
      <c r="F6" s="2654" cm="1" t="n">
        <f t="array" ref="F6">INDEX('6층_부하량'!K3:K3000,MATCH(1,("6-DaHall 1-CEP-05"='6층_부하량'!A3:A3000)*(1='6층_부하량'!B3:B3000),0))</f>
        <v>0.6984079967025097</v>
      </c>
      <c r="G6" s="352"/>
      <c r="H6" s="142" t="s">
        <v>4990</v>
      </c>
      <c r="I6" s="145" t="s">
        <v>4633</v>
      </c>
      <c r="J6" s="1289"/>
      <c r="K6" s="1289"/>
      <c r="L6" s="1290"/>
      <c r="M6" s="1290"/>
      <c r="N6" s="1290"/>
      <c r="O6" s="1290"/>
      <c r="P6" s="1289"/>
      <c r="Q6" s="1291"/>
      <c r="R6" s="1292"/>
    </row>
    <row r="7" spans="1:21" ht="20.100000000000001" customHeight="1" x14ac:dyDescent="0.15">
      <c r="A7" s="1293"/>
      <c r="B7" s="143" t="s">
        <v>565</v>
      </c>
      <c r="C7" s="189" t="s">
        <v>4723</v>
      </c>
      <c r="D7" s="1294" t="s">
        <v>4991</v>
      </c>
      <c r="E7" s="1294" t="s">
        <v>4992</v>
      </c>
      <c r="F7" s="1294" t="s">
        <v>4993</v>
      </c>
      <c r="G7" s="1294" t="s">
        <v>4994</v>
      </c>
      <c r="H7" s="143" t="s">
        <v>4995</v>
      </c>
      <c r="I7" s="150" t="s">
        <v>4863</v>
      </c>
      <c r="J7" s="151" t="s">
        <v>4582</v>
      </c>
      <c r="K7" s="143" t="s">
        <v>4968</v>
      </c>
      <c r="L7" s="2655" cm="1">
        <f t="array" ref="L7">INDEX('6층_부하량'!I3:I3000,MATCH(1,("6-DaHall 1-CEP-05"='6층_부하량'!A3:A3000)*(3='6층_부하량'!B3:B3000),0))</f>
        <v>0</v>
      </c>
      <c r="M7" s="2655" cm="1">
        <f t="array" ref="M7">INDEX('6층_부하량'!J3:J3000,MATCH(1,("6-DaHall 1-CEP-05"='6층_부하량'!A3:A3000)*(3='6층_부하량'!B3:B3000),0))</f>
        <v>0</v>
      </c>
      <c r="N7" s="2655" cm="1">
        <f t="array" ref="N7">INDEX('6층_부하량'!K3:K3000,MATCH(1,("6-DaHall 1-CEP-05"='6층_부하량'!A3:A3000)*(3='6층_부하량'!B3:B3000),0))</f>
        <v>0</v>
      </c>
      <c r="O7" s="149"/>
      <c r="P7" s="143" t="s">
        <v>565</v>
      </c>
      <c r="Q7" s="143" t="s">
        <v>4642</v>
      </c>
      <c r="R7" s="153"/>
    </row>
    <row r="8" spans="1:21" ht="27" x14ac:dyDescent="0.15">
      <c r="A8" s="2538" t="s">
        <v>6979</v>
      </c>
      <c r="B8" s="143" t="s">
        <v>4631</v>
      </c>
      <c r="C8" s="189" t="s">
        <v>4575</v>
      </c>
      <c r="D8" s="2656" cm="1">
        <f t="array" ref="D8">INDEX('6층_부하량'!I3:I3000,MATCH(1,("6-DaHall 1-CEP-05"='6층_부하량'!A3:A3000)*(4='6층_부하량'!B3:B3000),0))</f>
        <v>0</v>
      </c>
      <c r="E8" s="2656" cm="1">
        <f t="array" ref="E8">INDEX('6층_부하량'!J3:J3000,MATCH(1,("6-DaHall 1-CEP-05"='6층_부하량'!A3:A3000)*(4='6층_부하량'!B3:B3000),0))</f>
        <v>0</v>
      </c>
      <c r="F8" s="2656" cm="1">
        <f t="array" ref="F8">INDEX('6층_부하량'!K3:K3000,MATCH(1,("6-DaHall 1-CEP-05"='6층_부하량'!A3:A3000)*(4='6층_부하량'!B3:B3000),0))</f>
        <v>0</v>
      </c>
      <c r="G8" s="343"/>
      <c r="H8" s="143" t="s">
        <v>4996</v>
      </c>
      <c r="I8" s="154" t="s">
        <v>4865</v>
      </c>
      <c r="J8" s="155" t="s">
        <v>4587</v>
      </c>
      <c r="K8" s="156" t="s">
        <v>4996</v>
      </c>
      <c r="L8" s="2656" cm="1">
        <f t="array" ref="L8">INDEX('6층_부하량'!I3:I3000,MATCH(1,("6-DaHall 1-CEP-05"='6층_부하량'!A3:A3000)*(5='6층_부하량'!B3:B3000),0))</f>
        <v>0</v>
      </c>
      <c r="M8" s="2656" cm="1">
        <f t="array" ref="M8">INDEX('6층_부하량'!J3:J3000,MATCH(1,("6-DaHall 1-CEP-05"='6층_부하량'!A3:A3000)*(5='6층_부하량'!B3:B3000),0))</f>
        <v>0</v>
      </c>
      <c r="N8" s="2656" cm="1">
        <f t="array" ref="N8">INDEX('6층_부하량'!K3:K3000,MATCH(1,("6-DaHall 1-CEP-05"='6층_부하량'!A3:A3000)*(5='6층_부하량'!B3:B3000),0))</f>
        <v>0</v>
      </c>
      <c r="O8" s="157"/>
      <c r="P8" s="143" t="s">
        <v>565</v>
      </c>
      <c r="Q8" s="143" t="s">
        <v>4642</v>
      </c>
      <c r="R8" s="153"/>
    </row>
    <row r="9" spans="1:21" ht="20.100000000000001" customHeight="1" x14ac:dyDescent="0.15">
      <c r="A9" s="257"/>
      <c r="B9" s="143" t="s">
        <v>565</v>
      </c>
      <c r="C9" s="143" t="s">
        <v>4642</v>
      </c>
      <c r="D9" s="2656" cm="1">
        <f t="array" ref="D9">INDEX('6층_부하량'!I3:I3000,MATCH(1,("6-DaHall 1-CEP-05"='6층_부하량'!A3:A3000)*(6='6층_부하량'!B3:B3000),0))</f>
        <v>0</v>
      </c>
      <c r="E9" s="2656" cm="1">
        <f t="array" ref="E9">INDEX('6층_부하량'!J3:J3000,MATCH(1,("6-DaHall 1-CEP-05"='6층_부하량'!A3:A3000)*(6='6층_부하량'!B3:B3000),0))</f>
        <v>0</v>
      </c>
      <c r="F9" s="2656" cm="1">
        <f t="array" ref="F9">INDEX('6층_부하량'!K3:K3000,MATCH(1,("6-DaHall 1-CEP-05"='6층_부하량'!A3:A3000)*(6='6층_부하량'!B3:B3000),0))</f>
        <v>0</v>
      </c>
      <c r="G9" s="157"/>
      <c r="H9" s="143" t="s">
        <v>4996</v>
      </c>
      <c r="I9" s="154" t="s">
        <v>4868</v>
      </c>
      <c r="J9" s="155" t="s">
        <v>4592</v>
      </c>
      <c r="K9" s="143" t="s">
        <v>4996</v>
      </c>
      <c r="L9" s="2656" cm="1">
        <f t="array" ref="L9">INDEX('6층_부하량'!I3:I3000,MATCH(1,("6-DaHall 1-CEP-05"='6층_부하량'!A3:A3000)*(7='6층_부하량'!B3:B3000),0))</f>
        <v>0</v>
      </c>
      <c r="M9" s="2656" cm="1">
        <f t="array" ref="M9">INDEX('6층_부하량'!J3:J3000,MATCH(1,("6-DaHall 1-CEP-05"='6층_부하량'!A3:A3000)*(7='6층_부하량'!B3:B3000),0))</f>
        <v>0</v>
      </c>
      <c r="N9" s="2656" cm="1">
        <f t="array" ref="N9">INDEX('6층_부하량'!K3:K3000,MATCH(1,("6-DaHall 1-CEP-05"='6층_부하량'!A3:A3000)*(7='6층_부하량'!B3:B3000),0))</f>
        <v>0</v>
      </c>
      <c r="O9" s="157"/>
      <c r="P9" s="143" t="s">
        <v>4631</v>
      </c>
      <c r="Q9" s="143" t="s">
        <v>4642</v>
      </c>
      <c r="R9" s="153" t="s">
        <v>4997</v>
      </c>
    </row>
    <row r="10" spans="1:21" ht="20.100000000000001" customHeight="1" x14ac:dyDescent="0.15">
      <c r="A10" s="257"/>
      <c r="B10" s="143" t="s">
        <v>565</v>
      </c>
      <c r="C10" s="143" t="s">
        <v>4642</v>
      </c>
      <c r="D10" s="2656" cm="1">
        <f t="array" ref="D10">INDEX('6층_부하량'!I3:I3000,MATCH(1,("6-DaHall 1-CEP-05"='6층_부하량'!A3:A3000)*(8='6층_부하량'!B3:B3000),0))</f>
        <v>0</v>
      </c>
      <c r="E10" s="2656" cm="1">
        <f t="array" ref="E10">INDEX('6층_부하량'!J3:J3000,MATCH(1,("6-DaHall 1-CEP-05"='6층_부하량'!A3:A3000)*(8='6층_부하량'!B3:B3000),0))</f>
        <v>0</v>
      </c>
      <c r="F10" s="2656" cm="1">
        <f t="array" ref="F10">INDEX('6층_부하량'!K3:K3000,MATCH(1,("6-DaHall 1-CEP-05"='6층_부하량'!A3:A3000)*(8='6층_부하량'!B3:B3000),0))</f>
        <v>0</v>
      </c>
      <c r="G10" s="157"/>
      <c r="H10" s="143" t="s">
        <v>4996</v>
      </c>
      <c r="I10" s="154" t="s">
        <v>4871</v>
      </c>
      <c r="J10" s="155" t="s">
        <v>4595</v>
      </c>
      <c r="K10" s="156" t="s">
        <v>4996</v>
      </c>
      <c r="L10" s="2656" cm="1">
        <f t="array" ref="L10">INDEX('6층_부하량'!I3:I3000,MATCH(1,("6-DaHall 1-CEP-05"='6층_부하량'!A3:A3000)*(9='6층_부하량'!B3:B3000),0))</f>
        <v>0</v>
      </c>
      <c r="M10" s="2656" cm="1">
        <f t="array" ref="M10">INDEX('6층_부하량'!J3:J3000,MATCH(1,("6-DaHall 1-CEP-05"='6층_부하량'!A3:A3000)*(9='6층_부하량'!B3:B3000),0))</f>
        <v>0</v>
      </c>
      <c r="N10" s="2656" cm="1">
        <f t="array" ref="N10">INDEX('6층_부하량'!K3:K3000,MATCH(1,("6-DaHall 1-CEP-05"='6층_부하량'!A3:A3000)*(9='6층_부하량'!B3:B3000),0))</f>
        <v>0</v>
      </c>
      <c r="O10" s="157"/>
      <c r="P10" s="143" t="s">
        <v>565</v>
      </c>
      <c r="Q10" s="159" t="s">
        <v>4642</v>
      </c>
      <c r="R10" s="153"/>
    </row>
    <row r="11" spans="1:21" ht="20.100000000000001" customHeight="1" thickBot="1" x14ac:dyDescent="0.2">
      <c r="A11" s="158" t="s">
        <v>4998</v>
      </c>
      <c r="B11" s="159" t="s">
        <v>4590</v>
      </c>
      <c r="C11" s="159" t="s">
        <v>4642</v>
      </c>
      <c r="D11" s="2665" cm="1">
        <f t="array" ref="D11">INDEX('6층_부하량'!I3:I3000,MATCH(1,("6-DaHall 1-CEP-05"='6층_부하량'!A3:A3000)*(10='6층_부하량'!B3:B3000),0))</f>
        <v>0</v>
      </c>
      <c r="E11" s="2665" cm="1">
        <f t="array" ref="E11">INDEX('6층_부하량'!J3:J3000,MATCH(1,("6-DaHall 1-CEP-05"='6층_부하량'!A3:A3000)*(10='6층_부하량'!B3:B3000),0))</f>
        <v>0</v>
      </c>
      <c r="F11" s="2665" cm="1">
        <f t="array" ref="F11">INDEX('6층_부하량'!K3:K3000,MATCH(1,("6-DaHall 1-CEP-05"='6층_부하량'!A3:A3000)*(10='6층_부하량'!B3:B3000),0))</f>
        <v>0</v>
      </c>
      <c r="G11" s="160"/>
      <c r="H11" s="159" t="s">
        <v>4996</v>
      </c>
      <c r="I11" s="161" t="s">
        <v>4874</v>
      </c>
      <c r="J11" s="162" t="s">
        <v>4598</v>
      </c>
      <c r="K11" s="159" t="s">
        <v>4964</v>
      </c>
      <c r="L11" s="2665" cm="1" t="n">
        <f t="array" ref="L11">INDEX('6층_부하량'!I3:I3000,MATCH(1,("6-DaHall 1-CEP-05"='6층_부하량'!A3:A3000)*(11='6층_부하량'!B3:B3000),0))</f>
        <v>6.294533847604505</v>
      </c>
      <c r="M11" s="2666" cm="1" t="n">
        <f t="array" ref="M11">INDEX('6층_부하량'!J3:J3000,MATCH(1,("6-DaHall 1-CEP-05"='6층_부하량'!A3:A3000)*(11='6층_부하량'!B3:B3000),0))</f>
        <v>6.405623882927522</v>
      </c>
      <c r="N11" s="2666" cm="1" t="n">
        <f t="array" ref="N11">INDEX('6층_부하량'!K3:K3000,MATCH(1,("6-DaHall 1-CEP-05"='6층_부하량'!A3:A3000)*(11='6층_부하량'!B3:B3000),0))</f>
        <v>8.171387155436996</v>
      </c>
      <c r="O11" s="354"/>
      <c r="P11" s="177" t="s">
        <v>4574</v>
      </c>
      <c r="Q11" s="2340" t="s">
        <v>4575</v>
      </c>
      <c r="R11" s="635" t="s">
        <v>4999</v>
      </c>
    </row>
    <row r="12" spans="1:21" ht="20.100000000000001" customHeight="1" thickTop="1" x14ac:dyDescent="0.15">
      <c r="A12" s="636"/>
      <c r="B12" s="142" t="s">
        <v>4579</v>
      </c>
      <c r="C12" s="2341" t="s">
        <v>4723</v>
      </c>
      <c r="D12" s="2667" cm="1">
        <f t="array" ref="D12">INDEX('6층_부하량'!I3:I3000,MATCH(1,("6-DaHall 1-CEP-05"='6층_부하량'!A3:A3000)*(12='6층_부하량'!B3:B3000),0))</f>
        <v>0</v>
      </c>
      <c r="E12" s="163"/>
      <c r="F12" s="163"/>
      <c r="G12" s="163"/>
      <c r="H12" s="142" t="s">
        <v>5000</v>
      </c>
      <c r="I12" s="145" t="s">
        <v>4876</v>
      </c>
      <c r="J12" s="328" t="s">
        <v>4600</v>
      </c>
      <c r="K12" s="142" t="s">
        <v>5000</v>
      </c>
      <c r="L12" s="2667" cm="1">
        <f t="array" ref="L12">INDEX('6층_부하량'!I3:I3000,MATCH(1,("6-DaHall 1-CEP-05"='6층_부하량'!A3:A3000)*(13='6층_부하량'!B3:B3000),0))</f>
        <v>0</v>
      </c>
      <c r="M12" s="163"/>
      <c r="N12" s="163"/>
      <c r="O12" s="163"/>
      <c r="P12" s="179" t="s">
        <v>4635</v>
      </c>
      <c r="Q12" s="156" t="s">
        <v>4584</v>
      </c>
      <c r="R12" s="327"/>
    </row>
    <row r="13" spans="1:21" ht="27" x14ac:dyDescent="0.15">
      <c r="A13" s="1325"/>
      <c r="B13" s="143" t="s">
        <v>4579</v>
      </c>
      <c r="C13" s="143" t="s">
        <v>4584</v>
      </c>
      <c r="D13" s="157"/>
      <c r="E13" s="2656" cm="1" t="n">
        <f t="array" ref="E13">INDEX('6층_부하량'!J3:J3000,MATCH(1,("6-DaHall 1-CEP-05"='6층_부하량'!A3:A3000)*(14='6층_부하량'!B3:B3000),0))</f>
        <v>8.511767699820304</v>
      </c>
      <c r="F13" s="157"/>
      <c r="G13" s="157"/>
      <c r="H13" s="143" t="s">
        <v>5000</v>
      </c>
      <c r="I13" s="150" t="s">
        <v>4880</v>
      </c>
      <c r="J13" s="329" t="s">
        <v>4602</v>
      </c>
      <c r="K13" s="143" t="s">
        <v>5001</v>
      </c>
      <c r="L13" s="157"/>
      <c r="M13" s="2656" cm="1" t="n">
        <f t="array" ref="M13">INDEX('6층_부하량'!J3:J3000,MATCH(1,("6-DaHall 1-CEP-05"='6층_부하량'!A3:A3000)*(15='6층_부하량'!B3:B3000),0))</f>
        <v>10.319214346420846</v>
      </c>
      <c r="N13" s="157"/>
      <c r="O13" s="157"/>
      <c r="P13" s="157" t="s">
        <v>4635</v>
      </c>
      <c r="Q13" s="309" t="s">
        <v>4575</v>
      </c>
      <c r="R13" s="326" t="s">
        <v>6981</v>
      </c>
    </row>
    <row r="14" spans="1:21" ht="27.75" thickBot="1" x14ac:dyDescent="0.2">
      <c r="A14" s="324"/>
      <c r="B14" s="166" t="s">
        <v>4579</v>
      </c>
      <c r="C14" s="166" t="s">
        <v>4584</v>
      </c>
      <c r="D14" s="167"/>
      <c r="E14" s="167"/>
      <c r="F14" s="2659" cm="1" t="n">
        <f t="array" ref="F14">INDEX('6층_부하량'!K3:K3000,MATCH(1,("6-DaHall 1-CEP-05"='6층_부하량'!A3:A3000)*(16='6층_부하량'!B3:B3000),0))</f>
        <v>7.443813237914746</v>
      </c>
      <c r="G14" s="167"/>
      <c r="H14" s="166" t="s">
        <v>5000</v>
      </c>
      <c r="I14" s="168" t="s">
        <v>4883</v>
      </c>
      <c r="J14" s="290" t="s">
        <v>4604</v>
      </c>
      <c r="K14" s="166" t="s">
        <v>5001</v>
      </c>
      <c r="L14" s="167"/>
      <c r="M14" s="167"/>
      <c r="N14" s="2659" cm="1" t="n">
        <f t="array" ref="N14">INDEX('6층_부하량'!K3:K3000,MATCH(1,("6-DaHall 1-CEP-05"='6층_부하량'!A3:A3000)*(17='6층_부하량'!B3:B3000),0))</f>
        <v>6.316224981376346</v>
      </c>
      <c r="O14" s="167"/>
      <c r="P14" s="166" t="s">
        <v>4579</v>
      </c>
      <c r="Q14" s="288" t="s">
        <v>4575</v>
      </c>
      <c r="R14" s="325" t="s">
        <v>6982</v>
      </c>
    </row>
    <row r="15" spans="1:21" ht="20.100000000000001" customHeight="1" thickTop="1" x14ac:dyDescent="0.15">
      <c r="A15" s="171"/>
      <c r="B15" s="128"/>
      <c r="C15" s="128" t="s">
        <v>2800</v>
      </c>
      <c r="D15" s="131" t="n">
        <f>SUM(D12:F14)+SUM(L12:N14)</f>
        <v>32.591020265532244</v>
      </c>
      <c r="E15" s="131"/>
      <c r="F15" s="131"/>
      <c r="G15" s="131"/>
      <c r="H15" s="133"/>
      <c r="I15" s="172"/>
      <c r="J15" s="172"/>
      <c r="K15" s="128" t="s">
        <v>4713</v>
      </c>
      <c r="L15" s="131" t="n">
        <f>SUM(D6:D14,L6:L14)</f>
        <v>6.469304680937839</v>
      </c>
      <c r="M15" s="131" t="n">
        <f>SUM(E6:E14,M6:M14)</f>
        <v>26.017721446190738</v>
      </c>
      <c r="N15" s="131" t="n">
        <f>SUM(F6:F14,N6:N14)</f>
        <v>22.6298333714306</v>
      </c>
      <c r="O15" s="131" t="n">
        <f>SUM(G6:G14,O6:O14)</f>
        <v>0.0</v>
      </c>
      <c r="P15" s="131"/>
      <c r="Q15" s="128"/>
      <c r="R15" s="131"/>
    </row>
    <row r="16" spans="1:21" ht="20.100000000000001" customHeight="1" thickBot="1" x14ac:dyDescent="0.2">
      <c r="A16" s="171"/>
      <c r="B16" s="128"/>
      <c r="C16" s="128"/>
      <c r="D16" s="131"/>
      <c r="E16" s="131"/>
      <c r="F16" s="131"/>
      <c r="G16" s="131"/>
      <c r="H16" s="133"/>
      <c r="I16" s="172"/>
      <c r="J16" s="172"/>
      <c r="K16" s="133"/>
      <c r="L16" s="131" t="n">
        <f>SUM(L15:O15)</f>
        <v>55.11685949855917</v>
      </c>
      <c r="M16" s="131" t="n">
        <f>SUM(D12:O14)</f>
        <v>32.591020265532244</v>
      </c>
      <c r="N16" s="1005" t="n">
        <f>M16/L16</f>
        <v>0.5913076427437637</v>
      </c>
      <c r="O16" s="131"/>
      <c r="P16" s="131"/>
      <c r="Q16" s="128"/>
      <c r="R16" s="131"/>
    </row>
    <row r="17" spans="1:18" ht="20.100000000000001" customHeight="1" thickTop="1" thickBot="1" x14ac:dyDescent="0.2">
      <c r="A17" s="173" t="s">
        <v>6997</v>
      </c>
      <c r="B17" s="128"/>
      <c r="C17" s="3660" t="s">
        <v>5002</v>
      </c>
      <c r="D17" s="3660"/>
      <c r="E17" s="3660"/>
      <c r="F17" s="173"/>
      <c r="G17" s="173"/>
      <c r="H17" s="133"/>
      <c r="I17" s="3665" t="s">
        <v>5003</v>
      </c>
      <c r="J17" s="3666"/>
      <c r="K17" s="133"/>
      <c r="L17" s="173"/>
      <c r="M17" s="173"/>
      <c r="N17" s="173"/>
      <c r="O17" s="173"/>
      <c r="P17" s="173"/>
      <c r="Q17" s="173"/>
      <c r="R17" s="128"/>
    </row>
    <row r="18" spans="1:18" ht="20.100000000000001" customHeight="1" thickTop="1" thickBot="1" x14ac:dyDescent="0.2">
      <c r="A18" s="127"/>
      <c r="B18" s="128"/>
      <c r="C18" s="128"/>
      <c r="D18" s="129"/>
      <c r="E18" s="129"/>
      <c r="F18" s="130"/>
      <c r="G18" s="129"/>
      <c r="H18" s="131"/>
      <c r="I18" s="128"/>
      <c r="J18" s="132"/>
      <c r="K18" s="1371" t="s">
        <v>4562</v>
      </c>
      <c r="L18" s="1368">
        <v>0</v>
      </c>
      <c r="M18" s="1369">
        <v>0</v>
      </c>
      <c r="N18" s="1370">
        <v>0</v>
      </c>
      <c r="O18" s="508" t="s">
        <v>4563</v>
      </c>
      <c r="P18" s="133"/>
      <c r="Q18" s="128"/>
      <c r="R18" s="528"/>
    </row>
    <row r="19" spans="1:18" ht="20.100000000000001" customHeight="1" thickTop="1" thickBot="1" x14ac:dyDescent="0.2">
      <c r="A19" s="134" t="s">
        <v>4564</v>
      </c>
      <c r="B19" s="135" t="s">
        <v>4565</v>
      </c>
      <c r="C19" s="136" t="s">
        <v>4566</v>
      </c>
      <c r="D19" s="135" t="s">
        <v>4567</v>
      </c>
      <c r="E19" s="135" t="s">
        <v>4568</v>
      </c>
      <c r="F19" s="135" t="s">
        <v>4569</v>
      </c>
      <c r="G19" s="135" t="s">
        <v>4570</v>
      </c>
      <c r="H19" s="135" t="s">
        <v>4571</v>
      </c>
      <c r="I19" s="138" t="s">
        <v>4572</v>
      </c>
      <c r="J19" s="139" t="s">
        <v>4572</v>
      </c>
      <c r="K19" s="135" t="s">
        <v>4571</v>
      </c>
      <c r="L19" s="135" t="s">
        <v>4567</v>
      </c>
      <c r="M19" s="135" t="s">
        <v>4568</v>
      </c>
      <c r="N19" s="135" t="s">
        <v>4569</v>
      </c>
      <c r="O19" s="135" t="s">
        <v>4570</v>
      </c>
      <c r="P19" s="135" t="s">
        <v>4565</v>
      </c>
      <c r="Q19" s="136" t="s">
        <v>4566</v>
      </c>
      <c r="R19" s="140" t="s">
        <v>4564</v>
      </c>
    </row>
    <row r="20" spans="1:18" ht="27.75" thickTop="1" x14ac:dyDescent="0.15">
      <c r="A20" s="265" t="s">
        <v>5004</v>
      </c>
      <c r="B20" s="142" t="s">
        <v>4574</v>
      </c>
      <c r="C20" s="283" t="s">
        <v>4575</v>
      </c>
      <c r="D20" s="144"/>
      <c r="E20" s="2654" cm="1">
        <f t="array" ref="E20">INDEX('6층_부하량'!J3:J3000,MATCH(1,("6-DaHall 1-PDU-13"='6층_부하량'!A3:A3000)*(1='6층_부하량'!B3:B3000),0))</f>
        <v>0</v>
      </c>
      <c r="F20" s="144"/>
      <c r="G20" s="144"/>
      <c r="H20" s="142" t="s">
        <v>4576</v>
      </c>
      <c r="I20" s="145" t="s">
        <v>4577</v>
      </c>
      <c r="J20" s="1458" t="s">
        <v>4578</v>
      </c>
      <c r="K20" s="142" t="s">
        <v>4576</v>
      </c>
      <c r="L20" s="144"/>
      <c r="M20" s="2654" cm="1">
        <f t="array" ref="M20">INDEX('6층_부하량'!J3:J3000,MATCH(1,("6-DaHall 1-PDU-13"='6층_부하량'!A3:A3000)*(2='6층_부하량'!B3:B3000),0))</f>
        <v>0</v>
      </c>
      <c r="N20" s="144"/>
      <c r="O20" s="144"/>
      <c r="P20" s="142" t="s">
        <v>4579</v>
      </c>
      <c r="Q20" s="156" t="s">
        <v>4584</v>
      </c>
      <c r="R20" s="276" t="s">
        <v>5005</v>
      </c>
    </row>
    <row r="21" spans="1:18" ht="27" x14ac:dyDescent="0.15">
      <c r="A21" s="263" t="s">
        <v>1932</v>
      </c>
      <c r="B21" s="143" t="s">
        <v>4574</v>
      </c>
      <c r="C21" s="283" t="s">
        <v>4575</v>
      </c>
      <c r="D21" s="149"/>
      <c r="E21" s="149"/>
      <c r="F21" s="2655" cm="1">
        <f t="array" ref="F21">INDEX('6층_부하량'!K3:K3000,MATCH(1,("6-DaHall 1-PDU-13"='6층_부하량'!A3:A3000)*(3='6층_부하량'!B3:B3000),0))</f>
        <v>0</v>
      </c>
      <c r="G21" s="149"/>
      <c r="H21" s="143" t="s">
        <v>4576</v>
      </c>
      <c r="I21" s="150" t="s">
        <v>4582</v>
      </c>
      <c r="J21" s="1459" t="s">
        <v>4583</v>
      </c>
      <c r="K21" s="143" t="s">
        <v>4576</v>
      </c>
      <c r="L21" s="149"/>
      <c r="M21" s="149"/>
      <c r="N21" s="2655" cm="1">
        <f t="array" ref="N21">INDEX('6층_부하량'!K3:K3000,MATCH(1,("6-DaHall 1-PDU-13"='6층_부하량'!A3:A3000)*(4='6층_부하량'!B3:B3000),0))</f>
        <v>0</v>
      </c>
      <c r="O21" s="149"/>
      <c r="P21" s="143" t="s">
        <v>4579</v>
      </c>
      <c r="Q21" s="143" t="s">
        <v>4584</v>
      </c>
      <c r="R21" s="264" t="s">
        <v>5006</v>
      </c>
    </row>
    <row r="22" spans="1:18" ht="20.100000000000001" customHeight="1" x14ac:dyDescent="0.15">
      <c r="A22" s="258" t="s">
        <v>1937</v>
      </c>
      <c r="B22" s="143" t="s">
        <v>4574</v>
      </c>
      <c r="C22" s="283" t="s">
        <v>4575</v>
      </c>
      <c r="D22" s="2656" cm="1">
        <f t="array" ref="D22">INDEX('6층_부하량'!I3:I3000,MATCH(1,("6-DaHall 1-PDU-13"='6층_부하량'!A3:A3000)*(5='6층_부하량'!B3:B3000),0))</f>
        <v>0</v>
      </c>
      <c r="E22" s="157"/>
      <c r="F22" s="157"/>
      <c r="G22" s="157"/>
      <c r="H22" s="143" t="s">
        <v>4576</v>
      </c>
      <c r="I22" s="150" t="s">
        <v>4587</v>
      </c>
      <c r="J22" s="1459" t="s">
        <v>4588</v>
      </c>
      <c r="K22" s="143" t="s">
        <v>4576</v>
      </c>
      <c r="L22" s="2656" cm="1">
        <f t="array" ref="L22">INDEX('6층_부하량'!I3:I3000,MATCH(1,("6-DaHall 1-PDU-13"='6층_부하량'!A3:A3000)*(6='6층_부하량'!B3:B3000),0))</f>
        <v>0</v>
      </c>
      <c r="M22" s="157"/>
      <c r="N22" s="157"/>
      <c r="O22" s="157"/>
      <c r="P22" s="143" t="s">
        <v>4579</v>
      </c>
      <c r="Q22" s="143" t="s">
        <v>4584</v>
      </c>
      <c r="R22" s="256" t="s">
        <v>5007</v>
      </c>
    </row>
    <row r="23" spans="1:18" ht="20.100000000000001" customHeight="1" x14ac:dyDescent="0.15">
      <c r="A23" s="260" t="s">
        <v>1942</v>
      </c>
      <c r="B23" s="143" t="s">
        <v>4574</v>
      </c>
      <c r="C23" s="283" t="s">
        <v>4575</v>
      </c>
      <c r="D23" s="157"/>
      <c r="E23" s="2656" cm="1">
        <f t="array" ref="E23">INDEX('6층_부하량'!J3:J3000,MATCH(1,("6-DaHall 1-PDU-13"='6층_부하량'!A3:A3000)*(7='6층_부하량'!B3:B3000),0))</f>
        <v>0</v>
      </c>
      <c r="F23" s="157"/>
      <c r="G23" s="157"/>
      <c r="H23" s="143" t="s">
        <v>4576</v>
      </c>
      <c r="I23" s="150" t="s">
        <v>4592</v>
      </c>
      <c r="J23" s="1459" t="s">
        <v>4593</v>
      </c>
      <c r="K23" s="143" t="s">
        <v>4576</v>
      </c>
      <c r="L23" s="157"/>
      <c r="M23" s="2656" cm="1">
        <f t="array" ref="M23">INDEX('6층_부하량'!J3:J3000,MATCH(1,("6-DaHall 1-PDU-13"='6층_부하량'!A3:A3000)*(8='6층_부하량'!B3:B3000),0))</f>
        <v>0</v>
      </c>
      <c r="N23" s="157"/>
      <c r="O23" s="157"/>
      <c r="P23" s="143" t="s">
        <v>4574</v>
      </c>
      <c r="Q23" s="143" t="s">
        <v>4591</v>
      </c>
      <c r="R23" s="256" t="s">
        <v>1345</v>
      </c>
    </row>
    <row r="24" spans="1:18" ht="20.100000000000001" customHeight="1" x14ac:dyDescent="0.15">
      <c r="A24" s="258" t="s">
        <v>5008</v>
      </c>
      <c r="B24" s="143" t="s">
        <v>4574</v>
      </c>
      <c r="C24" s="143" t="s">
        <v>4591</v>
      </c>
      <c r="D24" s="157"/>
      <c r="E24" s="157"/>
      <c r="F24" s="2656" cm="1">
        <f t="array" ref="F24">INDEX('6층_부하량'!K3:K3000,MATCH(1,("6-DaHall 1-PDU-13"='6층_부하량'!A3:A3000)*(9='6층_부하량'!B3:B3000),0))</f>
        <v>0</v>
      </c>
      <c r="G24" s="157"/>
      <c r="H24" s="143" t="s">
        <v>4576</v>
      </c>
      <c r="I24" s="1465" t="s">
        <v>4595</v>
      </c>
      <c r="J24" s="1459" t="s">
        <v>4596</v>
      </c>
      <c r="K24" s="143" t="s">
        <v>4597</v>
      </c>
      <c r="L24" s="157"/>
      <c r="M24" s="157"/>
      <c r="N24" s="2656" cm="1">
        <f t="array" ref="N24">INDEX('6층_부하량'!K3:K3000,MATCH(1,("6-DaHall 1-PDU-13"='6층_부하량'!A3:A3000)*(10='6층_부하량'!B3:B3000),0))</f>
        <v>0</v>
      </c>
      <c r="O24" s="157"/>
      <c r="P24" s="143" t="s">
        <v>4574</v>
      </c>
      <c r="Q24" s="143" t="s">
        <v>4591</v>
      </c>
      <c r="R24" s="256" t="s">
        <v>1349</v>
      </c>
    </row>
    <row r="25" spans="1:18" ht="20.100000000000001" customHeight="1" x14ac:dyDescent="0.15">
      <c r="A25" s="258" t="s">
        <v>1436</v>
      </c>
      <c r="B25" s="143" t="s">
        <v>4574</v>
      </c>
      <c r="C25" s="143" t="s">
        <v>4591</v>
      </c>
      <c r="D25" s="2656" cm="1">
        <f t="array" ref="D25">INDEX('6층_부하량'!I3:I3000,MATCH(1,("6-DaHall 1-PDU-13"='6층_부하량'!A3:A3000)*(11='6층_부하량'!B3:B3000),0))</f>
        <v>0</v>
      </c>
      <c r="E25" s="157"/>
      <c r="F25" s="157"/>
      <c r="G25" s="157"/>
      <c r="H25" s="143" t="s">
        <v>4576</v>
      </c>
      <c r="I25" s="1465" t="s">
        <v>4598</v>
      </c>
      <c r="J25" s="1459" t="s">
        <v>4599</v>
      </c>
      <c r="K25" s="143" t="s">
        <v>4597</v>
      </c>
      <c r="L25" s="2656" cm="1">
        <f t="array" ref="L25">INDEX('6층_부하량'!I3:I3000,MATCH(1,("6-DaHall 1-PDU-13"='6층_부하량'!A3:A3000)*(12='6층_부하량'!B3:B3000),0))</f>
        <v>0</v>
      </c>
      <c r="M25" s="157"/>
      <c r="N25" s="157"/>
      <c r="O25" s="157"/>
      <c r="P25" s="143" t="s">
        <v>4574</v>
      </c>
      <c r="Q25" s="143" t="s">
        <v>4591</v>
      </c>
      <c r="R25" s="256" t="s">
        <v>1353</v>
      </c>
    </row>
    <row r="26" spans="1:18" ht="20.100000000000001" customHeight="1" x14ac:dyDescent="0.15">
      <c r="A26" s="258" t="s">
        <v>1440</v>
      </c>
      <c r="B26" s="143" t="s">
        <v>4574</v>
      </c>
      <c r="C26" s="143" t="s">
        <v>4591</v>
      </c>
      <c r="D26" s="149"/>
      <c r="E26" s="2655" cm="1">
        <f t="array" ref="E26">INDEX('6층_부하량'!J3:J3000,MATCH(1,("6-DaHall 1-PDU-13"='6층_부하량'!A3:A3000)*(13='6층_부하량'!B3:B3000),0))</f>
        <v>0</v>
      </c>
      <c r="F26" s="149"/>
      <c r="G26" s="157"/>
      <c r="H26" s="143" t="s">
        <v>4597</v>
      </c>
      <c r="I26" s="1465" t="s">
        <v>4600</v>
      </c>
      <c r="J26" s="1459" t="s">
        <v>4601</v>
      </c>
      <c r="K26" s="143" t="s">
        <v>4597</v>
      </c>
      <c r="L26" s="149"/>
      <c r="M26" s="2655" cm="1">
        <f t="array" ref="M26">INDEX('6층_부하량'!J3:J3000,MATCH(1,("6-DaHall 1-PDU-13"='6층_부하량'!A3:A3000)*(14='6층_부하량'!B3:B3000),0))</f>
        <v>0</v>
      </c>
      <c r="N26" s="149"/>
      <c r="O26" s="157"/>
      <c r="P26" s="143" t="s">
        <v>4574</v>
      </c>
      <c r="Q26" s="143" t="s">
        <v>4591</v>
      </c>
      <c r="R26" s="256" t="s">
        <v>1357</v>
      </c>
    </row>
    <row r="27" spans="1:18" ht="20.100000000000001" customHeight="1" x14ac:dyDescent="0.15">
      <c r="A27" s="258" t="s">
        <v>1444</v>
      </c>
      <c r="B27" s="143" t="s">
        <v>4574</v>
      </c>
      <c r="C27" s="143" t="s">
        <v>4591</v>
      </c>
      <c r="D27" s="157"/>
      <c r="E27" s="157"/>
      <c r="F27" s="2656" cm="1">
        <f t="array" ref="F27">INDEX('6층_부하량'!K3:K3000,MATCH(1,("6-DaHall 1-PDU-13"='6층_부하량'!A3:A3000)*(15='6층_부하량'!B3:B3000),0))</f>
        <v>0</v>
      </c>
      <c r="G27" s="157"/>
      <c r="H27" s="143" t="s">
        <v>4597</v>
      </c>
      <c r="I27" s="1465" t="s">
        <v>4602</v>
      </c>
      <c r="J27" s="1459" t="s">
        <v>4603</v>
      </c>
      <c r="K27" s="143" t="s">
        <v>4597</v>
      </c>
      <c r="L27" s="157"/>
      <c r="M27" s="157"/>
      <c r="N27" s="2656" cm="1">
        <f t="array" ref="N27">INDEX('6층_부하량'!K3:K3000,MATCH(1,("6-DaHall 1-PDU-13"='6층_부하량'!A3:A3000)*(16='6층_부하량'!B3:B3000),0))</f>
        <v>0</v>
      </c>
      <c r="O27" s="157"/>
      <c r="P27" s="143" t="s">
        <v>4574</v>
      </c>
      <c r="Q27" s="143" t="s">
        <v>4591</v>
      </c>
      <c r="R27" s="256" t="s">
        <v>1361</v>
      </c>
    </row>
    <row r="28" spans="1:18" ht="20.100000000000001" customHeight="1" x14ac:dyDescent="0.15">
      <c r="A28" s="258" t="s">
        <v>1448</v>
      </c>
      <c r="B28" s="143" t="s">
        <v>4574</v>
      </c>
      <c r="C28" s="143" t="s">
        <v>4591</v>
      </c>
      <c r="D28" s="2656" cm="1">
        <f t="array" ref="D28">INDEX('6층_부하량'!I3:I3000,MATCH(1,("6-DaHall 1-PDU-13"='6층_부하량'!A3:A3000)*(17='6층_부하량'!B3:B3000),0))</f>
        <v>0</v>
      </c>
      <c r="E28" s="157"/>
      <c r="F28" s="157"/>
      <c r="G28" s="157"/>
      <c r="H28" s="143" t="s">
        <v>4597</v>
      </c>
      <c r="I28" s="1465" t="s">
        <v>4604</v>
      </c>
      <c r="J28" s="1459" t="s">
        <v>4605</v>
      </c>
      <c r="K28" s="143" t="s">
        <v>4597</v>
      </c>
      <c r="L28" s="2656" cm="1">
        <f t="array" ref="L28">INDEX('6층_부하량'!I3:I3000,MATCH(1,("6-DaHall 1-PDU-13"='6층_부하량'!A3:A3000)*(18='6층_부하량'!B3:B3000),0))</f>
        <v>0</v>
      </c>
      <c r="M28" s="157"/>
      <c r="N28" s="157"/>
      <c r="O28" s="157"/>
      <c r="P28" s="143" t="s">
        <v>4574</v>
      </c>
      <c r="Q28" s="143" t="s">
        <v>4591</v>
      </c>
      <c r="R28" s="256" t="s">
        <v>1365</v>
      </c>
    </row>
    <row r="29" spans="1:18" ht="20.100000000000001" customHeight="1" x14ac:dyDescent="0.15">
      <c r="A29" s="258" t="s">
        <v>1452</v>
      </c>
      <c r="B29" s="143" t="s">
        <v>4574</v>
      </c>
      <c r="C29" s="143" t="s">
        <v>4591</v>
      </c>
      <c r="D29" s="149"/>
      <c r="E29" s="2655" cm="1">
        <f t="array" ref="E29">INDEX('6층_부하량'!J3:J3000,MATCH(1,("6-DaHall 1-PDU-13"='6층_부하량'!A3:A3000)*(19='6층_부하량'!B3:B3000),0))</f>
        <v>0</v>
      </c>
      <c r="F29" s="149"/>
      <c r="G29" s="157"/>
      <c r="H29" s="143" t="s">
        <v>4597</v>
      </c>
      <c r="I29" s="1465" t="s">
        <v>4608</v>
      </c>
      <c r="J29" s="1460" t="s">
        <v>4609</v>
      </c>
      <c r="K29" s="143" t="s">
        <v>4597</v>
      </c>
      <c r="L29" s="149"/>
      <c r="M29" s="2655" cm="1">
        <f t="array" ref="M29">INDEX('6층_부하량'!J3:J3000,MATCH(1,("6-DaHall 1-PDU-13"='6층_부하량'!A3:A3000)*(20='6층_부하량'!B3:B3000),0))</f>
        <v>0</v>
      </c>
      <c r="N29" s="149"/>
      <c r="O29" s="157"/>
      <c r="P29" s="157" t="s">
        <v>4574</v>
      </c>
      <c r="Q29" s="143" t="s">
        <v>4591</v>
      </c>
      <c r="R29" s="153" t="s">
        <v>5009</v>
      </c>
    </row>
    <row r="30" spans="1:18" ht="20.100000000000001" customHeight="1" x14ac:dyDescent="0.15">
      <c r="A30" s="258" t="s">
        <v>1456</v>
      </c>
      <c r="B30" s="143" t="s">
        <v>4574</v>
      </c>
      <c r="C30" s="143" t="s">
        <v>4591</v>
      </c>
      <c r="D30" s="157"/>
      <c r="E30" s="157"/>
      <c r="F30" s="2656" cm="1">
        <f t="array" ref="F30">INDEX('6층_부하량'!K3:K3000,MATCH(1,("6-DaHall 1-PDU-13"='6층_부하량'!A3:A3000)*(21='6층_부하량'!B3:B3000),0))</f>
        <v>0</v>
      </c>
      <c r="G30" s="157"/>
      <c r="H30" s="143" t="s">
        <v>4597</v>
      </c>
      <c r="I30" s="1465" t="s">
        <v>4612</v>
      </c>
      <c r="J30" s="1460" t="s">
        <v>4613</v>
      </c>
      <c r="K30" s="143" t="s">
        <v>4597</v>
      </c>
      <c r="L30" s="157"/>
      <c r="M30" s="157"/>
      <c r="N30" s="2656" cm="1">
        <f t="array" ref="N30">INDEX('6층_부하량'!K3:K3000,MATCH(1,("6-DaHall 1-PDU-13"='6층_부하량'!A3:A3000)*(22='6층_부하량'!B3:B3000),0))</f>
        <v>0</v>
      </c>
      <c r="O30" s="157"/>
      <c r="P30" s="157" t="s">
        <v>4574</v>
      </c>
      <c r="Q30" s="143" t="s">
        <v>4591</v>
      </c>
      <c r="R30" s="153" t="s">
        <v>5010</v>
      </c>
    </row>
    <row r="31" spans="1:18" ht="20.100000000000001" customHeight="1" x14ac:dyDescent="0.15">
      <c r="A31" s="258" t="s">
        <v>1460</v>
      </c>
      <c r="B31" s="143" t="s">
        <v>4574</v>
      </c>
      <c r="C31" s="143" t="s">
        <v>4591</v>
      </c>
      <c r="D31" s="2656" cm="1">
        <f t="array" ref="D31">INDEX('6층_부하량'!I3:I3000,MATCH(1,("6-DaHall 1-PDU-13"='6층_부하량'!A3:A3000)*(23='6층_부하량'!B3:B3000),0))</f>
        <v>0</v>
      </c>
      <c r="E31" s="157"/>
      <c r="F31" s="157"/>
      <c r="G31" s="157"/>
      <c r="H31" s="143" t="s">
        <v>4597</v>
      </c>
      <c r="I31" s="1465" t="s">
        <v>4896</v>
      </c>
      <c r="J31" s="1460" t="s">
        <v>4680</v>
      </c>
      <c r="K31" s="143" t="s">
        <v>4597</v>
      </c>
      <c r="L31" s="2656" cm="1">
        <f t="array" ref="L31">INDEX('6층_부하량'!I3:I3000,MATCH(1,("6-DaHall 1-PDU-13"='6층_부하량'!A3:A3000)*(24='6층_부하량'!B3:B3000),0))</f>
        <v>0</v>
      </c>
      <c r="M31" s="157"/>
      <c r="N31" s="157"/>
      <c r="O31" s="157"/>
      <c r="P31" s="157" t="s">
        <v>4574</v>
      </c>
      <c r="Q31" s="143" t="s">
        <v>4591</v>
      </c>
      <c r="R31" s="153" t="s">
        <v>5011</v>
      </c>
    </row>
    <row r="32" spans="1:18" ht="20.100000000000001" customHeight="1" x14ac:dyDescent="0.15">
      <c r="A32" s="258" t="s">
        <v>5012</v>
      </c>
      <c r="B32" s="143" t="s">
        <v>4574</v>
      </c>
      <c r="C32" s="143" t="s">
        <v>4591</v>
      </c>
      <c r="D32" s="149"/>
      <c r="E32" s="2655" cm="1">
        <f t="array" ref="E32">INDEX('6층_부하량'!J3:J3000,MATCH(1,("6-DaHall 1-PDU-13"='6층_부하량'!A3:A3000)*(25='6층_부하량'!B3:B3000),0))</f>
        <v>0</v>
      </c>
      <c r="F32" s="149"/>
      <c r="G32" s="157"/>
      <c r="H32" s="143" t="s">
        <v>4597</v>
      </c>
      <c r="I32" s="1465" t="s">
        <v>4900</v>
      </c>
      <c r="J32" s="1460" t="s">
        <v>4685</v>
      </c>
      <c r="K32" s="143" t="s">
        <v>4597</v>
      </c>
      <c r="L32" s="149"/>
      <c r="M32" s="2655" cm="1">
        <f t="array" ref="M32">INDEX('6층_부하량'!J3:J3000,MATCH(1,("6-DaHall 1-PDU-13"='6층_부하량'!A3:A3000)*(26='6층_부하량'!B3:B3000),0))</f>
        <v>0</v>
      </c>
      <c r="N32" s="149"/>
      <c r="O32" s="157"/>
      <c r="P32" s="157" t="s">
        <v>4574</v>
      </c>
      <c r="Q32" s="143" t="s">
        <v>4591</v>
      </c>
      <c r="R32" s="153" t="s">
        <v>5013</v>
      </c>
    </row>
    <row r="33" spans="1:18" ht="20.100000000000001" customHeight="1" thickBot="1" x14ac:dyDescent="0.2">
      <c r="A33" s="261" t="s">
        <v>1404</v>
      </c>
      <c r="B33" s="159" t="s">
        <v>4574</v>
      </c>
      <c r="C33" s="176" t="s">
        <v>4642</v>
      </c>
      <c r="D33" s="160"/>
      <c r="E33" s="160"/>
      <c r="F33" s="2665" cm="1">
        <f t="array" ref="F33">INDEX('6층_부하량'!K3:K3000,MATCH(1,("6-DaHall 1-PDU-13"='6층_부하량'!A3:A3000)*(27='6층_부하량'!B3:B3000),0))</f>
        <v>0</v>
      </c>
      <c r="G33" s="160"/>
      <c r="H33" s="176" t="s">
        <v>4597</v>
      </c>
      <c r="I33" s="1466" t="s">
        <v>4904</v>
      </c>
      <c r="J33" s="1461" t="s">
        <v>4689</v>
      </c>
      <c r="K33" s="176" t="s">
        <v>4597</v>
      </c>
      <c r="L33" s="160"/>
      <c r="M33" s="160"/>
      <c r="N33" s="2665" cm="1">
        <f t="array" ref="N33">INDEX('6층_부하량'!K3:K3000,MATCH(1,("6-DaHall 1-PDU-13"='6층_부하량'!A3:A3000)*(28='6층_부하량'!B3:B3000),0))</f>
        <v>0</v>
      </c>
      <c r="O33" s="177"/>
      <c r="P33" s="177" t="s">
        <v>4574</v>
      </c>
      <c r="Q33" s="286" t="s">
        <v>4575</v>
      </c>
      <c r="R33" s="609" t="s">
        <v>5014</v>
      </c>
    </row>
    <row r="34" spans="1:18" ht="20.100000000000001" customHeight="1" thickTop="1" x14ac:dyDescent="0.15">
      <c r="A34" s="260" t="s">
        <v>1408</v>
      </c>
      <c r="B34" s="142" t="s">
        <v>4574</v>
      </c>
      <c r="C34" s="156" t="s">
        <v>4591</v>
      </c>
      <c r="D34" s="2667" cm="1">
        <f t="array" ref="D34">INDEX('6층_부하량'!I3:I3000,MATCH(1,("6-DaHall 1-PDU-13"='6층_부하량'!A3:A3000)*(29='6층_부하량'!B3:B3000),0))</f>
        <v>0</v>
      </c>
      <c r="E34" s="163"/>
      <c r="F34" s="163"/>
      <c r="G34" s="163"/>
      <c r="H34" s="156" t="s">
        <v>4597</v>
      </c>
      <c r="I34" s="1467" t="s">
        <v>4909</v>
      </c>
      <c r="J34" s="1462" t="s">
        <v>4692</v>
      </c>
      <c r="K34" s="156" t="s">
        <v>4597</v>
      </c>
      <c r="L34" s="2667" cm="1">
        <f t="array" ref="L34">INDEX('6층_부하량'!I3:I3000,MATCH(1,("6-DaHall 1-PDU-13"='6층_부하량'!A3:A3000)*(30='6층_부하량'!B3:B3000),0))</f>
        <v>0</v>
      </c>
      <c r="M34" s="163"/>
      <c r="N34" s="163"/>
      <c r="O34" s="179"/>
      <c r="P34" s="179" t="s">
        <v>4574</v>
      </c>
      <c r="Q34" s="287" t="s">
        <v>4575</v>
      </c>
      <c r="R34" s="610" t="s">
        <v>5015</v>
      </c>
    </row>
    <row r="35" spans="1:18" ht="20.100000000000001" customHeight="1" x14ac:dyDescent="0.15">
      <c r="A35" s="258" t="s">
        <v>1412</v>
      </c>
      <c r="B35" s="143" t="s">
        <v>4574</v>
      </c>
      <c r="C35" s="143" t="s">
        <v>4591</v>
      </c>
      <c r="D35" s="149"/>
      <c r="E35" s="2655" cm="1">
        <f t="array" ref="E35">INDEX('6층_부하량'!J3:J3000,MATCH(1,("6-DaHall 1-PDU-13"='6층_부하량'!A3:A3000)*(31='6층_부하량'!B3:B3000),0))</f>
        <v>0</v>
      </c>
      <c r="F35" s="149"/>
      <c r="G35" s="157"/>
      <c r="H35" s="143" t="s">
        <v>4597</v>
      </c>
      <c r="I35" s="1465" t="s">
        <v>4914</v>
      </c>
      <c r="J35" s="1460" t="s">
        <v>4694</v>
      </c>
      <c r="K35" s="143" t="s">
        <v>4597</v>
      </c>
      <c r="L35" s="149"/>
      <c r="M35" s="2655" cm="1">
        <f t="array" ref="M35">INDEX('6층_부하량'!J3:J3000,MATCH(1,("6-DaHall 1-PDU-13"='6층_부하량'!A3:A3000)*(32='6층_부하량'!B3:B3000),0))</f>
        <v>0</v>
      </c>
      <c r="N35" s="149"/>
      <c r="O35" s="157"/>
      <c r="P35" s="157" t="s">
        <v>4574</v>
      </c>
      <c r="Q35" s="283" t="s">
        <v>4575</v>
      </c>
      <c r="R35" s="611" t="s">
        <v>5016</v>
      </c>
    </row>
    <row r="36" spans="1:18" ht="20.100000000000001" customHeight="1" x14ac:dyDescent="0.15">
      <c r="A36" s="258" t="s">
        <v>1416</v>
      </c>
      <c r="B36" s="143" t="s">
        <v>4574</v>
      </c>
      <c r="C36" s="143" t="s">
        <v>4591</v>
      </c>
      <c r="D36" s="157"/>
      <c r="E36" s="157"/>
      <c r="F36" s="2656" cm="1">
        <f t="array" ref="F36">INDEX('6층_부하량'!K3:K3000,MATCH(1,("6-DaHall 1-PDU-13"='6층_부하량'!A3:A3000)*(33='6층_부하량'!B3:B3000),0))</f>
        <v>0</v>
      </c>
      <c r="G36" s="157"/>
      <c r="H36" s="143" t="s">
        <v>4597</v>
      </c>
      <c r="I36" s="1465" t="s">
        <v>4918</v>
      </c>
      <c r="J36" s="1460" t="s">
        <v>4698</v>
      </c>
      <c r="K36" s="143" t="s">
        <v>4597</v>
      </c>
      <c r="L36" s="157"/>
      <c r="M36" s="157"/>
      <c r="N36" s="2656" cm="1">
        <f t="array" ref="N36">INDEX('6층_부하량'!K3:K3000,MATCH(1,("6-DaHall 1-PDU-13"='6층_부하량'!A3:A3000)*(34='6층_부하량'!B3:B3000),0))</f>
        <v>0</v>
      </c>
      <c r="O36" s="157"/>
      <c r="P36" s="157" t="s">
        <v>4574</v>
      </c>
      <c r="Q36" s="283" t="s">
        <v>4575</v>
      </c>
      <c r="R36" s="611" t="s">
        <v>5017</v>
      </c>
    </row>
    <row r="37" spans="1:18" ht="20.100000000000001" customHeight="1" x14ac:dyDescent="0.15">
      <c r="A37" s="258" t="s">
        <v>1420</v>
      </c>
      <c r="B37" s="143" t="s">
        <v>4574</v>
      </c>
      <c r="C37" s="143" t="s">
        <v>4591</v>
      </c>
      <c r="D37" s="2656" cm="1">
        <f t="array" ref="D37">INDEX('6층_부하량'!I3:I3000,MATCH(1,("6-DaHall 1-PDU-13"='6층_부하량'!A3:A3000)*(35='6층_부하량'!B3:B3000),0))</f>
        <v>0</v>
      </c>
      <c r="E37" s="157"/>
      <c r="F37" s="157"/>
      <c r="G37" s="157"/>
      <c r="H37" s="143" t="s">
        <v>4597</v>
      </c>
      <c r="I37" s="1465" t="s">
        <v>4922</v>
      </c>
      <c r="J37" s="1463" t="s">
        <v>4703</v>
      </c>
      <c r="K37" s="143" t="s">
        <v>4597</v>
      </c>
      <c r="L37" s="2656" cm="1">
        <f t="array" ref="L37">INDEX('6층_부하량'!I3:I3000,MATCH(1,("6-DaHall 1-PDU-13"='6층_부하량'!A3:A3000)*(36='6층_부하량'!B3:B3000),0))</f>
        <v>0</v>
      </c>
      <c r="M37" s="157"/>
      <c r="N37" s="157"/>
      <c r="O37" s="157"/>
      <c r="P37" s="157" t="s">
        <v>4574</v>
      </c>
      <c r="Q37" s="143" t="s">
        <v>4591</v>
      </c>
      <c r="R37" s="153" t="s">
        <v>5018</v>
      </c>
    </row>
    <row r="38" spans="1:18" ht="20.100000000000001" customHeight="1" x14ac:dyDescent="0.15">
      <c r="A38" s="258" t="s">
        <v>1424</v>
      </c>
      <c r="B38" s="143" t="s">
        <v>4574</v>
      </c>
      <c r="C38" s="143" t="s">
        <v>4591</v>
      </c>
      <c r="D38" s="149"/>
      <c r="E38" s="2655" cm="1">
        <f t="array" ref="E38">INDEX('6층_부하량'!J3:J3000,MATCH(1,("6-DaHall 1-PDU-13"='6층_부하량'!A3:A3000)*(37='6층_부하량'!B3:B3000),0))</f>
        <v>0</v>
      </c>
      <c r="F38" s="149"/>
      <c r="G38" s="157"/>
      <c r="H38" s="143" t="s">
        <v>4597</v>
      </c>
      <c r="I38" s="1465" t="s">
        <v>4927</v>
      </c>
      <c r="J38" s="1463" t="s">
        <v>4707</v>
      </c>
      <c r="K38" s="143" t="s">
        <v>4597</v>
      </c>
      <c r="L38" s="149"/>
      <c r="M38" s="2655" cm="1">
        <f t="array" ref="M38">INDEX('6층_부하량'!J3:J3000,MATCH(1,("6-DaHall 1-PDU-13"='6층_부하량'!A3:A3000)*(38='6층_부하량'!B3:B3000),0))</f>
        <v>0</v>
      </c>
      <c r="N38" s="149"/>
      <c r="O38" s="157"/>
      <c r="P38" s="157" t="s">
        <v>4574</v>
      </c>
      <c r="Q38" s="143" t="s">
        <v>4591</v>
      </c>
      <c r="R38" s="153" t="s">
        <v>5019</v>
      </c>
    </row>
    <row r="39" spans="1:18" ht="20.100000000000001" customHeight="1" x14ac:dyDescent="0.15">
      <c r="A39" s="258" t="s">
        <v>5020</v>
      </c>
      <c r="B39" s="143" t="s">
        <v>4574</v>
      </c>
      <c r="C39" s="143" t="s">
        <v>4591</v>
      </c>
      <c r="D39" s="157"/>
      <c r="E39" s="157"/>
      <c r="F39" s="2656" cm="1">
        <f t="array" ref="F39">INDEX('6층_부하량'!K3:K3000,MATCH(1,("6-DaHall 1-PDU-13"='6층_부하량'!A3:A3000)*(39='6층_부하량'!B3:B3000),0))</f>
        <v>0</v>
      </c>
      <c r="G39" s="157"/>
      <c r="H39" s="143" t="s">
        <v>4597</v>
      </c>
      <c r="I39" s="1465" t="s">
        <v>4931</v>
      </c>
      <c r="J39" s="1460" t="s">
        <v>4711</v>
      </c>
      <c r="K39" s="143" t="s">
        <v>4597</v>
      </c>
      <c r="L39" s="157"/>
      <c r="M39" s="157"/>
      <c r="N39" s="2656" cm="1">
        <f t="array" ref="N39">INDEX('6층_부하량'!K3:K3000,MATCH(1,("6-DaHall 1-PDU-13"='6층_부하량'!A3:A3000)*(40='6층_부하량'!B3:B3000),0))</f>
        <v>0</v>
      </c>
      <c r="O39" s="157"/>
      <c r="P39" s="157" t="s">
        <v>4574</v>
      </c>
      <c r="Q39" s="283" t="s">
        <v>4575</v>
      </c>
      <c r="R39" s="612" t="s">
        <v>5021</v>
      </c>
    </row>
    <row r="40" spans="1:18" ht="20.100000000000001" customHeight="1" x14ac:dyDescent="0.15">
      <c r="A40" s="258" t="s">
        <v>5022</v>
      </c>
      <c r="B40" s="143" t="s">
        <v>4574</v>
      </c>
      <c r="C40" s="143" t="s">
        <v>4591</v>
      </c>
      <c r="D40" s="2656" cm="1">
        <f t="array" ref="D40">INDEX('6층_부하량'!I3:I3000,MATCH(1,("6-DaHall 1-PDU-13"='6층_부하량'!A3:A3000)*(41='6층_부하량'!B3:B3000),0))</f>
        <v>0</v>
      </c>
      <c r="E40" s="157"/>
      <c r="F40" s="157"/>
      <c r="G40" s="157"/>
      <c r="H40" s="143" t="s">
        <v>4597</v>
      </c>
      <c r="I40" s="1465" t="s">
        <v>4775</v>
      </c>
      <c r="J40" s="1460" t="s">
        <v>4843</v>
      </c>
      <c r="K40" s="143" t="s">
        <v>4597</v>
      </c>
      <c r="L40" s="2656" cm="1">
        <f t="array" ref="L40">INDEX('6층_부하량'!I3:I3000,MATCH(1,("6-DaHall 1-PDU-13"='6층_부하량'!A3:A3000)*(42='6층_부하량'!B3:B3000),0))</f>
        <v>0</v>
      </c>
      <c r="M40" s="157"/>
      <c r="N40" s="157"/>
      <c r="O40" s="157"/>
      <c r="P40" s="157" t="s">
        <v>4574</v>
      </c>
      <c r="Q40" s="143" t="s">
        <v>4591</v>
      </c>
      <c r="R40" s="613" t="s">
        <v>5023</v>
      </c>
    </row>
    <row r="41" spans="1:18" ht="20.100000000000001" customHeight="1" x14ac:dyDescent="0.15">
      <c r="A41" s="258" t="s">
        <v>1375</v>
      </c>
      <c r="B41" s="143" t="s">
        <v>4574</v>
      </c>
      <c r="C41" s="143" t="s">
        <v>4591</v>
      </c>
      <c r="D41" s="149"/>
      <c r="E41" s="2655" cm="1">
        <f t="array" ref="E41">INDEX('6층_부하량'!J3:J3000,MATCH(1,("6-DaHall 1-PDU-13"='6층_부하량'!A3:A3000)*(43='6층_부하량'!B3:B3000),0))</f>
        <v>0</v>
      </c>
      <c r="F41" s="149"/>
      <c r="G41" s="157"/>
      <c r="H41" s="143" t="s">
        <v>4597</v>
      </c>
      <c r="I41" s="1465" t="s">
        <v>4778</v>
      </c>
      <c r="J41" s="1460" t="s">
        <v>4846</v>
      </c>
      <c r="K41" s="143" t="s">
        <v>4597</v>
      </c>
      <c r="L41" s="149"/>
      <c r="M41" s="2655" cm="1">
        <f t="array" ref="M41">INDEX('6층_부하량'!J3:J3000,MATCH(1,("6-DaHall 1-PDU-13"='6층_부하량'!A3:A3000)*(44='6층_부하량'!B3:B3000),0))</f>
        <v>0</v>
      </c>
      <c r="N41" s="149"/>
      <c r="O41" s="157"/>
      <c r="P41" s="157" t="s">
        <v>4574</v>
      </c>
      <c r="Q41" s="143" t="s">
        <v>4591</v>
      </c>
      <c r="R41" s="256" t="s">
        <v>5024</v>
      </c>
    </row>
    <row r="42" spans="1:18" ht="20.100000000000001" customHeight="1" x14ac:dyDescent="0.15">
      <c r="A42" s="258" t="s">
        <v>1379</v>
      </c>
      <c r="B42" s="143" t="s">
        <v>4574</v>
      </c>
      <c r="C42" s="143" t="s">
        <v>4591</v>
      </c>
      <c r="D42" s="157"/>
      <c r="E42" s="157"/>
      <c r="F42" s="2656" cm="1">
        <f t="array" ref="F42">INDEX('6층_부하량'!K3:K3000,MATCH(1,("6-DaHall 1-PDU-13"='6층_부하량'!A3:A3000)*(45='6층_부하량'!B3:B3000),0))</f>
        <v>0</v>
      </c>
      <c r="G42" s="157"/>
      <c r="H42" s="143" t="s">
        <v>4597</v>
      </c>
      <c r="I42" s="1465" t="s">
        <v>4782</v>
      </c>
      <c r="J42" s="1460" t="s">
        <v>4848</v>
      </c>
      <c r="K42" s="143" t="s">
        <v>4597</v>
      </c>
      <c r="L42" s="157"/>
      <c r="M42" s="157"/>
      <c r="N42" s="2656" cm="1">
        <f t="array" ref="N42">INDEX('6층_부하량'!K3:K3000,MATCH(1,("6-DaHall 1-PDU-13"='6층_부하량'!A3:A3000)*(46='6층_부하량'!B3:B3000),0))</f>
        <v>0</v>
      </c>
      <c r="O42" s="157"/>
      <c r="P42" s="157" t="s">
        <v>4574</v>
      </c>
      <c r="Q42" s="143" t="s">
        <v>4591</v>
      </c>
      <c r="R42" s="256" t="s">
        <v>5025</v>
      </c>
    </row>
    <row r="43" spans="1:18" ht="20.100000000000001" customHeight="1" x14ac:dyDescent="0.15">
      <c r="A43" s="258" t="s">
        <v>1383</v>
      </c>
      <c r="B43" s="143" t="s">
        <v>4574</v>
      </c>
      <c r="C43" s="143" t="s">
        <v>4591</v>
      </c>
      <c r="D43" s="2656" cm="1">
        <f t="array" ref="D43">INDEX('6층_부하량'!I3:I3000,MATCH(1,("6-DaHall 1-PDU-13"='6층_부하량'!A3:A3000)*(47='6층_부하량'!B3:B3000),0))</f>
        <v>0</v>
      </c>
      <c r="E43" s="157"/>
      <c r="F43" s="157"/>
      <c r="G43" s="157"/>
      <c r="H43" s="143" t="s">
        <v>4597</v>
      </c>
      <c r="I43" s="1465" t="s">
        <v>4785</v>
      </c>
      <c r="J43" s="1460" t="s">
        <v>4850</v>
      </c>
      <c r="K43" s="143" t="s">
        <v>4597</v>
      </c>
      <c r="L43" s="2656" cm="1">
        <f t="array" ref="L43">INDEX('6층_부하량'!I3:I3000,MATCH(1,("6-DaHall 1-PDU-13"='6층_부하량'!A3:A3000)*(48='6층_부하량'!B3:B3000),0))</f>
        <v>0</v>
      </c>
      <c r="M43" s="157"/>
      <c r="N43" s="157"/>
      <c r="O43" s="157"/>
      <c r="P43" s="157" t="s">
        <v>4574</v>
      </c>
      <c r="Q43" s="143" t="s">
        <v>4591</v>
      </c>
      <c r="R43" s="264" t="s">
        <v>5026</v>
      </c>
    </row>
    <row r="44" spans="1:18" ht="20.100000000000001" customHeight="1" x14ac:dyDescent="0.15">
      <c r="A44" s="258" t="s">
        <v>1387</v>
      </c>
      <c r="B44" s="143" t="s">
        <v>4574</v>
      </c>
      <c r="C44" s="143" t="s">
        <v>4591</v>
      </c>
      <c r="D44" s="149"/>
      <c r="E44" s="2655" cm="1">
        <f t="array" ref="E44">INDEX('6층_부하량'!J3:J3000,MATCH(1,("6-DaHall 1-PDU-13"='6층_부하량'!A3:A3000)*(49='6층_부하량'!B3:B3000),0))</f>
        <v>0</v>
      </c>
      <c r="F44" s="149"/>
      <c r="G44" s="157"/>
      <c r="H44" s="143" t="s">
        <v>4597</v>
      </c>
      <c r="I44" s="1465" t="s">
        <v>4787</v>
      </c>
      <c r="J44" s="1460" t="s">
        <v>4852</v>
      </c>
      <c r="K44" s="143" t="s">
        <v>4597</v>
      </c>
      <c r="L44" s="149"/>
      <c r="M44" s="2655" cm="1">
        <f t="array" ref="M44">INDEX('6층_부하량'!J3:J3000,MATCH(1,("6-DaHall 1-PDU-13"='6층_부하량'!A3:A3000)*(50='6층_부하량'!B3:B3000),0))</f>
        <v>0</v>
      </c>
      <c r="N44" s="149"/>
      <c r="O44" s="157"/>
      <c r="P44" s="157" t="s">
        <v>4574</v>
      </c>
      <c r="Q44" s="143" t="s">
        <v>4591</v>
      </c>
      <c r="R44" s="264" t="s">
        <v>5027</v>
      </c>
    </row>
    <row r="45" spans="1:18" ht="20.100000000000001" customHeight="1" x14ac:dyDescent="0.15">
      <c r="A45" s="258" t="s">
        <v>1391</v>
      </c>
      <c r="B45" s="143" t="s">
        <v>4574</v>
      </c>
      <c r="C45" s="143" t="s">
        <v>4591</v>
      </c>
      <c r="D45" s="157"/>
      <c r="E45" s="157"/>
      <c r="F45" s="2656" cm="1">
        <f t="array" ref="F45">INDEX('6층_부하량'!K3:K3000,MATCH(1,("6-DaHall 1-PDU-13"='6층_부하량'!A3:A3000)*(51='6층_부하량'!B3:B3000),0))</f>
        <v>0</v>
      </c>
      <c r="G45" s="157"/>
      <c r="H45" s="143" t="s">
        <v>4597</v>
      </c>
      <c r="I45" s="1465" t="s">
        <v>4791</v>
      </c>
      <c r="J45" s="1460" t="s">
        <v>4854</v>
      </c>
      <c r="K45" s="143" t="s">
        <v>4597</v>
      </c>
      <c r="L45" s="157"/>
      <c r="M45" s="157"/>
      <c r="N45" s="2656" cm="1">
        <f t="array" ref="N45">INDEX('6층_부하량'!K3:K3000,MATCH(1,("6-DaHall 1-PDU-13"='6층_부하량'!A3:A3000)*(52='6층_부하량'!B3:B3000),0))</f>
        <v>0</v>
      </c>
      <c r="O45" s="157"/>
      <c r="P45" s="157" t="s">
        <v>4574</v>
      </c>
      <c r="Q45" s="283" t="s">
        <v>4575</v>
      </c>
      <c r="R45" s="614" t="s">
        <v>5028</v>
      </c>
    </row>
    <row r="46" spans="1:18" ht="20.100000000000001" customHeight="1" thickBot="1" x14ac:dyDescent="0.2">
      <c r="A46" s="259" t="s">
        <v>1395</v>
      </c>
      <c r="B46" s="166" t="s">
        <v>4574</v>
      </c>
      <c r="C46" s="166" t="s">
        <v>4642</v>
      </c>
      <c r="D46" s="2659" cm="1">
        <f t="array" ref="D46">INDEX('6층_부하량'!I3:I3000,MATCH(1,("6-DaHall 1-PDU-13"='6층_부하량'!A3:A3000)*(53='6층_부하량'!B3:B3000),0))</f>
        <v>0</v>
      </c>
      <c r="E46" s="167"/>
      <c r="F46" s="167"/>
      <c r="G46" s="167"/>
      <c r="H46" s="166" t="s">
        <v>4597</v>
      </c>
      <c r="I46" s="1468" t="s">
        <v>4796</v>
      </c>
      <c r="J46" s="1464" t="s">
        <v>4857</v>
      </c>
      <c r="K46" s="166" t="s">
        <v>4597</v>
      </c>
      <c r="L46" s="2659" cm="1">
        <f t="array" ref="L46">INDEX('6층_부하량'!I3:I3000,MATCH(1,("6-DaHall 1-PDU-13"='6층_부하량'!A3:A3000)*(54='6층_부하량'!B3:B3000),0))</f>
        <v>0</v>
      </c>
      <c r="M46" s="167"/>
      <c r="N46" s="167"/>
      <c r="O46" s="167"/>
      <c r="P46" s="167" t="s">
        <v>4574</v>
      </c>
      <c r="Q46" s="166" t="s">
        <v>4642</v>
      </c>
      <c r="R46" s="273" t="s">
        <v>5029</v>
      </c>
    </row>
    <row r="47" spans="1:18" ht="20.100000000000001" customHeight="1" thickTop="1" x14ac:dyDescent="0.15">
      <c r="A47" s="171"/>
      <c r="B47" s="133"/>
      <c r="C47" s="133"/>
      <c r="D47" s="131"/>
      <c r="E47" s="131"/>
      <c r="F47" s="131"/>
      <c r="G47" s="131"/>
      <c r="H47" s="133"/>
      <c r="I47" s="172"/>
      <c r="J47" s="172"/>
      <c r="K47" s="133" t="s">
        <v>4713</v>
      </c>
      <c r="L47" s="131" t="n">
        <f>SUM(D20:D46,L20:L46)</f>
        <v>0.0</v>
      </c>
      <c r="M47" s="131" t="n">
        <f>SUM(M45:M46,E20:E46,M20:M46)</f>
        <v>0.0</v>
      </c>
      <c r="N47" s="131" t="n">
        <f>SUM(F20:F46,N20:N46)</f>
        <v>0.0</v>
      </c>
      <c r="O47" s="131"/>
      <c r="P47" s="131"/>
      <c r="Q47" s="133"/>
      <c r="R47" s="131"/>
    </row>
    <row r="48" spans="1:18" ht="20.100000000000001" customHeight="1" thickBot="1" x14ac:dyDescent="0.2">
      <c r="A48" s="171"/>
      <c r="B48" s="128"/>
      <c r="C48" s="128"/>
      <c r="D48" s="171"/>
      <c r="E48" s="171"/>
      <c r="F48" s="171"/>
      <c r="G48" s="171"/>
      <c r="H48" s="133"/>
      <c r="I48" s="172"/>
      <c r="J48" s="172"/>
      <c r="K48" s="133"/>
      <c r="L48" s="171"/>
      <c r="M48" s="171"/>
      <c r="N48" s="171"/>
      <c r="O48" s="171"/>
      <c r="P48" s="171"/>
      <c r="Q48" s="128"/>
      <c r="R48" s="131"/>
    </row>
    <row r="49" spans="1:18" ht="20.100000000000001" customHeight="1" thickTop="1" thickBot="1" x14ac:dyDescent="0.2">
      <c r="A49" s="173" t="s">
        <v>6998</v>
      </c>
      <c r="B49" s="128"/>
      <c r="C49" s="3660" t="s">
        <v>5030</v>
      </c>
      <c r="D49" s="3660"/>
      <c r="E49" s="3660"/>
      <c r="F49" s="173"/>
      <c r="G49" s="173"/>
      <c r="H49" s="133"/>
      <c r="I49" s="3665" t="s">
        <v>4715</v>
      </c>
      <c r="J49" s="3666"/>
      <c r="K49" s="133"/>
      <c r="L49" s="173"/>
      <c r="M49" s="173"/>
      <c r="N49" s="173"/>
      <c r="O49" s="173"/>
      <c r="P49" s="173"/>
      <c r="Q49" s="173"/>
      <c r="R49" s="128"/>
    </row>
    <row r="50" spans="1:18" ht="20.100000000000001" customHeight="1" thickTop="1" thickBot="1" x14ac:dyDescent="0.2">
      <c r="A50" s="127"/>
      <c r="B50" s="128"/>
      <c r="C50" s="128"/>
      <c r="D50" s="129"/>
      <c r="E50" s="129"/>
      <c r="F50" s="130"/>
      <c r="G50" s="129"/>
      <c r="H50" s="131"/>
      <c r="I50" s="128"/>
      <c r="J50" s="132"/>
      <c r="K50" s="1371" t="s">
        <v>4562</v>
      </c>
      <c r="L50" s="1368">
        <v>0</v>
      </c>
      <c r="M50" s="1369">
        <v>0</v>
      </c>
      <c r="N50" s="1370">
        <v>0</v>
      </c>
      <c r="O50" s="508" t="s">
        <v>4563</v>
      </c>
      <c r="P50" s="133"/>
      <c r="Q50" s="128"/>
      <c r="R50" s="528"/>
    </row>
    <row r="51" spans="1:18" ht="20.100000000000001" customHeight="1" thickTop="1" thickBot="1" x14ac:dyDescent="0.2">
      <c r="A51" s="134" t="s">
        <v>4564</v>
      </c>
      <c r="B51" s="135" t="s">
        <v>5031</v>
      </c>
      <c r="C51" s="136" t="s">
        <v>4566</v>
      </c>
      <c r="D51" s="135" t="s">
        <v>5032</v>
      </c>
      <c r="E51" s="135" t="s">
        <v>5033</v>
      </c>
      <c r="F51" s="135" t="s">
        <v>5034</v>
      </c>
      <c r="G51" s="135" t="s">
        <v>5035</v>
      </c>
      <c r="H51" s="135" t="s">
        <v>5036</v>
      </c>
      <c r="I51" s="138" t="s">
        <v>5037</v>
      </c>
      <c r="J51" s="139" t="s">
        <v>5037</v>
      </c>
      <c r="K51" s="135" t="s">
        <v>5036</v>
      </c>
      <c r="L51" s="135" t="s">
        <v>5032</v>
      </c>
      <c r="M51" s="135" t="s">
        <v>5033</v>
      </c>
      <c r="N51" s="135" t="s">
        <v>5034</v>
      </c>
      <c r="O51" s="135" t="s">
        <v>5035</v>
      </c>
      <c r="P51" s="135" t="s">
        <v>5031</v>
      </c>
      <c r="Q51" s="136" t="s">
        <v>4566</v>
      </c>
      <c r="R51" s="140" t="s">
        <v>4564</v>
      </c>
    </row>
    <row r="52" spans="1:18" ht="27.75" thickTop="1" x14ac:dyDescent="0.15">
      <c r="A52" s="265" t="s">
        <v>5038</v>
      </c>
      <c r="B52" s="142" t="s">
        <v>4635</v>
      </c>
      <c r="C52" s="283" t="s">
        <v>4575</v>
      </c>
      <c r="D52" s="144"/>
      <c r="E52" s="2654" cm="1">
        <f t="array" ref="E52">INDEX('6층_부하량'!J3:J3000,MATCH(1,("6-DaHall 1-PDU-14"='6층_부하량'!A3:A3000)*(1='6층_부하량'!B3:B3000),0))</f>
        <v>0</v>
      </c>
      <c r="F52" s="144"/>
      <c r="G52" s="144"/>
      <c r="H52" s="142" t="s">
        <v>4597</v>
      </c>
      <c r="I52" s="1469" t="s">
        <v>4633</v>
      </c>
      <c r="J52" s="284" t="s">
        <v>4578</v>
      </c>
      <c r="K52" s="142" t="s">
        <v>4597</v>
      </c>
      <c r="L52" s="144"/>
      <c r="M52" s="2654" cm="1">
        <f t="array" ref="M52">INDEX('6층_부하량'!J3:J3000,MATCH(1,("6-DaHall 1-PDU-14"='6층_부하량'!A3:A3000)*(2='6층_부하량'!B3:B3000),0))</f>
        <v>0</v>
      </c>
      <c r="N52" s="144"/>
      <c r="O52" s="144"/>
      <c r="P52" s="142" t="s">
        <v>4579</v>
      </c>
      <c r="Q52" s="156" t="s">
        <v>4584</v>
      </c>
      <c r="R52" s="276" t="s">
        <v>5039</v>
      </c>
    </row>
    <row r="53" spans="1:18" ht="27" x14ac:dyDescent="0.15">
      <c r="A53" s="263" t="s">
        <v>1933</v>
      </c>
      <c r="B53" s="143" t="s">
        <v>4635</v>
      </c>
      <c r="C53" s="283" t="s">
        <v>4575</v>
      </c>
      <c r="D53" s="149"/>
      <c r="E53" s="149"/>
      <c r="F53" s="2655" cm="1">
        <f t="array" ref="F53">INDEX('6층_부하량'!K3:K3000,MATCH(1,("6-DaHall 1-PDU-14"='6층_부하량'!A3:A3000)*(3='6층_부하량'!B3:B3000),0))</f>
        <v>0</v>
      </c>
      <c r="G53" s="149"/>
      <c r="H53" s="143" t="s">
        <v>4597</v>
      </c>
      <c r="I53" s="1465" t="s">
        <v>4638</v>
      </c>
      <c r="J53" s="285" t="s">
        <v>4583</v>
      </c>
      <c r="K53" s="143" t="s">
        <v>4597</v>
      </c>
      <c r="L53" s="149"/>
      <c r="M53" s="149"/>
      <c r="N53" s="2655" cm="1">
        <f t="array" ref="N53">INDEX('6층_부하량'!K3:K3000,MATCH(1,("6-DaHall 1-PDU-14"='6층_부하량'!A3:A3000)*(4='6층_부하량'!B3:B3000),0))</f>
        <v>0</v>
      </c>
      <c r="O53" s="149"/>
      <c r="P53" s="143" t="s">
        <v>4579</v>
      </c>
      <c r="Q53" s="143" t="s">
        <v>4584</v>
      </c>
      <c r="R53" s="264" t="s">
        <v>5040</v>
      </c>
    </row>
    <row r="54" spans="1:18" ht="20.100000000000001" customHeight="1" x14ac:dyDescent="0.15">
      <c r="A54" s="258" t="s">
        <v>1938</v>
      </c>
      <c r="B54" s="143" t="s">
        <v>4635</v>
      </c>
      <c r="C54" s="283" t="s">
        <v>4575</v>
      </c>
      <c r="D54" s="2656" cm="1">
        <f t="array" ref="D54">INDEX('6층_부하량'!I3:I3000,MATCH(1,("6-DaHall 1-PDU-14"='6층_부하량'!A3:A3000)*(5='6층_부하량'!B3:B3000),0))</f>
        <v>0</v>
      </c>
      <c r="E54" s="157"/>
      <c r="F54" s="157"/>
      <c r="G54" s="157"/>
      <c r="H54" s="143" t="s">
        <v>4597</v>
      </c>
      <c r="I54" s="1465" t="s">
        <v>4641</v>
      </c>
      <c r="J54" s="1459" t="s">
        <v>4588</v>
      </c>
      <c r="K54" s="143" t="s">
        <v>4597</v>
      </c>
      <c r="L54" s="2656" cm="1">
        <f t="array" ref="L54">INDEX('6층_부하량'!I3:I3000,MATCH(1,("6-DaHall 1-PDU-14"='6층_부하량'!A3:A3000)*(6='6층_부하량'!B3:B3000),0))</f>
        <v>0</v>
      </c>
      <c r="M54" s="157"/>
      <c r="N54" s="157"/>
      <c r="O54" s="157"/>
      <c r="P54" s="143" t="s">
        <v>4635</v>
      </c>
      <c r="Q54" s="143" t="s">
        <v>4584</v>
      </c>
      <c r="R54" s="256" t="s">
        <v>1342</v>
      </c>
    </row>
    <row r="55" spans="1:18" ht="20.100000000000001" customHeight="1" x14ac:dyDescent="0.15">
      <c r="A55" s="260" t="s">
        <v>1943</v>
      </c>
      <c r="B55" s="143" t="s">
        <v>4635</v>
      </c>
      <c r="C55" s="283" t="s">
        <v>4575</v>
      </c>
      <c r="D55" s="157"/>
      <c r="E55" s="2656" cm="1">
        <f t="array" ref="E55">INDEX('6층_부하량'!J3:J3000,MATCH(1,("6-DaHall 1-PDU-14"='6층_부하량'!A3:A3000)*(7='6층_부하량'!B3:B3000),0))</f>
        <v>0</v>
      </c>
      <c r="F55" s="157"/>
      <c r="G55" s="157"/>
      <c r="H55" s="143" t="s">
        <v>4597</v>
      </c>
      <c r="I55" s="1465" t="s">
        <v>4645</v>
      </c>
      <c r="J55" s="1459" t="s">
        <v>4593</v>
      </c>
      <c r="K55" s="143" t="s">
        <v>4597</v>
      </c>
      <c r="L55" s="157"/>
      <c r="M55" s="2656" cm="1">
        <f t="array" ref="M55">INDEX('6층_부하량'!J3:J3000,MATCH(1,("6-DaHall 1-PDU-14"='6층_부하량'!A3:A3000)*(8='6층_부하량'!B3:B3000),0))</f>
        <v>0</v>
      </c>
      <c r="N55" s="157"/>
      <c r="O55" s="157"/>
      <c r="P55" s="143" t="s">
        <v>4635</v>
      </c>
      <c r="Q55" s="143" t="s">
        <v>4591</v>
      </c>
      <c r="R55" s="256" t="s">
        <v>1346</v>
      </c>
    </row>
    <row r="56" spans="1:18" ht="20.100000000000001" customHeight="1" x14ac:dyDescent="0.15">
      <c r="A56" s="258" t="s">
        <v>5041</v>
      </c>
      <c r="B56" s="143" t="s">
        <v>4635</v>
      </c>
      <c r="C56" s="143" t="s">
        <v>4591</v>
      </c>
      <c r="D56" s="157"/>
      <c r="E56" s="157"/>
      <c r="F56" s="2656" cm="1">
        <f t="array" ref="F56">INDEX('6층_부하량'!K3:K3000,MATCH(1,("6-DaHall 1-PDU-14"='6층_부하량'!A3:A3000)*(9='6층_부하량'!B3:B3000),0))</f>
        <v>0</v>
      </c>
      <c r="G56" s="157"/>
      <c r="H56" s="143" t="s">
        <v>4597</v>
      </c>
      <c r="I56" s="1465" t="s">
        <v>4648</v>
      </c>
      <c r="J56" s="1459" t="s">
        <v>4596</v>
      </c>
      <c r="K56" s="143" t="s">
        <v>4597</v>
      </c>
      <c r="L56" s="157"/>
      <c r="M56" s="157"/>
      <c r="N56" s="2656" cm="1">
        <f t="array" ref="N56">INDEX('6층_부하량'!K3:K3000,MATCH(1,("6-DaHall 1-PDU-14"='6층_부하량'!A3:A3000)*(10='6층_부하량'!B3:B3000),0))</f>
        <v>0</v>
      </c>
      <c r="O56" s="157"/>
      <c r="P56" s="143" t="s">
        <v>4635</v>
      </c>
      <c r="Q56" s="143" t="s">
        <v>4591</v>
      </c>
      <c r="R56" s="256" t="s">
        <v>1350</v>
      </c>
    </row>
    <row r="57" spans="1:18" ht="20.100000000000001" customHeight="1" x14ac:dyDescent="0.15">
      <c r="A57" s="258" t="s">
        <v>1437</v>
      </c>
      <c r="B57" s="143" t="s">
        <v>4635</v>
      </c>
      <c r="C57" s="143" t="s">
        <v>4591</v>
      </c>
      <c r="D57" s="2656" cm="1">
        <f t="array" ref="D57">INDEX('6층_부하량'!I3:I3000,MATCH(1,("6-DaHall 1-PDU-14"='6층_부하량'!A3:A3000)*(11='6층_부하량'!B3:B3000),0))</f>
        <v>0</v>
      </c>
      <c r="E57" s="157"/>
      <c r="F57" s="157"/>
      <c r="G57" s="157"/>
      <c r="H57" s="143" t="s">
        <v>4597</v>
      </c>
      <c r="I57" s="1465" t="s">
        <v>4653</v>
      </c>
      <c r="J57" s="1459" t="s">
        <v>4599</v>
      </c>
      <c r="K57" s="143" t="s">
        <v>4597</v>
      </c>
      <c r="L57" s="2656" cm="1">
        <f t="array" ref="L57">INDEX('6층_부하량'!I3:I3000,MATCH(1,("6-DaHall 1-PDU-14"='6층_부하량'!A3:A3000)*(12='6층_부하량'!B3:B3000),0))</f>
        <v>0</v>
      </c>
      <c r="M57" s="157"/>
      <c r="N57" s="157"/>
      <c r="O57" s="157"/>
      <c r="P57" s="143" t="s">
        <v>4635</v>
      </c>
      <c r="Q57" s="143" t="s">
        <v>4591</v>
      </c>
      <c r="R57" s="256" t="s">
        <v>1354</v>
      </c>
    </row>
    <row r="58" spans="1:18" ht="19.5" customHeight="1" x14ac:dyDescent="0.15">
      <c r="A58" s="258" t="s">
        <v>1441</v>
      </c>
      <c r="B58" s="143" t="s">
        <v>4635</v>
      </c>
      <c r="C58" s="143" t="s">
        <v>4591</v>
      </c>
      <c r="D58" s="149"/>
      <c r="E58" s="2655" cm="1">
        <f t="array" ref="E58">INDEX('6층_부하량'!J3:J3000,MATCH(1,("6-DaHall 1-PDU-14"='6층_부하량'!A3:A3000)*(13='6층_부하량'!B3:B3000),0))</f>
        <v>0</v>
      </c>
      <c r="F58" s="149"/>
      <c r="G58" s="157"/>
      <c r="H58" s="143" t="s">
        <v>4597</v>
      </c>
      <c r="I58" s="1465" t="s">
        <v>4657</v>
      </c>
      <c r="J58" s="1459" t="s">
        <v>4601</v>
      </c>
      <c r="K58" s="143" t="s">
        <v>4597</v>
      </c>
      <c r="L58" s="149"/>
      <c r="M58" s="2655" cm="1">
        <f t="array" ref="M58">INDEX('6층_부하량'!J3:J3000,MATCH(1,("6-DaHall 1-PDU-14"='6층_부하량'!A3:A3000)*(14='6층_부하량'!B3:B3000),0))</f>
        <v>0</v>
      </c>
      <c r="N58" s="149"/>
      <c r="O58" s="157"/>
      <c r="P58" s="143" t="s">
        <v>4635</v>
      </c>
      <c r="Q58" s="143" t="s">
        <v>4591</v>
      </c>
      <c r="R58" s="256" t="s">
        <v>1358</v>
      </c>
    </row>
    <row r="59" spans="1:18" ht="19.5" customHeight="1" x14ac:dyDescent="0.15">
      <c r="A59" s="258" t="s">
        <v>1445</v>
      </c>
      <c r="B59" s="143" t="s">
        <v>4635</v>
      </c>
      <c r="C59" s="143" t="s">
        <v>4591</v>
      </c>
      <c r="D59" s="157"/>
      <c r="E59" s="157"/>
      <c r="F59" s="2656" cm="1">
        <f t="array" ref="F59">INDEX('6층_부하량'!K3:K3000,MATCH(1,("6-DaHall 1-PDU-14"='6층_부하량'!A3:A3000)*(15='6층_부하량'!B3:B3000),0))</f>
        <v>0</v>
      </c>
      <c r="G59" s="157"/>
      <c r="H59" s="143" t="s">
        <v>4597</v>
      </c>
      <c r="I59" s="1465" t="s">
        <v>4661</v>
      </c>
      <c r="J59" s="1459" t="s">
        <v>4603</v>
      </c>
      <c r="K59" s="143" t="s">
        <v>4597</v>
      </c>
      <c r="L59" s="157"/>
      <c r="M59" s="157"/>
      <c r="N59" s="2656" cm="1">
        <f t="array" ref="N59">INDEX('6층_부하량'!K3:K3000,MATCH(1,("6-DaHall 1-PDU-14"='6층_부하량'!A3:A3000)*(16='6층_부하량'!B3:B3000),0))</f>
        <v>0</v>
      </c>
      <c r="O59" s="157"/>
      <c r="P59" s="143" t="s">
        <v>4635</v>
      </c>
      <c r="Q59" s="143" t="s">
        <v>4591</v>
      </c>
      <c r="R59" s="256" t="s">
        <v>1362</v>
      </c>
    </row>
    <row r="60" spans="1:18" ht="19.5" customHeight="1" x14ac:dyDescent="0.15">
      <c r="A60" s="258" t="s">
        <v>1449</v>
      </c>
      <c r="B60" s="143" t="s">
        <v>4635</v>
      </c>
      <c r="C60" s="143" t="s">
        <v>4591</v>
      </c>
      <c r="D60" s="2656" cm="1">
        <f t="array" ref="D60">INDEX('6층_부하량'!I3:I3000,MATCH(1,("6-DaHall 1-PDU-14"='6층_부하량'!A3:A3000)*(17='6층_부하량'!B3:B3000),0))</f>
        <v>0</v>
      </c>
      <c r="E60" s="157"/>
      <c r="F60" s="157"/>
      <c r="G60" s="157"/>
      <c r="H60" s="143" t="s">
        <v>4597</v>
      </c>
      <c r="I60" s="1465" t="s">
        <v>4665</v>
      </c>
      <c r="J60" s="1459" t="s">
        <v>4605</v>
      </c>
      <c r="K60" s="143" t="s">
        <v>4597</v>
      </c>
      <c r="L60" s="2656" cm="1">
        <f t="array" ref="L60">INDEX('6층_부하량'!I3:I3000,MATCH(1,("6-DaHall 1-PDU-14"='6층_부하량'!A3:A3000)*(18='6층_부하량'!B3:B3000),0))</f>
        <v>0</v>
      </c>
      <c r="M60" s="157"/>
      <c r="N60" s="157"/>
      <c r="O60" s="157"/>
      <c r="P60" s="143" t="s">
        <v>4635</v>
      </c>
      <c r="Q60" s="143" t="s">
        <v>4591</v>
      </c>
      <c r="R60" s="256" t="s">
        <v>1366</v>
      </c>
    </row>
    <row r="61" spans="1:18" ht="19.5" customHeight="1" x14ac:dyDescent="0.15">
      <c r="A61" s="258" t="s">
        <v>1453</v>
      </c>
      <c r="B61" s="143" t="s">
        <v>4635</v>
      </c>
      <c r="C61" s="143" t="s">
        <v>4591</v>
      </c>
      <c r="D61" s="149"/>
      <c r="E61" s="2655" cm="1">
        <f t="array" ref="E61">INDEX('6층_부하량'!J3:J3000,MATCH(1,("6-DaHall 1-PDU-14"='6층_부하량'!A3:A3000)*(19='6층_부하량'!B3:B3000),0))</f>
        <v>0</v>
      </c>
      <c r="F61" s="149"/>
      <c r="G61" s="157"/>
      <c r="H61" s="143" t="s">
        <v>4597</v>
      </c>
      <c r="I61" s="1465" t="s">
        <v>4670</v>
      </c>
      <c r="J61" s="155" t="s">
        <v>4609</v>
      </c>
      <c r="K61" s="143" t="s">
        <v>4597</v>
      </c>
      <c r="L61" s="149"/>
      <c r="M61" s="2655" cm="1">
        <f t="array" ref="M61">INDEX('6층_부하량'!J3:J3000,MATCH(1,("6-DaHall 1-PDU-14"='6층_부하량'!A3:A3000)*(20='6층_부하량'!B3:B3000),0))</f>
        <v>0</v>
      </c>
      <c r="N61" s="149"/>
      <c r="O61" s="157"/>
      <c r="P61" s="157" t="s">
        <v>4635</v>
      </c>
      <c r="Q61" s="283" t="s">
        <v>4575</v>
      </c>
      <c r="R61" s="615" t="s">
        <v>5042</v>
      </c>
    </row>
    <row r="62" spans="1:18" ht="19.5" customHeight="1" x14ac:dyDescent="0.15">
      <c r="A62" s="258" t="s">
        <v>1457</v>
      </c>
      <c r="B62" s="143" t="s">
        <v>4635</v>
      </c>
      <c r="C62" s="143" t="s">
        <v>4591</v>
      </c>
      <c r="D62" s="157"/>
      <c r="E62" s="157"/>
      <c r="F62" s="2656" cm="1">
        <f t="array" ref="F62">INDEX('6층_부하량'!K3:K3000,MATCH(1,("6-DaHall 1-PDU-14"='6층_부하량'!A3:A3000)*(21='6층_부하량'!B3:B3000),0))</f>
        <v>0</v>
      </c>
      <c r="G62" s="157"/>
      <c r="H62" s="143" t="s">
        <v>4597</v>
      </c>
      <c r="I62" s="1465" t="s">
        <v>4674</v>
      </c>
      <c r="J62" s="1460" t="s">
        <v>4613</v>
      </c>
      <c r="K62" s="143" t="s">
        <v>4597</v>
      </c>
      <c r="L62" s="157"/>
      <c r="M62" s="157"/>
      <c r="N62" s="2656" cm="1">
        <f t="array" ref="N62">INDEX('6층_부하량'!K3:K3000,MATCH(1,("6-DaHall 1-PDU-14"='6층_부하량'!A3:A3000)*(22='6층_부하량'!B3:B3000),0))</f>
        <v>0</v>
      </c>
      <c r="O62" s="157"/>
      <c r="P62" s="157" t="s">
        <v>4635</v>
      </c>
      <c r="Q62" s="143" t="s">
        <v>4723</v>
      </c>
      <c r="R62" s="342" t="s">
        <v>5043</v>
      </c>
    </row>
    <row r="63" spans="1:18" ht="19.5" customHeight="1" x14ac:dyDescent="0.15">
      <c r="A63" s="258" t="s">
        <v>1461</v>
      </c>
      <c r="B63" s="143" t="s">
        <v>4635</v>
      </c>
      <c r="C63" s="143" t="s">
        <v>4591</v>
      </c>
      <c r="D63" s="2656" cm="1">
        <f t="array" ref="D63">INDEX('6층_부하량'!I3:I3000,MATCH(1,("6-DaHall 1-PDU-14"='6층_부하량'!A3:A3000)*(23='6층_부하량'!B3:B3000),0))</f>
        <v>0</v>
      </c>
      <c r="E63" s="157"/>
      <c r="F63" s="157"/>
      <c r="G63" s="157"/>
      <c r="H63" s="143" t="s">
        <v>4597</v>
      </c>
      <c r="I63" s="1465" t="s">
        <v>4678</v>
      </c>
      <c r="J63" s="1460" t="s">
        <v>4680</v>
      </c>
      <c r="K63" s="143" t="s">
        <v>4597</v>
      </c>
      <c r="L63" s="2656" cm="1">
        <f t="array" ref="L63">INDEX('6층_부하량'!I3:I3000,MATCH(1,("6-DaHall 1-PDU-14"='6층_부하량'!A3:A3000)*(24='6층_부하량'!B3:B3000),0))</f>
        <v>0</v>
      </c>
      <c r="M63" s="157"/>
      <c r="N63" s="157"/>
      <c r="O63" s="157"/>
      <c r="P63" s="157" t="s">
        <v>4635</v>
      </c>
      <c r="Q63" s="143" t="s">
        <v>4723</v>
      </c>
      <c r="R63" s="342" t="s">
        <v>5044</v>
      </c>
    </row>
    <row r="64" spans="1:18" ht="19.5" customHeight="1" x14ac:dyDescent="0.15">
      <c r="A64" s="258" t="s">
        <v>5045</v>
      </c>
      <c r="B64" s="143" t="s">
        <v>4635</v>
      </c>
      <c r="C64" s="143" t="s">
        <v>4591</v>
      </c>
      <c r="D64" s="149"/>
      <c r="E64" s="2655" cm="1">
        <f t="array" ref="E64">INDEX('6층_부하량'!J3:J3000,MATCH(1,("6-DaHall 1-PDU-14"='6층_부하량'!A3:A3000)*(25='6층_부하량'!B3:B3000),0))</f>
        <v>0</v>
      </c>
      <c r="F64" s="149"/>
      <c r="G64" s="157"/>
      <c r="H64" s="143" t="s">
        <v>4597</v>
      </c>
      <c r="I64" s="1465" t="s">
        <v>4683</v>
      </c>
      <c r="J64" s="1460" t="s">
        <v>4685</v>
      </c>
      <c r="K64" s="143" t="s">
        <v>4597</v>
      </c>
      <c r="L64" s="149"/>
      <c r="M64" s="2655" cm="1">
        <f t="array" ref="M64">INDEX('6층_부하량'!J3:J3000,MATCH(1,("6-DaHall 1-PDU-14"='6층_부하량'!A3:A3000)*(26='6층_부하량'!B3:B3000),0))</f>
        <v>0</v>
      </c>
      <c r="N64" s="149"/>
      <c r="O64" s="157"/>
      <c r="P64" s="157" t="s">
        <v>4635</v>
      </c>
      <c r="Q64" s="143" t="s">
        <v>4723</v>
      </c>
      <c r="R64" s="342" t="s">
        <v>5046</v>
      </c>
    </row>
    <row r="65" spans="1:18" ht="19.5" customHeight="1" thickBot="1" x14ac:dyDescent="0.2">
      <c r="A65" s="261" t="s">
        <v>1405</v>
      </c>
      <c r="B65" s="159" t="s">
        <v>4635</v>
      </c>
      <c r="C65" s="176" t="s">
        <v>4642</v>
      </c>
      <c r="D65" s="160"/>
      <c r="E65" s="160"/>
      <c r="F65" s="2665" cm="1">
        <f t="array" ref="F65">INDEX('6층_부하량'!K3:K3000,MATCH(1,("6-DaHall 1-PDU-14"='6층_부하량'!A3:A3000)*(27='6층_부하량'!B3:B3000),0))</f>
        <v>0</v>
      </c>
      <c r="G65" s="160"/>
      <c r="H65" s="176" t="s">
        <v>4597</v>
      </c>
      <c r="I65" s="1466" t="s">
        <v>4688</v>
      </c>
      <c r="J65" s="1461" t="s">
        <v>4689</v>
      </c>
      <c r="K65" s="176" t="s">
        <v>4597</v>
      </c>
      <c r="L65" s="160"/>
      <c r="M65" s="160"/>
      <c r="N65" s="2665" cm="1">
        <f t="array" ref="N65">INDEX('6층_부하량'!K3:K3000,MATCH(1,("6-DaHall 1-PDU-14"='6층_부하량'!A3:A3000)*(28='6층_부하량'!B3:B3000),0))</f>
        <v>0</v>
      </c>
      <c r="O65" s="177"/>
      <c r="P65" s="177" t="s">
        <v>4635</v>
      </c>
      <c r="Q65" s="286" t="s">
        <v>4575</v>
      </c>
      <c r="R65" s="616" t="s">
        <v>5047</v>
      </c>
    </row>
    <row r="66" spans="1:18" ht="19.5" customHeight="1" thickTop="1" x14ac:dyDescent="0.15">
      <c r="A66" s="260" t="s">
        <v>1409</v>
      </c>
      <c r="B66" s="142" t="s">
        <v>4635</v>
      </c>
      <c r="C66" s="156" t="s">
        <v>4591</v>
      </c>
      <c r="D66" s="2667" cm="1">
        <f t="array" ref="D66">INDEX('6층_부하량'!I3:I3000,MATCH(1,("6-DaHall 1-PDU-14"='6층_부하량'!A3:A3000)*(29='6층_부하량'!B3:B3000),0))</f>
        <v>0</v>
      </c>
      <c r="E66" s="163"/>
      <c r="F66" s="163"/>
      <c r="G66" s="163"/>
      <c r="H66" s="156" t="s">
        <v>4597</v>
      </c>
      <c r="I66" s="1467" t="s">
        <v>4691</v>
      </c>
      <c r="J66" s="1462" t="s">
        <v>4692</v>
      </c>
      <c r="K66" s="156" t="s">
        <v>4597</v>
      </c>
      <c r="L66" s="2667" cm="1">
        <f t="array" ref="L66">INDEX('6층_부하량'!I3:I3000,MATCH(1,("6-DaHall 1-PDU-14"='6층_부하량'!A3:A3000)*(30='6층_부하량'!B3:B3000),0))</f>
        <v>0</v>
      </c>
      <c r="M66" s="163"/>
      <c r="N66" s="163"/>
      <c r="O66" s="179"/>
      <c r="P66" s="179" t="s">
        <v>4635</v>
      </c>
      <c r="Q66" s="287" t="s">
        <v>4575</v>
      </c>
      <c r="R66" s="617" t="s">
        <v>5048</v>
      </c>
    </row>
    <row r="67" spans="1:18" ht="19.5" customHeight="1" x14ac:dyDescent="0.15">
      <c r="A67" s="258" t="s">
        <v>1413</v>
      </c>
      <c r="B67" s="143" t="s">
        <v>4635</v>
      </c>
      <c r="C67" s="143" t="s">
        <v>4591</v>
      </c>
      <c r="D67" s="149"/>
      <c r="E67" s="2655" cm="1">
        <f t="array" ref="E67">INDEX('6층_부하량'!J3:J3000,MATCH(1,("6-DaHall 1-PDU-14"='6층_부하량'!A3:A3000)*(31='6층_부하량'!B3:B3000),0))</f>
        <v>0</v>
      </c>
      <c r="F67" s="149"/>
      <c r="G67" s="157"/>
      <c r="H67" s="143" t="s">
        <v>4597</v>
      </c>
      <c r="I67" s="1465" t="s">
        <v>4693</v>
      </c>
      <c r="J67" s="1460" t="s">
        <v>4694</v>
      </c>
      <c r="K67" s="143" t="s">
        <v>4597</v>
      </c>
      <c r="L67" s="149"/>
      <c r="M67" s="2655" cm="1">
        <f t="array" ref="M67">INDEX('6층_부하량'!J3:J3000,MATCH(1,("6-DaHall 1-PDU-14"='6층_부하량'!A3:A3000)*(32='6층_부하량'!B3:B3000),0))</f>
        <v>0</v>
      </c>
      <c r="N67" s="149"/>
      <c r="O67" s="157"/>
      <c r="P67" s="157" t="s">
        <v>4574</v>
      </c>
      <c r="Q67" s="283" t="s">
        <v>4575</v>
      </c>
      <c r="R67" s="611" t="s">
        <v>5049</v>
      </c>
    </row>
    <row r="68" spans="1:18" ht="19.5" customHeight="1" x14ac:dyDescent="0.15">
      <c r="A68" s="258" t="s">
        <v>1417</v>
      </c>
      <c r="B68" s="143" t="s">
        <v>4635</v>
      </c>
      <c r="C68" s="143" t="s">
        <v>4591</v>
      </c>
      <c r="D68" s="157"/>
      <c r="E68" s="157"/>
      <c r="F68" s="2656" cm="1">
        <f t="array" ref="F68">INDEX('6층_부하량'!K3:K3000,MATCH(1,("6-DaHall 1-PDU-14"='6층_부하량'!A3:A3000)*(33='6층_부하량'!B3:B3000),0))</f>
        <v>0</v>
      </c>
      <c r="G68" s="157"/>
      <c r="H68" s="143" t="s">
        <v>4597</v>
      </c>
      <c r="I68" s="1465" t="s">
        <v>4697</v>
      </c>
      <c r="J68" s="1460" t="s">
        <v>4698</v>
      </c>
      <c r="K68" s="143" t="s">
        <v>4597</v>
      </c>
      <c r="L68" s="157"/>
      <c r="M68" s="157"/>
      <c r="N68" s="2656" cm="1">
        <f t="array" ref="N68">INDEX('6층_부하량'!K3:K3000,MATCH(1,("6-DaHall 1-PDU-14"='6층_부하량'!A3:A3000)*(34='6층_부하량'!B3:B3000),0))</f>
        <v>0</v>
      </c>
      <c r="O68" s="157"/>
      <c r="P68" s="157" t="s">
        <v>4574</v>
      </c>
      <c r="Q68" s="283" t="s">
        <v>4575</v>
      </c>
      <c r="R68" s="611" t="s">
        <v>5050</v>
      </c>
    </row>
    <row r="69" spans="1:18" ht="19.5" customHeight="1" x14ac:dyDescent="0.15">
      <c r="A69" s="258" t="s">
        <v>1421</v>
      </c>
      <c r="B69" s="143" t="s">
        <v>4635</v>
      </c>
      <c r="C69" s="143" t="s">
        <v>4591</v>
      </c>
      <c r="D69" s="2656" cm="1">
        <f t="array" ref="D69">INDEX('6층_부하량'!I3:I3000,MATCH(1,("6-DaHall 1-PDU-14"='6층_부하량'!A3:A3000)*(35='6층_부하량'!B3:B3000),0))</f>
        <v>0</v>
      </c>
      <c r="E69" s="157"/>
      <c r="F69" s="157"/>
      <c r="G69" s="157"/>
      <c r="H69" s="143" t="s">
        <v>4597</v>
      </c>
      <c r="I69" s="1465" t="s">
        <v>4701</v>
      </c>
      <c r="J69" s="1463" t="s">
        <v>4703</v>
      </c>
      <c r="K69" s="143" t="s">
        <v>4597</v>
      </c>
      <c r="L69" s="2656" cm="1">
        <f t="array" ref="L69">INDEX('6층_부하량'!I3:I3000,MATCH(1,("6-DaHall 1-PDU-14"='6층_부하량'!A3:A3000)*(36='6층_부하량'!B3:B3000),0))</f>
        <v>0</v>
      </c>
      <c r="M69" s="157"/>
      <c r="N69" s="157"/>
      <c r="O69" s="157"/>
      <c r="P69" s="157" t="s">
        <v>4635</v>
      </c>
      <c r="Q69" s="143" t="s">
        <v>4591</v>
      </c>
      <c r="R69" s="256" t="s">
        <v>5051</v>
      </c>
    </row>
    <row r="70" spans="1:18" ht="19.5" customHeight="1" x14ac:dyDescent="0.15">
      <c r="A70" s="258" t="s">
        <v>1425</v>
      </c>
      <c r="B70" s="143" t="s">
        <v>4635</v>
      </c>
      <c r="C70" s="143" t="s">
        <v>4591</v>
      </c>
      <c r="D70" s="149"/>
      <c r="E70" s="2655" cm="1">
        <f t="array" ref="E70">INDEX('6층_부하량'!J3:J3000,MATCH(1,("6-DaHall 1-PDU-14"='6층_부하량'!A3:A3000)*(37='6층_부하량'!B3:B3000),0))</f>
        <v>0</v>
      </c>
      <c r="F70" s="149"/>
      <c r="G70" s="157"/>
      <c r="H70" s="143" t="s">
        <v>4597</v>
      </c>
      <c r="I70" s="1465" t="s">
        <v>4706</v>
      </c>
      <c r="J70" s="1463" t="s">
        <v>4707</v>
      </c>
      <c r="K70" s="143" t="s">
        <v>4597</v>
      </c>
      <c r="L70" s="149"/>
      <c r="M70" s="2655" cm="1">
        <f t="array" ref="M70">INDEX('6층_부하량'!J3:J3000,MATCH(1,("6-DaHall 1-PDU-14"='6층_부하량'!A3:A3000)*(38='6층_부하량'!B3:B3000),0))</f>
        <v>0</v>
      </c>
      <c r="N70" s="149"/>
      <c r="O70" s="157"/>
      <c r="P70" s="157" t="s">
        <v>4635</v>
      </c>
      <c r="Q70" s="143" t="s">
        <v>4591</v>
      </c>
      <c r="R70" s="256" t="s">
        <v>5052</v>
      </c>
    </row>
    <row r="71" spans="1:18" ht="19.5" customHeight="1" x14ac:dyDescent="0.15">
      <c r="A71" s="258" t="s">
        <v>1428</v>
      </c>
      <c r="B71" s="143" t="s">
        <v>4635</v>
      </c>
      <c r="C71" s="143" t="s">
        <v>4591</v>
      </c>
      <c r="D71" s="157"/>
      <c r="E71" s="157"/>
      <c r="F71" s="2656" cm="1">
        <f t="array" ref="F71">INDEX('6층_부하량'!K3:K3000,MATCH(1,("6-DaHall 1-PDU-14"='6층_부하량'!A3:A3000)*(39='6층_부하량'!B3:B3000),0))</f>
        <v>0</v>
      </c>
      <c r="G71" s="157"/>
      <c r="H71" s="143" t="s">
        <v>4597</v>
      </c>
      <c r="I71" s="1465" t="s">
        <v>4710</v>
      </c>
      <c r="J71" s="1460" t="s">
        <v>4711</v>
      </c>
      <c r="K71" s="143" t="s">
        <v>4597</v>
      </c>
      <c r="L71" s="157"/>
      <c r="M71" s="157"/>
      <c r="N71" s="2656" cm="1">
        <f t="array" ref="N71">INDEX('6층_부하량'!K3:K3000,MATCH(1,("6-DaHall 1-PDU-14"='6층_부하량'!A3:A3000)*(40='6층_부하량'!B3:B3000),0))</f>
        <v>0</v>
      </c>
      <c r="O71" s="157"/>
      <c r="P71" s="157" t="s">
        <v>4635</v>
      </c>
      <c r="Q71" s="143" t="s">
        <v>4591</v>
      </c>
      <c r="R71" s="256" t="s">
        <v>5053</v>
      </c>
    </row>
    <row r="72" spans="1:18" ht="19.5" customHeight="1" x14ac:dyDescent="0.15">
      <c r="A72" s="258" t="s">
        <v>5054</v>
      </c>
      <c r="B72" s="143" t="s">
        <v>4635</v>
      </c>
      <c r="C72" s="143" t="s">
        <v>4591</v>
      </c>
      <c r="D72" s="2656" cm="1">
        <f t="array" ref="D72">INDEX('6층_부하량'!I3:I3000,MATCH(1,("6-DaHall 1-PDU-14"='6층_부하량'!A3:A3000)*(41='6층_부하량'!B3:B3000),0))</f>
        <v>0</v>
      </c>
      <c r="E72" s="157"/>
      <c r="F72" s="157"/>
      <c r="G72" s="157"/>
      <c r="H72" s="143" t="s">
        <v>4597</v>
      </c>
      <c r="I72" s="1465" t="s">
        <v>5055</v>
      </c>
      <c r="J72" s="1460" t="s">
        <v>4843</v>
      </c>
      <c r="K72" s="143" t="s">
        <v>4597</v>
      </c>
      <c r="L72" s="2656" cm="1">
        <f t="array" ref="L72">INDEX('6층_부하량'!I3:I3000,MATCH(1,("6-DaHall 1-PDU-14"='6층_부하량'!A3:A3000)*(42='6층_부하량'!B3:B3000),0))</f>
        <v>0</v>
      </c>
      <c r="M72" s="157"/>
      <c r="N72" s="157"/>
      <c r="O72" s="157"/>
      <c r="P72" s="157" t="s">
        <v>4635</v>
      </c>
      <c r="Q72" s="143" t="s">
        <v>4591</v>
      </c>
      <c r="R72" s="256" t="s">
        <v>5056</v>
      </c>
    </row>
    <row r="73" spans="1:18" ht="19.5" customHeight="1" x14ac:dyDescent="0.15">
      <c r="A73" s="258" t="s">
        <v>1376</v>
      </c>
      <c r="B73" s="143" t="s">
        <v>4635</v>
      </c>
      <c r="C73" s="143" t="s">
        <v>4591</v>
      </c>
      <c r="D73" s="149"/>
      <c r="E73" s="2655" cm="1">
        <f t="array" ref="E73">INDEX('6층_부하량'!J3:J3000,MATCH(1,("6-DaHall 1-PDU-14"='6층_부하량'!A3:A3000)*(43='6층_부하량'!B3:B3000),0))</f>
        <v>0</v>
      </c>
      <c r="F73" s="149"/>
      <c r="G73" s="157"/>
      <c r="H73" s="143" t="s">
        <v>4597</v>
      </c>
      <c r="I73" s="1465" t="s">
        <v>4845</v>
      </c>
      <c r="J73" s="1460" t="s">
        <v>4846</v>
      </c>
      <c r="K73" s="143" t="s">
        <v>4597</v>
      </c>
      <c r="L73" s="149"/>
      <c r="M73" s="2655" cm="1">
        <f t="array" ref="M73">INDEX('6층_부하량'!J3:J3000,MATCH(1,("6-DaHall 1-PDU-14"='6층_부하량'!A3:A3000)*(44='6층_부하량'!B3:B3000),0))</f>
        <v>0</v>
      </c>
      <c r="N73" s="149"/>
      <c r="O73" s="157"/>
      <c r="P73" s="157" t="s">
        <v>4635</v>
      </c>
      <c r="Q73" s="143" t="s">
        <v>4591</v>
      </c>
      <c r="R73" s="256" t="s">
        <v>5057</v>
      </c>
    </row>
    <row r="74" spans="1:18" ht="19.5" customHeight="1" x14ac:dyDescent="0.15">
      <c r="A74" s="258" t="s">
        <v>1380</v>
      </c>
      <c r="B74" s="143" t="s">
        <v>4635</v>
      </c>
      <c r="C74" s="143" t="s">
        <v>4591</v>
      </c>
      <c r="D74" s="157"/>
      <c r="E74" s="157"/>
      <c r="F74" s="2656" cm="1">
        <f t="array" ref="F74">INDEX('6층_부하량'!K3:K3000,MATCH(1,("6-DaHall 1-PDU-14"='6층_부하량'!A3:A3000)*(45='6층_부하량'!B3:B3000),0))</f>
        <v>0</v>
      </c>
      <c r="G74" s="157"/>
      <c r="H74" s="143" t="s">
        <v>4597</v>
      </c>
      <c r="I74" s="1465" t="s">
        <v>4847</v>
      </c>
      <c r="J74" s="1460" t="s">
        <v>4848</v>
      </c>
      <c r="K74" s="143" t="s">
        <v>4597</v>
      </c>
      <c r="L74" s="157"/>
      <c r="M74" s="157"/>
      <c r="N74" s="2656" cm="1">
        <f t="array" ref="N74">INDEX('6층_부하량'!K3:K3000,MATCH(1,("6-DaHall 1-PDU-14"='6층_부하량'!A3:A3000)*(46='6층_부하량'!B3:B3000),0))</f>
        <v>0</v>
      </c>
      <c r="O74" s="157"/>
      <c r="P74" s="157" t="s">
        <v>4635</v>
      </c>
      <c r="Q74" s="143" t="s">
        <v>4591</v>
      </c>
      <c r="R74" s="256" t="s">
        <v>5058</v>
      </c>
    </row>
    <row r="75" spans="1:18" ht="19.5" customHeight="1" x14ac:dyDescent="0.15">
      <c r="A75" s="258" t="s">
        <v>1384</v>
      </c>
      <c r="B75" s="143" t="s">
        <v>4635</v>
      </c>
      <c r="C75" s="143" t="s">
        <v>4591</v>
      </c>
      <c r="D75" s="2656" cm="1">
        <f t="array" ref="D75">INDEX('6층_부하량'!I3:I3000,MATCH(1,("6-DaHall 1-PDU-14"='6층_부하량'!A3:A3000)*(47='6층_부하량'!B3:B3000),0))</f>
        <v>0</v>
      </c>
      <c r="E75" s="157"/>
      <c r="F75" s="157"/>
      <c r="G75" s="157"/>
      <c r="H75" s="143" t="s">
        <v>4597</v>
      </c>
      <c r="I75" s="1465" t="s">
        <v>4849</v>
      </c>
      <c r="J75" s="1460" t="s">
        <v>4850</v>
      </c>
      <c r="K75" s="143" t="s">
        <v>4597</v>
      </c>
      <c r="L75" s="2656" cm="1">
        <f t="array" ref="L75">INDEX('6층_부하량'!I3:I3000,MATCH(1,("6-DaHall 1-PDU-14"='6층_부하량'!A3:A3000)*(48='6층_부하량'!B3:B3000),0))</f>
        <v>0</v>
      </c>
      <c r="M75" s="157"/>
      <c r="N75" s="157"/>
      <c r="O75" s="157"/>
      <c r="P75" s="157" t="s">
        <v>4635</v>
      </c>
      <c r="Q75" s="143" t="s">
        <v>4591</v>
      </c>
      <c r="R75" s="264" t="s">
        <v>5059</v>
      </c>
    </row>
    <row r="76" spans="1:18" ht="19.5" customHeight="1" x14ac:dyDescent="0.15">
      <c r="A76" s="258" t="s">
        <v>1388</v>
      </c>
      <c r="B76" s="143" t="s">
        <v>4635</v>
      </c>
      <c r="C76" s="143" t="s">
        <v>4591</v>
      </c>
      <c r="D76" s="149"/>
      <c r="E76" s="2655" cm="1">
        <f t="array" ref="E76">INDEX('6층_부하량'!J3:J3000,MATCH(1,("6-DaHall 1-PDU-14"='6층_부하량'!A3:A3000)*(49='6층_부하량'!B3:B3000),0))</f>
        <v>0</v>
      </c>
      <c r="F76" s="149"/>
      <c r="G76" s="157"/>
      <c r="H76" s="143" t="s">
        <v>4597</v>
      </c>
      <c r="I76" s="1465" t="s">
        <v>4851</v>
      </c>
      <c r="J76" s="1460" t="s">
        <v>4852</v>
      </c>
      <c r="K76" s="143" t="s">
        <v>4597</v>
      </c>
      <c r="L76" s="149"/>
      <c r="M76" s="2655" cm="1">
        <f t="array" ref="M76">INDEX('6층_부하량'!J3:J3000,MATCH(1,("6-DaHall 1-PDU-14"='6층_부하량'!A3:A3000)*(50='6층_부하량'!B3:B3000),0))</f>
        <v>0</v>
      </c>
      <c r="N76" s="149"/>
      <c r="O76" s="157"/>
      <c r="P76" s="157" t="s">
        <v>4635</v>
      </c>
      <c r="Q76" s="143" t="s">
        <v>4591</v>
      </c>
      <c r="R76" s="264" t="s">
        <v>5060</v>
      </c>
    </row>
    <row r="77" spans="1:18" ht="19.5" customHeight="1" x14ac:dyDescent="0.15">
      <c r="A77" s="258" t="s">
        <v>1392</v>
      </c>
      <c r="B77" s="143" t="s">
        <v>4635</v>
      </c>
      <c r="C77" s="143" t="s">
        <v>4591</v>
      </c>
      <c r="D77" s="157"/>
      <c r="E77" s="157"/>
      <c r="F77" s="2656" cm="1">
        <f t="array" ref="F77">INDEX('6층_부하량'!K3:K3000,MATCH(1,("6-DaHall 1-PDU-14"='6층_부하량'!A3:A3000)*(51='6층_부하량'!B3:B3000),0))</f>
        <v>0</v>
      </c>
      <c r="G77" s="157"/>
      <c r="H77" s="143" t="s">
        <v>4597</v>
      </c>
      <c r="I77" s="1465" t="s">
        <v>4853</v>
      </c>
      <c r="J77" s="1460" t="s">
        <v>4854</v>
      </c>
      <c r="K77" s="143" t="s">
        <v>4597</v>
      </c>
      <c r="L77" s="157"/>
      <c r="M77" s="157"/>
      <c r="N77" s="2656" cm="1">
        <f t="array" ref="N77">INDEX('6층_부하량'!K3:K3000,MATCH(1,("6-DaHall 1-PDU-14"='6층_부하량'!A3:A3000)*(52='6층_부하량'!B3:B3000),0))</f>
        <v>0</v>
      </c>
      <c r="O77" s="157"/>
      <c r="P77" s="157" t="s">
        <v>4635</v>
      </c>
      <c r="Q77" s="283" t="s">
        <v>4575</v>
      </c>
      <c r="R77" s="614" t="s">
        <v>5061</v>
      </c>
    </row>
    <row r="78" spans="1:18" ht="19.5" customHeight="1" thickBot="1" x14ac:dyDescent="0.2">
      <c r="A78" s="259" t="s">
        <v>1396</v>
      </c>
      <c r="B78" s="166" t="s">
        <v>4635</v>
      </c>
      <c r="C78" s="166" t="s">
        <v>4642</v>
      </c>
      <c r="D78" s="2659" cm="1">
        <f t="array" ref="D78">INDEX('6층_부하량'!I3:I3000,MATCH(1,("6-DaHall 1-PDU-14"='6층_부하량'!A3:A3000)*(53='6층_부하량'!B3:B3000),0))</f>
        <v>0</v>
      </c>
      <c r="E78" s="167"/>
      <c r="F78" s="167"/>
      <c r="G78" s="167"/>
      <c r="H78" s="166" t="s">
        <v>4597</v>
      </c>
      <c r="I78" s="1468" t="s">
        <v>4856</v>
      </c>
      <c r="J78" s="1464" t="s">
        <v>4857</v>
      </c>
      <c r="K78" s="166" t="s">
        <v>4597</v>
      </c>
      <c r="L78" s="2659" cm="1">
        <f t="array" ref="L78">INDEX('6층_부하량'!I3:I3000,MATCH(1,("6-DaHall 1-PDU-14"='6층_부하량'!A3:A3000)*(54='6층_부하량'!B3:B3000),0))</f>
        <v>0</v>
      </c>
      <c r="M78" s="167"/>
      <c r="N78" s="167"/>
      <c r="O78" s="167"/>
      <c r="P78" s="167" t="s">
        <v>4635</v>
      </c>
      <c r="Q78" s="166" t="s">
        <v>4642</v>
      </c>
      <c r="R78" s="273" t="s">
        <v>1486</v>
      </c>
    </row>
    <row r="79" spans="1:18" ht="14.25" thickTop="1" x14ac:dyDescent="0.15">
      <c r="A79" s="171"/>
      <c r="B79" s="133"/>
      <c r="C79" s="133"/>
      <c r="D79" s="131"/>
      <c r="E79" s="131"/>
      <c r="F79" s="131"/>
      <c r="G79" s="131"/>
      <c r="H79" s="133"/>
      <c r="I79" s="172"/>
      <c r="J79" s="172"/>
      <c r="K79" s="133" t="s">
        <v>4713</v>
      </c>
      <c r="L79" s="131" t="n">
        <f>SUM(D52:D78,L52:L78)</f>
        <v>0.0</v>
      </c>
      <c r="M79" s="131" t="n">
        <f>SUM(E52:E78,M52:M78)</f>
        <v>0.0</v>
      </c>
      <c r="N79" s="131" t="n">
        <f>SUM(F52:F78,N52:N78)</f>
        <v>0.0</v>
      </c>
      <c r="O79" s="131"/>
      <c r="P79" s="131"/>
      <c r="Q79" s="133"/>
      <c r="R79" s="131"/>
    </row>
    <row r="80" spans="1:18" ht="14.25" thickBot="1" x14ac:dyDescent="0.2">
      <c r="A80" s="128"/>
      <c r="B80" s="128"/>
      <c r="C80" s="128"/>
      <c r="D80" s="128"/>
      <c r="E80" s="128"/>
      <c r="F80" s="128"/>
      <c r="G80" s="128"/>
      <c r="H80" s="128"/>
      <c r="I80" s="128"/>
      <c r="J80" s="128"/>
      <c r="K80" s="128"/>
      <c r="L80" s="128"/>
      <c r="M80" s="128"/>
      <c r="N80" s="128"/>
      <c r="O80" s="128"/>
      <c r="P80" s="128"/>
      <c r="Q80" s="128"/>
      <c r="R80" s="128"/>
    </row>
    <row r="81" spans="1:18" ht="15" thickTop="1" thickBot="1" x14ac:dyDescent="0.2">
      <c r="A81" s="173" t="s">
        <v>6999</v>
      </c>
      <c r="B81" s="128"/>
      <c r="C81" s="3660" t="s">
        <v>5062</v>
      </c>
      <c r="D81" s="3660"/>
      <c r="E81" s="3660"/>
      <c r="F81" s="173"/>
      <c r="G81" s="173"/>
      <c r="H81" s="133"/>
      <c r="I81" s="3665" t="s">
        <v>5063</v>
      </c>
      <c r="J81" s="3666"/>
      <c r="K81" s="133"/>
      <c r="L81" s="173"/>
      <c r="M81" s="173"/>
      <c r="N81" s="173"/>
      <c r="O81" s="173"/>
      <c r="P81" s="173"/>
      <c r="Q81" s="173"/>
      <c r="R81" s="128"/>
    </row>
    <row r="82" spans="1:18" ht="15" thickTop="1" thickBot="1" x14ac:dyDescent="0.2">
      <c r="A82" s="127"/>
      <c r="B82" s="128"/>
      <c r="C82" s="128"/>
      <c r="D82" s="129"/>
      <c r="E82" s="129"/>
      <c r="F82" s="130"/>
      <c r="G82" s="129"/>
      <c r="H82" s="131"/>
      <c r="I82" s="128"/>
      <c r="J82" s="132"/>
      <c r="K82" s="1371" t="s">
        <v>4562</v>
      </c>
      <c r="L82" s="1368">
        <v>0</v>
      </c>
      <c r="M82" s="1369">
        <v>0</v>
      </c>
      <c r="N82" s="1370">
        <v>0</v>
      </c>
      <c r="O82" s="508" t="s">
        <v>4563</v>
      </c>
      <c r="P82" s="133"/>
      <c r="Q82" s="128"/>
      <c r="R82" s="528"/>
    </row>
    <row r="83" spans="1:18" ht="15" thickTop="1" thickBot="1" x14ac:dyDescent="0.2">
      <c r="A83" s="134" t="s">
        <v>4564</v>
      </c>
      <c r="B83" s="135" t="s">
        <v>5031</v>
      </c>
      <c r="C83" s="136" t="s">
        <v>4566</v>
      </c>
      <c r="D83" s="135" t="s">
        <v>5032</v>
      </c>
      <c r="E83" s="135" t="s">
        <v>5033</v>
      </c>
      <c r="F83" s="135" t="s">
        <v>5034</v>
      </c>
      <c r="G83" s="135" t="s">
        <v>5035</v>
      </c>
      <c r="H83" s="135" t="s">
        <v>5036</v>
      </c>
      <c r="I83" s="138" t="s">
        <v>5037</v>
      </c>
      <c r="J83" s="139" t="s">
        <v>5037</v>
      </c>
      <c r="K83" s="135" t="s">
        <v>5036</v>
      </c>
      <c r="L83" s="135" t="s">
        <v>5032</v>
      </c>
      <c r="M83" s="135" t="s">
        <v>5033</v>
      </c>
      <c r="N83" s="135" t="s">
        <v>5034</v>
      </c>
      <c r="O83" s="135" t="s">
        <v>5035</v>
      </c>
      <c r="P83" s="135" t="s">
        <v>5031</v>
      </c>
      <c r="Q83" s="136" t="s">
        <v>4566</v>
      </c>
      <c r="R83" s="140" t="s">
        <v>4564</v>
      </c>
    </row>
    <row r="84" spans="1:18" ht="17.25" thickTop="1" x14ac:dyDescent="0.15">
      <c r="A84" s="621" t="s">
        <v>5064</v>
      </c>
      <c r="B84" s="142" t="s">
        <v>4635</v>
      </c>
      <c r="C84" s="164" t="s">
        <v>4575</v>
      </c>
      <c r="D84" s="2654" cm="1">
        <f t="array" ref="D84">INDEX('6층_부하량'!I3:I3000,MATCH(1,("6-DaHall 1-PDU-09"='6층_부하량'!A3:A3000)*(1='6층_부하량'!B3:B3000),0))</f>
        <v>0</v>
      </c>
      <c r="E84" s="144"/>
      <c r="F84" s="144"/>
      <c r="G84" s="144"/>
      <c r="H84" s="142" t="s">
        <v>4597</v>
      </c>
      <c r="I84" s="291" t="s">
        <v>4633</v>
      </c>
      <c r="J84" s="292" t="s">
        <v>4578</v>
      </c>
      <c r="K84" s="142" t="s">
        <v>4597</v>
      </c>
      <c r="L84" s="2654" cm="1">
        <f t="array" ref="L84">INDEX('6층_부하량'!I3:I3000,MATCH(1,("6-DaHall 1-PDU-09"='6층_부하량'!A3:A3000)*(2='6층_부하량'!B3:B3000),0))</f>
        <v>0</v>
      </c>
      <c r="M84" s="144"/>
      <c r="N84" s="144"/>
      <c r="O84" s="144"/>
      <c r="P84" s="144" t="s">
        <v>4635</v>
      </c>
      <c r="Q84" s="164" t="s">
        <v>4575</v>
      </c>
      <c r="R84" s="618" t="s">
        <v>5065</v>
      </c>
    </row>
    <row r="85" spans="1:18" ht="16.5" x14ac:dyDescent="0.15">
      <c r="A85" s="622" t="s">
        <v>5066</v>
      </c>
      <c r="B85" s="143" t="s">
        <v>4635</v>
      </c>
      <c r="C85" s="164" t="s">
        <v>4575</v>
      </c>
      <c r="D85" s="149"/>
      <c r="E85" s="2655" cm="1">
        <f t="array" ref="E85">INDEX('6층_부하량'!J3:J3000,MATCH(1,("6-DaHall 1-PDU-09"='6층_부하량'!A3:A3000)*(3='6층_부하량'!B3:B3000),0))</f>
        <v>0</v>
      </c>
      <c r="F85" s="149"/>
      <c r="G85" s="149"/>
      <c r="H85" s="143" t="s">
        <v>4597</v>
      </c>
      <c r="I85" s="293" t="s">
        <v>4638</v>
      </c>
      <c r="J85" s="294" t="s">
        <v>4583</v>
      </c>
      <c r="K85" s="143" t="s">
        <v>4597</v>
      </c>
      <c r="L85" s="149"/>
      <c r="M85" s="2655" cm="1">
        <f t="array" ref="M85">INDEX('6층_부하량'!J3:J3000,MATCH(1,("6-DaHall 1-PDU-09"='6층_부하량'!A3:A3000)*(4='6층_부하량'!B3:B3000),0))</f>
        <v>0</v>
      </c>
      <c r="N85" s="149"/>
      <c r="O85" s="149"/>
      <c r="P85" s="149" t="s">
        <v>4635</v>
      </c>
      <c r="Q85" s="164" t="s">
        <v>4575</v>
      </c>
      <c r="R85" s="342" t="s">
        <v>5067</v>
      </c>
    </row>
    <row r="86" spans="1:18" ht="16.5" x14ac:dyDescent="0.15">
      <c r="A86" s="607" t="s">
        <v>5068</v>
      </c>
      <c r="B86" s="143" t="s">
        <v>4635</v>
      </c>
      <c r="C86" s="164" t="s">
        <v>4575</v>
      </c>
      <c r="D86" s="157"/>
      <c r="E86" s="157"/>
      <c r="F86" s="2656" cm="1">
        <f t="array" ref="F86">INDEX('6층_부하량'!K3:K3000,MATCH(1,("6-DaHall 1-PDU-09"='6층_부하량'!A3:A3000)*(5='6층_부하량'!B3:B3000),0))</f>
        <v>0</v>
      </c>
      <c r="G86" s="157"/>
      <c r="H86" s="143" t="s">
        <v>4597</v>
      </c>
      <c r="I86" s="293" t="s">
        <v>4641</v>
      </c>
      <c r="J86" s="294" t="s">
        <v>4588</v>
      </c>
      <c r="K86" s="143" t="s">
        <v>4597</v>
      </c>
      <c r="L86" s="157"/>
      <c r="M86" s="157"/>
      <c r="N86" s="2656" cm="1">
        <f t="array" ref="N86">INDEX('6층_부하량'!K3:K3000,MATCH(1,("6-DaHall 1-PDU-09"='6층_부하량'!A3:A3000)*(6='6층_부하량'!B3:B3000),0))</f>
        <v>0</v>
      </c>
      <c r="O86" s="157"/>
      <c r="P86" s="157" t="s">
        <v>4635</v>
      </c>
      <c r="Q86" s="164" t="s">
        <v>4575</v>
      </c>
      <c r="R86" s="342" t="s">
        <v>5069</v>
      </c>
    </row>
    <row r="87" spans="1:18" ht="16.5" x14ac:dyDescent="0.15">
      <c r="A87" s="622" t="s">
        <v>5070</v>
      </c>
      <c r="B87" s="143" t="s">
        <v>4635</v>
      </c>
      <c r="C87" s="164" t="s">
        <v>4575</v>
      </c>
      <c r="D87" s="2656" cm="1">
        <f t="array" ref="D87">INDEX('6층_부하량'!I3:I3000,MATCH(1,("6-DaHall 1-PDU-09"='6층_부하량'!A3:A3000)*(7='6층_부하량'!B3:B3000),0))</f>
        <v>0</v>
      </c>
      <c r="E87" s="157"/>
      <c r="F87" s="157"/>
      <c r="G87" s="157"/>
      <c r="H87" s="143" t="s">
        <v>4597</v>
      </c>
      <c r="I87" s="293" t="s">
        <v>4645</v>
      </c>
      <c r="J87" s="294" t="s">
        <v>4593</v>
      </c>
      <c r="K87" s="143" t="s">
        <v>4597</v>
      </c>
      <c r="L87" s="2656" cm="1">
        <f t="array" ref="L87">INDEX('6층_부하량'!I3:I3000,MATCH(1,("6-DaHall 1-PDU-09"='6층_부하량'!A3:A3000)*(8='6층_부하량'!B3:B3000),0))</f>
        <v>0</v>
      </c>
      <c r="M87" s="157"/>
      <c r="N87" s="157"/>
      <c r="O87" s="157"/>
      <c r="P87" s="157" t="s">
        <v>4635</v>
      </c>
      <c r="Q87" s="164" t="s">
        <v>4575</v>
      </c>
      <c r="R87" s="342" t="s">
        <v>5071</v>
      </c>
    </row>
    <row r="88" spans="1:18" ht="16.5" x14ac:dyDescent="0.15">
      <c r="A88" s="607" t="s">
        <v>5072</v>
      </c>
      <c r="B88" s="143" t="s">
        <v>4635</v>
      </c>
      <c r="C88" s="164" t="s">
        <v>4575</v>
      </c>
      <c r="D88" s="157"/>
      <c r="E88" s="2656" cm="1">
        <f t="array" ref="E88">INDEX('6층_부하량'!J3:J3000,MATCH(1,("6-DaHall 1-PDU-09"='6층_부하량'!A3:A3000)*(9='6층_부하량'!B3:B3000),0))</f>
        <v>0</v>
      </c>
      <c r="F88" s="157"/>
      <c r="G88" s="157"/>
      <c r="H88" s="143" t="s">
        <v>4597</v>
      </c>
      <c r="I88" s="293" t="s">
        <v>4648</v>
      </c>
      <c r="J88" s="294" t="s">
        <v>4596</v>
      </c>
      <c r="K88" s="143" t="s">
        <v>4597</v>
      </c>
      <c r="L88" s="157"/>
      <c r="M88" s="2656" cm="1">
        <f t="array" ref="M88">INDEX('6층_부하량'!J3:J3000,MATCH(1,("6-DaHall 1-PDU-09"='6층_부하량'!A3:A3000)*(10='6층_부하량'!B3:B3000),0))</f>
        <v>0</v>
      </c>
      <c r="N88" s="157"/>
      <c r="O88" s="157"/>
      <c r="P88" s="157" t="s">
        <v>4635</v>
      </c>
      <c r="Q88" s="164" t="s">
        <v>4575</v>
      </c>
      <c r="R88" s="342" t="s">
        <v>5073</v>
      </c>
    </row>
    <row r="89" spans="1:18" ht="16.5" x14ac:dyDescent="0.15">
      <c r="A89" s="622" t="s">
        <v>5074</v>
      </c>
      <c r="B89" s="143" t="s">
        <v>4635</v>
      </c>
      <c r="C89" s="164" t="s">
        <v>4575</v>
      </c>
      <c r="D89" s="157"/>
      <c r="E89" s="157"/>
      <c r="F89" s="2656" cm="1">
        <f t="array" ref="F89">INDEX('6층_부하량'!K3:K3000,MATCH(1,("6-DaHall 1-PDU-09"='6층_부하량'!A3:A3000)*(11='6층_부하량'!B3:B3000),0))</f>
        <v>0</v>
      </c>
      <c r="G89" s="157"/>
      <c r="H89" s="143" t="s">
        <v>4597</v>
      </c>
      <c r="I89" s="293" t="s">
        <v>4653</v>
      </c>
      <c r="J89" s="294" t="s">
        <v>4599</v>
      </c>
      <c r="K89" s="143" t="s">
        <v>4597</v>
      </c>
      <c r="L89" s="157"/>
      <c r="M89" s="157"/>
      <c r="N89" s="2656" cm="1">
        <f t="array" ref="N89">INDEX('6층_부하량'!K3:K3000,MATCH(1,("6-DaHall 1-PDU-09"='6층_부하량'!A3:A3000)*(12='6층_부하량'!B3:B3000),0))</f>
        <v>0</v>
      </c>
      <c r="O89" s="157"/>
      <c r="P89" s="157" t="s">
        <v>4635</v>
      </c>
      <c r="Q89" s="164" t="s">
        <v>4575</v>
      </c>
      <c r="R89" s="342" t="s">
        <v>5075</v>
      </c>
    </row>
    <row r="90" spans="1:18" ht="16.5" x14ac:dyDescent="0.15">
      <c r="A90" s="607" t="s">
        <v>5076</v>
      </c>
      <c r="B90" s="143" t="s">
        <v>4635</v>
      </c>
      <c r="C90" s="164" t="s">
        <v>4575</v>
      </c>
      <c r="D90" s="2656" cm="1">
        <f t="array" ref="D90">INDEX('6층_부하량'!I3:I3000,MATCH(1,("6-DaHall 1-PDU-09"='6층_부하량'!A3:A3000)*(13='6층_부하량'!B3:B3000),0))</f>
        <v>0</v>
      </c>
      <c r="E90" s="157"/>
      <c r="F90" s="157"/>
      <c r="G90" s="157"/>
      <c r="H90" s="143" t="s">
        <v>4597</v>
      </c>
      <c r="I90" s="293" t="s">
        <v>4657</v>
      </c>
      <c r="J90" s="294" t="s">
        <v>4601</v>
      </c>
      <c r="K90" s="143" t="s">
        <v>4597</v>
      </c>
      <c r="L90" s="2656" cm="1">
        <f t="array" ref="L90">INDEX('6층_부하량'!I3:I3000,MATCH(1,("6-DaHall 1-PDU-09"='6층_부하량'!A3:A3000)*(14='6층_부하량'!B3:B3000),0))</f>
        <v>0</v>
      </c>
      <c r="M90" s="157"/>
      <c r="N90" s="157"/>
      <c r="O90" s="157"/>
      <c r="P90" s="157" t="s">
        <v>4635</v>
      </c>
      <c r="Q90" s="164" t="s">
        <v>4575</v>
      </c>
      <c r="R90" s="342" t="s">
        <v>5077</v>
      </c>
    </row>
    <row r="91" spans="1:18" ht="16.5" x14ac:dyDescent="0.15">
      <c r="A91" s="622" t="s">
        <v>5078</v>
      </c>
      <c r="B91" s="143" t="s">
        <v>4635</v>
      </c>
      <c r="C91" s="164" t="s">
        <v>4575</v>
      </c>
      <c r="D91" s="157"/>
      <c r="E91" s="2656" cm="1">
        <f t="array" ref="E91">INDEX('6층_부하량'!J3:J3000,MATCH(1,("6-DaHall 1-PDU-09"='6층_부하량'!A3:A3000)*(15='6층_부하량'!B3:B3000),0))</f>
        <v>0</v>
      </c>
      <c r="F91" s="157"/>
      <c r="G91" s="157"/>
      <c r="H91" s="143" t="s">
        <v>4597</v>
      </c>
      <c r="I91" s="293" t="s">
        <v>4661</v>
      </c>
      <c r="J91" s="294" t="s">
        <v>4603</v>
      </c>
      <c r="K91" s="143" t="s">
        <v>4597</v>
      </c>
      <c r="L91" s="157"/>
      <c r="M91" s="2656" cm="1">
        <f t="array" ref="M91">INDEX('6층_부하량'!J3:J3000,MATCH(1,("6-DaHall 1-PDU-09"='6층_부하량'!A3:A3000)*(16='6층_부하량'!B3:B3000),0))</f>
        <v>0</v>
      </c>
      <c r="N91" s="157"/>
      <c r="O91" s="157"/>
      <c r="P91" s="157" t="s">
        <v>4635</v>
      </c>
      <c r="Q91" s="164" t="s">
        <v>4575</v>
      </c>
      <c r="R91" s="342" t="s">
        <v>5079</v>
      </c>
    </row>
    <row r="92" spans="1:18" ht="17.25" thickBot="1" x14ac:dyDescent="0.2">
      <c r="A92" s="623" t="s">
        <v>5080</v>
      </c>
      <c r="B92" s="176" t="s">
        <v>4635</v>
      </c>
      <c r="C92" s="185" t="s">
        <v>4575</v>
      </c>
      <c r="D92" s="177"/>
      <c r="E92" s="177"/>
      <c r="F92" s="2661" cm="1">
        <f t="array" ref="F92">INDEX('6층_부하량'!K3:K3000,MATCH(1,("6-DaHall 1-PDU-09"='6층_부하량'!A3:A3000)*(17='6층_부하량'!B3:B3000),0))</f>
        <v>0</v>
      </c>
      <c r="G92" s="177"/>
      <c r="H92" s="176" t="s">
        <v>4597</v>
      </c>
      <c r="I92" s="295" t="s">
        <v>4665</v>
      </c>
      <c r="J92" s="296" t="s">
        <v>4605</v>
      </c>
      <c r="K92" s="176" t="s">
        <v>4597</v>
      </c>
      <c r="L92" s="177"/>
      <c r="M92" s="177"/>
      <c r="N92" s="2661" cm="1">
        <f t="array" ref="N92">INDEX('6층_부하량'!K3:K3000,MATCH(1,("6-DaHall 1-PDU-09"='6층_부하량'!A3:A3000)*(18='6층_부하량'!B3:B3000),0))</f>
        <v>0</v>
      </c>
      <c r="O92" s="177"/>
      <c r="P92" s="177" t="s">
        <v>4635</v>
      </c>
      <c r="Q92" s="185" t="s">
        <v>4575</v>
      </c>
      <c r="R92" s="477" t="s">
        <v>5081</v>
      </c>
    </row>
    <row r="93" spans="1:18" ht="17.25" thickTop="1" x14ac:dyDescent="0.15">
      <c r="A93" s="174" t="s">
        <v>5082</v>
      </c>
      <c r="B93" s="156" t="s">
        <v>4635</v>
      </c>
      <c r="C93" s="142" t="s">
        <v>4723</v>
      </c>
      <c r="D93" s="2658" cm="1">
        <f t="array" ref="D93">INDEX('6층_부하량'!I3:I3000,MATCH(1,("6-DaHall 1-PDU-09"='6층_부하량'!A3:A3000)*(19='6층_부하량'!B3:B3000),0))</f>
        <v>0</v>
      </c>
      <c r="E93" s="179"/>
      <c r="F93" s="179"/>
      <c r="G93" s="179"/>
      <c r="H93" s="156" t="s">
        <v>4597</v>
      </c>
      <c r="I93" s="1470" t="s">
        <v>4670</v>
      </c>
      <c r="J93" s="298" t="s">
        <v>4609</v>
      </c>
      <c r="K93" s="156" t="s">
        <v>4597</v>
      </c>
      <c r="L93" s="2658" cm="1">
        <f t="array" ref="L93">INDEX('6층_부하량'!I3:I3000,MATCH(1,("6-DaHall 1-PDU-09"='6층_부하량'!A3:A3000)*(20='6층_부하량'!B3:B3000),0))</f>
        <v>0</v>
      </c>
      <c r="M93" s="179"/>
      <c r="N93" s="179"/>
      <c r="O93" s="179"/>
      <c r="P93" s="179" t="s">
        <v>4635</v>
      </c>
      <c r="Q93" s="152" t="s">
        <v>4575</v>
      </c>
      <c r="R93" s="475" t="s">
        <v>5083</v>
      </c>
    </row>
    <row r="94" spans="1:18" ht="16.5" x14ac:dyDescent="0.15">
      <c r="A94" s="148" t="s">
        <v>5084</v>
      </c>
      <c r="B94" s="143" t="s">
        <v>4635</v>
      </c>
      <c r="C94" s="156" t="s">
        <v>4723</v>
      </c>
      <c r="D94" s="157"/>
      <c r="E94" s="2656" cm="1">
        <f t="array" ref="E94">INDEX('6층_부하량'!J3:J3000,MATCH(1,("6-DaHall 1-PDU-09"='6층_부하량'!A3:A3000)*(21='6층_부하량'!B3:B3000),0))</f>
        <v>0</v>
      </c>
      <c r="F94" s="157"/>
      <c r="G94" s="157"/>
      <c r="H94" s="143" t="s">
        <v>4597</v>
      </c>
      <c r="I94" s="1471" t="s">
        <v>4674</v>
      </c>
      <c r="J94" s="294" t="s">
        <v>4613</v>
      </c>
      <c r="K94" s="143" t="s">
        <v>4597</v>
      </c>
      <c r="L94" s="157"/>
      <c r="M94" s="2656" cm="1">
        <f t="array" ref="M94">INDEX('6층_부하량'!J3:J3000,MATCH(1,("6-DaHall 1-PDU-09"='6층_부하량'!A3:A3000)*(22='6층_부하량'!B3:B3000),0))</f>
        <v>0</v>
      </c>
      <c r="N94" s="157"/>
      <c r="O94" s="157"/>
      <c r="P94" s="157" t="s">
        <v>4635</v>
      </c>
      <c r="Q94" s="164" t="s">
        <v>4575</v>
      </c>
      <c r="R94" s="342" t="s">
        <v>5085</v>
      </c>
    </row>
    <row r="95" spans="1:18" ht="16.5" x14ac:dyDescent="0.15">
      <c r="A95" s="148" t="s">
        <v>5086</v>
      </c>
      <c r="B95" s="143" t="s">
        <v>4635</v>
      </c>
      <c r="C95" s="143" t="s">
        <v>4723</v>
      </c>
      <c r="D95" s="157"/>
      <c r="E95" s="157"/>
      <c r="F95" s="2656" cm="1">
        <f t="array" ref="F95">INDEX('6층_부하량'!K3:K3000,MATCH(1,("6-DaHall 1-PDU-09"='6층_부하량'!A3:A3000)*(23='6층_부하량'!B3:B3000),0))</f>
        <v>0</v>
      </c>
      <c r="G95" s="157"/>
      <c r="H95" s="143" t="s">
        <v>4597</v>
      </c>
      <c r="I95" s="1471" t="s">
        <v>4678</v>
      </c>
      <c r="J95" s="294" t="s">
        <v>4680</v>
      </c>
      <c r="K95" s="143" t="s">
        <v>4597</v>
      </c>
      <c r="L95" s="157"/>
      <c r="M95" s="157"/>
      <c r="N95" s="2656" cm="1">
        <f t="array" ref="N95">INDEX('6층_부하량'!K3:K3000,MATCH(1,("6-DaHall 1-PDU-09"='6층_부하량'!A3:A3000)*(24='6층_부하량'!B3:B3000),0))</f>
        <v>0</v>
      </c>
      <c r="O95" s="157"/>
      <c r="P95" s="157" t="s">
        <v>4635</v>
      </c>
      <c r="Q95" s="164" t="s">
        <v>4575</v>
      </c>
      <c r="R95" s="342" t="s">
        <v>5087</v>
      </c>
    </row>
    <row r="96" spans="1:18" ht="16.5" x14ac:dyDescent="0.15">
      <c r="A96" s="148" t="s">
        <v>5088</v>
      </c>
      <c r="B96" s="143" t="s">
        <v>4635</v>
      </c>
      <c r="C96" s="143" t="s">
        <v>4723</v>
      </c>
      <c r="D96" s="2656" cm="1">
        <f t="array" ref="D96">INDEX('6층_부하량'!I3:I3000,MATCH(1,("6-DaHall 1-PDU-09"='6층_부하량'!A3:A3000)*(25='6층_부하량'!B3:B3000),0))</f>
        <v>0</v>
      </c>
      <c r="E96" s="157"/>
      <c r="F96" s="157"/>
      <c r="G96" s="157"/>
      <c r="H96" s="143" t="s">
        <v>4597</v>
      </c>
      <c r="I96" s="1471" t="s">
        <v>4683</v>
      </c>
      <c r="J96" s="294" t="s">
        <v>4685</v>
      </c>
      <c r="K96" s="143" t="s">
        <v>4597</v>
      </c>
      <c r="L96" s="2656" cm="1">
        <f t="array" ref="L96">INDEX('6층_부하량'!I3:I3000,MATCH(1,("6-DaHall 1-PDU-09"='6층_부하량'!A3:A3000)*(26='6층_부하량'!B3:B3000),0))</f>
        <v>0</v>
      </c>
      <c r="M96" s="157"/>
      <c r="N96" s="157"/>
      <c r="O96" s="157"/>
      <c r="P96" s="157" t="s">
        <v>4635</v>
      </c>
      <c r="Q96" s="164" t="s">
        <v>4575</v>
      </c>
      <c r="R96" s="342" t="s">
        <v>5089</v>
      </c>
    </row>
    <row r="97" spans="1:18" ht="16.5" x14ac:dyDescent="0.15">
      <c r="A97" s="257" t="s">
        <v>5090</v>
      </c>
      <c r="B97" s="143" t="s">
        <v>4635</v>
      </c>
      <c r="C97" s="143" t="s">
        <v>4723</v>
      </c>
      <c r="D97" s="157"/>
      <c r="E97" s="2656" cm="1">
        <f t="array" ref="E97">INDEX('6층_부하량'!J3:J3000,MATCH(1,("6-DaHall 1-PDU-09"='6층_부하량'!A3:A3000)*(27='6층_부하량'!B3:B3000),0))</f>
        <v>0</v>
      </c>
      <c r="F97" s="157"/>
      <c r="G97" s="157"/>
      <c r="H97" s="143" t="s">
        <v>4597</v>
      </c>
      <c r="I97" s="1471" t="s">
        <v>4688</v>
      </c>
      <c r="J97" s="294" t="s">
        <v>4689</v>
      </c>
      <c r="K97" s="143" t="s">
        <v>4597</v>
      </c>
      <c r="L97" s="157"/>
      <c r="M97" s="2656" cm="1">
        <f t="array" ref="M97">INDEX('6층_부하량'!J3:J3000,MATCH(1,("6-DaHall 1-PDU-09"='6층_부하량'!A3:A3000)*(28='6층_부하량'!B3:B3000),0))</f>
        <v>0</v>
      </c>
      <c r="N97" s="157"/>
      <c r="O97" s="157"/>
      <c r="P97" s="157" t="s">
        <v>4635</v>
      </c>
      <c r="Q97" s="164" t="s">
        <v>4575</v>
      </c>
      <c r="R97" s="342" t="s">
        <v>5091</v>
      </c>
    </row>
    <row r="98" spans="1:18" ht="16.5" x14ac:dyDescent="0.15">
      <c r="A98" s="257" t="s">
        <v>5092</v>
      </c>
      <c r="B98" s="143" t="s">
        <v>4635</v>
      </c>
      <c r="C98" s="143" t="s">
        <v>4723</v>
      </c>
      <c r="D98" s="157"/>
      <c r="E98" s="157"/>
      <c r="F98" s="2656" cm="1">
        <f t="array" ref="F98">INDEX('6층_부하량'!K3:K3000,MATCH(1,("6-DaHall 1-PDU-09"='6층_부하량'!A3:A3000)*(29='6층_부하량'!B3:B3000),0))</f>
        <v>0</v>
      </c>
      <c r="G98" s="157"/>
      <c r="H98" s="143" t="s">
        <v>4597</v>
      </c>
      <c r="I98" s="1471" t="s">
        <v>4691</v>
      </c>
      <c r="J98" s="294" t="s">
        <v>4692</v>
      </c>
      <c r="K98" s="143" t="s">
        <v>4597</v>
      </c>
      <c r="L98" s="157"/>
      <c r="M98" s="157"/>
      <c r="N98" s="2656" cm="1">
        <f t="array" ref="N98">INDEX('6층_부하량'!K3:K3000,MATCH(1,("6-DaHall 1-PDU-09"='6층_부하량'!A3:A3000)*(30='6층_부하량'!B3:B3000),0))</f>
        <v>0</v>
      </c>
      <c r="O98" s="157"/>
      <c r="P98" s="157" t="s">
        <v>4635</v>
      </c>
      <c r="Q98" s="164" t="s">
        <v>4575</v>
      </c>
      <c r="R98" s="342" t="s">
        <v>5093</v>
      </c>
    </row>
    <row r="99" spans="1:18" ht="16.5" x14ac:dyDescent="0.15">
      <c r="A99" s="274" t="s">
        <v>5094</v>
      </c>
      <c r="B99" s="143" t="s">
        <v>4635</v>
      </c>
      <c r="C99" s="164" t="s">
        <v>4575</v>
      </c>
      <c r="D99" s="2656" cm="1">
        <f t="array" ref="D99">INDEX('6층_부하량'!I3:I3000,MATCH(1,("6-DaHall 1-PDU-09"='6층_부하량'!A3:A3000)*(31='6층_부하량'!B3:B3000),0))</f>
        <v>0</v>
      </c>
      <c r="E99" s="157"/>
      <c r="F99" s="157"/>
      <c r="G99" s="157"/>
      <c r="H99" s="143" t="s">
        <v>4597</v>
      </c>
      <c r="I99" s="299" t="s">
        <v>4693</v>
      </c>
      <c r="J99" s="294" t="s">
        <v>4694</v>
      </c>
      <c r="K99" s="143" t="s">
        <v>4597</v>
      </c>
      <c r="L99" s="2656" cm="1">
        <f t="array" ref="L99">INDEX('6층_부하량'!I3:I3000,MATCH(1,("6-DaHall 1-PDU-09"='6층_부하량'!A3:A3000)*(32='6층_부하량'!B3:B3000),0))</f>
        <v>0</v>
      </c>
      <c r="M99" s="157"/>
      <c r="N99" s="157"/>
      <c r="O99" s="157"/>
      <c r="P99" s="157" t="s">
        <v>4635</v>
      </c>
      <c r="Q99" s="164" t="s">
        <v>4575</v>
      </c>
      <c r="R99" s="264" t="s">
        <v>5095</v>
      </c>
    </row>
    <row r="100" spans="1:18" ht="16.5" x14ac:dyDescent="0.15">
      <c r="A100" s="148" t="s">
        <v>5096</v>
      </c>
      <c r="B100" s="143" t="s">
        <v>4635</v>
      </c>
      <c r="C100" s="143" t="s">
        <v>4723</v>
      </c>
      <c r="D100" s="157"/>
      <c r="E100" s="2656" cm="1">
        <f t="array" ref="E100">INDEX('6층_부하량'!J3:J3000,MATCH(1,("6-DaHall 1-PDU-09"='6층_부하량'!A3:A3000)*(33='6층_부하량'!B3:B3000),0))</f>
        <v>0</v>
      </c>
      <c r="F100" s="157"/>
      <c r="G100" s="157"/>
      <c r="H100" s="143" t="s">
        <v>4597</v>
      </c>
      <c r="I100" s="1471" t="s">
        <v>4697</v>
      </c>
      <c r="J100" s="294" t="s">
        <v>4698</v>
      </c>
      <c r="K100" s="143" t="s">
        <v>4597</v>
      </c>
      <c r="L100" s="157"/>
      <c r="M100" s="2656" cm="1">
        <f t="array" ref="M100">INDEX('6층_부하량'!J3:J3000,MATCH(1,("6-DaHall 1-PDU-09"='6층_부하량'!A3:A3000)*(34='6층_부하량'!B3:B3000),0))</f>
        <v>0</v>
      </c>
      <c r="N100" s="157"/>
      <c r="O100" s="157"/>
      <c r="P100" s="157" t="s">
        <v>4635</v>
      </c>
      <c r="Q100" s="164" t="s">
        <v>4575</v>
      </c>
      <c r="R100" s="264" t="s">
        <v>5097</v>
      </c>
    </row>
    <row r="101" spans="1:18" ht="16.5" customHeight="1" x14ac:dyDescent="0.15">
      <c r="A101" s="341" t="s">
        <v>5098</v>
      </c>
      <c r="B101" s="143" t="s">
        <v>4635</v>
      </c>
      <c r="C101" s="143" t="s">
        <v>4723</v>
      </c>
      <c r="D101" s="157"/>
      <c r="E101" s="157"/>
      <c r="F101" s="2656" cm="1">
        <f t="array" ref="F101">INDEX('6층_부하량'!K3:K3000,MATCH(1,("6-DaHall 1-PDU-09"='6층_부하량'!A3:A3000)*(35='6층_부하량'!B3:B3000),0))</f>
        <v>0</v>
      </c>
      <c r="G101" s="157"/>
      <c r="H101" s="143" t="s">
        <v>4597</v>
      </c>
      <c r="I101" s="1465" t="s">
        <v>4701</v>
      </c>
      <c r="J101" s="294" t="s">
        <v>4703</v>
      </c>
      <c r="K101" s="143" t="s">
        <v>4597</v>
      </c>
      <c r="L101" s="157"/>
      <c r="M101" s="157"/>
      <c r="N101" s="2656" cm="1">
        <f t="array" ref="N101">INDEX('6층_부하량'!K3:K3000,MATCH(1,("6-DaHall 1-PDU-09"='6층_부하량'!A3:A3000)*(36='6층_부하량'!B3:B3000),0))</f>
        <v>0</v>
      </c>
      <c r="O101" s="157"/>
      <c r="P101" s="157" t="s">
        <v>4635</v>
      </c>
      <c r="Q101" s="164" t="s">
        <v>4575</v>
      </c>
      <c r="R101" s="264" t="s">
        <v>5099</v>
      </c>
    </row>
    <row r="102" spans="1:18" ht="16.5" customHeight="1" x14ac:dyDescent="0.15">
      <c r="A102" s="341" t="s">
        <v>5100</v>
      </c>
      <c r="B102" s="143" t="s">
        <v>4635</v>
      </c>
      <c r="C102" s="143" t="s">
        <v>4723</v>
      </c>
      <c r="D102" s="2656" cm="1">
        <f t="array" ref="D102">INDEX('6층_부하량'!I3:I3000,MATCH(1,("6-DaHall 1-PDU-09"='6층_부하량'!A3:A3000)*(37='6층_부하량'!B3:B3000),0))</f>
        <v>0</v>
      </c>
      <c r="E102" s="157"/>
      <c r="F102" s="157"/>
      <c r="G102" s="157"/>
      <c r="H102" s="143" t="s">
        <v>4597</v>
      </c>
      <c r="I102" s="1465" t="s">
        <v>4706</v>
      </c>
      <c r="J102" s="1463" t="s">
        <v>4707</v>
      </c>
      <c r="K102" s="143" t="s">
        <v>4597</v>
      </c>
      <c r="L102" s="2656" cm="1">
        <f t="array" ref="L102">INDEX('6층_부하량'!I3:I3000,MATCH(1,("6-DaHall 1-PDU-09"='6층_부하량'!A3:A3000)*(38='6층_부하량'!B3:B3000),0))</f>
        <v>0</v>
      </c>
      <c r="M102" s="157"/>
      <c r="N102" s="157"/>
      <c r="O102" s="157"/>
      <c r="P102" s="157" t="s">
        <v>4635</v>
      </c>
      <c r="Q102" s="143" t="s">
        <v>4591</v>
      </c>
      <c r="R102" s="619" t="s">
        <v>5101</v>
      </c>
    </row>
    <row r="103" spans="1:18" ht="16.5" customHeight="1" x14ac:dyDescent="0.15">
      <c r="A103" s="148" t="s">
        <v>5102</v>
      </c>
      <c r="B103" s="143" t="s">
        <v>4635</v>
      </c>
      <c r="C103" s="143" t="s">
        <v>4723</v>
      </c>
      <c r="D103" s="157"/>
      <c r="E103" s="2656" cm="1">
        <f t="array" ref="E103">INDEX('6층_부하량'!J3:J3000,MATCH(1,("6-DaHall 1-PDU-09"='6층_부하량'!A3:A3000)*(39='6층_부하량'!B3:B3000),0))</f>
        <v>0</v>
      </c>
      <c r="F103" s="157"/>
      <c r="G103" s="157"/>
      <c r="H103" s="143" t="s">
        <v>4597</v>
      </c>
      <c r="I103" s="1471" t="s">
        <v>4710</v>
      </c>
      <c r="J103" s="1463" t="s">
        <v>4711</v>
      </c>
      <c r="K103" s="143" t="s">
        <v>4597</v>
      </c>
      <c r="L103" s="157"/>
      <c r="M103" s="2656" cm="1">
        <f t="array" ref="M103">INDEX('6층_부하량'!J3:J3000,MATCH(1,("6-DaHall 1-PDU-09"='6층_부하량'!A3:A3000)*(40='6층_부하량'!B3:B3000),0))</f>
        <v>0</v>
      </c>
      <c r="N103" s="157"/>
      <c r="O103" s="157"/>
      <c r="P103" s="157" t="s">
        <v>4635</v>
      </c>
      <c r="Q103" s="143" t="s">
        <v>4591</v>
      </c>
      <c r="R103" s="619" t="s">
        <v>5103</v>
      </c>
    </row>
    <row r="104" spans="1:18" ht="16.5" customHeight="1" x14ac:dyDescent="0.15">
      <c r="A104" s="148" t="s">
        <v>5104</v>
      </c>
      <c r="B104" s="143" t="s">
        <v>4635</v>
      </c>
      <c r="C104" s="143" t="s">
        <v>4723</v>
      </c>
      <c r="D104" s="157"/>
      <c r="E104" s="157"/>
      <c r="F104" s="2656" cm="1">
        <f t="array" ref="F104">INDEX('6층_부하량'!K3:K3000,MATCH(1,("6-DaHall 1-PDU-09"='6층_부하량'!A3:A3000)*(41='6층_부하량'!B3:B3000),0))</f>
        <v>0</v>
      </c>
      <c r="G104" s="157"/>
      <c r="H104" s="143" t="s">
        <v>4597</v>
      </c>
      <c r="I104" s="1465" t="s">
        <v>5055</v>
      </c>
      <c r="J104" s="1463" t="s">
        <v>4843</v>
      </c>
      <c r="K104" s="143" t="s">
        <v>4597</v>
      </c>
      <c r="L104" s="157"/>
      <c r="M104" s="157"/>
      <c r="N104" s="2656" cm="1">
        <f t="array" ref="N104">INDEX('6층_부하량'!K3:K3000,MATCH(1,("6-DaHall 1-PDU-09"='6층_부하량'!A3:A3000)*(42='6층_부하량'!B3:B3000),0))</f>
        <v>0</v>
      </c>
      <c r="O104" s="157"/>
      <c r="P104" s="157" t="s">
        <v>4635</v>
      </c>
      <c r="Q104" s="143" t="s">
        <v>4591</v>
      </c>
      <c r="R104" s="619" t="s">
        <v>5105</v>
      </c>
    </row>
    <row r="105" spans="1:18" ht="16.5" customHeight="1" x14ac:dyDescent="0.15">
      <c r="A105" s="148" t="s">
        <v>5106</v>
      </c>
      <c r="B105" s="143" t="s">
        <v>4635</v>
      </c>
      <c r="C105" s="143" t="s">
        <v>4723</v>
      </c>
      <c r="D105" s="2656" cm="1">
        <f t="array" ref="D105">INDEX('6층_부하량'!I3:I3000,MATCH(1,("6-DaHall 1-PDU-09"='6층_부하량'!A3:A3000)*(43='6층_부하량'!B3:B3000),0))</f>
        <v>0</v>
      </c>
      <c r="E105" s="157"/>
      <c r="F105" s="157"/>
      <c r="G105" s="157"/>
      <c r="H105" s="143" t="s">
        <v>4597</v>
      </c>
      <c r="I105" s="1465" t="s">
        <v>4845</v>
      </c>
      <c r="J105" s="1463" t="s">
        <v>4846</v>
      </c>
      <c r="K105" s="143" t="s">
        <v>4597</v>
      </c>
      <c r="L105" s="2656" cm="1">
        <f t="array" ref="L105">INDEX('6층_부하량'!I3:I3000,MATCH(1,("6-DaHall 1-PDU-09"='6층_부하량'!A3:A3000)*(44='6층_부하량'!B3:B3000),0))</f>
        <v>0</v>
      </c>
      <c r="M105" s="157"/>
      <c r="N105" s="157"/>
      <c r="O105" s="157"/>
      <c r="P105" s="157" t="s">
        <v>4635</v>
      </c>
      <c r="Q105" s="143" t="s">
        <v>4591</v>
      </c>
      <c r="R105" s="619" t="s">
        <v>5107</v>
      </c>
    </row>
    <row r="106" spans="1:18" ht="16.5" customHeight="1" x14ac:dyDescent="0.15">
      <c r="A106" s="341" t="s">
        <v>5108</v>
      </c>
      <c r="B106" s="143" t="s">
        <v>4635</v>
      </c>
      <c r="C106" s="143" t="s">
        <v>4723</v>
      </c>
      <c r="D106" s="157"/>
      <c r="E106" s="2656" cm="1">
        <f t="array" ref="E106">INDEX('6층_부하량'!J3:J3000,MATCH(1,("6-DaHall 1-PDU-09"='6층_부하량'!A3:A3000)*(45='6층_부하량'!B3:B3000),0))</f>
        <v>0</v>
      </c>
      <c r="F106" s="157"/>
      <c r="G106" s="157"/>
      <c r="H106" s="143" t="s">
        <v>4597</v>
      </c>
      <c r="I106" s="1465" t="s">
        <v>4847</v>
      </c>
      <c r="J106" s="1463" t="s">
        <v>4848</v>
      </c>
      <c r="K106" s="143" t="s">
        <v>4597</v>
      </c>
      <c r="L106" s="157"/>
      <c r="M106" s="2656" cm="1">
        <f t="array" ref="M106">INDEX('6층_부하량'!J3:J3000,MATCH(1,("6-DaHall 1-PDU-09"='6층_부하량'!A3:A3000)*(46='6층_부하량'!B3:B3000),0))</f>
        <v>0</v>
      </c>
      <c r="N106" s="157"/>
      <c r="O106" s="157"/>
      <c r="P106" s="157" t="s">
        <v>4635</v>
      </c>
      <c r="Q106" s="143" t="s">
        <v>4591</v>
      </c>
      <c r="R106" s="619" t="s">
        <v>5109</v>
      </c>
    </row>
    <row r="107" spans="1:18" ht="16.5" customHeight="1" x14ac:dyDescent="0.15">
      <c r="A107" s="341" t="s">
        <v>5110</v>
      </c>
      <c r="B107" s="143" t="s">
        <v>4635</v>
      </c>
      <c r="C107" s="143" t="s">
        <v>4723</v>
      </c>
      <c r="D107" s="157"/>
      <c r="E107" s="157"/>
      <c r="F107" s="2656" cm="1">
        <f t="array" ref="F107">INDEX('6층_부하량'!K3:K3000,MATCH(1,("6-DaHall 1-PDU-09"='6층_부하량'!A3:A3000)*(47='6층_부하량'!B3:B3000),0))</f>
        <v>0</v>
      </c>
      <c r="G107" s="157"/>
      <c r="H107" s="143" t="s">
        <v>4597</v>
      </c>
      <c r="I107" s="1471" t="s">
        <v>4849</v>
      </c>
      <c r="J107" s="1463" t="s">
        <v>4850</v>
      </c>
      <c r="K107" s="143" t="s">
        <v>4597</v>
      </c>
      <c r="L107" s="157"/>
      <c r="M107" s="157"/>
      <c r="N107" s="2656" cm="1">
        <f t="array" ref="N107">INDEX('6층_부하량'!K3:K3000,MATCH(1,("6-DaHall 1-PDU-09"='6층_부하량'!A3:A3000)*(48='6층_부하량'!B3:B3000),0))</f>
        <v>0</v>
      </c>
      <c r="O107" s="157"/>
      <c r="P107" s="157" t="s">
        <v>4635</v>
      </c>
      <c r="Q107" s="143" t="s">
        <v>4591</v>
      </c>
      <c r="R107" s="619" t="s">
        <v>5111</v>
      </c>
    </row>
    <row r="108" spans="1:18" ht="16.5" customHeight="1" thickBot="1" x14ac:dyDescent="0.2">
      <c r="A108" s="624" t="s">
        <v>5112</v>
      </c>
      <c r="B108" s="166" t="s">
        <v>4635</v>
      </c>
      <c r="C108" s="166" t="s">
        <v>4642</v>
      </c>
      <c r="D108" s="2659" cm="1">
        <f t="array" ref="D108">INDEX('6층_부하량'!I3:I3000,MATCH(1,("6-DaHall 1-PDU-09"='6층_부하량'!A3:A3000)*(49='6층_부하량'!B3:B3000),0))</f>
        <v>0</v>
      </c>
      <c r="E108" s="167"/>
      <c r="F108" s="167"/>
      <c r="G108" s="167"/>
      <c r="H108" s="166" t="s">
        <v>4597</v>
      </c>
      <c r="I108" s="1472" t="s">
        <v>4851</v>
      </c>
      <c r="J108" s="1473" t="s">
        <v>4852</v>
      </c>
      <c r="K108" s="166" t="s">
        <v>4597</v>
      </c>
      <c r="L108" s="2659" cm="1">
        <f t="array" ref="L108">INDEX('6층_부하량'!I3:I3000,MATCH(1,("6-DaHall 1-PDU-09"='6층_부하량'!A3:A3000)*(50='6층_부하량'!B3:B3000),0))</f>
        <v>0</v>
      </c>
      <c r="M108" s="167"/>
      <c r="N108" s="167"/>
      <c r="O108" s="167"/>
      <c r="P108" s="167" t="s">
        <v>4635</v>
      </c>
      <c r="Q108" s="166" t="s">
        <v>4642</v>
      </c>
      <c r="R108" s="620" t="s">
        <v>5113</v>
      </c>
    </row>
    <row r="109" spans="1:18" ht="14.25" thickTop="1" x14ac:dyDescent="0.15">
      <c r="A109" s="171"/>
      <c r="B109" s="133"/>
      <c r="C109" s="133"/>
      <c r="D109" s="131"/>
      <c r="E109" s="131"/>
      <c r="F109" s="131"/>
      <c r="G109" s="131"/>
      <c r="H109" s="133"/>
      <c r="I109" s="172"/>
      <c r="J109" s="172"/>
      <c r="K109" s="133" t="s">
        <v>4713</v>
      </c>
      <c r="L109" s="131" t="n">
        <f>SUM(D84:D108,L84:L108)</f>
        <v>0.0</v>
      </c>
      <c r="M109" s="131" t="n">
        <f>SUM(E84:E108,M84:M108)</f>
        <v>0.0</v>
      </c>
      <c r="N109" s="131" t="n">
        <f>SUM(F84:F108,N84:N108)</f>
        <v>0.0</v>
      </c>
      <c r="O109" s="131" t="n">
        <f>SUM(O84:O108,W84:W108)</f>
        <v>0.0</v>
      </c>
      <c r="P109" s="131"/>
      <c r="Q109" s="133"/>
      <c r="R109" s="131"/>
    </row>
    <row r="110" spans="1:18" ht="14.25" thickBot="1" x14ac:dyDescent="0.2">
      <c r="A110" s="128"/>
      <c r="B110" s="128"/>
      <c r="C110" s="128"/>
      <c r="D110" s="128"/>
      <c r="E110" s="128"/>
      <c r="F110" s="128"/>
      <c r="G110" s="128"/>
      <c r="H110" s="128"/>
      <c r="I110" s="128"/>
      <c r="J110" s="128"/>
      <c r="K110" s="128"/>
      <c r="L110" s="128"/>
      <c r="M110" s="128"/>
      <c r="N110" s="128"/>
      <c r="O110" s="128"/>
      <c r="P110" s="128"/>
      <c r="Q110" s="128"/>
      <c r="R110" s="128"/>
    </row>
    <row r="111" spans="1:18" ht="15" thickTop="1" thickBot="1" x14ac:dyDescent="0.2">
      <c r="A111" s="173" t="s">
        <v>7000</v>
      </c>
      <c r="B111" s="128"/>
      <c r="C111" s="3660" t="s">
        <v>5114</v>
      </c>
      <c r="D111" s="3660"/>
      <c r="E111" s="3660"/>
      <c r="F111" s="173"/>
      <c r="G111" s="173"/>
      <c r="H111" s="133"/>
      <c r="I111" s="3665" t="s">
        <v>5063</v>
      </c>
      <c r="J111" s="3666"/>
      <c r="K111" s="133"/>
      <c r="L111" s="173"/>
      <c r="M111" s="173"/>
      <c r="N111" s="173"/>
      <c r="O111" s="173"/>
      <c r="P111" s="173"/>
      <c r="Q111" s="173"/>
      <c r="R111" s="128"/>
    </row>
    <row r="112" spans="1:18" ht="15" thickTop="1" thickBot="1" x14ac:dyDescent="0.2">
      <c r="A112" s="127"/>
      <c r="B112" s="128"/>
      <c r="C112" s="128"/>
      <c r="D112" s="129"/>
      <c r="E112" s="129"/>
      <c r="F112" s="130"/>
      <c r="G112" s="129"/>
      <c r="H112" s="131"/>
      <c r="I112" s="128"/>
      <c r="J112" s="132"/>
      <c r="K112" s="1371" t="s">
        <v>4562</v>
      </c>
      <c r="L112" s="1368">
        <v>0</v>
      </c>
      <c r="M112" s="1369">
        <v>0</v>
      </c>
      <c r="N112" s="1370">
        <v>0</v>
      </c>
      <c r="O112" s="508" t="s">
        <v>4563</v>
      </c>
      <c r="P112" s="133"/>
      <c r="Q112" s="128"/>
      <c r="R112" s="528"/>
    </row>
    <row r="113" spans="1:18" ht="15" thickTop="1" thickBot="1" x14ac:dyDescent="0.2">
      <c r="A113" s="134" t="s">
        <v>4564</v>
      </c>
      <c r="B113" s="135" t="s">
        <v>5031</v>
      </c>
      <c r="C113" s="136" t="s">
        <v>4566</v>
      </c>
      <c r="D113" s="135" t="s">
        <v>5032</v>
      </c>
      <c r="E113" s="135" t="s">
        <v>5033</v>
      </c>
      <c r="F113" s="135" t="s">
        <v>5034</v>
      </c>
      <c r="G113" s="135" t="s">
        <v>5035</v>
      </c>
      <c r="H113" s="135" t="s">
        <v>5036</v>
      </c>
      <c r="I113" s="138" t="s">
        <v>5037</v>
      </c>
      <c r="J113" s="139" t="s">
        <v>5037</v>
      </c>
      <c r="K113" s="135" t="s">
        <v>5036</v>
      </c>
      <c r="L113" s="135" t="s">
        <v>5032</v>
      </c>
      <c r="M113" s="135" t="s">
        <v>5033</v>
      </c>
      <c r="N113" s="135" t="s">
        <v>5034</v>
      </c>
      <c r="O113" s="135" t="s">
        <v>5035</v>
      </c>
      <c r="P113" s="135" t="s">
        <v>5031</v>
      </c>
      <c r="Q113" s="136" t="s">
        <v>4566</v>
      </c>
      <c r="R113" s="140" t="s">
        <v>4564</v>
      </c>
    </row>
    <row r="114" spans="1:18" ht="17.25" thickTop="1" x14ac:dyDescent="0.15">
      <c r="A114" s="621" t="s">
        <v>5115</v>
      </c>
      <c r="B114" s="142" t="s">
        <v>4635</v>
      </c>
      <c r="C114" s="164" t="s">
        <v>4575</v>
      </c>
      <c r="D114" s="2654" cm="1">
        <f t="array" ref="D114">INDEX('6층_부하량'!I3:I3000,MATCH(1,("6-DaHall 1-PDU-10"='6층_부하량'!A3:A3000)*(1='6층_부하량'!B3:B3000),0))</f>
        <v>0</v>
      </c>
      <c r="E114" s="144"/>
      <c r="F114" s="144"/>
      <c r="G114" s="144"/>
      <c r="H114" s="142" t="s">
        <v>4597</v>
      </c>
      <c r="I114" s="291" t="s">
        <v>4633</v>
      </c>
      <c r="J114" s="292" t="s">
        <v>4578</v>
      </c>
      <c r="K114" s="142" t="s">
        <v>4597</v>
      </c>
      <c r="L114" s="2654" cm="1">
        <f t="array" ref="L114">INDEX('6층_부하량'!I3:I3000,MATCH(1,("6-DaHall 1-PDU-10"='6층_부하량'!A3:A3000)*(2='6층_부하량'!B3:B3000),0))</f>
        <v>0</v>
      </c>
      <c r="M114" s="144"/>
      <c r="N114" s="144"/>
      <c r="O114" s="144"/>
      <c r="P114" s="144" t="s">
        <v>4635</v>
      </c>
      <c r="Q114" s="164" t="s">
        <v>4575</v>
      </c>
      <c r="R114" s="618" t="s">
        <v>5116</v>
      </c>
    </row>
    <row r="115" spans="1:18" ht="16.5" x14ac:dyDescent="0.15">
      <c r="A115" s="622" t="s">
        <v>5117</v>
      </c>
      <c r="B115" s="143" t="s">
        <v>4635</v>
      </c>
      <c r="C115" s="164" t="s">
        <v>4575</v>
      </c>
      <c r="D115" s="149"/>
      <c r="E115" s="2655" cm="1">
        <f t="array" ref="E115">INDEX('6층_부하량'!J3:J3000,MATCH(1,("6-DaHall 1-PDU-10"='6층_부하량'!A3:A3000)*(3='6층_부하량'!B3:B3000),0))</f>
        <v>0</v>
      </c>
      <c r="F115" s="149"/>
      <c r="G115" s="149"/>
      <c r="H115" s="143" t="s">
        <v>4597</v>
      </c>
      <c r="I115" s="293" t="s">
        <v>4638</v>
      </c>
      <c r="J115" s="294" t="s">
        <v>4583</v>
      </c>
      <c r="K115" s="143" t="s">
        <v>4597</v>
      </c>
      <c r="L115" s="149"/>
      <c r="M115" s="2655" cm="1">
        <f t="array" ref="M115">INDEX('6층_부하량'!J3:J3000,MATCH(1,("6-DaHall 1-PDU-10"='6층_부하량'!A3:A3000)*(4='6층_부하량'!B3:B3000),0))</f>
        <v>0</v>
      </c>
      <c r="N115" s="149"/>
      <c r="O115" s="149"/>
      <c r="P115" s="149" t="s">
        <v>4635</v>
      </c>
      <c r="Q115" s="164" t="s">
        <v>4575</v>
      </c>
      <c r="R115" s="342" t="s">
        <v>5118</v>
      </c>
    </row>
    <row r="116" spans="1:18" ht="16.5" x14ac:dyDescent="0.15">
      <c r="A116" s="607" t="s">
        <v>5119</v>
      </c>
      <c r="B116" s="143" t="s">
        <v>4635</v>
      </c>
      <c r="C116" s="164" t="s">
        <v>4575</v>
      </c>
      <c r="D116" s="157"/>
      <c r="E116" s="157"/>
      <c r="F116" s="2656" cm="1">
        <f t="array" ref="F116">INDEX('6층_부하량'!K3:K3000,MATCH(1,("6-DaHall 1-PDU-10"='6층_부하량'!A3:A3000)*(5='6층_부하량'!B3:B3000),0))</f>
        <v>0</v>
      </c>
      <c r="G116" s="157"/>
      <c r="H116" s="143" t="s">
        <v>4597</v>
      </c>
      <c r="I116" s="293" t="s">
        <v>4641</v>
      </c>
      <c r="J116" s="294" t="s">
        <v>4588</v>
      </c>
      <c r="K116" s="143" t="s">
        <v>4597</v>
      </c>
      <c r="L116" s="157"/>
      <c r="M116" s="157"/>
      <c r="N116" s="2656" cm="1">
        <f t="array" ref="N116">INDEX('6층_부하량'!K3:K3000,MATCH(1,("6-DaHall 1-PDU-10"='6층_부하량'!A3:A3000)*(6='6층_부하량'!B3:B3000),0))</f>
        <v>0</v>
      </c>
      <c r="O116" s="157"/>
      <c r="P116" s="157" t="s">
        <v>4635</v>
      </c>
      <c r="Q116" s="164" t="s">
        <v>4575</v>
      </c>
      <c r="R116" s="342" t="s">
        <v>5120</v>
      </c>
    </row>
    <row r="117" spans="1:18" ht="16.5" x14ac:dyDescent="0.15">
      <c r="A117" s="622" t="s">
        <v>5121</v>
      </c>
      <c r="B117" s="143" t="s">
        <v>4635</v>
      </c>
      <c r="C117" s="164" t="s">
        <v>4575</v>
      </c>
      <c r="D117" s="2656" cm="1">
        <f t="array" ref="D117">INDEX('6층_부하량'!I3:I3000,MATCH(1,("6-DaHall 1-PDU-10"='6층_부하량'!A3:A3000)*(7='6층_부하량'!B3:B3000),0))</f>
        <v>0</v>
      </c>
      <c r="E117" s="157"/>
      <c r="F117" s="157"/>
      <c r="G117" s="157"/>
      <c r="H117" s="143" t="s">
        <v>4597</v>
      </c>
      <c r="I117" s="293" t="s">
        <v>4645</v>
      </c>
      <c r="J117" s="294" t="s">
        <v>4593</v>
      </c>
      <c r="K117" s="143" t="s">
        <v>4597</v>
      </c>
      <c r="L117" s="2656" cm="1">
        <f t="array" ref="L117">INDEX('6층_부하량'!I3:I3000,MATCH(1,("6-DaHall 1-PDU-10"='6층_부하량'!A3:A3000)*(8='6층_부하량'!B3:B3000),0))</f>
        <v>0</v>
      </c>
      <c r="M117" s="157"/>
      <c r="N117" s="157"/>
      <c r="O117" s="157"/>
      <c r="P117" s="157" t="s">
        <v>4635</v>
      </c>
      <c r="Q117" s="164" t="s">
        <v>4575</v>
      </c>
      <c r="R117" s="342" t="s">
        <v>5122</v>
      </c>
    </row>
    <row r="118" spans="1:18" ht="16.5" x14ac:dyDescent="0.15">
      <c r="A118" s="607" t="s">
        <v>5123</v>
      </c>
      <c r="B118" s="143" t="s">
        <v>4635</v>
      </c>
      <c r="C118" s="164" t="s">
        <v>4575</v>
      </c>
      <c r="D118" s="157"/>
      <c r="E118" s="2656" cm="1">
        <f t="array" ref="E118">INDEX('6층_부하량'!J3:J3000,MATCH(1,("6-DaHall 1-PDU-10"='6층_부하량'!A3:A3000)*(9='6층_부하량'!B3:B3000),0))</f>
        <v>0</v>
      </c>
      <c r="F118" s="157"/>
      <c r="G118" s="157"/>
      <c r="H118" s="143" t="s">
        <v>4597</v>
      </c>
      <c r="I118" s="293" t="s">
        <v>4648</v>
      </c>
      <c r="J118" s="294" t="s">
        <v>4596</v>
      </c>
      <c r="K118" s="143" t="s">
        <v>4597</v>
      </c>
      <c r="L118" s="157"/>
      <c r="M118" s="2656" cm="1">
        <f t="array" ref="M118">INDEX('6층_부하량'!J3:J3000,MATCH(1,("6-DaHall 1-PDU-10"='6층_부하량'!A3:A3000)*(10='6층_부하량'!B3:B3000),0))</f>
        <v>0</v>
      </c>
      <c r="N118" s="157"/>
      <c r="O118" s="157"/>
      <c r="P118" s="157" t="s">
        <v>4635</v>
      </c>
      <c r="Q118" s="164" t="s">
        <v>4575</v>
      </c>
      <c r="R118" s="342" t="s">
        <v>5124</v>
      </c>
    </row>
    <row r="119" spans="1:18" ht="16.5" x14ac:dyDescent="0.15">
      <c r="A119" s="622" t="s">
        <v>5125</v>
      </c>
      <c r="B119" s="143" t="s">
        <v>4635</v>
      </c>
      <c r="C119" s="164" t="s">
        <v>4575</v>
      </c>
      <c r="D119" s="157"/>
      <c r="E119" s="157"/>
      <c r="F119" s="2656" cm="1">
        <f t="array" ref="F119">INDEX('6층_부하량'!K3:K3000,MATCH(1,("6-DaHall 1-PDU-10"='6층_부하량'!A3:A3000)*(11='6층_부하량'!B3:B3000),0))</f>
        <v>0</v>
      </c>
      <c r="G119" s="157"/>
      <c r="H119" s="143" t="s">
        <v>4597</v>
      </c>
      <c r="I119" s="293" t="s">
        <v>4653</v>
      </c>
      <c r="J119" s="294" t="s">
        <v>4599</v>
      </c>
      <c r="K119" s="143" t="s">
        <v>4597</v>
      </c>
      <c r="L119" s="157"/>
      <c r="M119" s="157"/>
      <c r="N119" s="2656" cm="1">
        <f t="array" ref="N119">INDEX('6층_부하량'!K3:K3000,MATCH(1,("6-DaHall 1-PDU-10"='6층_부하량'!A3:A3000)*(12='6층_부하량'!B3:B3000),0))</f>
        <v>0</v>
      </c>
      <c r="O119" s="157"/>
      <c r="P119" s="157" t="s">
        <v>4635</v>
      </c>
      <c r="Q119" s="164" t="s">
        <v>4575</v>
      </c>
      <c r="R119" s="342" t="s">
        <v>5126</v>
      </c>
    </row>
    <row r="120" spans="1:18" ht="16.5" x14ac:dyDescent="0.15">
      <c r="A120" s="607" t="s">
        <v>5127</v>
      </c>
      <c r="B120" s="143" t="s">
        <v>4635</v>
      </c>
      <c r="C120" s="164" t="s">
        <v>4575</v>
      </c>
      <c r="D120" s="2656" cm="1">
        <f t="array" ref="D120">INDEX('6층_부하량'!I3:I3000,MATCH(1,("6-DaHall 1-PDU-10"='6층_부하량'!A3:A3000)*(13='6층_부하량'!B3:B3000),0))</f>
        <v>0</v>
      </c>
      <c r="E120" s="157"/>
      <c r="F120" s="157"/>
      <c r="G120" s="157"/>
      <c r="H120" s="143" t="s">
        <v>4597</v>
      </c>
      <c r="I120" s="293" t="s">
        <v>4657</v>
      </c>
      <c r="J120" s="294" t="s">
        <v>4601</v>
      </c>
      <c r="K120" s="143" t="s">
        <v>4597</v>
      </c>
      <c r="L120" s="2656" cm="1">
        <f t="array" ref="L120">INDEX('6층_부하량'!I3:I3000,MATCH(1,("6-DaHall 1-PDU-10"='6층_부하량'!A3:A3000)*(14='6층_부하량'!B3:B3000),0))</f>
        <v>0</v>
      </c>
      <c r="M120" s="157"/>
      <c r="N120" s="157"/>
      <c r="O120" s="157"/>
      <c r="P120" s="157" t="s">
        <v>4635</v>
      </c>
      <c r="Q120" s="164" t="s">
        <v>4575</v>
      </c>
      <c r="R120" s="342" t="s">
        <v>5128</v>
      </c>
    </row>
    <row r="121" spans="1:18" ht="16.5" x14ac:dyDescent="0.15">
      <c r="A121" s="622" t="s">
        <v>5129</v>
      </c>
      <c r="B121" s="143" t="s">
        <v>4635</v>
      </c>
      <c r="C121" s="164" t="s">
        <v>4575</v>
      </c>
      <c r="D121" s="157"/>
      <c r="E121" s="2656" cm="1">
        <f t="array" ref="E121">INDEX('6층_부하량'!J3:J3000,MATCH(1,("6-DaHall 1-PDU-10"='6층_부하량'!A3:A3000)*(15='6층_부하량'!B3:B3000),0))</f>
        <v>0</v>
      </c>
      <c r="F121" s="157"/>
      <c r="G121" s="157"/>
      <c r="H121" s="143" t="s">
        <v>4597</v>
      </c>
      <c r="I121" s="293" t="s">
        <v>4661</v>
      </c>
      <c r="J121" s="294" t="s">
        <v>4603</v>
      </c>
      <c r="K121" s="143" t="s">
        <v>4597</v>
      </c>
      <c r="L121" s="157"/>
      <c r="M121" s="2656" cm="1">
        <f t="array" ref="M121">INDEX('6층_부하량'!J3:J3000,MATCH(1,("6-DaHall 1-PDU-10"='6층_부하량'!A3:A3000)*(16='6층_부하량'!B3:B3000),0))</f>
        <v>0</v>
      </c>
      <c r="N121" s="157"/>
      <c r="O121" s="157"/>
      <c r="P121" s="157" t="s">
        <v>4635</v>
      </c>
      <c r="Q121" s="164" t="s">
        <v>4575</v>
      </c>
      <c r="R121" s="342" t="s">
        <v>5130</v>
      </c>
    </row>
    <row r="122" spans="1:18" ht="16.5" customHeight="1" thickBot="1" x14ac:dyDescent="0.2">
      <c r="A122" s="625" t="s">
        <v>5131</v>
      </c>
      <c r="B122" s="176" t="s">
        <v>4635</v>
      </c>
      <c r="C122" s="191" t="s">
        <v>4575</v>
      </c>
      <c r="D122" s="177"/>
      <c r="E122" s="177"/>
      <c r="F122" s="2661" cm="1">
        <f t="array" ref="F122">INDEX('6층_부하량'!K3:K3000,MATCH(1,("6-DaHall 1-PDU-10"='6층_부하량'!A3:A3000)*(17='6층_부하량'!B3:B3000),0))</f>
        <v>0</v>
      </c>
      <c r="G122" s="177"/>
      <c r="H122" s="176" t="s">
        <v>4597</v>
      </c>
      <c r="I122" s="295" t="s">
        <v>4665</v>
      </c>
      <c r="J122" s="296" t="s">
        <v>4605</v>
      </c>
      <c r="K122" s="176" t="s">
        <v>4597</v>
      </c>
      <c r="L122" s="177"/>
      <c r="M122" s="177"/>
      <c r="N122" s="2661" cm="1">
        <f t="array" ref="N122">INDEX('6층_부하량'!K3:K3000,MATCH(1,("6-DaHall 1-PDU-10"='6층_부하량'!A3:A3000)*(18='6층_부하량'!B3:B3000),0))</f>
        <v>0</v>
      </c>
      <c r="O122" s="177"/>
      <c r="P122" s="177" t="s">
        <v>4635</v>
      </c>
      <c r="Q122" s="191" t="s">
        <v>4575</v>
      </c>
      <c r="R122" s="626" t="s">
        <v>5132</v>
      </c>
    </row>
    <row r="123" spans="1:18" ht="16.5" customHeight="1" thickTop="1" x14ac:dyDescent="0.15">
      <c r="A123" s="174" t="s">
        <v>5133</v>
      </c>
      <c r="B123" s="156" t="s">
        <v>4635</v>
      </c>
      <c r="C123" s="156" t="s">
        <v>4723</v>
      </c>
      <c r="D123" s="2658" cm="1">
        <f t="array" ref="D123">INDEX('6층_부하량'!I3:I3000,MATCH(1,("6-DaHall 1-PDU-10"='6층_부하량'!A3:A3000)*(19='6층_부하량'!B3:B3000),0))</f>
        <v>0</v>
      </c>
      <c r="E123" s="179"/>
      <c r="F123" s="179"/>
      <c r="G123" s="179"/>
      <c r="H123" s="156" t="s">
        <v>4597</v>
      </c>
      <c r="I123" s="1470" t="s">
        <v>4670</v>
      </c>
      <c r="J123" s="298" t="s">
        <v>4609</v>
      </c>
      <c r="K123" s="156" t="s">
        <v>4597</v>
      </c>
      <c r="L123" s="2658" cm="1">
        <f t="array" ref="L123">INDEX('6층_부하량'!I3:I3000,MATCH(1,("6-DaHall 1-PDU-10"='6층_부하량'!A3:A3000)*(20='6층_부하량'!B3:B3000),0))</f>
        <v>0</v>
      </c>
      <c r="M123" s="179"/>
      <c r="N123" s="179"/>
      <c r="O123" s="179"/>
      <c r="P123" s="179" t="s">
        <v>4635</v>
      </c>
      <c r="Q123" s="152" t="s">
        <v>4575</v>
      </c>
      <c r="R123" s="475" t="s">
        <v>5134</v>
      </c>
    </row>
    <row r="124" spans="1:18" ht="16.5" customHeight="1" x14ac:dyDescent="0.15">
      <c r="A124" s="274" t="s">
        <v>5135</v>
      </c>
      <c r="B124" s="143" t="s">
        <v>4635</v>
      </c>
      <c r="C124" s="164" t="s">
        <v>4575</v>
      </c>
      <c r="D124" s="157"/>
      <c r="E124" s="2656" cm="1">
        <f t="array" ref="E124">INDEX('6층_부하량'!J3:J3000,MATCH(1,("6-DaHall 1-PDU-10"='6층_부하량'!A3:A3000)*(21='6층_부하량'!B3:B3000),0))</f>
        <v>0</v>
      </c>
      <c r="F124" s="157"/>
      <c r="G124" s="157"/>
      <c r="H124" s="143" t="s">
        <v>4597</v>
      </c>
      <c r="I124" s="299" t="s">
        <v>4674</v>
      </c>
      <c r="J124" s="294" t="s">
        <v>4613</v>
      </c>
      <c r="K124" s="143" t="s">
        <v>4597</v>
      </c>
      <c r="L124" s="157"/>
      <c r="M124" s="2656" cm="1">
        <f t="array" ref="M124">INDEX('6층_부하량'!J3:J3000,MATCH(1,("6-DaHall 1-PDU-10"='6층_부하량'!A3:A3000)*(22='6층_부하량'!B3:B3000),0))</f>
        <v>0</v>
      </c>
      <c r="N124" s="157"/>
      <c r="O124" s="157"/>
      <c r="P124" s="157" t="s">
        <v>4635</v>
      </c>
      <c r="Q124" s="164" t="s">
        <v>4575</v>
      </c>
      <c r="R124" s="342" t="s">
        <v>5136</v>
      </c>
    </row>
    <row r="125" spans="1:18" ht="16.5" customHeight="1" x14ac:dyDescent="0.15">
      <c r="A125" s="148" t="s">
        <v>5137</v>
      </c>
      <c r="B125" s="143" t="s">
        <v>4635</v>
      </c>
      <c r="C125" s="143" t="s">
        <v>4723</v>
      </c>
      <c r="D125" s="157"/>
      <c r="E125" s="157"/>
      <c r="F125" s="2656" cm="1">
        <f t="array" ref="F125">INDEX('6층_부하량'!K3:K3000,MATCH(1,("6-DaHall 1-PDU-10"='6층_부하량'!A3:A3000)*(23='6층_부하량'!B3:B3000),0))</f>
        <v>0</v>
      </c>
      <c r="G125" s="157"/>
      <c r="H125" s="143" t="s">
        <v>4597</v>
      </c>
      <c r="I125" s="1471" t="s">
        <v>4678</v>
      </c>
      <c r="J125" s="1463" t="s">
        <v>4680</v>
      </c>
      <c r="K125" s="143" t="s">
        <v>4597</v>
      </c>
      <c r="L125" s="157"/>
      <c r="M125" s="157"/>
      <c r="N125" s="2656" cm="1">
        <f t="array" ref="N125">INDEX('6층_부하량'!K3:K3000,MATCH(1,("6-DaHall 1-PDU-10"='6층_부하량'!A3:A3000)*(24='6층_부하량'!B3:B3000),0))</f>
        <v>0</v>
      </c>
      <c r="O125" s="157"/>
      <c r="P125" s="157" t="s">
        <v>4635</v>
      </c>
      <c r="Q125" s="143" t="s">
        <v>4723</v>
      </c>
      <c r="R125" s="627" t="s">
        <v>5138</v>
      </c>
    </row>
    <row r="126" spans="1:18" ht="16.5" customHeight="1" x14ac:dyDescent="0.15">
      <c r="A126" s="148" t="s">
        <v>5139</v>
      </c>
      <c r="B126" s="143" t="s">
        <v>4635</v>
      </c>
      <c r="C126" s="143" t="s">
        <v>4723</v>
      </c>
      <c r="D126" s="2656" cm="1">
        <f t="array" ref="D126">INDEX('6층_부하량'!I3:I3000,MATCH(1,("6-DaHall 1-PDU-10"='6층_부하량'!A3:A3000)*(25='6층_부하량'!B3:B3000),0))</f>
        <v>0</v>
      </c>
      <c r="E126" s="157"/>
      <c r="F126" s="157"/>
      <c r="G126" s="157"/>
      <c r="H126" s="143" t="s">
        <v>4597</v>
      </c>
      <c r="I126" s="1471" t="s">
        <v>4683</v>
      </c>
      <c r="J126" s="294" t="s">
        <v>4685</v>
      </c>
      <c r="K126" s="143" t="s">
        <v>4597</v>
      </c>
      <c r="L126" s="2656" cm="1">
        <f t="array" ref="L126">INDEX('6층_부하량'!I3:I3000,MATCH(1,("6-DaHall 1-PDU-10"='6층_부하량'!A3:A3000)*(26='6층_부하량'!B3:B3000),0))</f>
        <v>0</v>
      </c>
      <c r="M126" s="157"/>
      <c r="N126" s="157"/>
      <c r="O126" s="157"/>
      <c r="P126" s="157" t="s">
        <v>4635</v>
      </c>
      <c r="Q126" s="164" t="s">
        <v>4575</v>
      </c>
      <c r="R126" s="342" t="s">
        <v>5140</v>
      </c>
    </row>
    <row r="127" spans="1:18" ht="16.5" customHeight="1" x14ac:dyDescent="0.15">
      <c r="A127" s="148" t="s">
        <v>5141</v>
      </c>
      <c r="B127" s="143" t="s">
        <v>4635</v>
      </c>
      <c r="C127" s="143" t="s">
        <v>4723</v>
      </c>
      <c r="D127" s="157"/>
      <c r="E127" s="2656" cm="1">
        <f t="array" ref="E127">INDEX('6층_부하량'!J3:J3000,MATCH(1,("6-DaHall 1-PDU-10"='6층_부하량'!A3:A3000)*(27='6층_부하량'!B3:B3000),0))</f>
        <v>0</v>
      </c>
      <c r="F127" s="157"/>
      <c r="G127" s="157"/>
      <c r="H127" s="143" t="s">
        <v>4597</v>
      </c>
      <c r="I127" s="1471" t="s">
        <v>4688</v>
      </c>
      <c r="J127" s="294" t="s">
        <v>4689</v>
      </c>
      <c r="K127" s="143" t="s">
        <v>4597</v>
      </c>
      <c r="L127" s="157"/>
      <c r="M127" s="2656" cm="1">
        <f t="array" ref="M127">INDEX('6층_부하량'!J3:J3000,MATCH(1,("6-DaHall 1-PDU-10"='6층_부하량'!A3:A3000)*(28='6층_부하량'!B3:B3000),0))</f>
        <v>0</v>
      </c>
      <c r="N127" s="157"/>
      <c r="O127" s="157"/>
      <c r="P127" s="157" t="s">
        <v>4635</v>
      </c>
      <c r="Q127" s="164" t="s">
        <v>4575</v>
      </c>
      <c r="R127" s="342" t="s">
        <v>5142</v>
      </c>
    </row>
    <row r="128" spans="1:18" ht="16.5" customHeight="1" x14ac:dyDescent="0.15">
      <c r="A128" s="148" t="s">
        <v>5143</v>
      </c>
      <c r="B128" s="143" t="s">
        <v>4635</v>
      </c>
      <c r="C128" s="143" t="s">
        <v>4723</v>
      </c>
      <c r="D128" s="157"/>
      <c r="E128" s="157"/>
      <c r="F128" s="2656" cm="1">
        <f t="array" ref="F128">INDEX('6층_부하량'!K3:K3000,MATCH(1,("6-DaHall 1-PDU-10"='6층_부하량'!A3:A3000)*(29='6층_부하량'!B3:B3000),0))</f>
        <v>0</v>
      </c>
      <c r="G128" s="157"/>
      <c r="H128" s="143" t="s">
        <v>4597</v>
      </c>
      <c r="I128" s="1471" t="s">
        <v>4691</v>
      </c>
      <c r="J128" s="294" t="s">
        <v>4692</v>
      </c>
      <c r="K128" s="143" t="s">
        <v>4597</v>
      </c>
      <c r="L128" s="157"/>
      <c r="M128" s="157"/>
      <c r="N128" s="2656" cm="1">
        <f t="array" ref="N128">INDEX('6층_부하량'!K3:K3000,MATCH(1,("6-DaHall 1-PDU-10"='6층_부하량'!A3:A3000)*(30='6층_부하량'!B3:B3000),0))</f>
        <v>0</v>
      </c>
      <c r="O128" s="157"/>
      <c r="P128" s="157" t="s">
        <v>4635</v>
      </c>
      <c r="Q128" s="164" t="s">
        <v>4575</v>
      </c>
      <c r="R128" s="342" t="s">
        <v>5144</v>
      </c>
    </row>
    <row r="129" spans="1:18" ht="16.5" customHeight="1" x14ac:dyDescent="0.15">
      <c r="A129" s="148" t="s">
        <v>5145</v>
      </c>
      <c r="B129" s="143" t="s">
        <v>4635</v>
      </c>
      <c r="C129" s="143" t="s">
        <v>4723</v>
      </c>
      <c r="D129" s="2656" cm="1">
        <f t="array" ref="D129">INDEX('6층_부하량'!I3:I3000,MATCH(1,("6-DaHall 1-PDU-10"='6층_부하량'!A3:A3000)*(31='6층_부하량'!B3:B3000),0))</f>
        <v>0</v>
      </c>
      <c r="E129" s="157"/>
      <c r="F129" s="157"/>
      <c r="G129" s="157"/>
      <c r="H129" s="143" t="s">
        <v>4597</v>
      </c>
      <c r="I129" s="1471" t="s">
        <v>4693</v>
      </c>
      <c r="J129" s="294" t="s">
        <v>4694</v>
      </c>
      <c r="K129" s="143" t="s">
        <v>4597</v>
      </c>
      <c r="L129" s="2656" cm="1">
        <f t="array" ref="L129">INDEX('6층_부하량'!I3:I3000,MATCH(1,("6-DaHall 1-PDU-10"='6층_부하량'!A3:A3000)*(32='6층_부하량'!B3:B3000),0))</f>
        <v>0</v>
      </c>
      <c r="M129" s="157"/>
      <c r="N129" s="157"/>
      <c r="O129" s="157"/>
      <c r="P129" s="157" t="s">
        <v>4635</v>
      </c>
      <c r="Q129" s="164" t="s">
        <v>4575</v>
      </c>
      <c r="R129" s="264" t="s">
        <v>5146</v>
      </c>
    </row>
    <row r="130" spans="1:18" ht="16.5" customHeight="1" x14ac:dyDescent="0.15">
      <c r="A130" s="148" t="s">
        <v>5147</v>
      </c>
      <c r="B130" s="143" t="s">
        <v>4635</v>
      </c>
      <c r="C130" s="143" t="s">
        <v>4723</v>
      </c>
      <c r="D130" s="157"/>
      <c r="E130" s="2656" cm="1">
        <f t="array" ref="E130">INDEX('6층_부하량'!J3:J3000,MATCH(1,("6-DaHall 1-PDU-10"='6층_부하량'!A3:A3000)*(33='6층_부하량'!B3:B3000),0))</f>
        <v>0</v>
      </c>
      <c r="F130" s="157"/>
      <c r="G130" s="157"/>
      <c r="H130" s="143" t="s">
        <v>4597</v>
      </c>
      <c r="I130" s="1471" t="s">
        <v>4697</v>
      </c>
      <c r="J130" s="294" t="s">
        <v>4698</v>
      </c>
      <c r="K130" s="143" t="s">
        <v>4597</v>
      </c>
      <c r="L130" s="157"/>
      <c r="M130" s="2656" cm="1">
        <f t="array" ref="M130">INDEX('6층_부하량'!J3:J3000,MATCH(1,("6-DaHall 1-PDU-10"='6층_부하량'!A3:A3000)*(34='6층_부하량'!B3:B3000),0))</f>
        <v>0</v>
      </c>
      <c r="N130" s="157"/>
      <c r="O130" s="157"/>
      <c r="P130" s="157" t="s">
        <v>4635</v>
      </c>
      <c r="Q130" s="164" t="s">
        <v>4575</v>
      </c>
      <c r="R130" s="264" t="s">
        <v>5148</v>
      </c>
    </row>
    <row r="131" spans="1:18" ht="16.5" customHeight="1" x14ac:dyDescent="0.15">
      <c r="A131" s="341" t="s">
        <v>5149</v>
      </c>
      <c r="B131" s="143" t="s">
        <v>4635</v>
      </c>
      <c r="C131" s="143" t="s">
        <v>4723</v>
      </c>
      <c r="D131" s="157"/>
      <c r="E131" s="157"/>
      <c r="F131" s="2656" cm="1">
        <f t="array" ref="F131">INDEX('6층_부하량'!K3:K3000,MATCH(1,("6-DaHall 1-PDU-10"='6층_부하량'!A3:A3000)*(35='6층_부하량'!B3:B3000),0))</f>
        <v>0</v>
      </c>
      <c r="G131" s="157"/>
      <c r="H131" s="143" t="s">
        <v>4597</v>
      </c>
      <c r="I131" s="1465" t="s">
        <v>4701</v>
      </c>
      <c r="J131" s="294" t="s">
        <v>4703</v>
      </c>
      <c r="K131" s="143" t="s">
        <v>4597</v>
      </c>
      <c r="L131" s="157"/>
      <c r="M131" s="157"/>
      <c r="N131" s="2656" cm="1">
        <f t="array" ref="N131">INDEX('6층_부하량'!K3:K3000,MATCH(1,("6-DaHall 1-PDU-10"='6층_부하량'!A3:A3000)*(36='6층_부하량'!B3:B3000),0))</f>
        <v>0</v>
      </c>
      <c r="O131" s="157"/>
      <c r="P131" s="157" t="s">
        <v>4635</v>
      </c>
      <c r="Q131" s="164" t="s">
        <v>4575</v>
      </c>
      <c r="R131" s="264" t="s">
        <v>5150</v>
      </c>
    </row>
    <row r="132" spans="1:18" ht="16.5" customHeight="1" x14ac:dyDescent="0.15">
      <c r="A132" s="341" t="s">
        <v>5151</v>
      </c>
      <c r="B132" s="143" t="s">
        <v>4635</v>
      </c>
      <c r="C132" s="143" t="s">
        <v>4723</v>
      </c>
      <c r="D132" s="2656" cm="1">
        <f t="array" ref="D132">INDEX('6층_부하량'!I3:I3000,MATCH(1,("6-DaHall 1-PDU-10"='6층_부하량'!A3:A3000)*(37='6층_부하량'!B3:B3000),0))</f>
        <v>0</v>
      </c>
      <c r="E132" s="157"/>
      <c r="F132" s="157"/>
      <c r="G132" s="157"/>
      <c r="H132" s="143" t="s">
        <v>4597</v>
      </c>
      <c r="I132" s="1465" t="s">
        <v>4706</v>
      </c>
      <c r="J132" s="1463" t="s">
        <v>4707</v>
      </c>
      <c r="K132" s="143" t="s">
        <v>4597</v>
      </c>
      <c r="L132" s="2656" cm="1">
        <f t="array" ref="L132">INDEX('6층_부하량'!I3:I3000,MATCH(1,("6-DaHall 1-PDU-10"='6층_부하량'!A3:A3000)*(38='6층_부하량'!B3:B3000),0))</f>
        <v>0</v>
      </c>
      <c r="M132" s="157"/>
      <c r="N132" s="157"/>
      <c r="O132" s="157"/>
      <c r="P132" s="157" t="s">
        <v>4635</v>
      </c>
      <c r="Q132" s="143" t="s">
        <v>4723</v>
      </c>
      <c r="R132" s="619" t="s">
        <v>5152</v>
      </c>
    </row>
    <row r="133" spans="1:18" ht="16.5" customHeight="1" x14ac:dyDescent="0.15">
      <c r="A133" s="148" t="s">
        <v>5153</v>
      </c>
      <c r="B133" s="143" t="s">
        <v>4635</v>
      </c>
      <c r="C133" s="143" t="s">
        <v>4723</v>
      </c>
      <c r="D133" s="157"/>
      <c r="E133" s="2656" cm="1">
        <f t="array" ref="E133">INDEX('6층_부하량'!J3:J3000,MATCH(1,("6-DaHall 1-PDU-10"='6층_부하량'!A3:A3000)*(39='6층_부하량'!B3:B3000),0))</f>
        <v>0</v>
      </c>
      <c r="F133" s="157"/>
      <c r="G133" s="157"/>
      <c r="H133" s="143" t="s">
        <v>4597</v>
      </c>
      <c r="I133" s="1471" t="s">
        <v>4710</v>
      </c>
      <c r="J133" s="1463" t="s">
        <v>4711</v>
      </c>
      <c r="K133" s="143" t="s">
        <v>4597</v>
      </c>
      <c r="L133" s="157"/>
      <c r="M133" s="2656" cm="1">
        <f t="array" ref="M133">INDEX('6층_부하량'!J3:J3000,MATCH(1,("6-DaHall 1-PDU-10"='6층_부하량'!A3:A3000)*(40='6층_부하량'!B3:B3000),0))</f>
        <v>0</v>
      </c>
      <c r="N133" s="157"/>
      <c r="O133" s="157"/>
      <c r="P133" s="157" t="s">
        <v>4635</v>
      </c>
      <c r="Q133" s="143" t="s">
        <v>4723</v>
      </c>
      <c r="R133" s="619" t="s">
        <v>5154</v>
      </c>
    </row>
    <row r="134" spans="1:18" ht="16.5" customHeight="1" x14ac:dyDescent="0.15">
      <c r="A134" s="341" t="s">
        <v>5155</v>
      </c>
      <c r="B134" s="143" t="s">
        <v>4635</v>
      </c>
      <c r="C134" s="143" t="s">
        <v>4723</v>
      </c>
      <c r="D134" s="157"/>
      <c r="E134" s="157"/>
      <c r="F134" s="2656" cm="1">
        <f t="array" ref="F134">INDEX('6층_부하량'!K3:K3000,MATCH(1,("6-DaHall 1-PDU-10"='6층_부하량'!A3:A3000)*(41='6층_부하량'!B3:B3000),0))</f>
        <v>0</v>
      </c>
      <c r="G134" s="157"/>
      <c r="H134" s="143" t="s">
        <v>4597</v>
      </c>
      <c r="I134" s="1465" t="s">
        <v>5055</v>
      </c>
      <c r="J134" s="1463" t="s">
        <v>4843</v>
      </c>
      <c r="K134" s="143" t="s">
        <v>4597</v>
      </c>
      <c r="L134" s="157"/>
      <c r="M134" s="157"/>
      <c r="N134" s="2656" cm="1">
        <f t="array" ref="N134">INDEX('6층_부하량'!K3:K3000,MATCH(1,("6-DaHall 1-PDU-10"='6층_부하량'!A3:A3000)*(42='6층_부하량'!B3:B3000),0))</f>
        <v>0</v>
      </c>
      <c r="O134" s="157"/>
      <c r="P134" s="157" t="s">
        <v>4635</v>
      </c>
      <c r="Q134" s="143" t="s">
        <v>4723</v>
      </c>
      <c r="R134" s="619" t="s">
        <v>5156</v>
      </c>
    </row>
    <row r="135" spans="1:18" ht="16.5" customHeight="1" x14ac:dyDescent="0.15">
      <c r="A135" s="341" t="s">
        <v>5157</v>
      </c>
      <c r="B135" s="143" t="s">
        <v>4635</v>
      </c>
      <c r="C135" s="143" t="s">
        <v>4723</v>
      </c>
      <c r="D135" s="2656" cm="1">
        <f t="array" ref="D135">INDEX('6층_부하량'!I3:I3000,MATCH(1,("6-DaHall 1-PDU-10"='6층_부하량'!A3:A3000)*(43='6층_부하량'!B3:B3000),0))</f>
        <v>0</v>
      </c>
      <c r="E135" s="157"/>
      <c r="F135" s="157"/>
      <c r="G135" s="157"/>
      <c r="H135" s="143" t="s">
        <v>4597</v>
      </c>
      <c r="I135" s="1465" t="s">
        <v>4845</v>
      </c>
      <c r="J135" s="1463" t="s">
        <v>4846</v>
      </c>
      <c r="K135" s="143" t="s">
        <v>4597</v>
      </c>
      <c r="L135" s="2656" cm="1">
        <f t="array" ref="L135">INDEX('6층_부하량'!I3:I3000,MATCH(1,("6-DaHall 1-PDU-10"='6층_부하량'!A3:A3000)*(44='6층_부하량'!B3:B3000),0))</f>
        <v>0</v>
      </c>
      <c r="M135" s="157"/>
      <c r="N135" s="157"/>
      <c r="O135" s="157"/>
      <c r="P135" s="157" t="s">
        <v>4635</v>
      </c>
      <c r="Q135" s="143" t="s">
        <v>4723</v>
      </c>
      <c r="R135" s="619" t="s">
        <v>5158</v>
      </c>
    </row>
    <row r="136" spans="1:18" ht="16.5" customHeight="1" x14ac:dyDescent="0.15">
      <c r="A136" s="341" t="s">
        <v>5159</v>
      </c>
      <c r="B136" s="143" t="s">
        <v>4635</v>
      </c>
      <c r="C136" s="143" t="s">
        <v>4723</v>
      </c>
      <c r="D136" s="157"/>
      <c r="E136" s="2656" cm="1">
        <f t="array" ref="E136">INDEX('6층_부하량'!J3:J3000,MATCH(1,("6-DaHall 1-PDU-10"='6층_부하량'!A3:A3000)*(45='6층_부하량'!B3:B3000),0))</f>
        <v>0</v>
      </c>
      <c r="F136" s="157"/>
      <c r="G136" s="157"/>
      <c r="H136" s="143" t="s">
        <v>4597</v>
      </c>
      <c r="I136" s="1465" t="s">
        <v>4847</v>
      </c>
      <c r="J136" s="1463" t="s">
        <v>4848</v>
      </c>
      <c r="K136" s="143" t="s">
        <v>4597</v>
      </c>
      <c r="L136" s="157"/>
      <c r="M136" s="2656" cm="1">
        <f t="array" ref="M136">INDEX('6층_부하량'!J3:J3000,MATCH(1,("6-DaHall 1-PDU-10"='6층_부하량'!A3:A3000)*(46='6층_부하량'!B3:B3000),0))</f>
        <v>0</v>
      </c>
      <c r="N136" s="157"/>
      <c r="O136" s="157"/>
      <c r="P136" s="157" t="s">
        <v>4635</v>
      </c>
      <c r="Q136" s="143" t="s">
        <v>4723</v>
      </c>
      <c r="R136" s="619" t="s">
        <v>5160</v>
      </c>
    </row>
    <row r="137" spans="1:18" ht="16.5" customHeight="1" x14ac:dyDescent="0.15">
      <c r="A137" s="148" t="s">
        <v>4998</v>
      </c>
      <c r="B137" s="143" t="s">
        <v>565</v>
      </c>
      <c r="C137" s="143" t="s">
        <v>4723</v>
      </c>
      <c r="D137" s="157"/>
      <c r="E137" s="157"/>
      <c r="F137" s="2656" cm="1">
        <f t="array" ref="F137">INDEX('6층_부하량'!K3:K3000,MATCH(1,("6-DaHall 1-PDU-10"='6층_부하량'!A3:A3000)*(47='6층_부하량'!B3:B3000),0))</f>
        <v>0</v>
      </c>
      <c r="G137" s="157"/>
      <c r="H137" s="143" t="s">
        <v>4597</v>
      </c>
      <c r="I137" s="1471" t="s">
        <v>4849</v>
      </c>
      <c r="J137" s="294" t="s">
        <v>4850</v>
      </c>
      <c r="K137" s="143" t="s">
        <v>4597</v>
      </c>
      <c r="L137" s="157"/>
      <c r="M137" s="157"/>
      <c r="N137" s="2656" cm="1">
        <f t="array" ref="N137">INDEX('6층_부하량'!K3:K3000,MATCH(1,("6-DaHall 1-PDU-10"='6층_부하량'!A3:A3000)*(48='6층_부하량'!B3:B3000),0))</f>
        <v>0</v>
      </c>
      <c r="O137" s="157"/>
      <c r="P137" s="157" t="s">
        <v>4635</v>
      </c>
      <c r="Q137" s="164" t="s">
        <v>4575</v>
      </c>
      <c r="R137" s="264" t="s">
        <v>5161</v>
      </c>
    </row>
    <row r="138" spans="1:18" ht="16.5" customHeight="1" thickBot="1" x14ac:dyDescent="0.2">
      <c r="A138" s="165" t="s">
        <v>4998</v>
      </c>
      <c r="B138" s="166" t="s">
        <v>565</v>
      </c>
      <c r="C138" s="166" t="s">
        <v>4723</v>
      </c>
      <c r="D138" s="2659" cm="1">
        <f t="array" ref="D138">INDEX('6층_부하량'!I3:I3000,MATCH(1,("6-DaHall 1-PDU-10"='6층_부하량'!A3:A3000)*(49='6층_부하량'!B3:B3000),0))</f>
        <v>0</v>
      </c>
      <c r="E138" s="167"/>
      <c r="F138" s="167"/>
      <c r="G138" s="167"/>
      <c r="H138" s="166" t="s">
        <v>4597</v>
      </c>
      <c r="I138" s="1472" t="s">
        <v>4851</v>
      </c>
      <c r="J138" s="1473" t="s">
        <v>4852</v>
      </c>
      <c r="K138" s="166" t="s">
        <v>4597</v>
      </c>
      <c r="L138" s="2659" cm="1">
        <f t="array" ref="L138">INDEX('6층_부하량'!I3:I3000,MATCH(1,("6-DaHall 1-PDU-10"='6층_부하량'!A3:A3000)*(50='6층_부하량'!B3:B3000),0))</f>
        <v>0</v>
      </c>
      <c r="M138" s="167"/>
      <c r="N138" s="167"/>
      <c r="O138" s="167"/>
      <c r="P138" s="167" t="s">
        <v>4635</v>
      </c>
      <c r="Q138" s="166" t="s">
        <v>4723</v>
      </c>
      <c r="R138" s="620" t="s">
        <v>5162</v>
      </c>
    </row>
    <row r="139" spans="1:18" ht="14.25" thickTop="1" x14ac:dyDescent="0.15">
      <c r="A139" s="171"/>
      <c r="B139" s="133"/>
      <c r="C139" s="133"/>
      <c r="D139" s="131"/>
      <c r="E139" s="131"/>
      <c r="F139" s="131"/>
      <c r="G139" s="131"/>
      <c r="H139" s="133"/>
      <c r="I139" s="172"/>
      <c r="J139" s="172"/>
      <c r="K139" s="133" t="s">
        <v>4713</v>
      </c>
      <c r="L139" s="131" t="n">
        <f>SUM(D114:D138,L114:L138)</f>
        <v>0.0</v>
      </c>
      <c r="M139" s="131" t="n">
        <f>SUM(E114:E138,M114:M138)</f>
        <v>0.0</v>
      </c>
      <c r="N139" s="131" t="n">
        <f>SUM(F114:F138,N114:N138)</f>
        <v>0.0</v>
      </c>
      <c r="O139" s="131"/>
      <c r="P139" s="131"/>
      <c r="Q139" s="133"/>
      <c r="R139" s="131"/>
    </row>
    <row r="140" spans="1:18" ht="14.25" thickBot="1" x14ac:dyDescent="0.2">
      <c r="A140" s="128"/>
      <c r="B140" s="128"/>
      <c r="C140" s="128"/>
      <c r="D140" s="128"/>
      <c r="E140" s="128"/>
      <c r="F140" s="128"/>
      <c r="G140" s="128"/>
      <c r="H140" s="128"/>
      <c r="I140" s="128"/>
      <c r="J140" s="128"/>
      <c r="K140" s="128"/>
      <c r="L140" s="128"/>
      <c r="M140" s="128"/>
      <c r="N140" s="128"/>
      <c r="O140" s="128"/>
      <c r="P140" s="128"/>
      <c r="Q140" s="128"/>
      <c r="R140" s="128"/>
    </row>
    <row r="141" spans="1:18" ht="15" thickTop="1" thickBot="1" x14ac:dyDescent="0.2">
      <c r="A141" s="173" t="s">
        <v>7001</v>
      </c>
      <c r="B141" s="128"/>
      <c r="C141" s="3660" t="s">
        <v>5163</v>
      </c>
      <c r="D141" s="3660"/>
      <c r="E141" s="3660"/>
      <c r="F141" s="173"/>
      <c r="G141" s="173"/>
      <c r="H141" s="133"/>
      <c r="I141" s="3665" t="s">
        <v>5063</v>
      </c>
      <c r="J141" s="3666"/>
      <c r="K141" s="133"/>
      <c r="L141" s="173"/>
      <c r="M141" s="173"/>
      <c r="N141" s="173"/>
      <c r="O141" s="173"/>
      <c r="P141" s="173"/>
      <c r="Q141" s="173"/>
      <c r="R141" s="128"/>
    </row>
    <row r="142" spans="1:18" ht="15" thickTop="1" thickBot="1" x14ac:dyDescent="0.2">
      <c r="A142" s="127"/>
      <c r="B142" s="128"/>
      <c r="C142" s="128"/>
      <c r="D142" s="129"/>
      <c r="E142" s="129"/>
      <c r="F142" s="130"/>
      <c r="G142" s="129"/>
      <c r="H142" s="131"/>
      <c r="I142" s="128"/>
      <c r="J142" s="132"/>
      <c r="K142" s="1371" t="s">
        <v>4562</v>
      </c>
      <c r="L142" s="1368">
        <v>5.0999999999999996</v>
      </c>
      <c r="M142" s="1369">
        <v>0</v>
      </c>
      <c r="N142" s="1370">
        <v>0</v>
      </c>
      <c r="O142" s="508" t="s">
        <v>4563</v>
      </c>
      <c r="P142" s="133"/>
      <c r="Q142" s="128"/>
      <c r="R142" s="528"/>
    </row>
    <row r="143" spans="1:18" ht="15" thickTop="1" thickBot="1" x14ac:dyDescent="0.2">
      <c r="A143" s="134" t="s">
        <v>4564</v>
      </c>
      <c r="B143" s="135" t="s">
        <v>5031</v>
      </c>
      <c r="C143" s="136" t="s">
        <v>4566</v>
      </c>
      <c r="D143" s="135" t="s">
        <v>5032</v>
      </c>
      <c r="E143" s="135" t="s">
        <v>5033</v>
      </c>
      <c r="F143" s="135" t="s">
        <v>5034</v>
      </c>
      <c r="G143" s="135" t="s">
        <v>5035</v>
      </c>
      <c r="H143" s="135" t="s">
        <v>5036</v>
      </c>
      <c r="I143" s="138" t="s">
        <v>5037</v>
      </c>
      <c r="J143" s="139" t="s">
        <v>5037</v>
      </c>
      <c r="K143" s="135" t="s">
        <v>5036</v>
      </c>
      <c r="L143" s="135" t="s">
        <v>5032</v>
      </c>
      <c r="M143" s="135" t="s">
        <v>5033</v>
      </c>
      <c r="N143" s="135" t="s">
        <v>5034</v>
      </c>
      <c r="O143" s="135" t="s">
        <v>5035</v>
      </c>
      <c r="P143" s="135" t="s">
        <v>5031</v>
      </c>
      <c r="Q143" s="136" t="s">
        <v>4566</v>
      </c>
      <c r="R143" s="140" t="s">
        <v>4564</v>
      </c>
    </row>
    <row r="144" spans="1:18" ht="15.75" customHeight="1" thickTop="1" x14ac:dyDescent="0.15">
      <c r="A144" s="141"/>
      <c r="B144" s="142" t="s">
        <v>565</v>
      </c>
      <c r="C144" s="142" t="s">
        <v>4723</v>
      </c>
      <c r="D144" s="2654" cm="1">
        <f t="array" ref="D144">INDEX('6층_부하량'!I3:I3000,MATCH(1,("6-DaHall 1-PDU-11"='6층_부하량'!A3:A3000)*(1='6층_부하량'!B3:B3000),0))</f>
        <v>0</v>
      </c>
      <c r="E144" s="144"/>
      <c r="F144" s="144"/>
      <c r="G144" s="144"/>
      <c r="H144" s="142" t="s">
        <v>4597</v>
      </c>
      <c r="I144" s="1469" t="s">
        <v>4633</v>
      </c>
      <c r="J144" s="292" t="s">
        <v>4578</v>
      </c>
      <c r="K144" s="142" t="s">
        <v>4597</v>
      </c>
      <c r="L144" s="2654" cm="1">
        <f t="array" ref="L144">INDEX('6층_부하량'!I3:I3000,MATCH(1,("6-DaHall 1-PDU-11"='6층_부하량'!A3:A3000)*(2='6층_부하량'!B3:B3000),0))</f>
        <v>0</v>
      </c>
      <c r="M144" s="144"/>
      <c r="N144" s="144"/>
      <c r="O144" s="144"/>
      <c r="P144" s="163" t="s">
        <v>4635</v>
      </c>
      <c r="Q144" s="142" t="s">
        <v>4723</v>
      </c>
      <c r="R144" s="618" t="s">
        <v>5164</v>
      </c>
    </row>
    <row r="145" spans="1:18" ht="15.75" customHeight="1" x14ac:dyDescent="0.15">
      <c r="A145" s="622" t="s">
        <v>5165</v>
      </c>
      <c r="B145" s="143" t="s">
        <v>4635</v>
      </c>
      <c r="C145" s="164" t="s">
        <v>4575</v>
      </c>
      <c r="D145" s="149"/>
      <c r="E145" s="2655" cm="1">
        <f t="array" ref="E145">INDEX('6층_부하량'!J3:J3000,MATCH(1,("6-DaHall 1-PDU-11"='6층_부하량'!A3:A3000)*(3='6층_부하량'!B3:B3000),0))</f>
        <v>0</v>
      </c>
      <c r="F145" s="149"/>
      <c r="G145" s="149"/>
      <c r="H145" s="143" t="s">
        <v>4597</v>
      </c>
      <c r="I145" s="293" t="s">
        <v>4638</v>
      </c>
      <c r="J145" s="294" t="s">
        <v>4583</v>
      </c>
      <c r="K145" s="143" t="s">
        <v>4597</v>
      </c>
      <c r="L145" s="149"/>
      <c r="M145" s="2655" cm="1">
        <f t="array" ref="M145">INDEX('6층_부하량'!J3:J3000,MATCH(1,("6-DaHall 1-PDU-11"='6층_부하량'!A3:A3000)*(4='6층_부하량'!B3:B3000),0))</f>
        <v>0</v>
      </c>
      <c r="N145" s="149"/>
      <c r="O145" s="149"/>
      <c r="P145" s="157" t="s">
        <v>4635</v>
      </c>
      <c r="Q145" s="143" t="s">
        <v>4723</v>
      </c>
      <c r="R145" s="342" t="s">
        <v>5166</v>
      </c>
    </row>
    <row r="146" spans="1:18" ht="15.75" customHeight="1" x14ac:dyDescent="0.15">
      <c r="A146" s="607" t="s">
        <v>5167</v>
      </c>
      <c r="B146" s="143" t="s">
        <v>4635</v>
      </c>
      <c r="C146" s="164" t="s">
        <v>4575</v>
      </c>
      <c r="D146" s="157"/>
      <c r="E146" s="157"/>
      <c r="F146" s="2656" cm="1">
        <f t="array" ref="F146">INDEX('6층_부하량'!K3:K3000,MATCH(1,("6-DaHall 1-PDU-11"='6층_부하량'!A3:A3000)*(5='6층_부하량'!B3:B3000),0))</f>
        <v>0</v>
      </c>
      <c r="G146" s="157"/>
      <c r="H146" s="143" t="s">
        <v>4597</v>
      </c>
      <c r="I146" s="293" t="s">
        <v>4641</v>
      </c>
      <c r="J146" s="294" t="s">
        <v>4588</v>
      </c>
      <c r="K146" s="143" t="s">
        <v>4597</v>
      </c>
      <c r="L146" s="157"/>
      <c r="M146" s="157"/>
      <c r="N146" s="2656" cm="1">
        <f t="array" ref="N146">INDEX('6층_부하량'!K3:K3000,MATCH(1,("6-DaHall 1-PDU-11"='6층_부하량'!A3:A3000)*(6='6층_부하량'!B3:B3000),0))</f>
        <v>0</v>
      </c>
      <c r="O146" s="157"/>
      <c r="P146" s="157" t="s">
        <v>4635</v>
      </c>
      <c r="Q146" s="143" t="s">
        <v>4723</v>
      </c>
      <c r="R146" s="342" t="s">
        <v>5168</v>
      </c>
    </row>
    <row r="147" spans="1:18" ht="15.75" customHeight="1" x14ac:dyDescent="0.15">
      <c r="A147" s="622" t="s">
        <v>5169</v>
      </c>
      <c r="B147" s="143" t="s">
        <v>4635</v>
      </c>
      <c r="C147" s="164" t="s">
        <v>4575</v>
      </c>
      <c r="D147" s="2656" cm="1">
        <f t="array" ref="D147">INDEX('6층_부하량'!I3:I3000,MATCH(1,("6-DaHall 1-PDU-11"='6층_부하량'!A3:A3000)*(7='6층_부하량'!B3:B3000),0))</f>
        <v>0</v>
      </c>
      <c r="E147" s="157"/>
      <c r="F147" s="157"/>
      <c r="G147" s="157"/>
      <c r="H147" s="143" t="s">
        <v>4597</v>
      </c>
      <c r="I147" s="293" t="s">
        <v>4645</v>
      </c>
      <c r="J147" s="294" t="s">
        <v>4593</v>
      </c>
      <c r="K147" s="143" t="s">
        <v>4597</v>
      </c>
      <c r="L147" s="2656" cm="1">
        <f t="array" ref="L147">INDEX('6층_부하량'!I3:I3000,MATCH(1,("6-DaHall 1-PDU-11"='6층_부하량'!A3:A3000)*(8='6층_부하량'!B3:B3000),0))</f>
        <v>0</v>
      </c>
      <c r="M147" s="157"/>
      <c r="N147" s="157"/>
      <c r="O147" s="157"/>
      <c r="P147" s="157" t="s">
        <v>4635</v>
      </c>
      <c r="Q147" s="143" t="s">
        <v>4723</v>
      </c>
      <c r="R147" s="342" t="s">
        <v>5170</v>
      </c>
    </row>
    <row r="148" spans="1:18" ht="15.75" customHeight="1" x14ac:dyDescent="0.15">
      <c r="A148" s="607" t="s">
        <v>5171</v>
      </c>
      <c r="B148" s="143" t="s">
        <v>4635</v>
      </c>
      <c r="C148" s="164" t="s">
        <v>4575</v>
      </c>
      <c r="D148" s="157"/>
      <c r="E148" s="2656" cm="1">
        <f t="array" ref="E148">INDEX('6층_부하량'!J3:J3000,MATCH(1,("6-DaHall 1-PDU-11"='6층_부하량'!A3:A3000)*(9='6층_부하량'!B3:B3000),0))</f>
        <v>0</v>
      </c>
      <c r="F148" s="157"/>
      <c r="G148" s="157"/>
      <c r="H148" s="143" t="s">
        <v>4597</v>
      </c>
      <c r="I148" s="293" t="s">
        <v>4648</v>
      </c>
      <c r="J148" s="294" t="s">
        <v>4596</v>
      </c>
      <c r="K148" s="143" t="s">
        <v>4597</v>
      </c>
      <c r="L148" s="157"/>
      <c r="M148" s="2656" cm="1" t="n">
        <f t="array" ref="M148">INDEX('6층_부하량'!J3:J3000,MATCH(1,("6-DaHall 1-PDU-11"='6층_부하량'!A3:A3000)*(10='6층_부하량'!B3:B3000),0))</f>
        <v>4.970310707218785</v>
      </c>
      <c r="N148" s="157"/>
      <c r="O148" s="157"/>
      <c r="P148" s="157" t="s">
        <v>4635</v>
      </c>
      <c r="Q148" s="164" t="s">
        <v>4575</v>
      </c>
      <c r="R148" s="342" t="s">
        <v>5172</v>
      </c>
    </row>
    <row r="149" spans="1:18" ht="15.75" customHeight="1" x14ac:dyDescent="0.15">
      <c r="A149" s="622" t="s">
        <v>5173</v>
      </c>
      <c r="B149" s="143" t="s">
        <v>4635</v>
      </c>
      <c r="C149" s="164" t="s">
        <v>4575</v>
      </c>
      <c r="D149" s="157"/>
      <c r="E149" s="157"/>
      <c r="F149" s="2656" cm="1">
        <f t="array" ref="F149">INDEX('6층_부하량'!K3:K3000,MATCH(1,("6-DaHall 1-PDU-11"='6층_부하량'!A3:A3000)*(11='6층_부하량'!B3:B3000),0))</f>
        <v>0</v>
      </c>
      <c r="G149" s="157"/>
      <c r="H149" s="143" t="s">
        <v>4597</v>
      </c>
      <c r="I149" s="293" t="s">
        <v>4653</v>
      </c>
      <c r="J149" s="294" t="s">
        <v>4599</v>
      </c>
      <c r="K149" s="143" t="s">
        <v>4597</v>
      </c>
      <c r="L149" s="157"/>
      <c r="M149" s="157"/>
      <c r="N149" s="2656" cm="1">
        <f t="array" ref="N149">INDEX('6층_부하량'!K3:K3000,MATCH(1,("6-DaHall 1-PDU-11"='6층_부하량'!A3:A3000)*(12='6층_부하량'!B3:B3000),0))</f>
        <v>0</v>
      </c>
      <c r="O149" s="157"/>
      <c r="P149" s="157" t="s">
        <v>4635</v>
      </c>
      <c r="Q149" s="164" t="s">
        <v>4575</v>
      </c>
      <c r="R149" s="342" t="s">
        <v>5174</v>
      </c>
    </row>
    <row r="150" spans="1:18" ht="15.75" customHeight="1" x14ac:dyDescent="0.15">
      <c r="A150" s="607" t="s">
        <v>5175</v>
      </c>
      <c r="B150" s="143" t="s">
        <v>4635</v>
      </c>
      <c r="C150" s="164" t="s">
        <v>4575</v>
      </c>
      <c r="D150" s="2656" cm="1">
        <f t="array" ref="D150">INDEX('6층_부하량'!I3:I3000,MATCH(1,("6-DaHall 1-PDU-11"='6층_부하량'!A3:A3000)*(13='6층_부하량'!B3:B3000),0))</f>
        <v>0</v>
      </c>
      <c r="E150" s="157"/>
      <c r="F150" s="157"/>
      <c r="G150" s="157"/>
      <c r="H150" s="143" t="s">
        <v>4597</v>
      </c>
      <c r="I150" s="293" t="s">
        <v>4657</v>
      </c>
      <c r="J150" s="294" t="s">
        <v>4601</v>
      </c>
      <c r="K150" s="143" t="s">
        <v>4597</v>
      </c>
      <c r="L150" s="2656" cm="1">
        <f t="array" ref="L150">INDEX('6층_부하량'!I3:I3000,MATCH(1,("6-DaHall 1-PDU-11"='6층_부하량'!A3:A3000)*(14='6층_부하량'!B3:B3000),0))</f>
        <v>0</v>
      </c>
      <c r="M150" s="157"/>
      <c r="N150" s="157"/>
      <c r="O150" s="157"/>
      <c r="P150" s="157" t="s">
        <v>4635</v>
      </c>
      <c r="Q150" s="164" t="s">
        <v>4575</v>
      </c>
      <c r="R150" s="342" t="s">
        <v>5176</v>
      </c>
    </row>
    <row r="151" spans="1:18" ht="15.75" customHeight="1" x14ac:dyDescent="0.15">
      <c r="A151" s="622" t="s">
        <v>5177</v>
      </c>
      <c r="B151" s="143" t="s">
        <v>4635</v>
      </c>
      <c r="C151" s="164" t="s">
        <v>4575</v>
      </c>
      <c r="D151" s="157"/>
      <c r="E151" s="2656" cm="1">
        <f t="array" ref="E151">INDEX('6층_부하량'!J3:J3000,MATCH(1,("6-DaHall 1-PDU-11"='6층_부하량'!A3:A3000)*(15='6층_부하량'!B3:B3000),0))</f>
        <v>0</v>
      </c>
      <c r="F151" s="157"/>
      <c r="G151" s="157"/>
      <c r="H151" s="143" t="s">
        <v>4597</v>
      </c>
      <c r="I151" s="293" t="s">
        <v>4661</v>
      </c>
      <c r="J151" s="294" t="s">
        <v>4603</v>
      </c>
      <c r="K151" s="143" t="s">
        <v>4597</v>
      </c>
      <c r="L151" s="157"/>
      <c r="M151" s="2656" cm="1">
        <f t="array" ref="M151">INDEX('6층_부하량'!J3:J3000,MATCH(1,("6-DaHall 1-PDU-11"='6층_부하량'!A3:A3000)*(16='6층_부하량'!B3:B3000),0))</f>
        <v>0</v>
      </c>
      <c r="N151" s="157"/>
      <c r="O151" s="157"/>
      <c r="P151" s="157" t="s">
        <v>4635</v>
      </c>
      <c r="Q151" s="164" t="s">
        <v>4575</v>
      </c>
      <c r="R151" s="342" t="s">
        <v>5178</v>
      </c>
    </row>
    <row r="152" spans="1:18" ht="15.75" customHeight="1" thickBot="1" x14ac:dyDescent="0.2">
      <c r="A152" s="622" t="s">
        <v>5179</v>
      </c>
      <c r="B152" s="159" t="s">
        <v>4635</v>
      </c>
      <c r="C152" s="185" t="s">
        <v>4575</v>
      </c>
      <c r="D152" s="177"/>
      <c r="E152" s="177"/>
      <c r="F152" s="2661" cm="1">
        <f t="array" ref="F152">INDEX('6층_부하량'!K3:K3000,MATCH(1,("6-DaHall 1-PDU-11"='6층_부하량'!A3:A3000)*(17='6층_부하량'!B3:B3000),0))</f>
        <v>0</v>
      </c>
      <c r="G152" s="160"/>
      <c r="H152" s="159" t="s">
        <v>4597</v>
      </c>
      <c r="I152" s="295" t="s">
        <v>4665</v>
      </c>
      <c r="J152" s="296" t="s">
        <v>4605</v>
      </c>
      <c r="K152" s="159" t="s">
        <v>4597</v>
      </c>
      <c r="L152" s="177"/>
      <c r="M152" s="177"/>
      <c r="N152" s="2661" cm="1">
        <f t="array" ref="N152">INDEX('6층_부하량'!K3:K3000,MATCH(1,("6-DaHall 1-PDU-11"='6층_부하량'!A3:A3000)*(18='6층_부하량'!B3:B3000),0))</f>
        <v>0</v>
      </c>
      <c r="O152" s="160"/>
      <c r="P152" s="160" t="s">
        <v>4635</v>
      </c>
      <c r="Q152" s="185" t="s">
        <v>4575</v>
      </c>
      <c r="R152" s="626" t="s">
        <v>5180</v>
      </c>
    </row>
    <row r="153" spans="1:18" ht="15.75" customHeight="1" thickTop="1" x14ac:dyDescent="0.15">
      <c r="A153" s="277" t="s">
        <v>5181</v>
      </c>
      <c r="B153" s="142" t="s">
        <v>4635</v>
      </c>
      <c r="C153" s="152" t="s">
        <v>4575</v>
      </c>
      <c r="D153" s="2658" cm="1" t="n">
        <f t="array" ref="D153">INDEX('6층_부하량'!I3:I3000,MATCH(1,("6-DaHall 1-PDU-11"='6층_부하량'!A3:A3000)*(19='6층_부하량'!B3:B3000),0))</f>
        <v>5.198757078632254</v>
      </c>
      <c r="E153" s="179"/>
      <c r="F153" s="179"/>
      <c r="G153" s="163"/>
      <c r="H153" s="142" t="s">
        <v>4597</v>
      </c>
      <c r="I153" s="1470" t="s">
        <v>4670</v>
      </c>
      <c r="J153" s="1474" t="s">
        <v>4609</v>
      </c>
      <c r="K153" s="142" t="s">
        <v>4597</v>
      </c>
      <c r="L153" s="2658" cm="1">
        <f t="array" ref="L153">INDEX('6층_부하량'!I3:I3000,MATCH(1,("6-DaHall 1-PDU-11"='6층_부하량'!A3:A3000)*(20='6층_부하량'!B3:B3000),0))</f>
        <v>0</v>
      </c>
      <c r="M153" s="179"/>
      <c r="N153" s="179"/>
      <c r="O153" s="163"/>
      <c r="P153" s="163" t="s">
        <v>4635</v>
      </c>
      <c r="Q153" s="142" t="s">
        <v>4723</v>
      </c>
      <c r="R153" s="630" t="s">
        <v>5182</v>
      </c>
    </row>
    <row r="154" spans="1:18" ht="15.75" customHeight="1" x14ac:dyDescent="0.15">
      <c r="A154" s="1018" t="s">
        <v>5183</v>
      </c>
      <c r="B154" s="156" t="s">
        <v>4635</v>
      </c>
      <c r="C154" s="189" t="s">
        <v>4575</v>
      </c>
      <c r="D154" s="157"/>
      <c r="E154" s="2656" cm="1">
        <f t="array" ref="E154">INDEX('6층_부하량'!J3:J3000,MATCH(1,("6-DaHall 1-PDU-11"='6층_부하량'!A3:A3000)*(21='6층_부하량'!B3:B3000),0))</f>
        <v>0</v>
      </c>
      <c r="F154" s="157"/>
      <c r="G154" s="179"/>
      <c r="H154" s="156" t="s">
        <v>4597</v>
      </c>
      <c r="I154" s="1471" t="s">
        <v>4674</v>
      </c>
      <c r="J154" s="1463" t="s">
        <v>4613</v>
      </c>
      <c r="K154" s="156" t="s">
        <v>4597</v>
      </c>
      <c r="L154" s="157"/>
      <c r="M154" s="2656" cm="1">
        <f t="array" ref="M154">INDEX('6층_부하량'!J3:J3000,MATCH(1,("6-DaHall 1-PDU-11"='6층_부하량'!A3:A3000)*(22='6층_부하량'!B3:B3000),0))</f>
        <v>0</v>
      </c>
      <c r="N154" s="157"/>
      <c r="O154" s="179"/>
      <c r="P154" s="179" t="s">
        <v>4635</v>
      </c>
      <c r="Q154" s="143" t="s">
        <v>4723</v>
      </c>
      <c r="R154" s="631" t="s">
        <v>5184</v>
      </c>
    </row>
    <row r="155" spans="1:18" ht="15.75" customHeight="1" x14ac:dyDescent="0.15">
      <c r="A155" s="607" t="s">
        <v>5185</v>
      </c>
      <c r="B155" s="143" t="s">
        <v>4635</v>
      </c>
      <c r="C155" s="164" t="s">
        <v>4575</v>
      </c>
      <c r="D155" s="157"/>
      <c r="E155" s="157"/>
      <c r="F155" s="2656" cm="1">
        <f t="array" ref="F155">INDEX('6층_부하량'!K3:K3000,MATCH(1,("6-DaHall 1-PDU-11"='6층_부하량'!A3:A3000)*(23='6층_부하량'!B3:B3000),0))</f>
        <v>0</v>
      </c>
      <c r="G155" s="157"/>
      <c r="H155" s="143" t="s">
        <v>4597</v>
      </c>
      <c r="I155" s="299" t="s">
        <v>4678</v>
      </c>
      <c r="J155" s="1463" t="s">
        <v>4680</v>
      </c>
      <c r="K155" s="143" t="s">
        <v>4597</v>
      </c>
      <c r="L155" s="157"/>
      <c r="M155" s="157"/>
      <c r="N155" s="2656" cm="1">
        <f t="array" ref="N155">INDEX('6층_부하량'!K3:K3000,MATCH(1,("6-DaHall 1-PDU-11"='6층_부하량'!A3:A3000)*(24='6층_부하량'!B3:B3000),0))</f>
        <v>0</v>
      </c>
      <c r="O155" s="157"/>
      <c r="P155" s="157" t="s">
        <v>4635</v>
      </c>
      <c r="Q155" s="143" t="s">
        <v>4723</v>
      </c>
      <c r="R155" s="619" t="s">
        <v>5186</v>
      </c>
    </row>
    <row r="156" spans="1:18" ht="15.75" customHeight="1" x14ac:dyDescent="0.15">
      <c r="A156" s="607" t="s">
        <v>5187</v>
      </c>
      <c r="B156" s="143" t="s">
        <v>4635</v>
      </c>
      <c r="C156" s="164" t="s">
        <v>4575</v>
      </c>
      <c r="D156" s="2656" cm="1">
        <f t="array" ref="D156">INDEX('6층_부하량'!I3:I3000,MATCH(1,("6-DaHall 1-PDU-11"='6층_부하량'!A3:A3000)*(25='6층_부하량'!B3:B3000),0))</f>
        <v>0</v>
      </c>
      <c r="E156" s="157"/>
      <c r="F156" s="157"/>
      <c r="G156" s="157"/>
      <c r="H156" s="143" t="s">
        <v>4597</v>
      </c>
      <c r="I156" s="299" t="s">
        <v>4683</v>
      </c>
      <c r="J156" s="1463" t="s">
        <v>4685</v>
      </c>
      <c r="K156" s="143" t="s">
        <v>4597</v>
      </c>
      <c r="L156" s="2656" cm="1">
        <f t="array" ref="L156">INDEX('6층_부하량'!I3:I3000,MATCH(1,("6-DaHall 1-PDU-11"='6층_부하량'!A3:A3000)*(26='6층_부하량'!B3:B3000),0))</f>
        <v>0</v>
      </c>
      <c r="M156" s="157"/>
      <c r="N156" s="157"/>
      <c r="O156" s="157"/>
      <c r="P156" s="157" t="s">
        <v>4635</v>
      </c>
      <c r="Q156" s="143" t="s">
        <v>4723</v>
      </c>
      <c r="R156" s="631" t="s">
        <v>5188</v>
      </c>
    </row>
    <row r="157" spans="1:18" ht="15.75" customHeight="1" x14ac:dyDescent="0.15">
      <c r="A157" s="607" t="s">
        <v>5189</v>
      </c>
      <c r="B157" s="143" t="s">
        <v>4635</v>
      </c>
      <c r="C157" s="164" t="s">
        <v>4575</v>
      </c>
      <c r="D157" s="157"/>
      <c r="E157" s="2656" cm="1">
        <f t="array" ref="E157">INDEX('6층_부하량'!J3:J3000,MATCH(1,("6-DaHall 1-PDU-11"='6층_부하량'!A3:A3000)*(27='6층_부하량'!B3:B3000),0))</f>
        <v>0</v>
      </c>
      <c r="F157" s="157"/>
      <c r="G157" s="157"/>
      <c r="H157" s="143" t="s">
        <v>4597</v>
      </c>
      <c r="I157" s="299" t="s">
        <v>4688</v>
      </c>
      <c r="J157" s="1463" t="s">
        <v>4689</v>
      </c>
      <c r="K157" s="143" t="s">
        <v>4597</v>
      </c>
      <c r="L157" s="157"/>
      <c r="M157" s="2656" cm="1">
        <f t="array" ref="M157">INDEX('6층_부하량'!J3:J3000,MATCH(1,("6-DaHall 1-PDU-11"='6층_부하량'!A3:A3000)*(28='6층_부하량'!B3:B3000),0))</f>
        <v>0</v>
      </c>
      <c r="N157" s="157"/>
      <c r="O157" s="157"/>
      <c r="P157" s="157" t="s">
        <v>4635</v>
      </c>
      <c r="Q157" s="143" t="s">
        <v>4723</v>
      </c>
      <c r="R157" s="619" t="s">
        <v>5190</v>
      </c>
    </row>
    <row r="158" spans="1:18" ht="15.75" customHeight="1" x14ac:dyDescent="0.15">
      <c r="A158" s="628" t="s">
        <v>5191</v>
      </c>
      <c r="B158" s="143" t="s">
        <v>4635</v>
      </c>
      <c r="C158" s="164" t="s">
        <v>4575</v>
      </c>
      <c r="D158" s="157"/>
      <c r="E158" s="157"/>
      <c r="F158" s="2656" cm="1">
        <f t="array" ref="F158">INDEX('6층_부하량'!K3:K3000,MATCH(1,("6-DaHall 1-PDU-11"='6층_부하량'!A3:A3000)*(29='6층_부하량'!B3:B3000),0))</f>
        <v>0</v>
      </c>
      <c r="G158" s="157"/>
      <c r="H158" s="143" t="s">
        <v>4597</v>
      </c>
      <c r="I158" s="299" t="s">
        <v>4691</v>
      </c>
      <c r="J158" s="1463" t="s">
        <v>4692</v>
      </c>
      <c r="K158" s="143" t="s">
        <v>4597</v>
      </c>
      <c r="L158" s="157"/>
      <c r="M158" s="157"/>
      <c r="N158" s="2656" cm="1">
        <f t="array" ref="N158">INDEX('6층_부하량'!K3:K3000,MATCH(1,("6-DaHall 1-PDU-11"='6층_부하량'!A3:A3000)*(30='6층_부하량'!B3:B3000),0))</f>
        <v>0</v>
      </c>
      <c r="O158" s="157"/>
      <c r="P158" s="157" t="s">
        <v>4635</v>
      </c>
      <c r="Q158" s="143" t="s">
        <v>4723</v>
      </c>
      <c r="R158" s="631" t="s">
        <v>5192</v>
      </c>
    </row>
    <row r="159" spans="1:18" ht="15.75" customHeight="1" x14ac:dyDescent="0.15">
      <c r="A159" s="629" t="s">
        <v>5193</v>
      </c>
      <c r="B159" s="143" t="s">
        <v>4635</v>
      </c>
      <c r="C159" s="164" t="s">
        <v>4575</v>
      </c>
      <c r="D159" s="2656" cm="1">
        <f t="array" ref="D159">INDEX('6층_부하량'!I3:I3000,MATCH(1,("6-DaHall 1-PDU-11"='6층_부하량'!A3:A3000)*(31='6층_부하량'!B3:B3000),0))</f>
        <v>0</v>
      </c>
      <c r="E159" s="157"/>
      <c r="F159" s="157"/>
      <c r="G159" s="157"/>
      <c r="H159" s="143" t="s">
        <v>4597</v>
      </c>
      <c r="I159" s="299" t="s">
        <v>4693</v>
      </c>
      <c r="J159" s="1463" t="s">
        <v>4694</v>
      </c>
      <c r="K159" s="143" t="s">
        <v>4597</v>
      </c>
      <c r="L159" s="2656" cm="1">
        <f t="array" ref="L159">INDEX('6층_부하량'!I3:I3000,MATCH(1,("6-DaHall 1-PDU-11"='6층_부하량'!A3:A3000)*(32='6층_부하량'!B3:B3000),0))</f>
        <v>0</v>
      </c>
      <c r="M159" s="157"/>
      <c r="N159" s="157"/>
      <c r="O159" s="157"/>
      <c r="P159" s="157" t="s">
        <v>565</v>
      </c>
      <c r="Q159" s="143" t="s">
        <v>4723</v>
      </c>
      <c r="R159" s="153"/>
    </row>
    <row r="160" spans="1:18" ht="15.75" customHeight="1" x14ac:dyDescent="0.15">
      <c r="A160" s="607" t="s">
        <v>5194</v>
      </c>
      <c r="B160" s="143" t="s">
        <v>4635</v>
      </c>
      <c r="C160" s="164" t="s">
        <v>4575</v>
      </c>
      <c r="D160" s="157"/>
      <c r="E160" s="2656" cm="1">
        <f t="array" ref="E160">INDEX('6층_부하량'!J3:J3000,MATCH(1,("6-DaHall 1-PDU-11"='6층_부하량'!A3:A3000)*(33='6층_부하량'!B3:B3000),0))</f>
        <v>0</v>
      </c>
      <c r="F160" s="157"/>
      <c r="G160" s="157"/>
      <c r="H160" s="143" t="s">
        <v>4597</v>
      </c>
      <c r="I160" s="299" t="s">
        <v>4697</v>
      </c>
      <c r="J160" s="1463" t="s">
        <v>4698</v>
      </c>
      <c r="K160" s="143" t="s">
        <v>4597</v>
      </c>
      <c r="L160" s="157"/>
      <c r="M160" s="2656" cm="1">
        <f t="array" ref="M160">INDEX('6층_부하량'!J3:J3000,MATCH(1,("6-DaHall 1-PDU-11"='6층_부하량'!A3:A3000)*(34='6층_부하량'!B3:B3000),0))</f>
        <v>0</v>
      </c>
      <c r="N160" s="157"/>
      <c r="O160" s="157"/>
      <c r="P160" s="157" t="s">
        <v>4635</v>
      </c>
      <c r="Q160" s="143" t="s">
        <v>4723</v>
      </c>
      <c r="R160" s="631" t="s">
        <v>5195</v>
      </c>
    </row>
    <row r="161" spans="1:18" ht="15.75" customHeight="1" x14ac:dyDescent="0.15">
      <c r="A161" s="341" t="s">
        <v>5196</v>
      </c>
      <c r="B161" s="143" t="s">
        <v>4635</v>
      </c>
      <c r="C161" s="143" t="s">
        <v>4723</v>
      </c>
      <c r="D161" s="157"/>
      <c r="E161" s="157"/>
      <c r="F161" s="2656" cm="1">
        <f t="array" ref="F161">INDEX('6층_부하량'!K3:K3000,MATCH(1,("6-DaHall 1-PDU-11"='6층_부하량'!A3:A3000)*(35='6층_부하량'!B3:B3000),0))</f>
        <v>0</v>
      </c>
      <c r="G161" s="157"/>
      <c r="H161" s="143" t="s">
        <v>4597</v>
      </c>
      <c r="I161" s="1465" t="s">
        <v>4701</v>
      </c>
      <c r="J161" s="1463" t="s">
        <v>4703</v>
      </c>
      <c r="K161" s="143" t="s">
        <v>4597</v>
      </c>
      <c r="L161" s="157"/>
      <c r="M161" s="157"/>
      <c r="N161" s="2656" cm="1">
        <f t="array" ref="N161">INDEX('6층_부하량'!K3:K3000,MATCH(1,("6-DaHall 1-PDU-11"='6층_부하량'!A3:A3000)*(36='6층_부하량'!B3:B3000),0))</f>
        <v>0</v>
      </c>
      <c r="O161" s="157"/>
      <c r="P161" s="157" t="s">
        <v>4635</v>
      </c>
      <c r="Q161" s="143" t="s">
        <v>4723</v>
      </c>
      <c r="R161" s="619" t="s">
        <v>5197</v>
      </c>
    </row>
    <row r="162" spans="1:18" ht="15.75" customHeight="1" x14ac:dyDescent="0.15">
      <c r="A162" s="341" t="s">
        <v>5198</v>
      </c>
      <c r="B162" s="143" t="s">
        <v>4635</v>
      </c>
      <c r="C162" s="143" t="s">
        <v>4723</v>
      </c>
      <c r="D162" s="2656" cm="1">
        <f t="array" ref="D162">INDEX('6층_부하량'!I3:I3000,MATCH(1,("6-DaHall 1-PDU-11"='6층_부하량'!A3:A3000)*(37='6층_부하량'!B3:B3000),0))</f>
        <v>0</v>
      </c>
      <c r="E162" s="157"/>
      <c r="F162" s="157"/>
      <c r="G162" s="157"/>
      <c r="H162" s="143" t="s">
        <v>4597</v>
      </c>
      <c r="I162" s="1465" t="s">
        <v>4706</v>
      </c>
      <c r="J162" s="1463" t="s">
        <v>4707</v>
      </c>
      <c r="K162" s="143" t="s">
        <v>4597</v>
      </c>
      <c r="L162" s="2656" cm="1">
        <f t="array" ref="L162">INDEX('6층_부하량'!I3:I3000,MATCH(1,("6-DaHall 1-PDU-11"='6층_부하량'!A3:A3000)*(38='6층_부하량'!B3:B3000),0))</f>
        <v>0</v>
      </c>
      <c r="M162" s="157"/>
      <c r="N162" s="157"/>
      <c r="O162" s="157"/>
      <c r="P162" s="157" t="s">
        <v>4635</v>
      </c>
      <c r="Q162" s="143" t="s">
        <v>4723</v>
      </c>
      <c r="R162" s="631" t="s">
        <v>5199</v>
      </c>
    </row>
    <row r="163" spans="1:18" ht="15.75" customHeight="1" x14ac:dyDescent="0.15">
      <c r="A163" s="341" t="s">
        <v>5200</v>
      </c>
      <c r="B163" s="143" t="s">
        <v>4635</v>
      </c>
      <c r="C163" s="143" t="s">
        <v>4723</v>
      </c>
      <c r="D163" s="157"/>
      <c r="E163" s="2656" cm="1">
        <f t="array" ref="E163">INDEX('6층_부하량'!J3:J3000,MATCH(1,("6-DaHall 1-PDU-11"='6층_부하량'!A3:A3000)*(39='6층_부하량'!B3:B3000),0))</f>
        <v>0</v>
      </c>
      <c r="F163" s="157"/>
      <c r="G163" s="157"/>
      <c r="H163" s="143" t="s">
        <v>4597</v>
      </c>
      <c r="I163" s="1471" t="s">
        <v>4710</v>
      </c>
      <c r="J163" s="1463" t="s">
        <v>4711</v>
      </c>
      <c r="K163" s="143" t="s">
        <v>4597</v>
      </c>
      <c r="L163" s="157"/>
      <c r="M163" s="2656" cm="1">
        <f t="array" ref="M163">INDEX('6층_부하량'!J3:J3000,MATCH(1,("6-DaHall 1-PDU-11"='6층_부하량'!A3:A3000)*(40='6층_부하량'!B3:B3000),0))</f>
        <v>0</v>
      </c>
      <c r="N163" s="157"/>
      <c r="O163" s="157"/>
      <c r="P163" s="157" t="s">
        <v>4635</v>
      </c>
      <c r="Q163" s="143" t="s">
        <v>4723</v>
      </c>
      <c r="R163" s="619" t="s">
        <v>5201</v>
      </c>
    </row>
    <row r="164" spans="1:18" ht="15.75" customHeight="1" x14ac:dyDescent="0.15">
      <c r="A164" s="341" t="s">
        <v>5202</v>
      </c>
      <c r="B164" s="143" t="s">
        <v>4635</v>
      </c>
      <c r="C164" s="143" t="s">
        <v>4723</v>
      </c>
      <c r="D164" s="157"/>
      <c r="E164" s="157"/>
      <c r="F164" s="2656" cm="1">
        <f t="array" ref="F164">INDEX('6층_부하량'!K3:K3000,MATCH(1,("6-DaHall 1-PDU-11"='6층_부하량'!A3:A3000)*(41='6층_부하량'!B3:B3000),0))</f>
        <v>0</v>
      </c>
      <c r="G164" s="157"/>
      <c r="H164" s="143" t="s">
        <v>4597</v>
      </c>
      <c r="I164" s="1465" t="s">
        <v>5055</v>
      </c>
      <c r="J164" s="1463" t="s">
        <v>4843</v>
      </c>
      <c r="K164" s="143" t="s">
        <v>4597</v>
      </c>
      <c r="L164" s="157"/>
      <c r="M164" s="157"/>
      <c r="N164" s="2656" cm="1">
        <f t="array" ref="N164">INDEX('6층_부하량'!K3:K3000,MATCH(1,("6-DaHall 1-PDU-11"='6층_부하량'!A3:A3000)*(42='6층_부하량'!B3:B3000),0))</f>
        <v>0</v>
      </c>
      <c r="O164" s="157"/>
      <c r="P164" s="157" t="s">
        <v>4635</v>
      </c>
      <c r="Q164" s="143" t="s">
        <v>4723</v>
      </c>
      <c r="R164" s="619" t="s">
        <v>5203</v>
      </c>
    </row>
    <row r="165" spans="1:18" ht="15.75" customHeight="1" x14ac:dyDescent="0.15">
      <c r="A165" s="341" t="s">
        <v>5204</v>
      </c>
      <c r="B165" s="143" t="s">
        <v>4635</v>
      </c>
      <c r="C165" s="143" t="s">
        <v>4723</v>
      </c>
      <c r="D165" s="2656" cm="1">
        <f t="array" ref="D165">INDEX('6층_부하량'!I3:I3000,MATCH(1,("6-DaHall 1-PDU-11"='6층_부하량'!A3:A3000)*(43='6층_부하량'!B3:B3000),0))</f>
        <v>0</v>
      </c>
      <c r="E165" s="157"/>
      <c r="F165" s="157"/>
      <c r="G165" s="157"/>
      <c r="H165" s="143" t="s">
        <v>4597</v>
      </c>
      <c r="I165" s="1465" t="s">
        <v>4845</v>
      </c>
      <c r="J165" s="1463" t="s">
        <v>4846</v>
      </c>
      <c r="K165" s="143" t="s">
        <v>4597</v>
      </c>
      <c r="L165" s="2656" cm="1">
        <f t="array" ref="L165">INDEX('6층_부하량'!I3:I3000,MATCH(1,("6-DaHall 1-PDU-11"='6층_부하량'!A3:A3000)*(44='6층_부하량'!B3:B3000),0))</f>
        <v>0</v>
      </c>
      <c r="M165" s="157"/>
      <c r="N165" s="157"/>
      <c r="O165" s="157"/>
      <c r="P165" s="157" t="s">
        <v>4635</v>
      </c>
      <c r="Q165" s="143" t="s">
        <v>4723</v>
      </c>
      <c r="R165" s="342" t="s">
        <v>5205</v>
      </c>
    </row>
    <row r="166" spans="1:18" ht="15.75" customHeight="1" x14ac:dyDescent="0.15">
      <c r="A166" s="341" t="s">
        <v>5206</v>
      </c>
      <c r="B166" s="143" t="s">
        <v>4635</v>
      </c>
      <c r="C166" s="143" t="s">
        <v>4723</v>
      </c>
      <c r="D166" s="157"/>
      <c r="E166" s="2656" cm="1">
        <f t="array" ref="E166">INDEX('6층_부하량'!J3:J3000,MATCH(1,("6-DaHall 1-PDU-11"='6층_부하량'!A3:A3000)*(45='6층_부하량'!B3:B3000),0))</f>
        <v>0</v>
      </c>
      <c r="F166" s="157"/>
      <c r="G166" s="157"/>
      <c r="H166" s="143" t="s">
        <v>4597</v>
      </c>
      <c r="I166" s="1465" t="s">
        <v>4847</v>
      </c>
      <c r="J166" s="1463" t="s">
        <v>4848</v>
      </c>
      <c r="K166" s="143" t="s">
        <v>4597</v>
      </c>
      <c r="L166" s="157"/>
      <c r="M166" s="2656" cm="1">
        <f t="array" ref="M166">INDEX('6층_부하량'!J3:J3000,MATCH(1,("6-DaHall 1-PDU-11"='6층_부하량'!A3:A3000)*(46='6층_부하량'!B3:B3000),0))</f>
        <v>0</v>
      </c>
      <c r="N166" s="157"/>
      <c r="O166" s="157"/>
      <c r="P166" s="157" t="s">
        <v>4635</v>
      </c>
      <c r="Q166" s="143" t="s">
        <v>4723</v>
      </c>
      <c r="R166" s="619" t="s">
        <v>5207</v>
      </c>
    </row>
    <row r="167" spans="1:18" ht="15.75" customHeight="1" x14ac:dyDescent="0.15">
      <c r="A167" s="1019" t="s">
        <v>5208</v>
      </c>
      <c r="B167" s="143" t="s">
        <v>4635</v>
      </c>
      <c r="C167" s="164" t="s">
        <v>4575</v>
      </c>
      <c r="D167" s="157"/>
      <c r="E167" s="157"/>
      <c r="F167" s="2656" cm="1">
        <f t="array" ref="F167">INDEX('6층_부하량'!K3:K3000,MATCH(1,("6-DaHall 1-PDU-11"='6층_부하량'!A3:A3000)*(47='6층_부하량'!B3:B3000),0))</f>
        <v>0</v>
      </c>
      <c r="G167" s="157"/>
      <c r="H167" s="143" t="s">
        <v>4597</v>
      </c>
      <c r="I167" s="299" t="s">
        <v>4849</v>
      </c>
      <c r="J167" s="1463" t="s">
        <v>4850</v>
      </c>
      <c r="K167" s="143" t="s">
        <v>4597</v>
      </c>
      <c r="L167" s="157"/>
      <c r="M167" s="157"/>
      <c r="N167" s="2656" cm="1">
        <f t="array" ref="N167">INDEX('6층_부하량'!K3:K3000,MATCH(1,("6-DaHall 1-PDU-11"='6층_부하량'!A3:A3000)*(48='6층_부하량'!B3:B3000),0))</f>
        <v>0</v>
      </c>
      <c r="O167" s="157"/>
      <c r="P167" s="157" t="s">
        <v>565</v>
      </c>
      <c r="Q167" s="143" t="s">
        <v>4723</v>
      </c>
      <c r="R167" s="153"/>
    </row>
    <row r="168" spans="1:18" ht="15.75" customHeight="1" thickBot="1" x14ac:dyDescent="0.2">
      <c r="A168" s="1020" t="s">
        <v>5209</v>
      </c>
      <c r="B168" s="166" t="s">
        <v>4635</v>
      </c>
      <c r="C168" s="184" t="s">
        <v>4575</v>
      </c>
      <c r="D168" s="2659" cm="1">
        <f t="array" ref="D168">INDEX('6층_부하량'!I3:I3000,MATCH(1,("6-DaHall 1-PDU-11"='6층_부하량'!A3:A3000)*(49='6층_부하량'!B3:B3000),0))</f>
        <v>0</v>
      </c>
      <c r="E168" s="167"/>
      <c r="F168" s="167"/>
      <c r="G168" s="167"/>
      <c r="H168" s="166" t="s">
        <v>4597</v>
      </c>
      <c r="I168" s="301" t="s">
        <v>4851</v>
      </c>
      <c r="J168" s="1473" t="s">
        <v>4852</v>
      </c>
      <c r="K168" s="166" t="s">
        <v>4597</v>
      </c>
      <c r="L168" s="2659" cm="1">
        <f t="array" ref="L168">INDEX('6층_부하량'!I3:I3000,MATCH(1,("6-DaHall 1-PDU-11"='6층_부하량'!A3:A3000)*(50='6층_부하량'!B3:B3000),0))</f>
        <v>0</v>
      </c>
      <c r="M168" s="167"/>
      <c r="N168" s="167"/>
      <c r="O168" s="167"/>
      <c r="P168" s="167" t="s">
        <v>565</v>
      </c>
      <c r="Q168" s="166" t="s">
        <v>4723</v>
      </c>
      <c r="R168" s="170"/>
    </row>
    <row r="169" spans="1:18" ht="15" thickTop="1" thickBot="1" x14ac:dyDescent="0.2">
      <c r="A169" s="128"/>
      <c r="B169" s="128"/>
      <c r="C169" s="128"/>
      <c r="D169" s="128"/>
      <c r="E169" s="128"/>
      <c r="F169" s="128"/>
      <c r="G169" s="128"/>
      <c r="H169" s="128"/>
      <c r="I169" s="128"/>
      <c r="J169" s="128"/>
      <c r="K169" s="133" t="s">
        <v>4713</v>
      </c>
      <c r="L169" s="128" t="n">
        <f>SUM(D144:D168,L144:L168)</f>
        <v>5.198757078632254</v>
      </c>
      <c r="M169" s="128" t="n">
        <f>SUM(E144:E168,M144:M168)</f>
        <v>4.970310707218785</v>
      </c>
      <c r="N169" s="128" t="n">
        <f>SUM(F144:F168,N144:N168)</f>
        <v>0.0</v>
      </c>
      <c r="O169" s="128"/>
      <c r="P169" s="128"/>
      <c r="Q169" s="128"/>
      <c r="R169" s="128"/>
    </row>
    <row r="170" spans="1:18" ht="15" thickTop="1" thickBot="1" x14ac:dyDescent="0.2">
      <c r="A170" s="173" t="s">
        <v>7002</v>
      </c>
      <c r="B170" s="128"/>
      <c r="C170" s="3660" t="s">
        <v>5210</v>
      </c>
      <c r="D170" s="3660"/>
      <c r="E170" s="3660"/>
      <c r="F170" s="173"/>
      <c r="G170" s="173"/>
      <c r="H170" s="133"/>
      <c r="I170" s="3665" t="s">
        <v>5063</v>
      </c>
      <c r="J170" s="3666"/>
      <c r="K170" s="133"/>
      <c r="L170" s="173"/>
      <c r="M170" s="173"/>
      <c r="N170" s="173"/>
      <c r="O170" s="173"/>
      <c r="P170" s="173"/>
      <c r="Q170" s="173"/>
      <c r="R170" s="128"/>
    </row>
    <row r="171" spans="1:18" ht="15" thickTop="1" thickBot="1" x14ac:dyDescent="0.2">
      <c r="A171" s="127"/>
      <c r="B171" s="128"/>
      <c r="C171" s="128"/>
      <c r="D171" s="129"/>
      <c r="E171" s="129"/>
      <c r="F171" s="130"/>
      <c r="G171" s="129"/>
      <c r="H171" s="131"/>
      <c r="I171" s="128"/>
      <c r="J171" s="132"/>
      <c r="K171" s="1371" t="s">
        <v>4562</v>
      </c>
      <c r="L171" s="1368">
        <v>5.0999999999999996</v>
      </c>
      <c r="M171" s="1369">
        <v>0</v>
      </c>
      <c r="N171" s="1370">
        <v>0</v>
      </c>
      <c r="O171" s="508" t="s">
        <v>4563</v>
      </c>
      <c r="P171" s="133"/>
      <c r="Q171" s="128"/>
      <c r="R171" s="528"/>
    </row>
    <row r="172" spans="1:18" ht="18" customHeight="1" thickTop="1" thickBot="1" x14ac:dyDescent="0.2">
      <c r="A172" s="134" t="s">
        <v>4564</v>
      </c>
      <c r="B172" s="135" t="s">
        <v>5031</v>
      </c>
      <c r="C172" s="136" t="s">
        <v>4566</v>
      </c>
      <c r="D172" s="135" t="s">
        <v>5032</v>
      </c>
      <c r="E172" s="135" t="s">
        <v>5033</v>
      </c>
      <c r="F172" s="135" t="s">
        <v>5034</v>
      </c>
      <c r="G172" s="135" t="s">
        <v>5035</v>
      </c>
      <c r="H172" s="135" t="s">
        <v>5036</v>
      </c>
      <c r="I172" s="138" t="s">
        <v>5037</v>
      </c>
      <c r="J172" s="139" t="s">
        <v>5037</v>
      </c>
      <c r="K172" s="135" t="s">
        <v>5036</v>
      </c>
      <c r="L172" s="135" t="s">
        <v>5032</v>
      </c>
      <c r="M172" s="135" t="s">
        <v>5033</v>
      </c>
      <c r="N172" s="135" t="s">
        <v>5034</v>
      </c>
      <c r="O172" s="135" t="s">
        <v>5035</v>
      </c>
      <c r="P172" s="135" t="s">
        <v>5031</v>
      </c>
      <c r="Q172" s="136" t="s">
        <v>4566</v>
      </c>
      <c r="R172" s="140" t="s">
        <v>4564</v>
      </c>
    </row>
    <row r="173" spans="1:18" ht="18" customHeight="1" thickTop="1" x14ac:dyDescent="0.15">
      <c r="A173" s="141"/>
      <c r="B173" s="142" t="s">
        <v>565</v>
      </c>
      <c r="C173" s="142" t="s">
        <v>4723</v>
      </c>
      <c r="D173" s="2654" cm="1">
        <f t="array" ref="D173">INDEX('6층_부하량'!I3:I3000,MATCH(1,("6-DaHall 1-PDU-12"='6층_부하량'!A3:A3000)*(1='6층_부하량'!B3:B3000),0))</f>
        <v>0</v>
      </c>
      <c r="E173" s="144"/>
      <c r="F173" s="144"/>
      <c r="G173" s="144"/>
      <c r="H173" s="142" t="s">
        <v>4597</v>
      </c>
      <c r="I173" s="1469" t="s">
        <v>4633</v>
      </c>
      <c r="J173" s="292" t="s">
        <v>4578</v>
      </c>
      <c r="K173" s="142" t="s">
        <v>4597</v>
      </c>
      <c r="L173" s="2654" cm="1">
        <f t="array" ref="L173">INDEX('6층_부하량'!I3:I3000,MATCH(1,("6-DaHall 1-PDU-12"='6층_부하량'!A3:A3000)*(2='6층_부하량'!B3:B3000),0))</f>
        <v>0</v>
      </c>
      <c r="M173" s="144"/>
      <c r="N173" s="144"/>
      <c r="O173" s="144"/>
      <c r="P173" s="163" t="s">
        <v>4635</v>
      </c>
      <c r="Q173" s="142" t="s">
        <v>4723</v>
      </c>
      <c r="R173" s="618" t="s">
        <v>5211</v>
      </c>
    </row>
    <row r="174" spans="1:18" ht="18" customHeight="1" x14ac:dyDescent="0.15">
      <c r="A174" s="622" t="s">
        <v>5212</v>
      </c>
      <c r="B174" s="143" t="s">
        <v>4635</v>
      </c>
      <c r="C174" s="164" t="s">
        <v>4575</v>
      </c>
      <c r="D174" s="149"/>
      <c r="E174" s="2655" cm="1">
        <f t="array" ref="E174">INDEX('6층_부하량'!J3:J3000,MATCH(1,("6-DaHall 1-PDU-12"='6층_부하량'!A3:A3000)*(3='6층_부하량'!B3:B3000),0))</f>
        <v>0</v>
      </c>
      <c r="F174" s="149"/>
      <c r="G174" s="149"/>
      <c r="H174" s="143" t="s">
        <v>4597</v>
      </c>
      <c r="I174" s="293" t="s">
        <v>4638</v>
      </c>
      <c r="J174" s="294" t="s">
        <v>4583</v>
      </c>
      <c r="K174" s="143" t="s">
        <v>4597</v>
      </c>
      <c r="L174" s="149"/>
      <c r="M174" s="2655" cm="1">
        <f t="array" ref="M174">INDEX('6층_부하량'!J3:J3000,MATCH(1,("6-DaHall 1-PDU-12"='6층_부하량'!A3:A3000)*(4='6층_부하량'!B3:B3000),0))</f>
        <v>0</v>
      </c>
      <c r="N174" s="149"/>
      <c r="O174" s="149"/>
      <c r="P174" s="157" t="s">
        <v>4635</v>
      </c>
      <c r="Q174" s="143" t="s">
        <v>4723</v>
      </c>
      <c r="R174" s="342" t="s">
        <v>5213</v>
      </c>
    </row>
    <row r="175" spans="1:18" ht="18" customHeight="1" x14ac:dyDescent="0.15">
      <c r="A175" s="607" t="s">
        <v>5214</v>
      </c>
      <c r="B175" s="143" t="s">
        <v>4635</v>
      </c>
      <c r="C175" s="164" t="s">
        <v>4575</v>
      </c>
      <c r="D175" s="157"/>
      <c r="E175" s="157"/>
      <c r="F175" s="2656" cm="1">
        <f t="array" ref="F175">INDEX('6층_부하량'!K3:K3000,MATCH(1,("6-DaHall 1-PDU-12"='6층_부하량'!A3:A3000)*(5='6층_부하량'!B3:B3000),0))</f>
        <v>0</v>
      </c>
      <c r="G175" s="157"/>
      <c r="H175" s="143" t="s">
        <v>4597</v>
      </c>
      <c r="I175" s="293" t="s">
        <v>4641</v>
      </c>
      <c r="J175" s="294" t="s">
        <v>4588</v>
      </c>
      <c r="K175" s="143" t="s">
        <v>4597</v>
      </c>
      <c r="L175" s="157"/>
      <c r="M175" s="157"/>
      <c r="N175" s="2656" cm="1">
        <f t="array" ref="N175">INDEX('6층_부하량'!K3:K3000,MATCH(1,("6-DaHall 1-PDU-12"='6층_부하량'!A3:A3000)*(6='6층_부하량'!B3:B3000),0))</f>
        <v>0</v>
      </c>
      <c r="O175" s="157"/>
      <c r="P175" s="157" t="s">
        <v>4635</v>
      </c>
      <c r="Q175" s="143" t="s">
        <v>4723</v>
      </c>
      <c r="R175" s="342" t="s">
        <v>5215</v>
      </c>
    </row>
    <row r="176" spans="1:18" ht="18" customHeight="1" x14ac:dyDescent="0.15">
      <c r="A176" s="622" t="s">
        <v>5216</v>
      </c>
      <c r="B176" s="143" t="s">
        <v>4635</v>
      </c>
      <c r="C176" s="164" t="s">
        <v>4575</v>
      </c>
      <c r="D176" s="2656" cm="1">
        <f t="array" ref="D176">INDEX('6층_부하량'!I3:I3000,MATCH(1,("6-DaHall 1-PDU-12"='6층_부하량'!A3:A3000)*(7='6층_부하량'!B3:B3000),0))</f>
        <v>0</v>
      </c>
      <c r="E176" s="157"/>
      <c r="F176" s="157"/>
      <c r="G176" s="157"/>
      <c r="H176" s="143" t="s">
        <v>4597</v>
      </c>
      <c r="I176" s="293" t="s">
        <v>4645</v>
      </c>
      <c r="J176" s="294" t="s">
        <v>4593</v>
      </c>
      <c r="K176" s="143" t="s">
        <v>4597</v>
      </c>
      <c r="L176" s="2656" cm="1">
        <f t="array" ref="L176">INDEX('6층_부하량'!I3:I3000,MATCH(1,("6-DaHall 1-PDU-12"='6층_부하량'!A3:A3000)*(8='6층_부하량'!B3:B3000),0))</f>
        <v>0</v>
      </c>
      <c r="M176" s="157"/>
      <c r="N176" s="157"/>
      <c r="O176" s="157"/>
      <c r="P176" s="157" t="s">
        <v>4635</v>
      </c>
      <c r="Q176" s="143" t="s">
        <v>4723</v>
      </c>
      <c r="R176" s="342" t="s">
        <v>5217</v>
      </c>
    </row>
    <row r="177" spans="1:18" ht="18" customHeight="1" x14ac:dyDescent="0.15">
      <c r="A177" s="607" t="s">
        <v>5218</v>
      </c>
      <c r="B177" s="143" t="s">
        <v>4635</v>
      </c>
      <c r="C177" s="164" t="s">
        <v>4575</v>
      </c>
      <c r="D177" s="157"/>
      <c r="E177" s="2656" cm="1">
        <f t="array" ref="E177">INDEX('6층_부하량'!J3:J3000,MATCH(1,("6-DaHall 1-PDU-12"='6층_부하량'!A3:A3000)*(9='6층_부하량'!B3:B3000),0))</f>
        <v>0</v>
      </c>
      <c r="F177" s="157"/>
      <c r="G177" s="157"/>
      <c r="H177" s="143" t="s">
        <v>4597</v>
      </c>
      <c r="I177" s="293" t="s">
        <v>4648</v>
      </c>
      <c r="J177" s="294" t="s">
        <v>4596</v>
      </c>
      <c r="K177" s="143" t="s">
        <v>4597</v>
      </c>
      <c r="L177" s="157"/>
      <c r="M177" s="2656" cm="1" t="n">
        <f t="array" ref="M177">INDEX('6층_부하량'!J3:J3000,MATCH(1,("6-DaHall 1-PDU-12"='6층_부하량'!A3:A3000)*(10='6층_부하량'!B3:B3000),0))</f>
        <v>4.940275096261333</v>
      </c>
      <c r="N177" s="157"/>
      <c r="O177" s="157"/>
      <c r="P177" s="157" t="s">
        <v>4635</v>
      </c>
      <c r="Q177" s="164" t="s">
        <v>4575</v>
      </c>
      <c r="R177" s="342" t="s">
        <v>5219</v>
      </c>
    </row>
    <row r="178" spans="1:18" ht="18" customHeight="1" x14ac:dyDescent="0.15">
      <c r="A178" s="622" t="s">
        <v>5220</v>
      </c>
      <c r="B178" s="143" t="s">
        <v>4635</v>
      </c>
      <c r="C178" s="164" t="s">
        <v>4575</v>
      </c>
      <c r="D178" s="157"/>
      <c r="E178" s="157"/>
      <c r="F178" s="2656" cm="1">
        <f t="array" ref="F178">INDEX('6층_부하량'!K3:K3000,MATCH(1,("6-DaHall 1-PDU-12"='6층_부하량'!A3:A3000)*(11='6층_부하량'!B3:B3000),0))</f>
        <v>0</v>
      </c>
      <c r="G178" s="157"/>
      <c r="H178" s="143" t="s">
        <v>4597</v>
      </c>
      <c r="I178" s="293" t="s">
        <v>4653</v>
      </c>
      <c r="J178" s="294" t="s">
        <v>4599</v>
      </c>
      <c r="K178" s="143" t="s">
        <v>4597</v>
      </c>
      <c r="L178" s="157"/>
      <c r="M178" s="157"/>
      <c r="N178" s="2656" cm="1">
        <f t="array" ref="N178">INDEX('6층_부하량'!K3:K3000,MATCH(1,("6-DaHall 1-PDU-12"='6층_부하량'!A3:A3000)*(12='6층_부하량'!B3:B3000),0))</f>
        <v>0</v>
      </c>
      <c r="O178" s="157"/>
      <c r="P178" s="157" t="s">
        <v>4635</v>
      </c>
      <c r="Q178" s="164" t="s">
        <v>4575</v>
      </c>
      <c r="R178" s="342" t="s">
        <v>5221</v>
      </c>
    </row>
    <row r="179" spans="1:18" ht="18" customHeight="1" x14ac:dyDescent="0.15">
      <c r="A179" s="257" t="s">
        <v>5222</v>
      </c>
      <c r="B179" s="143" t="s">
        <v>4635</v>
      </c>
      <c r="C179" s="143" t="s">
        <v>4723</v>
      </c>
      <c r="D179" s="2656" cm="1">
        <f t="array" ref="D179">INDEX('6층_부하량'!I3:I3000,MATCH(1,("6-DaHall 1-PDU-12"='6층_부하량'!A3:A3000)*(13='6층_부하량'!B3:B3000),0))</f>
        <v>0</v>
      </c>
      <c r="E179" s="157"/>
      <c r="F179" s="157"/>
      <c r="G179" s="157"/>
      <c r="H179" s="143" t="s">
        <v>4597</v>
      </c>
      <c r="I179" s="1465" t="s">
        <v>4657</v>
      </c>
      <c r="J179" s="1463" t="s">
        <v>4601</v>
      </c>
      <c r="K179" s="143" t="s">
        <v>4597</v>
      </c>
      <c r="L179" s="2656" cm="1">
        <f t="array" ref="L179">INDEX('6층_부하량'!I3:I3000,MATCH(1,("6-DaHall 1-PDU-12"='6층_부하량'!A3:A3000)*(14='6층_부하량'!B3:B3000),0))</f>
        <v>0</v>
      </c>
      <c r="M179" s="157"/>
      <c r="N179" s="157"/>
      <c r="O179" s="157"/>
      <c r="P179" s="157" t="s">
        <v>4635</v>
      </c>
      <c r="Q179" s="143" t="s">
        <v>4723</v>
      </c>
      <c r="R179" s="342" t="s">
        <v>5223</v>
      </c>
    </row>
    <row r="180" spans="1:18" ht="18" customHeight="1" x14ac:dyDescent="0.15">
      <c r="A180" s="622" t="s">
        <v>5224</v>
      </c>
      <c r="B180" s="143" t="s">
        <v>4635</v>
      </c>
      <c r="C180" s="164" t="s">
        <v>4575</v>
      </c>
      <c r="D180" s="157"/>
      <c r="E180" s="2656" cm="1">
        <f t="array" ref="E180">INDEX('6층_부하량'!J3:J3000,MATCH(1,("6-DaHall 1-PDU-12"='6층_부하량'!A3:A3000)*(15='6층_부하량'!B3:B3000),0))</f>
        <v>0</v>
      </c>
      <c r="F180" s="157"/>
      <c r="G180" s="157"/>
      <c r="H180" s="143" t="s">
        <v>4597</v>
      </c>
      <c r="I180" s="293" t="s">
        <v>4661</v>
      </c>
      <c r="J180" s="294" t="s">
        <v>4603</v>
      </c>
      <c r="K180" s="143" t="s">
        <v>4597</v>
      </c>
      <c r="L180" s="157"/>
      <c r="M180" s="2656" cm="1">
        <f t="array" ref="M180">INDEX('6층_부하량'!J3:J3000,MATCH(1,("6-DaHall 1-PDU-12"='6층_부하량'!A3:A3000)*(16='6층_부하량'!B3:B3000),0))</f>
        <v>0</v>
      </c>
      <c r="N180" s="157"/>
      <c r="O180" s="157"/>
      <c r="P180" s="157" t="s">
        <v>4635</v>
      </c>
      <c r="Q180" s="164" t="s">
        <v>4575</v>
      </c>
      <c r="R180" s="342" t="s">
        <v>5225</v>
      </c>
    </row>
    <row r="181" spans="1:18" ht="18" customHeight="1" thickBot="1" x14ac:dyDescent="0.2">
      <c r="A181" s="622" t="s">
        <v>5226</v>
      </c>
      <c r="B181" s="159" t="s">
        <v>4635</v>
      </c>
      <c r="C181" s="185" t="s">
        <v>4575</v>
      </c>
      <c r="D181" s="177"/>
      <c r="E181" s="177"/>
      <c r="F181" s="2661" cm="1">
        <f t="array" ref="F181">INDEX('6층_부하량'!K3:K3000,MATCH(1,("6-DaHall 1-PDU-12"='6층_부하량'!A3:A3000)*(17='6층_부하량'!B3:B3000),0))</f>
        <v>0</v>
      </c>
      <c r="G181" s="160"/>
      <c r="H181" s="159" t="s">
        <v>4597</v>
      </c>
      <c r="I181" s="295" t="s">
        <v>4665</v>
      </c>
      <c r="J181" s="296" t="s">
        <v>4605</v>
      </c>
      <c r="K181" s="159" t="s">
        <v>4597</v>
      </c>
      <c r="L181" s="177"/>
      <c r="M181" s="177"/>
      <c r="N181" s="2661" cm="1">
        <f t="array" ref="N181">INDEX('6층_부하량'!K3:K3000,MATCH(1,("6-DaHall 1-PDU-12"='6층_부하량'!A3:A3000)*(18='6층_부하량'!B3:B3000),0))</f>
        <v>0</v>
      </c>
      <c r="O181" s="160"/>
      <c r="P181" s="160" t="s">
        <v>4635</v>
      </c>
      <c r="Q181" s="185" t="s">
        <v>4575</v>
      </c>
      <c r="R181" s="342" t="s">
        <v>5227</v>
      </c>
    </row>
    <row r="182" spans="1:18" ht="18" customHeight="1" thickTop="1" x14ac:dyDescent="0.15">
      <c r="A182" s="277" t="s">
        <v>5228</v>
      </c>
      <c r="B182" s="142" t="s">
        <v>4635</v>
      </c>
      <c r="C182" s="152" t="s">
        <v>4575</v>
      </c>
      <c r="D182" s="2658" cm="1" t="n">
        <f t="array" ref="D182">INDEX('6층_부하량'!I3:I3000,MATCH(1,("6-DaHall 1-PDU-12"='6층_부하량'!A3:A3000)*(19='6층_부하량'!B3:B3000),0))</f>
        <v>5.181948623827229</v>
      </c>
      <c r="E182" s="179"/>
      <c r="F182" s="179"/>
      <c r="G182" s="163"/>
      <c r="H182" s="142" t="s">
        <v>4597</v>
      </c>
      <c r="I182" s="297" t="s">
        <v>4670</v>
      </c>
      <c r="J182" s="1474" t="s">
        <v>4609</v>
      </c>
      <c r="K182" s="142" t="s">
        <v>4597</v>
      </c>
      <c r="L182" s="2658" cm="1">
        <f t="array" ref="L182">INDEX('6층_부하량'!I3:I3000,MATCH(1,("6-DaHall 1-PDU-12"='6층_부하량'!A3:A3000)*(20='6층_부하량'!B3:B3000),0))</f>
        <v>0</v>
      </c>
      <c r="M182" s="179"/>
      <c r="N182" s="179"/>
      <c r="O182" s="163"/>
      <c r="P182" s="163" t="s">
        <v>4635</v>
      </c>
      <c r="Q182" s="142" t="s">
        <v>4723</v>
      </c>
      <c r="R182" s="630" t="s">
        <v>5229</v>
      </c>
    </row>
    <row r="183" spans="1:18" ht="18" customHeight="1" x14ac:dyDescent="0.15">
      <c r="A183" s="1018" t="s">
        <v>5230</v>
      </c>
      <c r="B183" s="156" t="s">
        <v>4635</v>
      </c>
      <c r="C183" s="189" t="s">
        <v>4575</v>
      </c>
      <c r="D183" s="157"/>
      <c r="E183" s="2656" cm="1">
        <f t="array" ref="E183">INDEX('6층_부하량'!J3:J3000,MATCH(1,("6-DaHall 1-PDU-12"='6층_부하량'!A3:A3000)*(21='6층_부하량'!B3:B3000),0))</f>
        <v>0</v>
      </c>
      <c r="F183" s="157"/>
      <c r="G183" s="179"/>
      <c r="H183" s="156" t="s">
        <v>4597</v>
      </c>
      <c r="I183" s="1471" t="s">
        <v>4674</v>
      </c>
      <c r="J183" s="1463" t="s">
        <v>4613</v>
      </c>
      <c r="K183" s="156" t="s">
        <v>4597</v>
      </c>
      <c r="L183" s="157"/>
      <c r="M183" s="2656" cm="1">
        <f t="array" ref="M183">INDEX('6층_부하량'!J3:J3000,MATCH(1,("6-DaHall 1-PDU-12"='6층_부하량'!A3:A3000)*(22='6층_부하량'!B3:B3000),0))</f>
        <v>0</v>
      </c>
      <c r="N183" s="157"/>
      <c r="O183" s="179"/>
      <c r="P183" s="179" t="s">
        <v>4635</v>
      </c>
      <c r="Q183" s="143" t="s">
        <v>4723</v>
      </c>
      <c r="R183" s="631" t="s">
        <v>5231</v>
      </c>
    </row>
    <row r="184" spans="1:18" ht="18" customHeight="1" x14ac:dyDescent="0.15">
      <c r="A184" s="607" t="s">
        <v>5232</v>
      </c>
      <c r="B184" s="143" t="s">
        <v>4635</v>
      </c>
      <c r="C184" s="164" t="s">
        <v>4575</v>
      </c>
      <c r="D184" s="157"/>
      <c r="E184" s="157"/>
      <c r="F184" s="2656" cm="1">
        <f t="array" ref="F184">INDEX('6층_부하량'!K3:K3000,MATCH(1,("6-DaHall 1-PDU-12"='6층_부하량'!A3:A3000)*(23='6층_부하량'!B3:B3000),0))</f>
        <v>0</v>
      </c>
      <c r="G184" s="157"/>
      <c r="H184" s="143" t="s">
        <v>4597</v>
      </c>
      <c r="I184" s="299" t="s">
        <v>4678</v>
      </c>
      <c r="J184" s="1463" t="s">
        <v>4680</v>
      </c>
      <c r="K184" s="143" t="s">
        <v>4597</v>
      </c>
      <c r="L184" s="157"/>
      <c r="M184" s="157"/>
      <c r="N184" s="2656" cm="1">
        <f t="array" ref="N184">INDEX('6층_부하량'!K3:K3000,MATCH(1,("6-DaHall 1-PDU-12"='6층_부하량'!A3:A3000)*(24='6층_부하량'!B3:B3000),0))</f>
        <v>0</v>
      </c>
      <c r="O184" s="157"/>
      <c r="P184" s="157" t="s">
        <v>4635</v>
      </c>
      <c r="Q184" s="143" t="s">
        <v>4723</v>
      </c>
      <c r="R184" s="631" t="s">
        <v>5233</v>
      </c>
    </row>
    <row r="185" spans="1:18" ht="18" customHeight="1" x14ac:dyDescent="0.15">
      <c r="A185" s="607" t="s">
        <v>5234</v>
      </c>
      <c r="B185" s="143" t="s">
        <v>4635</v>
      </c>
      <c r="C185" s="164" t="s">
        <v>4575</v>
      </c>
      <c r="D185" s="2656" cm="1">
        <f t="array" ref="D185">INDEX('6층_부하량'!I3:I3000,MATCH(1,("6-DaHall 1-PDU-12"='6층_부하량'!A3:A3000)*(25='6층_부하량'!B3:B3000),0))</f>
        <v>0</v>
      </c>
      <c r="E185" s="157"/>
      <c r="F185" s="157"/>
      <c r="G185" s="157"/>
      <c r="H185" s="143" t="s">
        <v>4597</v>
      </c>
      <c r="I185" s="299" t="s">
        <v>4683</v>
      </c>
      <c r="J185" s="1463" t="s">
        <v>4685</v>
      </c>
      <c r="K185" s="143" t="s">
        <v>4597</v>
      </c>
      <c r="L185" s="2656" cm="1">
        <f t="array" ref="L185">INDEX('6층_부하량'!I3:I3000,MATCH(1,("6-DaHall 1-PDU-12"='6층_부하량'!A3:A3000)*(26='6층_부하량'!B3:B3000),0))</f>
        <v>0</v>
      </c>
      <c r="M185" s="157"/>
      <c r="N185" s="157"/>
      <c r="O185" s="157"/>
      <c r="P185" s="157" t="s">
        <v>4635</v>
      </c>
      <c r="Q185" s="143" t="s">
        <v>4723</v>
      </c>
      <c r="R185" s="631" t="s">
        <v>5235</v>
      </c>
    </row>
    <row r="186" spans="1:18" ht="18" customHeight="1" x14ac:dyDescent="0.15">
      <c r="A186" s="607" t="s">
        <v>5236</v>
      </c>
      <c r="B186" s="143" t="s">
        <v>4635</v>
      </c>
      <c r="C186" s="164" t="s">
        <v>4575</v>
      </c>
      <c r="D186" s="157"/>
      <c r="E186" s="2656" cm="1">
        <f t="array" ref="E186">INDEX('6층_부하량'!J3:J3000,MATCH(1,("6-DaHall 1-PDU-12"='6층_부하량'!A3:A3000)*(27='6층_부하량'!B3:B3000),0))</f>
        <v>0</v>
      </c>
      <c r="F186" s="157"/>
      <c r="G186" s="157"/>
      <c r="H186" s="143" t="s">
        <v>4597</v>
      </c>
      <c r="I186" s="299" t="s">
        <v>4688</v>
      </c>
      <c r="J186" s="1463" t="s">
        <v>4689</v>
      </c>
      <c r="K186" s="143" t="s">
        <v>4597</v>
      </c>
      <c r="L186" s="157"/>
      <c r="M186" s="2656" cm="1">
        <f t="array" ref="M186">INDEX('6층_부하량'!J3:J3000,MATCH(1,("6-DaHall 1-PDU-12"='6층_부하량'!A3:A3000)*(28='6층_부하량'!B3:B3000),0))</f>
        <v>0</v>
      </c>
      <c r="N186" s="157"/>
      <c r="O186" s="157"/>
      <c r="P186" s="157" t="s">
        <v>4635</v>
      </c>
      <c r="Q186" s="143" t="s">
        <v>4723</v>
      </c>
      <c r="R186" s="631" t="s">
        <v>5237</v>
      </c>
    </row>
    <row r="187" spans="1:18" ht="18" customHeight="1" x14ac:dyDescent="0.15">
      <c r="A187" s="628" t="s">
        <v>5238</v>
      </c>
      <c r="B187" s="143" t="s">
        <v>4635</v>
      </c>
      <c r="C187" s="164" t="s">
        <v>4575</v>
      </c>
      <c r="D187" s="157"/>
      <c r="E187" s="157"/>
      <c r="F187" s="2656" cm="1">
        <f t="array" ref="F187">INDEX('6층_부하량'!K3:K3000,MATCH(1,("6-DaHall 1-PDU-12"='6층_부하량'!A3:A3000)*(29='6층_부하량'!B3:B3000),0))</f>
        <v>0</v>
      </c>
      <c r="G187" s="157"/>
      <c r="H187" s="143" t="s">
        <v>4597</v>
      </c>
      <c r="I187" s="299" t="s">
        <v>4691</v>
      </c>
      <c r="J187" s="1463" t="s">
        <v>4692</v>
      </c>
      <c r="K187" s="143" t="s">
        <v>4597</v>
      </c>
      <c r="L187" s="157"/>
      <c r="M187" s="157"/>
      <c r="N187" s="2656" cm="1">
        <f t="array" ref="N187">INDEX('6층_부하량'!K3:K3000,MATCH(1,("6-DaHall 1-PDU-12"='6층_부하량'!A3:A3000)*(30='6층_부하량'!B3:B3000),0))</f>
        <v>0</v>
      </c>
      <c r="O187" s="157"/>
      <c r="P187" s="157" t="s">
        <v>4635</v>
      </c>
      <c r="Q187" s="143" t="s">
        <v>4723</v>
      </c>
      <c r="R187" s="631" t="s">
        <v>5239</v>
      </c>
    </row>
    <row r="188" spans="1:18" ht="18" customHeight="1" x14ac:dyDescent="0.15">
      <c r="A188" s="629" t="s">
        <v>5240</v>
      </c>
      <c r="B188" s="143" t="s">
        <v>4635</v>
      </c>
      <c r="C188" s="164" t="s">
        <v>4575</v>
      </c>
      <c r="D188" s="2656" cm="1">
        <f t="array" ref="D188">INDEX('6층_부하량'!I3:I3000,MATCH(1,("6-DaHall 1-PDU-12"='6층_부하량'!A3:A3000)*(31='6층_부하량'!B3:B3000),0))</f>
        <v>0</v>
      </c>
      <c r="E188" s="157"/>
      <c r="F188" s="157"/>
      <c r="G188" s="157"/>
      <c r="H188" s="143" t="s">
        <v>4597</v>
      </c>
      <c r="I188" s="299" t="s">
        <v>4693</v>
      </c>
      <c r="J188" s="1463" t="s">
        <v>4694</v>
      </c>
      <c r="K188" s="143" t="s">
        <v>4597</v>
      </c>
      <c r="L188" s="2656" cm="1">
        <f t="array" ref="L188">INDEX('6층_부하량'!I3:I3000,MATCH(1,("6-DaHall 1-PDU-12"='6층_부하량'!A3:A3000)*(32='6층_부하량'!B3:B3000),0))</f>
        <v>0</v>
      </c>
      <c r="M188" s="157"/>
      <c r="N188" s="157"/>
      <c r="O188" s="157"/>
      <c r="P188" s="157" t="s">
        <v>565</v>
      </c>
      <c r="Q188" s="143" t="s">
        <v>4723</v>
      </c>
      <c r="R188" s="153"/>
    </row>
    <row r="189" spans="1:18" ht="18" customHeight="1" x14ac:dyDescent="0.15">
      <c r="A189" s="607" t="s">
        <v>5241</v>
      </c>
      <c r="B189" s="143" t="s">
        <v>4635</v>
      </c>
      <c r="C189" s="164" t="s">
        <v>4575</v>
      </c>
      <c r="D189" s="157"/>
      <c r="E189" s="2656" cm="1">
        <f t="array" ref="E189">INDEX('6층_부하량'!J3:J3000,MATCH(1,("6-DaHall 1-PDU-12"='6층_부하량'!A3:A3000)*(33='6층_부하량'!B3:B3000),0))</f>
        <v>0</v>
      </c>
      <c r="F189" s="157"/>
      <c r="G189" s="157"/>
      <c r="H189" s="143" t="s">
        <v>4597</v>
      </c>
      <c r="I189" s="299" t="s">
        <v>4697</v>
      </c>
      <c r="J189" s="1463" t="s">
        <v>4698</v>
      </c>
      <c r="K189" s="143" t="s">
        <v>4597</v>
      </c>
      <c r="L189" s="157"/>
      <c r="M189" s="2656" cm="1">
        <f t="array" ref="M189">INDEX('6층_부하량'!J3:J3000,MATCH(1,("6-DaHall 1-PDU-12"='6층_부하량'!A3:A3000)*(34='6층_부하량'!B3:B3000),0))</f>
        <v>0</v>
      </c>
      <c r="N189" s="157"/>
      <c r="O189" s="157"/>
      <c r="P189" s="157" t="s">
        <v>4635</v>
      </c>
      <c r="Q189" s="143" t="s">
        <v>4723</v>
      </c>
      <c r="R189" s="631" t="s">
        <v>5242</v>
      </c>
    </row>
    <row r="190" spans="1:18" ht="18" customHeight="1" x14ac:dyDescent="0.15">
      <c r="A190" s="341" t="s">
        <v>5243</v>
      </c>
      <c r="B190" s="143" t="s">
        <v>4635</v>
      </c>
      <c r="C190" s="143" t="s">
        <v>4723</v>
      </c>
      <c r="D190" s="157"/>
      <c r="E190" s="157"/>
      <c r="F190" s="2656" cm="1">
        <f t="array" ref="F190">INDEX('6층_부하량'!K3:K3000,MATCH(1,("6-DaHall 1-PDU-12"='6층_부하량'!A3:A3000)*(35='6층_부하량'!B3:B3000),0))</f>
        <v>0</v>
      </c>
      <c r="G190" s="157"/>
      <c r="H190" s="143" t="s">
        <v>4597</v>
      </c>
      <c r="I190" s="1465" t="s">
        <v>4701</v>
      </c>
      <c r="J190" s="1463" t="s">
        <v>4703</v>
      </c>
      <c r="K190" s="143" t="s">
        <v>4597</v>
      </c>
      <c r="L190" s="157"/>
      <c r="M190" s="157"/>
      <c r="N190" s="2656" cm="1">
        <f t="array" ref="N190">INDEX('6층_부하량'!K3:K3000,MATCH(1,("6-DaHall 1-PDU-12"='6층_부하량'!A3:A3000)*(36='6층_부하량'!B3:B3000),0))</f>
        <v>0</v>
      </c>
      <c r="O190" s="157"/>
      <c r="P190" s="157" t="s">
        <v>4635</v>
      </c>
      <c r="Q190" s="143" t="s">
        <v>4723</v>
      </c>
      <c r="R190" s="631" t="s">
        <v>5244</v>
      </c>
    </row>
    <row r="191" spans="1:18" ht="18" customHeight="1" x14ac:dyDescent="0.15">
      <c r="A191" s="341" t="s">
        <v>5245</v>
      </c>
      <c r="B191" s="143" t="s">
        <v>4635</v>
      </c>
      <c r="C191" s="143" t="s">
        <v>4723</v>
      </c>
      <c r="D191" s="2656" cm="1">
        <f t="array" ref="D191">INDEX('6층_부하량'!I3:I3000,MATCH(1,("6-DaHall 1-PDU-12"='6층_부하량'!A3:A3000)*(37='6층_부하량'!B3:B3000),0))</f>
        <v>0</v>
      </c>
      <c r="E191" s="157"/>
      <c r="F191" s="157"/>
      <c r="G191" s="157"/>
      <c r="H191" s="143" t="s">
        <v>4597</v>
      </c>
      <c r="I191" s="1465" t="s">
        <v>4706</v>
      </c>
      <c r="J191" s="1463" t="s">
        <v>4707</v>
      </c>
      <c r="K191" s="143" t="s">
        <v>4597</v>
      </c>
      <c r="L191" s="2656" cm="1">
        <f t="array" ref="L191">INDEX('6층_부하량'!I3:I3000,MATCH(1,("6-DaHall 1-PDU-12"='6층_부하량'!A3:A3000)*(38='6층_부하량'!B3:B3000),0))</f>
        <v>0</v>
      </c>
      <c r="M191" s="157"/>
      <c r="N191" s="157"/>
      <c r="O191" s="157"/>
      <c r="P191" s="157" t="s">
        <v>4635</v>
      </c>
      <c r="Q191" s="143" t="s">
        <v>4723</v>
      </c>
      <c r="R191" s="631" t="s">
        <v>5246</v>
      </c>
    </row>
    <row r="192" spans="1:18" ht="18" customHeight="1" x14ac:dyDescent="0.15">
      <c r="A192" s="341" t="s">
        <v>5247</v>
      </c>
      <c r="B192" s="143" t="s">
        <v>4635</v>
      </c>
      <c r="C192" s="143" t="s">
        <v>4723</v>
      </c>
      <c r="D192" s="157"/>
      <c r="E192" s="2656" cm="1">
        <f t="array" ref="E192">INDEX('6층_부하량'!J3:J3000,MATCH(1,("6-DaHall 1-PDU-12"='6층_부하량'!A3:A3000)*(39='6층_부하량'!B3:B3000),0))</f>
        <v>0</v>
      </c>
      <c r="F192" s="157"/>
      <c r="G192" s="157"/>
      <c r="H192" s="143" t="s">
        <v>4597</v>
      </c>
      <c r="I192" s="1471" t="s">
        <v>4710</v>
      </c>
      <c r="J192" s="1463" t="s">
        <v>4711</v>
      </c>
      <c r="K192" s="143" t="s">
        <v>4597</v>
      </c>
      <c r="L192" s="157"/>
      <c r="M192" s="2656" cm="1">
        <f t="array" ref="M192">INDEX('6층_부하량'!J3:J3000,MATCH(1,("6-DaHall 1-PDU-12"='6층_부하량'!A3:A3000)*(40='6층_부하량'!B3:B3000),0))</f>
        <v>0</v>
      </c>
      <c r="N192" s="157"/>
      <c r="O192" s="157"/>
      <c r="P192" s="157" t="s">
        <v>4635</v>
      </c>
      <c r="Q192" s="143" t="s">
        <v>4723</v>
      </c>
      <c r="R192" s="619" t="s">
        <v>5248</v>
      </c>
    </row>
    <row r="193" spans="1:18" ht="18" customHeight="1" x14ac:dyDescent="0.15">
      <c r="A193" s="341" t="s">
        <v>5249</v>
      </c>
      <c r="B193" s="143" t="s">
        <v>4635</v>
      </c>
      <c r="C193" s="143" t="s">
        <v>4723</v>
      </c>
      <c r="D193" s="157"/>
      <c r="E193" s="157"/>
      <c r="F193" s="2656" cm="1">
        <f t="array" ref="F193">INDEX('6층_부하량'!K3:K3000,MATCH(1,("6-DaHall 1-PDU-12"='6층_부하량'!A3:A3000)*(41='6층_부하량'!B3:B3000),0))</f>
        <v>0</v>
      </c>
      <c r="G193" s="157"/>
      <c r="H193" s="143" t="s">
        <v>4597</v>
      </c>
      <c r="I193" s="1465" t="s">
        <v>5055</v>
      </c>
      <c r="J193" s="1463" t="s">
        <v>4843</v>
      </c>
      <c r="K193" s="143" t="s">
        <v>4597</v>
      </c>
      <c r="L193" s="157"/>
      <c r="M193" s="157"/>
      <c r="N193" s="2656" cm="1">
        <f t="array" ref="N193">INDEX('6층_부하량'!K3:K3000,MATCH(1,("6-DaHall 1-PDU-12"='6층_부하량'!A3:A3000)*(42='6층_부하량'!B3:B3000),0))</f>
        <v>0</v>
      </c>
      <c r="O193" s="157"/>
      <c r="P193" s="157" t="s">
        <v>4635</v>
      </c>
      <c r="Q193" s="143" t="s">
        <v>4723</v>
      </c>
      <c r="R193" s="619" t="s">
        <v>5250</v>
      </c>
    </row>
    <row r="194" spans="1:18" ht="18" customHeight="1" x14ac:dyDescent="0.15">
      <c r="A194" s="341" t="s">
        <v>5251</v>
      </c>
      <c r="B194" s="143" t="s">
        <v>4635</v>
      </c>
      <c r="C194" s="143" t="s">
        <v>4723</v>
      </c>
      <c r="D194" s="2656" cm="1">
        <f t="array" ref="D194">INDEX('6층_부하량'!I3:I3000,MATCH(1,("6-DaHall 1-PDU-12"='6층_부하량'!A3:A3000)*(43='6층_부하량'!B3:B3000),0))</f>
        <v>0</v>
      </c>
      <c r="E194" s="157"/>
      <c r="F194" s="157"/>
      <c r="G194" s="157"/>
      <c r="H194" s="143" t="s">
        <v>4597</v>
      </c>
      <c r="I194" s="1465" t="s">
        <v>4845</v>
      </c>
      <c r="J194" s="294" t="s">
        <v>4846</v>
      </c>
      <c r="K194" s="143" t="s">
        <v>4597</v>
      </c>
      <c r="L194" s="2656" cm="1">
        <f t="array" ref="L194">INDEX('6층_부하량'!I3:I3000,MATCH(1,("6-DaHall 1-PDU-12"='6층_부하량'!A3:A3000)*(44='6층_부하량'!B3:B3000),0))</f>
        <v>0</v>
      </c>
      <c r="M194" s="157"/>
      <c r="N194" s="157"/>
      <c r="O194" s="157"/>
      <c r="P194" s="157" t="s">
        <v>4635</v>
      </c>
      <c r="Q194" s="143" t="s">
        <v>4723</v>
      </c>
      <c r="R194" s="475" t="s">
        <v>5252</v>
      </c>
    </row>
    <row r="195" spans="1:18" ht="18" customHeight="1" x14ac:dyDescent="0.15">
      <c r="A195" s="341" t="s">
        <v>5253</v>
      </c>
      <c r="B195" s="143" t="s">
        <v>4635</v>
      </c>
      <c r="C195" s="143" t="s">
        <v>4723</v>
      </c>
      <c r="D195" s="157"/>
      <c r="E195" s="2656" cm="1">
        <f t="array" ref="E195">INDEX('6층_부하량'!J3:J3000,MATCH(1,("6-DaHall 1-PDU-12"='6층_부하량'!A3:A3000)*(45='6층_부하량'!B3:B3000),0))</f>
        <v>0</v>
      </c>
      <c r="F195" s="157"/>
      <c r="G195" s="157"/>
      <c r="H195" s="143" t="s">
        <v>4597</v>
      </c>
      <c r="I195" s="1465" t="s">
        <v>4847</v>
      </c>
      <c r="J195" s="1463" t="s">
        <v>4848</v>
      </c>
      <c r="K195" s="143" t="s">
        <v>4597</v>
      </c>
      <c r="L195" s="157"/>
      <c r="M195" s="2656" cm="1">
        <f t="array" ref="M195">INDEX('6층_부하량'!J3:J3000,MATCH(1,("6-DaHall 1-PDU-12"='6층_부하량'!A3:A3000)*(46='6층_부하량'!B3:B3000),0))</f>
        <v>0</v>
      </c>
      <c r="N195" s="157"/>
      <c r="O195" s="157"/>
      <c r="P195" s="157" t="s">
        <v>4635</v>
      </c>
      <c r="Q195" s="143" t="s">
        <v>4723</v>
      </c>
      <c r="R195" s="619" t="s">
        <v>5254</v>
      </c>
    </row>
    <row r="196" spans="1:18" ht="18" customHeight="1" x14ac:dyDescent="0.15">
      <c r="A196" s="1019" t="s">
        <v>5208</v>
      </c>
      <c r="B196" s="143" t="s">
        <v>4635</v>
      </c>
      <c r="C196" s="164" t="s">
        <v>4575</v>
      </c>
      <c r="D196" s="157"/>
      <c r="E196" s="157"/>
      <c r="F196" s="2656" cm="1">
        <f t="array" ref="F196">INDEX('6층_부하량'!K3:K3000,MATCH(1,("6-DaHall 1-PDU-12"='6층_부하량'!A3:A3000)*(47='6층_부하량'!B3:B3000),0))</f>
        <v>0</v>
      </c>
      <c r="G196" s="157"/>
      <c r="H196" s="143" t="s">
        <v>4597</v>
      </c>
      <c r="I196" s="299" t="s">
        <v>4849</v>
      </c>
      <c r="J196" s="1463" t="s">
        <v>4850</v>
      </c>
      <c r="K196" s="143" t="s">
        <v>4597</v>
      </c>
      <c r="L196" s="157"/>
      <c r="M196" s="157"/>
      <c r="N196" s="2656" cm="1">
        <f t="array" ref="N196">INDEX('6층_부하량'!K3:K3000,MATCH(1,("6-DaHall 1-PDU-12"='6층_부하량'!A3:A3000)*(48='6층_부하량'!B3:B3000),0))</f>
        <v>0</v>
      </c>
      <c r="O196" s="157"/>
      <c r="P196" s="157" t="s">
        <v>4635</v>
      </c>
      <c r="Q196" s="143" t="s">
        <v>4723</v>
      </c>
      <c r="R196" s="619" t="s">
        <v>5255</v>
      </c>
    </row>
    <row r="197" spans="1:18" ht="18" customHeight="1" thickBot="1" x14ac:dyDescent="0.2">
      <c r="A197" s="1020" t="s">
        <v>5209</v>
      </c>
      <c r="B197" s="166" t="s">
        <v>4635</v>
      </c>
      <c r="C197" s="184" t="s">
        <v>4575</v>
      </c>
      <c r="D197" s="2659" cm="1">
        <f t="array" ref="D197">INDEX('6층_부하량'!I3:I3000,MATCH(1,("6-DaHall 1-PDU-12"='6층_부하량'!A3:A3000)*(49='6층_부하량'!B3:B3000),0))</f>
        <v>0</v>
      </c>
      <c r="E197" s="167"/>
      <c r="F197" s="167"/>
      <c r="G197" s="167"/>
      <c r="H197" s="166" t="s">
        <v>4597</v>
      </c>
      <c r="I197" s="301" t="s">
        <v>4851</v>
      </c>
      <c r="J197" s="1473" t="s">
        <v>4852</v>
      </c>
      <c r="K197" s="166" t="s">
        <v>4597</v>
      </c>
      <c r="L197" s="2659" cm="1">
        <f t="array" ref="L197">INDEX('6층_부하량'!I3:I3000,MATCH(1,("6-DaHall 1-PDU-12"='6층_부하량'!A3:A3000)*(50='6층_부하량'!B3:B3000),0))</f>
        <v>0</v>
      </c>
      <c r="M197" s="167"/>
      <c r="N197" s="167"/>
      <c r="O197" s="167"/>
      <c r="P197" s="167" t="s">
        <v>4635</v>
      </c>
      <c r="Q197" s="166" t="s">
        <v>4723</v>
      </c>
      <c r="R197" s="620" t="s">
        <v>5256</v>
      </c>
    </row>
    <row r="198" spans="1:18" ht="15" thickTop="1" thickBot="1" x14ac:dyDescent="0.2">
      <c r="A198" s="128"/>
      <c r="B198" s="128"/>
      <c r="C198" s="128"/>
      <c r="D198" s="128"/>
      <c r="E198" s="128"/>
      <c r="F198" s="128"/>
      <c r="G198" s="128"/>
      <c r="H198" s="128"/>
      <c r="I198" s="128"/>
      <c r="J198" s="128"/>
      <c r="K198" s="128" t="s">
        <v>4713</v>
      </c>
      <c r="L198" s="128" t="n">
        <f>SUM(D173:D197,L173:L197)</f>
        <v>5.181948623827229</v>
      </c>
      <c r="M198" s="128" t="n">
        <f>SUM(E173:E197,M173:M197)</f>
        <v>4.940275096261333</v>
      </c>
      <c r="N198" s="128" t="n">
        <f>SUM(F173:F197,N173:N197)</f>
        <v>0.0</v>
      </c>
      <c r="O198" s="128"/>
      <c r="P198" s="128"/>
      <c r="Q198" s="128"/>
      <c r="R198" s="128"/>
    </row>
    <row r="199" spans="1:18" ht="15" thickTop="1" thickBot="1" x14ac:dyDescent="0.2">
      <c r="A199" s="173" t="s">
        <v>7003</v>
      </c>
      <c r="B199" s="128"/>
      <c r="C199" s="3660" t="s">
        <v>5257</v>
      </c>
      <c r="D199" s="3660"/>
      <c r="E199" s="3660"/>
      <c r="F199" s="173"/>
      <c r="G199" s="173"/>
      <c r="H199" s="133"/>
      <c r="I199" s="3665" t="s">
        <v>5063</v>
      </c>
      <c r="J199" s="3666"/>
      <c r="K199" s="133"/>
      <c r="L199" s="173"/>
      <c r="M199" s="173"/>
      <c r="N199" s="173"/>
      <c r="O199" s="173"/>
      <c r="P199" s="173"/>
      <c r="Q199" s="173"/>
      <c r="R199" s="128"/>
    </row>
    <row r="200" spans="1:18" ht="15" thickTop="1" thickBot="1" x14ac:dyDescent="0.2">
      <c r="A200" s="127"/>
      <c r="B200" s="128"/>
      <c r="C200" s="128"/>
      <c r="D200" s="129"/>
      <c r="E200" s="129"/>
      <c r="F200" s="130"/>
      <c r="G200" s="129"/>
      <c r="H200" s="131"/>
      <c r="I200" s="128"/>
      <c r="J200" s="132"/>
      <c r="K200" s="1371" t="s">
        <v>4562</v>
      </c>
      <c r="L200" s="1368">
        <v>21.6</v>
      </c>
      <c r="M200" s="1369">
        <v>21.2</v>
      </c>
      <c r="N200" s="1370">
        <v>16.7</v>
      </c>
      <c r="O200" s="508" t="s">
        <v>4563</v>
      </c>
      <c r="P200" s="133"/>
      <c r="Q200" s="128"/>
      <c r="R200" s="528"/>
    </row>
    <row r="201" spans="1:18" ht="15" thickTop="1" thickBot="1" x14ac:dyDescent="0.2">
      <c r="A201" s="134" t="s">
        <v>4564</v>
      </c>
      <c r="B201" s="135" t="s">
        <v>5031</v>
      </c>
      <c r="C201" s="136" t="s">
        <v>4566</v>
      </c>
      <c r="D201" s="135" t="s">
        <v>5032</v>
      </c>
      <c r="E201" s="135" t="s">
        <v>5033</v>
      </c>
      <c r="F201" s="135" t="s">
        <v>5034</v>
      </c>
      <c r="G201" s="135" t="s">
        <v>5035</v>
      </c>
      <c r="H201" s="135" t="s">
        <v>5036</v>
      </c>
      <c r="I201" s="138" t="s">
        <v>5037</v>
      </c>
      <c r="J201" s="139" t="s">
        <v>5037</v>
      </c>
      <c r="K201" s="135" t="s">
        <v>5036</v>
      </c>
      <c r="L201" s="135" t="s">
        <v>5032</v>
      </c>
      <c r="M201" s="135" t="s">
        <v>5033</v>
      </c>
      <c r="N201" s="135" t="s">
        <v>5034</v>
      </c>
      <c r="O201" s="135" t="s">
        <v>5035</v>
      </c>
      <c r="P201" s="135" t="s">
        <v>5031</v>
      </c>
      <c r="Q201" s="136" t="s">
        <v>4566</v>
      </c>
      <c r="R201" s="140" t="s">
        <v>4564</v>
      </c>
    </row>
    <row r="202" spans="1:18" ht="17.25" thickTop="1" x14ac:dyDescent="0.15">
      <c r="A202" s="141" t="s">
        <v>5258</v>
      </c>
      <c r="B202" s="142" t="s">
        <v>4635</v>
      </c>
      <c r="C202" s="142" t="s">
        <v>4723</v>
      </c>
      <c r="D202" s="2654" cm="1">
        <f t="array" ref="D202">INDEX('6층_부하량'!I3:I3000,MATCH(1,("6-DaHall 1-PDU-01"='6층_부하량'!A3:A3000)*(1='6층_부하량'!B3:B3000),0))</f>
        <v>0</v>
      </c>
      <c r="E202" s="144"/>
      <c r="F202" s="144"/>
      <c r="G202" s="144"/>
      <c r="H202" s="142" t="s">
        <v>4597</v>
      </c>
      <c r="I202" s="1469" t="s">
        <v>4633</v>
      </c>
      <c r="J202" s="1476" t="s">
        <v>4578</v>
      </c>
      <c r="K202" s="142" t="s">
        <v>4597</v>
      </c>
      <c r="L202" s="2654" cm="1" t="n">
        <f t="array" ref="L202">INDEX('6층_부하량'!I3:I3000,MATCH(1,("6-DaHall 1-PDU-01"='6층_부하량'!A3:A3000)*(2='6층_부하량'!B3:B3000),0))</f>
        <v>1.907298680444345</v>
      </c>
      <c r="M202" s="144"/>
      <c r="N202" s="144"/>
      <c r="O202" s="144"/>
      <c r="P202" s="144" t="s">
        <v>4635</v>
      </c>
      <c r="Q202" s="152" t="s">
        <v>4575</v>
      </c>
      <c r="R202" s="276" t="s">
        <v>5259</v>
      </c>
    </row>
    <row r="203" spans="1:18" ht="16.5" x14ac:dyDescent="0.15">
      <c r="A203" s="158" t="s">
        <v>5260</v>
      </c>
      <c r="B203" s="143" t="s">
        <v>4635</v>
      </c>
      <c r="C203" s="143" t="s">
        <v>4723</v>
      </c>
      <c r="D203" s="149"/>
      <c r="E203" s="2655" cm="1">
        <f t="array" ref="E203">INDEX('6층_부하량'!J3:J3000,MATCH(1,("6-DaHall 1-PDU-01"='6층_부하량'!A3:A3000)*(3='6층_부하량'!B3:B3000),0))</f>
        <v>0</v>
      </c>
      <c r="F203" s="149"/>
      <c r="G203" s="149"/>
      <c r="H203" s="143" t="s">
        <v>4597</v>
      </c>
      <c r="I203" s="1465" t="s">
        <v>4638</v>
      </c>
      <c r="J203" s="1463" t="s">
        <v>4583</v>
      </c>
      <c r="K203" s="143" t="s">
        <v>4597</v>
      </c>
      <c r="L203" s="149"/>
      <c r="M203" s="2655" cm="1" t="n">
        <f t="array" ref="M203">INDEX('6층_부하량'!J3:J3000,MATCH(1,("6-DaHall 1-PDU-01"='6층_부하량'!A3:A3000)*(4='6층_부하량'!B3:B3000),0))</f>
        <v>3.3293088239796162</v>
      </c>
      <c r="N203" s="149"/>
      <c r="O203" s="149"/>
      <c r="P203" s="149" t="s">
        <v>4635</v>
      </c>
      <c r="Q203" s="164" t="s">
        <v>4575</v>
      </c>
      <c r="R203" s="264" t="s">
        <v>5261</v>
      </c>
    </row>
    <row r="204" spans="1:18" ht="16.5" x14ac:dyDescent="0.15">
      <c r="A204" s="148" t="s">
        <v>5262</v>
      </c>
      <c r="B204" s="143" t="s">
        <v>4635</v>
      </c>
      <c r="C204" s="143" t="s">
        <v>4723</v>
      </c>
      <c r="D204" s="157"/>
      <c r="E204" s="157"/>
      <c r="F204" s="2656" cm="1">
        <f t="array" ref="F204">INDEX('6층_부하량'!K3:K3000,MATCH(1,("6-DaHall 1-PDU-01"='6층_부하량'!A3:A3000)*(5='6층_부하량'!B3:B3000),0))</f>
        <v>0</v>
      </c>
      <c r="G204" s="157"/>
      <c r="H204" s="143" t="s">
        <v>4597</v>
      </c>
      <c r="I204" s="1465" t="s">
        <v>4641</v>
      </c>
      <c r="J204" s="1463" t="s">
        <v>4588</v>
      </c>
      <c r="K204" s="143" t="s">
        <v>4597</v>
      </c>
      <c r="L204" s="157"/>
      <c r="M204" s="157"/>
      <c r="N204" s="2656" cm="1" t="n">
        <f t="array" ref="N204">INDEX('6층_부하량'!K3:K3000,MATCH(1,("6-DaHall 1-PDU-01"='6층_부하량'!A3:A3000)*(6='6층_부하량'!B3:B3000),0))</f>
        <v>2.935864814216055</v>
      </c>
      <c r="O204" s="157"/>
      <c r="P204" s="157" t="s">
        <v>4635</v>
      </c>
      <c r="Q204" s="164" t="s">
        <v>4575</v>
      </c>
      <c r="R204" s="342" t="s">
        <v>5263</v>
      </c>
    </row>
    <row r="205" spans="1:18" ht="16.5" x14ac:dyDescent="0.15">
      <c r="A205" s="1112" t="s">
        <v>5264</v>
      </c>
      <c r="B205" s="143" t="s">
        <v>4635</v>
      </c>
      <c r="C205" s="1174" t="s">
        <v>4575</v>
      </c>
      <c r="D205" s="2656" cm="1">
        <f t="array" ref="D205">INDEX('6층_부하량'!I3:I3000,MATCH(1,("6-DaHall 1-PDU-01"='6층_부하량'!A3:A3000)*(7='6층_부하량'!B3:B3000),0))</f>
        <v>0</v>
      </c>
      <c r="E205" s="157"/>
      <c r="F205" s="157"/>
      <c r="G205" s="157"/>
      <c r="H205" s="143" t="s">
        <v>4597</v>
      </c>
      <c r="I205" s="1465" t="s">
        <v>4645</v>
      </c>
      <c r="J205" s="1463" t="s">
        <v>4593</v>
      </c>
      <c r="K205" s="143" t="s">
        <v>4597</v>
      </c>
      <c r="L205" s="2656" cm="1" t="n">
        <f t="array" ref="L205">INDEX('6층_부하량'!I3:I3000,MATCH(1,("6-DaHall 1-PDU-01"='6층_부하량'!A3:A3000)*(8='6층_부하량'!B3:B3000),0))</f>
        <v>4.609562593297642</v>
      </c>
      <c r="M205" s="157"/>
      <c r="N205" s="157"/>
      <c r="O205" s="157"/>
      <c r="P205" s="157" t="s">
        <v>4635</v>
      </c>
      <c r="Q205" s="164" t="s">
        <v>4575</v>
      </c>
      <c r="R205" s="342" t="s">
        <v>5265</v>
      </c>
    </row>
    <row r="206" spans="1:18" ht="16.5" x14ac:dyDescent="0.15">
      <c r="A206" s="1113" t="s">
        <v>5266</v>
      </c>
      <c r="B206" s="143" t="s">
        <v>4635</v>
      </c>
      <c r="C206" s="1174" t="s">
        <v>4575</v>
      </c>
      <c r="D206" s="157"/>
      <c r="E206" s="2656" cm="1">
        <f t="array" ref="E206">INDEX('6층_부하량'!J3:J3000,MATCH(1,("6-DaHall 1-PDU-01"='6층_부하량'!A3:A3000)*(9='6층_부하량'!B3:B3000),0))</f>
        <v>0</v>
      </c>
      <c r="F206" s="157"/>
      <c r="G206" s="157"/>
      <c r="H206" s="143" t="s">
        <v>4597</v>
      </c>
      <c r="I206" s="1465" t="s">
        <v>4648</v>
      </c>
      <c r="J206" s="1463" t="s">
        <v>4596</v>
      </c>
      <c r="K206" s="143" t="s">
        <v>4597</v>
      </c>
      <c r="L206" s="157"/>
      <c r="M206" s="2656" cm="1" t="n">
        <f t="array" ref="M206">INDEX('6층_부하량'!J3:J3000,MATCH(1,("6-DaHall 1-PDU-01"='6층_부하량'!A3:A3000)*(10='6층_부하량'!B3:B3000),0))</f>
        <v>7.626690726262471</v>
      </c>
      <c r="N206" s="157"/>
      <c r="O206" s="157"/>
      <c r="P206" s="157" t="s">
        <v>4635</v>
      </c>
      <c r="Q206" s="164" t="s">
        <v>4575</v>
      </c>
      <c r="R206" s="342" t="s">
        <v>5267</v>
      </c>
    </row>
    <row r="207" spans="1:18" ht="16.5" x14ac:dyDescent="0.15">
      <c r="A207" s="1112" t="s">
        <v>5268</v>
      </c>
      <c r="B207" s="143" t="s">
        <v>4635</v>
      </c>
      <c r="C207" s="1174" t="s">
        <v>4575</v>
      </c>
      <c r="D207" s="157"/>
      <c r="E207" s="157"/>
      <c r="F207" s="2656" cm="1">
        <f t="array" ref="F207">INDEX('6층_부하량'!K3:K3000,MATCH(1,("6-DaHall 1-PDU-01"='6층_부하량'!A3:A3000)*(11='6층_부하량'!B3:B3000),0))</f>
        <v>0</v>
      </c>
      <c r="G207" s="157"/>
      <c r="H207" s="143" t="s">
        <v>4597</v>
      </c>
      <c r="I207" s="1465" t="s">
        <v>4653</v>
      </c>
      <c r="J207" s="1463" t="s">
        <v>4599</v>
      </c>
      <c r="K207" s="143" t="s">
        <v>4597</v>
      </c>
      <c r="L207" s="157"/>
      <c r="M207" s="157"/>
      <c r="N207" s="2656" cm="1" t="n">
        <f t="array" ref="N207">INDEX('6층_부하량'!K3:K3000,MATCH(1,("6-DaHall 1-PDU-01"='6층_부하량'!A3:A3000)*(12='6층_부하량'!B3:B3000),0))</f>
        <v>7.178614960034362</v>
      </c>
      <c r="O207" s="157"/>
      <c r="P207" s="157" t="s">
        <v>4635</v>
      </c>
      <c r="Q207" s="164" t="s">
        <v>4575</v>
      </c>
      <c r="R207" s="342" t="s">
        <v>5269</v>
      </c>
    </row>
    <row r="208" spans="1:18" ht="16.5" x14ac:dyDescent="0.15">
      <c r="A208" s="1113" t="s">
        <v>5270</v>
      </c>
      <c r="B208" s="143" t="s">
        <v>4635</v>
      </c>
      <c r="C208" s="1174" t="s">
        <v>4575</v>
      </c>
      <c r="D208" s="2656" cm="1" t="n">
        <f t="array" ref="D208">INDEX('6층_부하량'!I3:I3000,MATCH(1,("6-DaHall 1-PDU-01"='6층_부하량'!A3:A3000)*(13='6층_부하량'!B3:B3000),0))</f>
        <v>1.8271965443603857</v>
      </c>
      <c r="E208" s="157"/>
      <c r="F208" s="157"/>
      <c r="G208" s="157"/>
      <c r="H208" s="143" t="s">
        <v>4597</v>
      </c>
      <c r="I208" s="1465" t="s">
        <v>4657</v>
      </c>
      <c r="J208" s="1463" t="s">
        <v>4601</v>
      </c>
      <c r="K208" s="143" t="s">
        <v>4597</v>
      </c>
      <c r="L208" s="2656" cm="1" t="n">
        <f t="array" ref="L208">INDEX('6층_부하량'!I3:I3000,MATCH(1,("6-DaHall 1-PDU-01"='6층_부하량'!A3:A3000)*(14='6층_부하량'!B3:B3000),0))</f>
        <v>4.7420468905701325</v>
      </c>
      <c r="M208" s="157"/>
      <c r="N208" s="157"/>
      <c r="O208" s="157"/>
      <c r="P208" s="157" t="s">
        <v>4635</v>
      </c>
      <c r="Q208" s="164" t="s">
        <v>4575</v>
      </c>
      <c r="R208" s="342" t="s">
        <v>5271</v>
      </c>
    </row>
    <row r="209" spans="1:19" ht="16.5" x14ac:dyDescent="0.15">
      <c r="A209" s="1112" t="s">
        <v>5272</v>
      </c>
      <c r="B209" s="143" t="s">
        <v>4635</v>
      </c>
      <c r="C209" s="1174" t="s">
        <v>4575</v>
      </c>
      <c r="D209" s="157"/>
      <c r="E209" s="2656" cm="1">
        <f t="array" ref="E209">INDEX('6층_부하량'!J3:J3000,MATCH(1,("6-DaHall 1-PDU-01"='6층_부하량'!A3:A3000)*(15='6층_부하량'!B3:B3000),0))</f>
        <v>0</v>
      </c>
      <c r="F209" s="157"/>
      <c r="G209" s="157"/>
      <c r="H209" s="143" t="s">
        <v>4597</v>
      </c>
      <c r="I209" s="1465" t="s">
        <v>4661</v>
      </c>
      <c r="J209" s="1463" t="s">
        <v>4603</v>
      </c>
      <c r="K209" s="143" t="s">
        <v>4597</v>
      </c>
      <c r="L209" s="157"/>
      <c r="M209" s="2656" cm="1" t="n">
        <f t="array" ref="M209">INDEX('6층_부하량'!J3:J3000,MATCH(1,("6-DaHall 1-PDU-01"='6층_부하량'!A3:A3000)*(16='6층_부하량'!B3:B3000),0))</f>
        <v>4.358194574947933</v>
      </c>
      <c r="N209" s="157"/>
      <c r="O209" s="157"/>
      <c r="P209" s="157" t="s">
        <v>4635</v>
      </c>
      <c r="Q209" s="164" t="s">
        <v>4575</v>
      </c>
      <c r="R209" s="342" t="s">
        <v>5273</v>
      </c>
    </row>
    <row r="210" spans="1:19" ht="17.25" thickBot="1" x14ac:dyDescent="0.2">
      <c r="A210" s="1114" t="s">
        <v>5274</v>
      </c>
      <c r="B210" s="159" t="s">
        <v>4635</v>
      </c>
      <c r="C210" s="1175" t="s">
        <v>4575</v>
      </c>
      <c r="D210" s="177"/>
      <c r="E210" s="177"/>
      <c r="F210" s="2661" cm="1" t="n">
        <f t="array" ref="F210">INDEX('6층_부하량'!K3:K3000,MATCH(1,("6-DaHall 1-PDU-01"='6층_부하량'!A3:A3000)*(17='6층_부하량'!B3:B3000),0))</f>
        <v>1.7174675826433727</v>
      </c>
      <c r="G210" s="160"/>
      <c r="H210" s="159" t="s">
        <v>4597</v>
      </c>
      <c r="I210" s="1475" t="s">
        <v>4665</v>
      </c>
      <c r="J210" s="296" t="s">
        <v>4605</v>
      </c>
      <c r="K210" s="159" t="s">
        <v>4597</v>
      </c>
      <c r="L210" s="177"/>
      <c r="M210" s="177"/>
      <c r="N210" s="2661" cm="1" t="n">
        <f t="array" ref="N210">INDEX('6층_부하량'!K3:K3000,MATCH(1,("6-DaHall 1-PDU-01"='6층_부하량'!A3:A3000)*(18='6층_부하량'!B3:B3000),0))</f>
        <v>0.6539763814890536</v>
      </c>
      <c r="O210" s="160"/>
      <c r="P210" s="160" t="s">
        <v>4635</v>
      </c>
      <c r="Q210" s="185" t="s">
        <v>4575</v>
      </c>
      <c r="R210" s="342" t="s">
        <v>5275</v>
      </c>
    </row>
    <row r="211" spans="1:19" ht="17.25" thickTop="1" x14ac:dyDescent="0.15">
      <c r="A211" s="141" t="s">
        <v>5276</v>
      </c>
      <c r="B211" s="142" t="s">
        <v>4635</v>
      </c>
      <c r="C211" s="142" t="s">
        <v>4723</v>
      </c>
      <c r="D211" s="2658" cm="1">
        <f t="array" ref="D211">INDEX('6층_부하량'!I3:I3000,MATCH(1,("6-DaHall 1-PDU-01"='6층_부하량'!A3:A3000)*(19='6층_부하량'!B3:B3000),0))</f>
        <v>0</v>
      </c>
      <c r="E211" s="179"/>
      <c r="F211" s="179"/>
      <c r="G211" s="163"/>
      <c r="H211" s="142" t="s">
        <v>4597</v>
      </c>
      <c r="I211" s="1470" t="s">
        <v>4670</v>
      </c>
      <c r="J211" s="298" t="s">
        <v>4609</v>
      </c>
      <c r="K211" s="142" t="s">
        <v>4597</v>
      </c>
      <c r="L211" s="2658" cm="1" t="n">
        <f t="array" ref="L211">INDEX('6층_부하량'!I3:I3000,MATCH(1,("6-DaHall 1-PDU-01"='6층_부하량'!A3:A3000)*(20='6층_부하량'!B3:B3000),0))</f>
        <v>0.22619787119341453</v>
      </c>
      <c r="M211" s="179"/>
      <c r="N211" s="179"/>
      <c r="O211" s="163"/>
      <c r="P211" s="163" t="s">
        <v>4635</v>
      </c>
      <c r="Q211" s="152" t="s">
        <v>4575</v>
      </c>
      <c r="R211" s="618" t="s">
        <v>5277</v>
      </c>
    </row>
    <row r="212" spans="1:19" ht="16.5" x14ac:dyDescent="0.15">
      <c r="A212" s="174" t="s">
        <v>5278</v>
      </c>
      <c r="B212" s="156" t="s">
        <v>4635</v>
      </c>
      <c r="C212" s="156" t="s">
        <v>4723</v>
      </c>
      <c r="D212" s="157"/>
      <c r="E212" s="2656" cm="1" t="n">
        <f t="array" ref="E212">INDEX('6층_부하량'!J3:J3000,MATCH(1,("6-DaHall 1-PDU-01"='6층_부하량'!A3:A3000)*(21='6층_부하량'!B3:B3000),0))</f>
        <v>0.7752222316029408</v>
      </c>
      <c r="F212" s="157"/>
      <c r="G212" s="179"/>
      <c r="H212" s="156" t="s">
        <v>4597</v>
      </c>
      <c r="I212" s="1471" t="s">
        <v>4674</v>
      </c>
      <c r="J212" s="294" t="s">
        <v>4613</v>
      </c>
      <c r="K212" s="156" t="s">
        <v>4597</v>
      </c>
      <c r="L212" s="157"/>
      <c r="M212" s="2656" cm="1" t="n">
        <f t="array" ref="M212">INDEX('6층_부하량'!J3:J3000,MATCH(1,("6-DaHall 1-PDU-01"='6층_부하량'!A3:A3000)*(22='6층_부하량'!B3:B3000),0))</f>
        <v>4.186397311447838</v>
      </c>
      <c r="N212" s="157"/>
      <c r="O212" s="179"/>
      <c r="P212" s="179" t="s">
        <v>4635</v>
      </c>
      <c r="Q212" s="189" t="s">
        <v>4575</v>
      </c>
      <c r="R212" s="342" t="s">
        <v>5279</v>
      </c>
    </row>
    <row r="213" spans="1:19" ht="16.5" x14ac:dyDescent="0.15">
      <c r="A213" s="148" t="s">
        <v>5280</v>
      </c>
      <c r="B213" s="143" t="s">
        <v>4635</v>
      </c>
      <c r="C213" s="143" t="s">
        <v>4723</v>
      </c>
      <c r="D213" s="157"/>
      <c r="E213" s="157"/>
      <c r="F213" s="2656" cm="1">
        <f t="array" ref="F213">INDEX('6층_부하량'!K3:K3000,MATCH(1,("6-DaHall 1-PDU-01"='6층_부하량'!A3:A3000)*(23='6층_부하량'!B3:B3000),0))</f>
        <v>0</v>
      </c>
      <c r="G213" s="157"/>
      <c r="H213" s="143" t="s">
        <v>4597</v>
      </c>
      <c r="I213" s="1471" t="s">
        <v>4678</v>
      </c>
      <c r="J213" s="294" t="s">
        <v>4680</v>
      </c>
      <c r="K213" s="143" t="s">
        <v>4597</v>
      </c>
      <c r="L213" s="157"/>
      <c r="M213" s="157"/>
      <c r="N213" s="2656" cm="1">
        <f t="array" ref="N213">INDEX('6층_부하량'!K3:K3000,MATCH(1,("6-DaHall 1-PDU-01"='6층_부하량'!A3:A3000)*(24='6층_부하량'!B3:B3000),0))</f>
        <v>0</v>
      </c>
      <c r="O213" s="157"/>
      <c r="P213" s="157" t="s">
        <v>4635</v>
      </c>
      <c r="Q213" s="164" t="s">
        <v>4575</v>
      </c>
      <c r="R213" s="342" t="s">
        <v>5281</v>
      </c>
    </row>
    <row r="214" spans="1:19" ht="16.5" x14ac:dyDescent="0.15">
      <c r="A214" s="148" t="s">
        <v>5282</v>
      </c>
      <c r="B214" s="143" t="s">
        <v>4635</v>
      </c>
      <c r="C214" s="164" t="s">
        <v>4575</v>
      </c>
      <c r="D214" s="2656" cm="1" t="n">
        <f t="array" ref="D214">INDEX('6층_부하량'!I3:I3000,MATCH(1,("6-DaHall 1-PDU-01"='6층_부하량'!A3:A3000)*(25='6층_부하량'!B3:B3000),0))</f>
        <v>1.8535513348292314</v>
      </c>
      <c r="E214" s="157"/>
      <c r="F214" s="157"/>
      <c r="G214" s="157"/>
      <c r="H214" s="143" t="s">
        <v>4597</v>
      </c>
      <c r="I214" s="1471" t="s">
        <v>4683</v>
      </c>
      <c r="J214" s="294" t="s">
        <v>4685</v>
      </c>
      <c r="K214" s="143" t="s">
        <v>4597</v>
      </c>
      <c r="L214" s="2656" cm="1" t="n">
        <f t="array" ref="L214">INDEX('6층_부하량'!I3:I3000,MATCH(1,("6-DaHall 1-PDU-01"='6층_부하량'!A3:A3000)*(26='6층_부하량'!B3:B3000),0))</f>
        <v>1.8658050467050913</v>
      </c>
      <c r="M214" s="157"/>
      <c r="N214" s="157"/>
      <c r="O214" s="157"/>
      <c r="P214" s="157" t="s">
        <v>4635</v>
      </c>
      <c r="Q214" s="164" t="s">
        <v>4575</v>
      </c>
      <c r="R214" s="342" t="s">
        <v>5283</v>
      </c>
    </row>
    <row r="215" spans="1:19" ht="16.5" x14ac:dyDescent="0.15">
      <c r="A215" s="607" t="s">
        <v>5284</v>
      </c>
      <c r="B215" s="143" t="s">
        <v>4635</v>
      </c>
      <c r="C215" s="164" t="s">
        <v>4575</v>
      </c>
      <c r="D215" s="157"/>
      <c r="E215" s="2656" cm="1" t="n">
        <f t="array" ref="E215">INDEX('6층_부하량'!J3:J3000,MATCH(1,("6-DaHall 1-PDU-01"='6층_부하량'!A3:A3000)*(27='6층_부하량'!B3:B3000),0))</f>
        <v>2.481588846171157</v>
      </c>
      <c r="F215" s="157"/>
      <c r="G215" s="157"/>
      <c r="H215" s="143" t="s">
        <v>4597</v>
      </c>
      <c r="I215" s="299" t="s">
        <v>4688</v>
      </c>
      <c r="J215" s="294" t="s">
        <v>4689</v>
      </c>
      <c r="K215" s="143" t="s">
        <v>4597</v>
      </c>
      <c r="L215" s="157"/>
      <c r="M215" s="2656" cm="1" t="n">
        <f t="array" ref="M215">INDEX('6층_부하량'!J3:J3000,MATCH(1,("6-DaHall 1-PDU-01"='6층_부하량'!A3:A3000)*(28='6층_부하량'!B3:B3000),0))</f>
        <v>2.8518648210089803</v>
      </c>
      <c r="N215" s="157"/>
      <c r="O215" s="157"/>
      <c r="P215" s="157" t="s">
        <v>4635</v>
      </c>
      <c r="Q215" s="164" t="s">
        <v>4575</v>
      </c>
      <c r="R215" s="342" t="s">
        <v>5285</v>
      </c>
    </row>
    <row r="216" spans="1:19" x14ac:dyDescent="0.15">
      <c r="A216" s="607" t="s">
        <v>5286</v>
      </c>
      <c r="B216" s="143" t="s">
        <v>4635</v>
      </c>
      <c r="C216" s="143" t="s">
        <v>4723</v>
      </c>
      <c r="D216" s="157"/>
      <c r="E216" s="157"/>
      <c r="F216" s="2656" cm="1" t="n">
        <f t="array" ref="F216">INDEX('6층_부하량'!K3:K3000,MATCH(1,("6-DaHall 1-PDU-01"='6층_부하량'!A3:A3000)*(29='6층_부하량'!B3:B3000),0))</f>
        <v>4.516717793253609</v>
      </c>
      <c r="G216" s="157"/>
      <c r="H216" s="143" t="s">
        <v>4597</v>
      </c>
      <c r="I216" s="299" t="s">
        <v>4691</v>
      </c>
      <c r="J216" s="1463" t="s">
        <v>4692</v>
      </c>
      <c r="K216" s="143" t="s">
        <v>4597</v>
      </c>
      <c r="L216" s="157"/>
      <c r="M216" s="157"/>
      <c r="N216" s="2656" cm="1" t="n">
        <f t="array" ref="N216">INDEX('6층_부하량'!K3:K3000,MATCH(1,("6-DaHall 1-PDU-01"='6층_부하량'!A3:A3000)*(30='6층_부하량'!B3:B3000),0))</f>
        <v>7.472051781949975</v>
      </c>
      <c r="O216" s="157"/>
      <c r="P216" s="157" t="s">
        <v>4635</v>
      </c>
      <c r="Q216" s="143" t="s">
        <v>4723</v>
      </c>
      <c r="R216" s="153" t="s">
        <v>5287</v>
      </c>
    </row>
    <row r="217" spans="1:19" ht="16.5" x14ac:dyDescent="0.15">
      <c r="A217" s="607" t="s">
        <v>5288</v>
      </c>
      <c r="B217" s="143" t="s">
        <v>4635</v>
      </c>
      <c r="C217" s="164" t="s">
        <v>4575</v>
      </c>
      <c r="D217" s="2656" cm="1" t="n">
        <f t="array" ref="D217">INDEX('6층_부하량'!I3:I3000,MATCH(1,("6-DaHall 1-PDU-01"='6층_부하량'!A3:A3000)*(31='6층_부하량'!B3:B3000),0))</f>
        <v>3.0448689145702543</v>
      </c>
      <c r="E217" s="157"/>
      <c r="F217" s="157"/>
      <c r="G217" s="157"/>
      <c r="H217" s="143" t="s">
        <v>4597</v>
      </c>
      <c r="I217" s="299" t="s">
        <v>4693</v>
      </c>
      <c r="J217" s="1463" t="s">
        <v>4694</v>
      </c>
      <c r="K217" s="143" t="s">
        <v>4597</v>
      </c>
      <c r="L217" s="2656" cm="1" t="n">
        <f t="array" ref="L217">INDEX('6층_부하량'!I3:I3000,MATCH(1,("6-DaHall 1-PDU-01"='6층_부하량'!A3:A3000)*(32='6층_부하량'!B3:B3000),0))</f>
        <v>5.089521732916075</v>
      </c>
      <c r="M217" s="157"/>
      <c r="N217" s="157"/>
      <c r="O217" s="157"/>
      <c r="P217" s="157" t="s">
        <v>4635</v>
      </c>
      <c r="Q217" s="143" t="s">
        <v>4723</v>
      </c>
      <c r="R217" s="153" t="s">
        <v>5289</v>
      </c>
    </row>
    <row r="218" spans="1:19" ht="16.5" x14ac:dyDescent="0.15">
      <c r="A218" s="607" t="s">
        <v>5290</v>
      </c>
      <c r="B218" s="143" t="s">
        <v>4635</v>
      </c>
      <c r="C218" s="164" t="s">
        <v>4575</v>
      </c>
      <c r="D218" s="157"/>
      <c r="E218" s="2656" cm="1" t="n">
        <f t="array" ref="E218">INDEX('6층_부하량'!J3:J3000,MATCH(1,("6-DaHall 1-PDU-01"='6층_부하량'!A3:A3000)*(33='6층_부하량'!B3:B3000),0))</f>
        <v>2.384645558458097</v>
      </c>
      <c r="F218" s="157"/>
      <c r="G218" s="157"/>
      <c r="H218" s="143" t="s">
        <v>4597</v>
      </c>
      <c r="I218" s="299" t="s">
        <v>4697</v>
      </c>
      <c r="J218" s="1463" t="s">
        <v>4698</v>
      </c>
      <c r="K218" s="143" t="s">
        <v>4597</v>
      </c>
      <c r="L218" s="157"/>
      <c r="M218" s="2656" cm="1">
        <f t="array" ref="M218">INDEX('6층_부하량'!J3:J3000,MATCH(1,("6-DaHall 1-PDU-01"='6층_부하량'!A3:A3000)*(34='6층_부하량'!B3:B3000),0))</f>
        <v>0</v>
      </c>
      <c r="N218" s="157"/>
      <c r="O218" s="157"/>
      <c r="P218" s="157" t="s">
        <v>565</v>
      </c>
      <c r="Q218" s="143" t="s">
        <v>4723</v>
      </c>
      <c r="R218" s="182" t="s">
        <v>5291</v>
      </c>
    </row>
    <row r="219" spans="1:19" ht="16.5" x14ac:dyDescent="0.15">
      <c r="A219" s="607" t="s">
        <v>5292</v>
      </c>
      <c r="B219" s="143" t="s">
        <v>4635</v>
      </c>
      <c r="C219" s="164" t="s">
        <v>4575</v>
      </c>
      <c r="D219" s="157"/>
      <c r="E219" s="157"/>
      <c r="F219" s="2656" cm="1" t="n">
        <f t="array" ref="F219">INDEX('6층_부하량'!K3:K3000,MATCH(1,("6-DaHall 1-PDU-01"='6층_부하량'!A3:A3000)*(35='6층_부하량'!B3:B3000),0))</f>
        <v>0.6683691803225886</v>
      </c>
      <c r="G219" s="157"/>
      <c r="H219" s="143" t="s">
        <v>4597</v>
      </c>
      <c r="I219" s="293" t="s">
        <v>4701</v>
      </c>
      <c r="J219" s="1463" t="s">
        <v>4703</v>
      </c>
      <c r="K219" s="143" t="s">
        <v>4597</v>
      </c>
      <c r="L219" s="157"/>
      <c r="M219" s="157"/>
      <c r="N219" s="2656" cm="1" t="n">
        <f t="array" ref="N219">INDEX('6층_부하량'!K3:K3000,MATCH(1,("6-DaHall 1-PDU-01"='6층_부하량'!A3:A3000)*(36='6층_부하량'!B3:B3000),0))</f>
        <v>1.005290877986426</v>
      </c>
      <c r="O219" s="157"/>
      <c r="P219" s="157" t="s">
        <v>4635</v>
      </c>
      <c r="Q219" s="189" t="s">
        <v>4575</v>
      </c>
      <c r="R219" s="2114" t="s">
        <v>5293</v>
      </c>
    </row>
    <row r="220" spans="1:19" ht="16.5" x14ac:dyDescent="0.15">
      <c r="A220" s="607" t="s">
        <v>5294</v>
      </c>
      <c r="B220" s="143" t="s">
        <v>4635</v>
      </c>
      <c r="C220" s="164" t="s">
        <v>4575</v>
      </c>
      <c r="D220" s="2656" cm="1">
        <f t="array" ref="D220">INDEX('6층_부하량'!I3:I3000,MATCH(1,("6-DaHall 1-PDU-01"='6층_부하량'!A3:A3000)*(37='6층_부하량'!B3:B3000),0))</f>
        <v>0</v>
      </c>
      <c r="E220" s="157"/>
      <c r="F220" s="157"/>
      <c r="G220" s="157"/>
      <c r="H220" s="143" t="s">
        <v>4597</v>
      </c>
      <c r="I220" s="293" t="s">
        <v>4706</v>
      </c>
      <c r="J220" s="1463" t="s">
        <v>4707</v>
      </c>
      <c r="K220" s="143" t="s">
        <v>4597</v>
      </c>
      <c r="L220" s="2656" cm="1">
        <f t="array" ref="L220">INDEX('6층_부하량'!I3:I3000,MATCH(1,("6-DaHall 1-PDU-01"='6층_부하량'!A3:A3000)*(38='6층_부하량'!B3:B3000),0))</f>
        <v>0</v>
      </c>
      <c r="M220" s="157"/>
      <c r="N220" s="157"/>
      <c r="O220" s="157"/>
      <c r="P220" s="157" t="s">
        <v>565</v>
      </c>
      <c r="Q220" s="143" t="s">
        <v>4723</v>
      </c>
      <c r="R220" s="345" t="s">
        <v>5295</v>
      </c>
    </row>
    <row r="221" spans="1:19" ht="16.5" x14ac:dyDescent="0.15">
      <c r="A221" s="607" t="s">
        <v>5296</v>
      </c>
      <c r="B221" s="143" t="s">
        <v>4635</v>
      </c>
      <c r="C221" s="164" t="s">
        <v>4575</v>
      </c>
      <c r="D221" s="157"/>
      <c r="E221" s="2656" cm="1" t="n">
        <f t="array" ref="E221">INDEX('6층_부하량'!J3:J3000,MATCH(1,("6-DaHall 1-PDU-01"='6층_부하량'!A3:A3000)*(39='6층_부하량'!B3:B3000),0))</f>
        <v>0.2317139608449841</v>
      </c>
      <c r="F221" s="157"/>
      <c r="G221" s="157"/>
      <c r="H221" s="143" t="s">
        <v>4597</v>
      </c>
      <c r="I221" s="299" t="s">
        <v>4710</v>
      </c>
      <c r="J221" s="1463" t="s">
        <v>4711</v>
      </c>
      <c r="K221" s="143" t="s">
        <v>4597</v>
      </c>
      <c r="L221" s="157"/>
      <c r="M221" s="2656" cm="1">
        <f t="array" ref="M221">INDEX('6층_부하량'!J3:J3000,MATCH(1,("6-DaHall 1-PDU-01"='6층_부하량'!A3:A3000)*(40='6층_부하량'!B3:B3000),0))</f>
        <v>0</v>
      </c>
      <c r="N221" s="157"/>
      <c r="O221" s="157"/>
      <c r="P221" s="157" t="s">
        <v>4635</v>
      </c>
      <c r="Q221" s="164" t="s">
        <v>4575</v>
      </c>
      <c r="R221" s="345" t="s">
        <v>5297</v>
      </c>
    </row>
    <row r="222" spans="1:19" ht="16.5" x14ac:dyDescent="0.15">
      <c r="A222" s="274" t="s">
        <v>5298</v>
      </c>
      <c r="B222" s="143" t="s">
        <v>4635</v>
      </c>
      <c r="C222" s="164" t="s">
        <v>4575</v>
      </c>
      <c r="D222" s="157"/>
      <c r="E222" s="157"/>
      <c r="F222" s="2656" cm="1" t="n">
        <f t="array" ref="F222">INDEX('6층_부하량'!K3:K3000,MATCH(1,("6-DaHall 1-PDU-01"='6층_부하량'!A3:A3000)*(41='6층_부하량'!B3:B3000),0))</f>
        <v>0.793084977320545</v>
      </c>
      <c r="G222" s="157"/>
      <c r="H222" s="143" t="s">
        <v>4597</v>
      </c>
      <c r="I222" s="293" t="s">
        <v>5055</v>
      </c>
      <c r="J222" s="1463" t="s">
        <v>4843</v>
      </c>
      <c r="K222" s="143" t="s">
        <v>4597</v>
      </c>
      <c r="L222" s="157"/>
      <c r="M222" s="157"/>
      <c r="N222" s="2656" cm="1" t="n">
        <f t="array" ref="N222">INDEX('6층_부하량'!K3:K3000,MATCH(1,("6-DaHall 1-PDU-01"='6층_부하량'!A3:A3000)*(42='6층_부하량'!B3:B3000),0))</f>
        <v>3.799375694368051</v>
      </c>
      <c r="O222" s="157"/>
      <c r="P222" s="149" t="s">
        <v>4635</v>
      </c>
      <c r="Q222" s="164" t="s">
        <v>4575</v>
      </c>
      <c r="R222" s="326" t="s">
        <v>379</v>
      </c>
    </row>
    <row r="223" spans="1:19" ht="16.5" x14ac:dyDescent="0.15">
      <c r="A223" s="607" t="s">
        <v>5299</v>
      </c>
      <c r="B223" s="143" t="s">
        <v>4635</v>
      </c>
      <c r="C223" s="164" t="s">
        <v>4575</v>
      </c>
      <c r="D223" s="2656" cm="1" t="n">
        <f t="array" ref="D223">INDEX('6층_부하량'!I3:I3000,MATCH(1,("6-DaHall 1-PDU-01"='6층_부하량'!A3:A3000)*(43='6층_부하량'!B3:B3000),0))</f>
        <v>3.271857462344186</v>
      </c>
      <c r="E223" s="157"/>
      <c r="F223" s="157"/>
      <c r="G223" s="157"/>
      <c r="H223" s="143" t="s">
        <v>4597</v>
      </c>
      <c r="I223" s="293" t="s">
        <v>4845</v>
      </c>
      <c r="J223" s="1463" t="s">
        <v>4846</v>
      </c>
      <c r="K223" s="143" t="s">
        <v>4597</v>
      </c>
      <c r="L223" s="2656" cm="1">
        <f t="array" ref="L223">INDEX('6층_부하량'!I3:I3000,MATCH(1,("6-DaHall 1-PDU-01"='6층_부하량'!A3:A3000)*(44='6층_부하량'!B3:B3000),0))</f>
        <v>0</v>
      </c>
      <c r="M223" s="157"/>
      <c r="N223" s="157"/>
      <c r="O223" s="157"/>
      <c r="P223" s="149" t="s">
        <v>4635</v>
      </c>
      <c r="Q223" s="143" t="s">
        <v>4723</v>
      </c>
      <c r="R223" s="2114" t="s">
        <v>2315</v>
      </c>
      <c r="S223" s="2147" t="s">
        <v>5300</v>
      </c>
    </row>
    <row r="224" spans="1:19" ht="26.25" customHeight="1" x14ac:dyDescent="0.15">
      <c r="A224" s="607" t="s">
        <v>5301</v>
      </c>
      <c r="B224" s="143" t="s">
        <v>4635</v>
      </c>
      <c r="C224" s="164" t="s">
        <v>4575</v>
      </c>
      <c r="D224" s="157"/>
      <c r="E224" s="2656" cm="1">
        <f t="array" ref="E224">INDEX('6층_부하량'!J3:J3000,MATCH(1,("6-DaHall 1-PDU-01"='6층_부하량'!A3:A3000)*(45='6층_부하량'!B3:B3000),0))</f>
        <v>0</v>
      </c>
      <c r="F224" s="157"/>
      <c r="G224" s="157"/>
      <c r="H224" s="143" t="s">
        <v>4597</v>
      </c>
      <c r="I224" s="293" t="s">
        <v>4847</v>
      </c>
      <c r="J224" s="2335" t="s">
        <v>4848</v>
      </c>
      <c r="K224" s="143" t="s">
        <v>4597</v>
      </c>
      <c r="L224" s="157"/>
      <c r="M224" s="2656" cm="1" t="n">
        <f t="array" ref="M224">INDEX('6층_부하량'!J3:J3000,MATCH(1,("6-DaHall 1-PDU-01"='6층_부하량'!A3:A3000)*(46='6층_부하량'!B3:B3000),0))</f>
        <v>1.1849497888297433</v>
      </c>
      <c r="N224" s="157"/>
      <c r="O224" s="157"/>
      <c r="P224" s="157" t="s">
        <v>4635</v>
      </c>
      <c r="Q224" s="164" t="s">
        <v>4575</v>
      </c>
      <c r="R224" s="2334" t="s">
        <v>2807</v>
      </c>
    </row>
    <row r="225" spans="1:18" ht="16.5" x14ac:dyDescent="0.15">
      <c r="A225" s="607" t="s">
        <v>5302</v>
      </c>
      <c r="B225" s="143" t="s">
        <v>4635</v>
      </c>
      <c r="C225" s="164" t="s">
        <v>4575</v>
      </c>
      <c r="D225" s="157"/>
      <c r="E225" s="157"/>
      <c r="F225" s="2656" cm="1">
        <f t="array" ref="F225">INDEX('6층_부하량'!K3:K3000,MATCH(1,("6-DaHall 1-PDU-01"='6층_부하량'!A3:A3000)*(47='6층_부하량'!B3:B3000),0))</f>
        <v>0</v>
      </c>
      <c r="G225" s="157"/>
      <c r="H225" s="143" t="s">
        <v>4597</v>
      </c>
      <c r="I225" s="299" t="s">
        <v>4849</v>
      </c>
      <c r="J225" s="1463" t="s">
        <v>4850</v>
      </c>
      <c r="K225" s="143" t="s">
        <v>4597</v>
      </c>
      <c r="L225" s="157"/>
      <c r="M225" s="157"/>
      <c r="N225" s="2656" cm="1" t="n">
        <f t="array" ref="N225">INDEX('6층_부하량'!K3:K3000,MATCH(1,("6-DaHall 1-PDU-01"='6층_부하량'!A3:A3000)*(48='6층_부하량'!B3:B3000),0))</f>
        <v>0.5376055371431975</v>
      </c>
      <c r="O225" s="157"/>
      <c r="P225" s="157" t="s">
        <v>4635</v>
      </c>
      <c r="Q225" s="164" t="s">
        <v>4575</v>
      </c>
      <c r="R225" s="342" t="s">
        <v>5303</v>
      </c>
    </row>
    <row r="226" spans="1:18" ht="17.25" thickBot="1" x14ac:dyDescent="0.2">
      <c r="A226" s="280" t="s">
        <v>5304</v>
      </c>
      <c r="B226" s="166" t="s">
        <v>4635</v>
      </c>
      <c r="C226" s="166" t="s">
        <v>4723</v>
      </c>
      <c r="D226" s="2659" cm="1" t="n">
        <f t="array" ref="D226">INDEX('6층_부하량'!I3:I3000,MATCH(1,("6-DaHall 1-PDU-01"='6층_부하량'!A3:A3000)*(49='6층_부하량'!B3:B3000),0))</f>
        <v>7.703388478181897</v>
      </c>
      <c r="E226" s="167"/>
      <c r="F226" s="167"/>
      <c r="G226" s="167"/>
      <c r="H226" s="166" t="s">
        <v>4597</v>
      </c>
      <c r="I226" s="301" t="s">
        <v>4851</v>
      </c>
      <c r="J226" s="1473" t="s">
        <v>4852</v>
      </c>
      <c r="K226" s="166" t="s">
        <v>4597</v>
      </c>
      <c r="L226" s="2659" cm="1">
        <f t="array" ref="L226">INDEX('6층_부하량'!I3:I3000,MATCH(1,("6-DaHall 1-PDU-01"='6층_부하량'!A3:A3000)*(50='6층_부하량'!B3:B3000),0))</f>
        <v>0</v>
      </c>
      <c r="M226" s="167"/>
      <c r="N226" s="167"/>
      <c r="O226" s="167"/>
      <c r="P226" s="166" t="s">
        <v>4635</v>
      </c>
      <c r="Q226" s="184" t="s">
        <v>4575</v>
      </c>
      <c r="R226" s="325" t="s">
        <v>5305</v>
      </c>
    </row>
    <row r="227" spans="1:18" ht="14.25" thickTop="1" x14ac:dyDescent="0.15">
      <c r="A227" s="128"/>
      <c r="B227" s="128"/>
      <c r="C227" s="128"/>
      <c r="D227" s="128"/>
      <c r="E227" s="128"/>
      <c r="F227" s="128"/>
      <c r="G227" s="128"/>
      <c r="H227" s="128"/>
      <c r="I227" s="128"/>
      <c r="J227" s="128"/>
      <c r="K227" s="128" t="s">
        <v>4713</v>
      </c>
      <c r="L227" s="128" t="n">
        <f>SUM(D202:D226,L202:L226)</f>
        <v>36.14129554941265</v>
      </c>
      <c r="M227" s="128" t="n">
        <f>SUM(E202:E226,M202:M226)</f>
        <v>29.410576643553764</v>
      </c>
      <c r="N227" s="128" t="n">
        <f>SUM(F202:F226,N202:N226)</f>
        <v>31.278419580727235</v>
      </c>
      <c r="O227" s="128"/>
      <c r="P227" s="128"/>
      <c r="Q227" s="128"/>
      <c r="R227" s="128"/>
    </row>
    <row r="228" spans="1:18" ht="14.25" thickBot="1" x14ac:dyDescent="0.2">
      <c r="A228" s="128"/>
      <c r="B228" s="128"/>
      <c r="C228" s="128"/>
      <c r="D228" s="128"/>
      <c r="E228" s="128"/>
      <c r="F228" s="128"/>
      <c r="G228" s="128"/>
      <c r="H228" s="128"/>
      <c r="I228" s="128"/>
      <c r="J228" s="128"/>
      <c r="K228" s="128"/>
      <c r="L228" s="128"/>
      <c r="M228" s="128"/>
      <c r="N228" s="128"/>
      <c r="O228" s="128"/>
      <c r="P228" s="128"/>
      <c r="Q228" s="128"/>
      <c r="R228" s="128"/>
    </row>
    <row r="229" spans="1:18" ht="15" thickTop="1" thickBot="1" x14ac:dyDescent="0.2">
      <c r="A229" s="173" t="s">
        <v>7004</v>
      </c>
      <c r="B229" s="128"/>
      <c r="C229" s="3660" t="s">
        <v>5306</v>
      </c>
      <c r="D229" s="3660"/>
      <c r="E229" s="3660"/>
      <c r="F229" s="173"/>
      <c r="G229" s="173"/>
      <c r="H229" s="133"/>
      <c r="I229" s="3665" t="s">
        <v>5063</v>
      </c>
      <c r="J229" s="3666"/>
      <c r="K229" s="133"/>
      <c r="L229" s="173"/>
      <c r="M229" s="173"/>
      <c r="N229" s="173"/>
      <c r="O229" s="173"/>
      <c r="P229" s="173"/>
      <c r="Q229" s="173"/>
      <c r="R229" s="128"/>
    </row>
    <row r="230" spans="1:18" ht="15" thickTop="1" thickBot="1" x14ac:dyDescent="0.2">
      <c r="A230" s="127"/>
      <c r="B230" s="128"/>
      <c r="C230" s="128"/>
      <c r="D230" s="129"/>
      <c r="E230" s="129"/>
      <c r="F230" s="130"/>
      <c r="G230" s="129"/>
      <c r="H230" s="131"/>
      <c r="I230" s="128"/>
      <c r="J230" s="132"/>
      <c r="K230" s="1371" t="s">
        <v>4562</v>
      </c>
      <c r="L230" s="1368">
        <v>19.2</v>
      </c>
      <c r="M230" s="1369">
        <v>18.8</v>
      </c>
      <c r="N230" s="1370">
        <v>21.4</v>
      </c>
      <c r="O230" s="508" t="s">
        <v>4563</v>
      </c>
      <c r="P230" s="133"/>
      <c r="Q230" s="128"/>
      <c r="R230" s="528"/>
    </row>
    <row r="231" spans="1:18" ht="15" thickTop="1" thickBot="1" x14ac:dyDescent="0.2">
      <c r="A231" s="134" t="s">
        <v>4564</v>
      </c>
      <c r="B231" s="135" t="s">
        <v>5031</v>
      </c>
      <c r="C231" s="136" t="s">
        <v>4566</v>
      </c>
      <c r="D231" s="135" t="s">
        <v>5032</v>
      </c>
      <c r="E231" s="135" t="s">
        <v>5033</v>
      </c>
      <c r="F231" s="135" t="s">
        <v>5034</v>
      </c>
      <c r="G231" s="135" t="s">
        <v>5035</v>
      </c>
      <c r="H231" s="135" t="s">
        <v>5036</v>
      </c>
      <c r="I231" s="138" t="s">
        <v>5037</v>
      </c>
      <c r="J231" s="139" t="s">
        <v>5037</v>
      </c>
      <c r="K231" s="135" t="s">
        <v>5036</v>
      </c>
      <c r="L231" s="135" t="s">
        <v>5032</v>
      </c>
      <c r="M231" s="135" t="s">
        <v>5033</v>
      </c>
      <c r="N231" s="135" t="s">
        <v>5034</v>
      </c>
      <c r="O231" s="135" t="s">
        <v>5035</v>
      </c>
      <c r="P231" s="135" t="s">
        <v>5031</v>
      </c>
      <c r="Q231" s="136" t="s">
        <v>4566</v>
      </c>
      <c r="R231" s="140" t="s">
        <v>4564</v>
      </c>
    </row>
    <row r="232" spans="1:18" ht="17.25" thickTop="1" x14ac:dyDescent="0.15">
      <c r="A232" s="141" t="s">
        <v>5307</v>
      </c>
      <c r="B232" s="142" t="s">
        <v>4635</v>
      </c>
      <c r="C232" s="142" t="s">
        <v>4723</v>
      </c>
      <c r="D232" s="2654" cm="1">
        <f t="array" ref="D232">INDEX('6층_부하량'!I3:I3000,MATCH(1,("6-DaHall 1-PDU-02"='6층_부하량'!A3:A3000)*(1='6층_부하량'!B3:B3000),0))</f>
        <v>0</v>
      </c>
      <c r="E232" s="144"/>
      <c r="F232" s="144"/>
      <c r="G232" s="144"/>
      <c r="H232" s="142" t="s">
        <v>4597</v>
      </c>
      <c r="I232" s="1469" t="s">
        <v>4633</v>
      </c>
      <c r="J232" s="292" t="s">
        <v>4578</v>
      </c>
      <c r="K232" s="142" t="s">
        <v>4597</v>
      </c>
      <c r="L232" s="2654" cm="1" t="n">
        <f t="array" ref="L232">INDEX('6층_부하량'!I3:I3000,MATCH(1,("6-DaHall 1-PDU-02"='6층_부하량'!A3:A3000)*(2='6층_부하량'!B3:B3000),0))</f>
        <v>1.4396973769962196</v>
      </c>
      <c r="M232" s="144"/>
      <c r="N232" s="144"/>
      <c r="O232" s="144"/>
      <c r="P232" s="144" t="s">
        <v>4635</v>
      </c>
      <c r="Q232" s="152" t="s">
        <v>4575</v>
      </c>
      <c r="R232" s="276" t="s">
        <v>5308</v>
      </c>
    </row>
    <row r="233" spans="1:18" ht="16.5" x14ac:dyDescent="0.15">
      <c r="A233" s="158" t="s">
        <v>5309</v>
      </c>
      <c r="B233" s="143" t="s">
        <v>4635</v>
      </c>
      <c r="C233" s="143" t="s">
        <v>4723</v>
      </c>
      <c r="D233" s="149"/>
      <c r="E233" s="2655" cm="1">
        <f t="array" ref="E233">INDEX('6층_부하량'!J3:J3000,MATCH(1,("6-DaHall 1-PDU-02"='6층_부하량'!A3:A3000)*(3='6층_부하량'!B3:B3000),0))</f>
        <v>0</v>
      </c>
      <c r="F233" s="149"/>
      <c r="G233" s="149"/>
      <c r="H233" s="143" t="s">
        <v>4597</v>
      </c>
      <c r="I233" s="1465" t="s">
        <v>4638</v>
      </c>
      <c r="J233" s="294" t="s">
        <v>4583</v>
      </c>
      <c r="K233" s="143" t="s">
        <v>4597</v>
      </c>
      <c r="L233" s="149"/>
      <c r="M233" s="2655" cm="1" t="n">
        <f t="array" ref="M233">INDEX('6층_부하량'!J3:J3000,MATCH(1,("6-DaHall 1-PDU-02"='6층_부하량'!A3:A3000)*(4='6층_부하량'!B3:B3000),0))</f>
        <v>2.2967714008920455</v>
      </c>
      <c r="N233" s="149"/>
      <c r="O233" s="149"/>
      <c r="P233" s="149" t="s">
        <v>4635</v>
      </c>
      <c r="Q233" s="164" t="s">
        <v>4575</v>
      </c>
      <c r="R233" s="264" t="s">
        <v>5310</v>
      </c>
    </row>
    <row r="234" spans="1:18" ht="16.5" x14ac:dyDescent="0.15">
      <c r="A234" s="148" t="s">
        <v>5311</v>
      </c>
      <c r="B234" s="143" t="s">
        <v>4635</v>
      </c>
      <c r="C234" s="143" t="s">
        <v>4723</v>
      </c>
      <c r="D234" s="157"/>
      <c r="E234" s="157"/>
      <c r="F234" s="2656" cm="1">
        <f t="array" ref="F234">INDEX('6층_부하량'!K3:K3000,MATCH(1,("6-DaHall 1-PDU-02"='6층_부하량'!A3:A3000)*(5='6층_부하량'!B3:B3000),0))</f>
        <v>0</v>
      </c>
      <c r="G234" s="157"/>
      <c r="H234" s="143" t="s">
        <v>4597</v>
      </c>
      <c r="I234" s="1465" t="s">
        <v>4641</v>
      </c>
      <c r="J234" s="294" t="s">
        <v>4588</v>
      </c>
      <c r="K234" s="143" t="s">
        <v>4597</v>
      </c>
      <c r="L234" s="157"/>
      <c r="M234" s="157"/>
      <c r="N234" s="2656" cm="1" t="n">
        <f t="array" ref="N234">INDEX('6층_부하량'!K3:K3000,MATCH(1,("6-DaHall 1-PDU-02"='6층_부하량'!A3:A3000)*(6='6층_부하량'!B3:B3000),0))</f>
        <v>5.040486006472661</v>
      </c>
      <c r="O234" s="157"/>
      <c r="P234" s="149" t="s">
        <v>4635</v>
      </c>
      <c r="Q234" s="164" t="s">
        <v>4575</v>
      </c>
      <c r="R234" s="342" t="s">
        <v>5312</v>
      </c>
    </row>
    <row r="235" spans="1:18" ht="16.5" x14ac:dyDescent="0.15">
      <c r="A235" s="1112" t="s">
        <v>5313</v>
      </c>
      <c r="B235" s="143" t="s">
        <v>4635</v>
      </c>
      <c r="C235" s="1174" t="s">
        <v>4575</v>
      </c>
      <c r="D235" s="2656" cm="1">
        <f t="array" ref="D235">INDEX('6층_부하량'!I3:I3000,MATCH(1,("6-DaHall 1-PDU-02"='6층_부하량'!A3:A3000)*(7='6층_부하량'!B3:B3000),0))</f>
        <v>0</v>
      </c>
      <c r="E235" s="157"/>
      <c r="F235" s="157"/>
      <c r="G235" s="157"/>
      <c r="H235" s="143" t="s">
        <v>4597</v>
      </c>
      <c r="I235" s="293" t="s">
        <v>4645</v>
      </c>
      <c r="J235" s="294" t="s">
        <v>4593</v>
      </c>
      <c r="K235" s="143" t="s">
        <v>4597</v>
      </c>
      <c r="L235" s="2656" cm="1" t="n">
        <f t="array" ref="L235">INDEX('6층_부하량'!I3:I3000,MATCH(1,("6-DaHall 1-PDU-02"='6층_부하량'!A3:A3000)*(8='6층_부하량'!B3:B3000),0))</f>
        <v>3.1140513282483524</v>
      </c>
      <c r="M235" s="157"/>
      <c r="N235" s="157"/>
      <c r="O235" s="157"/>
      <c r="P235" s="149" t="s">
        <v>4635</v>
      </c>
      <c r="Q235" s="164" t="s">
        <v>4575</v>
      </c>
      <c r="R235" s="342" t="s">
        <v>5314</v>
      </c>
    </row>
    <row r="236" spans="1:18" ht="16.5" x14ac:dyDescent="0.15">
      <c r="A236" s="1113" t="s">
        <v>5315</v>
      </c>
      <c r="B236" s="143" t="s">
        <v>4635</v>
      </c>
      <c r="C236" s="1174" t="s">
        <v>4575</v>
      </c>
      <c r="D236" s="157"/>
      <c r="E236" s="2656" cm="1">
        <f t="array" ref="E236">INDEX('6층_부하량'!J3:J3000,MATCH(1,("6-DaHall 1-PDU-02"='6층_부하량'!A3:A3000)*(9='6층_부하량'!B3:B3000),0))</f>
        <v>0</v>
      </c>
      <c r="F236" s="157"/>
      <c r="G236" s="157"/>
      <c r="H236" s="143" t="s">
        <v>4597</v>
      </c>
      <c r="I236" s="293" t="s">
        <v>4648</v>
      </c>
      <c r="J236" s="294" t="s">
        <v>4596</v>
      </c>
      <c r="K236" s="143" t="s">
        <v>4597</v>
      </c>
      <c r="L236" s="157"/>
      <c r="M236" s="2656" cm="1" t="n">
        <f t="array" ref="M236">INDEX('6층_부하량'!J3:J3000,MATCH(1,("6-DaHall 1-PDU-02"='6층_부하량'!A3:A3000)*(10='6층_부하량'!B3:B3000),0))</f>
        <v>7.376555179174838</v>
      </c>
      <c r="N236" s="157"/>
      <c r="O236" s="157"/>
      <c r="P236" s="149" t="s">
        <v>4635</v>
      </c>
      <c r="Q236" s="164" t="s">
        <v>4575</v>
      </c>
      <c r="R236" s="342" t="s">
        <v>5316</v>
      </c>
    </row>
    <row r="237" spans="1:18" ht="16.5" x14ac:dyDescent="0.15">
      <c r="A237" s="1112" t="s">
        <v>5317</v>
      </c>
      <c r="B237" s="143" t="s">
        <v>4635</v>
      </c>
      <c r="C237" s="1174" t="s">
        <v>4575</v>
      </c>
      <c r="D237" s="157"/>
      <c r="E237" s="157"/>
      <c r="F237" s="2656" cm="1">
        <f t="array" ref="F237">INDEX('6층_부하량'!K3:K3000,MATCH(1,("6-DaHall 1-PDU-02"='6층_부하량'!A3:A3000)*(11='6층_부하량'!B3:B3000),0))</f>
        <v>0</v>
      </c>
      <c r="G237" s="157"/>
      <c r="H237" s="143" t="s">
        <v>4597</v>
      </c>
      <c r="I237" s="293" t="s">
        <v>4653</v>
      </c>
      <c r="J237" s="294" t="s">
        <v>4599</v>
      </c>
      <c r="K237" s="143" t="s">
        <v>4597</v>
      </c>
      <c r="L237" s="157"/>
      <c r="M237" s="157"/>
      <c r="N237" s="2656" cm="1" t="n">
        <f t="array" ref="N237">INDEX('6층_부하량'!K3:K3000,MATCH(1,("6-DaHall 1-PDU-02"='6층_부하량'!A3:A3000)*(12='6층_부하량'!B3:B3000),0))</f>
        <v>9.17697798421514</v>
      </c>
      <c r="O237" s="157"/>
      <c r="P237" s="149" t="s">
        <v>4635</v>
      </c>
      <c r="Q237" s="164" t="s">
        <v>4575</v>
      </c>
      <c r="R237" s="342" t="s">
        <v>5318</v>
      </c>
    </row>
    <row r="238" spans="1:18" ht="16.5" x14ac:dyDescent="0.15">
      <c r="A238" s="1113" t="s">
        <v>5319</v>
      </c>
      <c r="B238" s="143" t="s">
        <v>4635</v>
      </c>
      <c r="C238" s="1174" t="s">
        <v>4575</v>
      </c>
      <c r="D238" s="2656" cm="1" t="n">
        <f t="array" ref="D238">INDEX('6층_부하량'!I3:I3000,MATCH(1,("6-DaHall 1-PDU-02"='6층_부하량'!A3:A3000)*(13='6층_부하량'!B3:B3000),0))</f>
        <v>2.1146760496982897</v>
      </c>
      <c r="E238" s="157"/>
      <c r="F238" s="157"/>
      <c r="G238" s="157"/>
      <c r="H238" s="143" t="s">
        <v>4597</v>
      </c>
      <c r="I238" s="293" t="s">
        <v>4657</v>
      </c>
      <c r="J238" s="294" t="s">
        <v>4601</v>
      </c>
      <c r="K238" s="143" t="s">
        <v>4597</v>
      </c>
      <c r="L238" s="2656" cm="1" t="n">
        <f t="array" ref="L238">INDEX('6층_부하량'!I3:I3000,MATCH(1,("6-DaHall 1-PDU-02"='6층_부하량'!A3:A3000)*(14='6층_부하량'!B3:B3000),0))</f>
        <v>5.93255744339024</v>
      </c>
      <c r="M238" s="157"/>
      <c r="N238" s="157"/>
      <c r="O238" s="157"/>
      <c r="P238" s="157" t="s">
        <v>4635</v>
      </c>
      <c r="Q238" s="164" t="s">
        <v>4575</v>
      </c>
      <c r="R238" s="342" t="s">
        <v>5320</v>
      </c>
    </row>
    <row r="239" spans="1:18" ht="16.5" x14ac:dyDescent="0.15">
      <c r="A239" s="1112" t="s">
        <v>5321</v>
      </c>
      <c r="B239" s="143" t="s">
        <v>4635</v>
      </c>
      <c r="C239" s="1174" t="s">
        <v>4575</v>
      </c>
      <c r="D239" s="157"/>
      <c r="E239" s="2656" cm="1">
        <f t="array" ref="E239">INDEX('6층_부하량'!J3:J3000,MATCH(1,("6-DaHall 1-PDU-02"='6층_부하량'!A3:A3000)*(15='6층_부하량'!B3:B3000),0))</f>
        <v>0</v>
      </c>
      <c r="F239" s="157"/>
      <c r="G239" s="157"/>
      <c r="H239" s="143" t="s">
        <v>4597</v>
      </c>
      <c r="I239" s="293" t="s">
        <v>4661</v>
      </c>
      <c r="J239" s="294" t="s">
        <v>4603</v>
      </c>
      <c r="K239" s="143" t="s">
        <v>4597</v>
      </c>
      <c r="L239" s="157"/>
      <c r="M239" s="2656" cm="1" t="n">
        <f t="array" ref="M239">INDEX('6층_부하량'!J3:J3000,MATCH(1,("6-DaHall 1-PDU-02"='6층_부하량'!A3:A3000)*(16='6층_부하량'!B3:B3000),0))</f>
        <v>4.399867998451929</v>
      </c>
      <c r="N239" s="157"/>
      <c r="O239" s="157"/>
      <c r="P239" s="157" t="s">
        <v>4635</v>
      </c>
      <c r="Q239" s="164" t="s">
        <v>4575</v>
      </c>
      <c r="R239" s="342" t="s">
        <v>5322</v>
      </c>
    </row>
    <row r="240" spans="1:18" ht="17.25" thickBot="1" x14ac:dyDescent="0.2">
      <c r="A240" s="1114" t="s">
        <v>5323</v>
      </c>
      <c r="B240" s="159" t="s">
        <v>4635</v>
      </c>
      <c r="C240" s="1175" t="s">
        <v>4575</v>
      </c>
      <c r="D240" s="177"/>
      <c r="E240" s="177"/>
      <c r="F240" s="2661" cm="1" t="n">
        <f t="array" ref="F240">INDEX('6층_부하량'!K3:K3000,MATCH(1,("6-DaHall 1-PDU-02"='6층_부하량'!A3:A3000)*(17='6층_부하량'!B3:B3000),0))</f>
        <v>1.844218819185544</v>
      </c>
      <c r="G240" s="160"/>
      <c r="H240" s="159" t="s">
        <v>4597</v>
      </c>
      <c r="I240" s="295" t="s">
        <v>4665</v>
      </c>
      <c r="J240" s="1477" t="s">
        <v>4605</v>
      </c>
      <c r="K240" s="159" t="s">
        <v>4597</v>
      </c>
      <c r="L240" s="177"/>
      <c r="M240" s="177"/>
      <c r="N240" s="2661" cm="1" t="n">
        <f t="array" ref="N240">INDEX('6층_부하량'!K3:K3000,MATCH(1,("6-DaHall 1-PDU-02"='6층_부하량'!A3:A3000)*(18='6층_부하량'!B3:B3000),0))</f>
        <v>0.6014750089128574</v>
      </c>
      <c r="O240" s="160"/>
      <c r="P240" s="160" t="s">
        <v>565</v>
      </c>
      <c r="Q240" s="176" t="s">
        <v>5324</v>
      </c>
      <c r="R240" s="153" t="s">
        <v>5325</v>
      </c>
    </row>
    <row r="241" spans="1:19" ht="17.25" thickTop="1" x14ac:dyDescent="0.15">
      <c r="A241" s="141" t="s">
        <v>5326</v>
      </c>
      <c r="B241" s="142" t="s">
        <v>4635</v>
      </c>
      <c r="C241" s="142" t="s">
        <v>4723</v>
      </c>
      <c r="D241" s="2658" cm="1">
        <f t="array" ref="D241">INDEX('6층_부하량'!I3:I3000,MATCH(1,("6-DaHall 1-PDU-02"='6층_부하량'!A3:A3000)*(19='6층_부하량'!B3:B3000),0))</f>
        <v>0</v>
      </c>
      <c r="E241" s="179"/>
      <c r="F241" s="179"/>
      <c r="G241" s="163"/>
      <c r="H241" s="142" t="s">
        <v>4597</v>
      </c>
      <c r="I241" s="1470" t="s">
        <v>4670</v>
      </c>
      <c r="J241" s="298" t="s">
        <v>4609</v>
      </c>
      <c r="K241" s="142" t="s">
        <v>4597</v>
      </c>
      <c r="L241" s="2658" cm="1" t="n">
        <f t="array" ref="L241">INDEX('6층_부하량'!I3:I3000,MATCH(1,("6-DaHall 1-PDU-02"='6층_부하량'!A3:A3000)*(20='6층_부하량'!B3:B3000),0))</f>
        <v>0.20942276050046782</v>
      </c>
      <c r="M241" s="179"/>
      <c r="N241" s="179"/>
      <c r="O241" s="163"/>
      <c r="P241" s="163" t="s">
        <v>4635</v>
      </c>
      <c r="Q241" s="152" t="s">
        <v>4575</v>
      </c>
      <c r="R241" s="618" t="s">
        <v>5327</v>
      </c>
    </row>
    <row r="242" spans="1:19" ht="16.5" x14ac:dyDescent="0.15">
      <c r="A242" s="174" t="s">
        <v>5328</v>
      </c>
      <c r="B242" s="156" t="s">
        <v>4635</v>
      </c>
      <c r="C242" s="156" t="s">
        <v>4723</v>
      </c>
      <c r="D242" s="157"/>
      <c r="E242" s="2656" cm="1" t="n">
        <f t="array" ref="E242">INDEX('6층_부하량'!J3:J3000,MATCH(1,("6-DaHall 1-PDU-02"='6층_부하량'!A3:A3000)*(21='6층_부하량'!B3:B3000),0))</f>
        <v>0.5953569941002278</v>
      </c>
      <c r="F242" s="157"/>
      <c r="G242" s="179"/>
      <c r="H242" s="156" t="s">
        <v>4597</v>
      </c>
      <c r="I242" s="1471" t="s">
        <v>4674</v>
      </c>
      <c r="J242" s="294" t="s">
        <v>4613</v>
      </c>
      <c r="K242" s="156" t="s">
        <v>4597</v>
      </c>
      <c r="L242" s="157"/>
      <c r="M242" s="2656" cm="1" t="n">
        <f t="array" ref="M242">INDEX('6층_부하량'!J3:J3000,MATCH(1,("6-DaHall 1-PDU-02"='6층_부하량'!A3:A3000)*(22='6층_부하량'!B3:B3000),0))</f>
        <v>3.4016137390411365</v>
      </c>
      <c r="N242" s="157"/>
      <c r="O242" s="179"/>
      <c r="P242" s="179" t="s">
        <v>4635</v>
      </c>
      <c r="Q242" s="189" t="s">
        <v>4575</v>
      </c>
      <c r="R242" s="342" t="s">
        <v>5329</v>
      </c>
    </row>
    <row r="243" spans="1:19" ht="16.5" x14ac:dyDescent="0.15">
      <c r="A243" s="148" t="s">
        <v>5330</v>
      </c>
      <c r="B243" s="143" t="s">
        <v>4635</v>
      </c>
      <c r="C243" s="143" t="s">
        <v>4723</v>
      </c>
      <c r="D243" s="157"/>
      <c r="E243" s="157"/>
      <c r="F243" s="2656" cm="1">
        <f t="array" ref="F243">INDEX('6층_부하량'!K3:K3000,MATCH(1,("6-DaHall 1-PDU-02"='6층_부하량'!A3:A3000)*(23='6층_부하량'!B3:B3000),0))</f>
        <v>0</v>
      </c>
      <c r="G243" s="157"/>
      <c r="H243" s="143" t="s">
        <v>4597</v>
      </c>
      <c r="I243" s="1471" t="s">
        <v>4678</v>
      </c>
      <c r="J243" s="294" t="s">
        <v>4680</v>
      </c>
      <c r="K243" s="143" t="s">
        <v>4597</v>
      </c>
      <c r="L243" s="157"/>
      <c r="M243" s="157"/>
      <c r="N243" s="2656" cm="1">
        <f t="array" ref="N243">INDEX('6층_부하량'!K3:K3000,MATCH(1,("6-DaHall 1-PDU-02"='6층_부하량'!A3:A3000)*(24='6층_부하량'!B3:B3000),0))</f>
        <v>0</v>
      </c>
      <c r="O243" s="157"/>
      <c r="P243" s="157" t="s">
        <v>4635</v>
      </c>
      <c r="Q243" s="164" t="s">
        <v>4575</v>
      </c>
      <c r="R243" s="342" t="s">
        <v>5331</v>
      </c>
    </row>
    <row r="244" spans="1:19" ht="16.5" x14ac:dyDescent="0.15">
      <c r="A244" s="148" t="s">
        <v>5332</v>
      </c>
      <c r="B244" s="143" t="s">
        <v>4635</v>
      </c>
      <c r="C244" s="164" t="s">
        <v>4575</v>
      </c>
      <c r="D244" s="2656" cm="1" t="n">
        <f t="array" ref="D244">INDEX('6층_부하량'!I3:I3000,MATCH(1,("6-DaHall 1-PDU-02"='6층_부하량'!A3:A3000)*(25='6층_부하량'!B3:B3000),0))</f>
        <v>2.1427040920548497</v>
      </c>
      <c r="E244" s="157"/>
      <c r="F244" s="157"/>
      <c r="G244" s="157"/>
      <c r="H244" s="143" t="s">
        <v>4597</v>
      </c>
      <c r="I244" s="1471" t="s">
        <v>4683</v>
      </c>
      <c r="J244" s="294" t="s">
        <v>4685</v>
      </c>
      <c r="K244" s="143" t="s">
        <v>4597</v>
      </c>
      <c r="L244" s="2656" cm="1" t="n">
        <f t="array" ref="L244">INDEX('6층_부하량'!I3:I3000,MATCH(1,("6-DaHall 1-PDU-02"='6층_부하량'!A3:A3000)*(26='6층_부하량'!B3:B3000),0))</f>
        <v>1.403430419690342</v>
      </c>
      <c r="M244" s="157"/>
      <c r="N244" s="157"/>
      <c r="O244" s="157"/>
      <c r="P244" s="157" t="s">
        <v>4635</v>
      </c>
      <c r="Q244" s="164" t="s">
        <v>4575</v>
      </c>
      <c r="R244" s="342" t="s">
        <v>5333</v>
      </c>
    </row>
    <row r="245" spans="1:19" ht="16.5" x14ac:dyDescent="0.15">
      <c r="A245" s="607" t="s">
        <v>5334</v>
      </c>
      <c r="B245" s="143" t="s">
        <v>4635</v>
      </c>
      <c r="C245" s="164" t="s">
        <v>4575</v>
      </c>
      <c r="D245" s="157"/>
      <c r="E245" s="2656" cm="1" t="n">
        <f t="array" ref="E245">INDEX('6층_부하량'!J3:J3000,MATCH(1,("6-DaHall 1-PDU-02"='6층_부하량'!A3:A3000)*(27='6층_부하량'!B3:B3000),0))</f>
        <v>1.4932047947950835</v>
      </c>
      <c r="F245" s="157"/>
      <c r="G245" s="157"/>
      <c r="H245" s="143" t="s">
        <v>4597</v>
      </c>
      <c r="I245" s="299" t="s">
        <v>4688</v>
      </c>
      <c r="J245" s="294" t="s">
        <v>4689</v>
      </c>
      <c r="K245" s="143" t="s">
        <v>4597</v>
      </c>
      <c r="L245" s="157"/>
      <c r="M245" s="2656" cm="1" t="n">
        <f t="array" ref="M245">INDEX('6층_부하량'!J3:J3000,MATCH(1,("6-DaHall 1-PDU-02"='6층_부하량'!A3:A3000)*(28='6층_부하량'!B3:B3000),0))</f>
        <v>4.9424879403767035</v>
      </c>
      <c r="N245" s="157"/>
      <c r="O245" s="157"/>
      <c r="P245" s="157" t="s">
        <v>4635</v>
      </c>
      <c r="Q245" s="164" t="s">
        <v>4575</v>
      </c>
      <c r="R245" s="342" t="s">
        <v>5335</v>
      </c>
    </row>
    <row r="246" spans="1:19" x14ac:dyDescent="0.15">
      <c r="A246" s="607" t="s">
        <v>5336</v>
      </c>
      <c r="B246" s="143" t="s">
        <v>4635</v>
      </c>
      <c r="C246" s="143" t="s">
        <v>4723</v>
      </c>
      <c r="D246" s="157"/>
      <c r="E246" s="157"/>
      <c r="F246" s="2656" cm="1" t="n">
        <f t="array" ref="F246">INDEX('6층_부하량'!K3:K3000,MATCH(1,("6-DaHall 1-PDU-02"='6층_부하량'!A3:A3000)*(29='6층_부하량'!B3:B3000),0))</f>
        <v>3.042457809548502</v>
      </c>
      <c r="G246" s="157"/>
      <c r="H246" s="143" t="s">
        <v>4597</v>
      </c>
      <c r="I246" s="299" t="s">
        <v>4691</v>
      </c>
      <c r="J246" s="294" t="s">
        <v>4692</v>
      </c>
      <c r="K246" s="143" t="s">
        <v>4597</v>
      </c>
      <c r="L246" s="157"/>
      <c r="M246" s="157"/>
      <c r="N246" s="2656" cm="1" t="n">
        <f t="array" ref="N246">INDEX('6층_부하량'!K3:K3000,MATCH(1,("6-DaHall 1-PDU-02"='6층_부하량'!A3:A3000)*(30='6층_부하량'!B3:B3000),0))</f>
        <v>7.824738788359807</v>
      </c>
      <c r="O246" s="157"/>
      <c r="P246" s="157" t="s">
        <v>4635</v>
      </c>
      <c r="Q246" s="143" t="s">
        <v>4723</v>
      </c>
      <c r="R246" s="264" t="s">
        <v>5304</v>
      </c>
      <c r="S246" t="s">
        <v>5337</v>
      </c>
    </row>
    <row r="247" spans="1:19" ht="16.5" x14ac:dyDescent="0.15">
      <c r="A247" s="607" t="s">
        <v>5338</v>
      </c>
      <c r="B247" s="143" t="s">
        <v>4635</v>
      </c>
      <c r="C247" s="164" t="s">
        <v>4575</v>
      </c>
      <c r="D247" s="2656" cm="1" t="n">
        <f t="array" ref="D247">INDEX('6층_부하량'!I3:I3000,MATCH(1,("6-DaHall 1-PDU-02"='6층_부하량'!A3:A3000)*(31='6층_부하량'!B3:B3000),0))</f>
        <v>3.3323179006452173</v>
      </c>
      <c r="E247" s="157"/>
      <c r="F247" s="157"/>
      <c r="G247" s="157"/>
      <c r="H247" s="143" t="s">
        <v>4597</v>
      </c>
      <c r="I247" s="299" t="s">
        <v>4693</v>
      </c>
      <c r="J247" s="1463" t="s">
        <v>4694</v>
      </c>
      <c r="K247" s="143" t="s">
        <v>4597</v>
      </c>
      <c r="L247" s="2656" cm="1" t="n">
        <f t="array" ref="L247">INDEX('6층_부하량'!I3:I3000,MATCH(1,("6-DaHall 1-PDU-02"='6층_부하량'!A3:A3000)*(32='6층_부하량'!B3:B3000),0))</f>
        <v>6.6958492213770056</v>
      </c>
      <c r="M247" s="157"/>
      <c r="N247" s="157"/>
      <c r="O247" s="157"/>
      <c r="P247" s="157" t="s">
        <v>4635</v>
      </c>
      <c r="Q247" s="143" t="s">
        <v>4723</v>
      </c>
      <c r="R247" s="153" t="s">
        <v>5339</v>
      </c>
    </row>
    <row r="248" spans="1:19" ht="16.5" x14ac:dyDescent="0.15">
      <c r="A248" s="607" t="s">
        <v>5340</v>
      </c>
      <c r="B248" s="143" t="s">
        <v>4635</v>
      </c>
      <c r="C248" s="164" t="s">
        <v>4575</v>
      </c>
      <c r="D248" s="157"/>
      <c r="E248" s="2656" cm="1" t="n">
        <f t="array" ref="E248">INDEX('6층_부하량'!J3:J3000,MATCH(1,("6-DaHall 1-PDU-02"='6층_부하량'!A3:A3000)*(33='6층_부하량'!B3:B3000),0))</f>
        <v>2.5159052478693273</v>
      </c>
      <c r="F248" s="157"/>
      <c r="G248" s="157"/>
      <c r="H248" s="143" t="s">
        <v>4597</v>
      </c>
      <c r="I248" s="299" t="s">
        <v>4697</v>
      </c>
      <c r="J248" s="294" t="s">
        <v>4698</v>
      </c>
      <c r="K248" s="143" t="s">
        <v>4597</v>
      </c>
      <c r="L248" s="157"/>
      <c r="M248" s="2656" cm="1">
        <f t="array" ref="M248">INDEX('6층_부하량'!J3:J3000,MATCH(1,("6-DaHall 1-PDU-02"='6층_부하량'!A3:A3000)*(34='6층_부하량'!B3:B3000),0))</f>
        <v>0</v>
      </c>
      <c r="N248" s="157"/>
      <c r="O248" s="157"/>
      <c r="P248" s="157" t="s">
        <v>4635</v>
      </c>
      <c r="Q248" s="164" t="s">
        <v>4575</v>
      </c>
      <c r="R248" s="475" t="s">
        <v>5341</v>
      </c>
    </row>
    <row r="249" spans="1:19" ht="16.5" x14ac:dyDescent="0.15">
      <c r="A249" s="607" t="s">
        <v>5342</v>
      </c>
      <c r="B249" s="143" t="s">
        <v>4635</v>
      </c>
      <c r="C249" s="164" t="s">
        <v>4575</v>
      </c>
      <c r="D249" s="157"/>
      <c r="E249" s="157"/>
      <c r="F249" s="2656" cm="1" t="n">
        <f t="array" ref="F249">INDEX('6층_부하량'!K3:K3000,MATCH(1,("6-DaHall 1-PDU-02"='6층_부하량'!A3:A3000)*(35='6층_부하량'!B3:B3000),0))</f>
        <v>0.6202577670651693</v>
      </c>
      <c r="G249" s="157"/>
      <c r="H249" s="143" t="s">
        <v>4597</v>
      </c>
      <c r="I249" s="293" t="s">
        <v>4701</v>
      </c>
      <c r="J249" s="294" t="s">
        <v>4703</v>
      </c>
      <c r="K249" s="143" t="s">
        <v>4597</v>
      </c>
      <c r="L249" s="157"/>
      <c r="M249" s="157"/>
      <c r="N249" s="2656" cm="1" t="n">
        <f t="array" ref="N249">INDEX('6층_부하량'!K3:K3000,MATCH(1,("6-DaHall 1-PDU-02"='6층_부하량'!A3:A3000)*(36='6층_부하량'!B3:B3000),0))</f>
        <v>1.5560287422390295</v>
      </c>
      <c r="O249" s="157"/>
      <c r="P249" s="149" t="s">
        <v>4635</v>
      </c>
      <c r="Q249" s="164" t="s">
        <v>4575</v>
      </c>
      <c r="R249" s="2114" t="s">
        <v>5343</v>
      </c>
    </row>
    <row r="250" spans="1:19" ht="27" x14ac:dyDescent="0.15">
      <c r="A250" s="607" t="s">
        <v>5344</v>
      </c>
      <c r="B250" s="143" t="s">
        <v>4635</v>
      </c>
      <c r="C250" s="164" t="s">
        <v>4575</v>
      </c>
      <c r="D250" s="2656" cm="1">
        <f t="array" ref="D250">INDEX('6층_부하량'!I3:I3000,MATCH(1,("6-DaHall 1-PDU-02"='6층_부하량'!A3:A3000)*(37='6층_부하량'!B3:B3000),0))</f>
        <v>0</v>
      </c>
      <c r="E250" s="157"/>
      <c r="F250" s="157"/>
      <c r="G250" s="157"/>
      <c r="H250" s="143" t="s">
        <v>4597</v>
      </c>
      <c r="I250" s="293" t="s">
        <v>4706</v>
      </c>
      <c r="J250" s="294" t="s">
        <v>4707</v>
      </c>
      <c r="K250" s="143" t="s">
        <v>4597</v>
      </c>
      <c r="L250" s="2656" cm="1">
        <f t="array" ref="L250">INDEX('6층_부하량'!I3:I3000,MATCH(1,("6-DaHall 1-PDU-02"='6층_부하량'!A3:A3000)*(38='6층_부하량'!B3:B3000),0))</f>
        <v>0</v>
      </c>
      <c r="M250" s="157"/>
      <c r="N250" s="157"/>
      <c r="O250" s="157"/>
      <c r="P250" s="149" t="s">
        <v>4635</v>
      </c>
      <c r="Q250" s="164" t="s">
        <v>4575</v>
      </c>
      <c r="R250" s="345" t="s">
        <v>5345</v>
      </c>
    </row>
    <row r="251" spans="1:19" ht="27" x14ac:dyDescent="0.15">
      <c r="A251" s="607" t="s">
        <v>5346</v>
      </c>
      <c r="B251" s="143" t="s">
        <v>4635</v>
      </c>
      <c r="C251" s="164" t="s">
        <v>4575</v>
      </c>
      <c r="D251" s="157"/>
      <c r="E251" s="2656" cm="1" t="n">
        <f t="array" ref="E251">INDEX('6층_부하량'!J3:J3000,MATCH(1,("6-DaHall 1-PDU-02"='6층_부하량'!A3:A3000)*(39='6층_부하량'!B3:B3000),0))</f>
        <v>0.21443277244834508</v>
      </c>
      <c r="F251" s="157"/>
      <c r="G251" s="157"/>
      <c r="H251" s="143" t="s">
        <v>4597</v>
      </c>
      <c r="I251" s="299" t="s">
        <v>4710</v>
      </c>
      <c r="J251" s="1463" t="s">
        <v>4711</v>
      </c>
      <c r="K251" s="143" t="s">
        <v>4597</v>
      </c>
      <c r="L251" s="157"/>
      <c r="M251" s="2656" cm="1">
        <f t="array" ref="M251">INDEX('6층_부하량'!J3:J3000,MATCH(1,("6-DaHall 1-PDU-02"='6층_부하량'!A3:A3000)*(40='6층_부하량'!B3:B3000),0))</f>
        <v>0</v>
      </c>
      <c r="N251" s="157"/>
      <c r="O251" s="157"/>
      <c r="P251" s="149" t="s">
        <v>4635</v>
      </c>
      <c r="Q251" s="164" t="s">
        <v>4575</v>
      </c>
      <c r="R251" s="345" t="s">
        <v>5347</v>
      </c>
    </row>
    <row r="252" spans="1:19" ht="16.5" x14ac:dyDescent="0.15">
      <c r="A252" s="274" t="s">
        <v>5298</v>
      </c>
      <c r="B252" s="143" t="s">
        <v>4635</v>
      </c>
      <c r="C252" s="164" t="s">
        <v>4575</v>
      </c>
      <c r="D252" s="157"/>
      <c r="E252" s="157"/>
      <c r="F252" s="2656" cm="1" t="n">
        <f t="array" ref="F252">INDEX('6층_부하량'!K3:K3000,MATCH(1,("6-DaHall 1-PDU-02"='6층_부하량'!A3:A3000)*(41='6층_부하량'!B3:B3000),0))</f>
        <v>0.6176879752155199</v>
      </c>
      <c r="G252" s="157"/>
      <c r="H252" s="143" t="s">
        <v>4597</v>
      </c>
      <c r="I252" s="293" t="s">
        <v>5055</v>
      </c>
      <c r="J252" s="1463" t="s">
        <v>4843</v>
      </c>
      <c r="K252" s="143" t="s">
        <v>4597</v>
      </c>
      <c r="L252" s="157"/>
      <c r="M252" s="157"/>
      <c r="N252" s="2656" cm="1" t="n">
        <f t="array" ref="N252">INDEX('6층_부하량'!K3:K3000,MATCH(1,("6-DaHall 1-PDU-02"='6층_부하량'!A3:A3000)*(42='6층_부하량'!B3:B3000),0))</f>
        <v>3.956033369947676</v>
      </c>
      <c r="O252" s="157"/>
      <c r="P252" s="149" t="s">
        <v>4635</v>
      </c>
      <c r="Q252" s="164" t="s">
        <v>4575</v>
      </c>
      <c r="R252" s="326" t="s">
        <v>379</v>
      </c>
    </row>
    <row r="253" spans="1:19" ht="16.5" x14ac:dyDescent="0.15">
      <c r="A253" s="607" t="s">
        <v>5348</v>
      </c>
      <c r="B253" s="143" t="s">
        <v>4635</v>
      </c>
      <c r="C253" s="164" t="s">
        <v>4575</v>
      </c>
      <c r="D253" s="2656" cm="1" t="n">
        <f t="array" ref="D253">INDEX('6층_부하량'!I3:I3000,MATCH(1,("6-DaHall 1-PDU-02"='6층_부하량'!A3:A3000)*(43='6층_부하량'!B3:B3000),0))</f>
        <v>3.592147862029142</v>
      </c>
      <c r="E253" s="157"/>
      <c r="F253" s="157"/>
      <c r="G253" s="157"/>
      <c r="H253" s="143" t="s">
        <v>4597</v>
      </c>
      <c r="I253" s="293" t="s">
        <v>4845</v>
      </c>
      <c r="J253" s="1463" t="s">
        <v>4846</v>
      </c>
      <c r="K253" s="143" t="s">
        <v>4597</v>
      </c>
      <c r="L253" s="2656" cm="1">
        <f t="array" ref="L253">INDEX('6층_부하량'!I3:I3000,MATCH(1,("6-DaHall 1-PDU-02"='6층_부하량'!A3:A3000)*(44='6층_부하량'!B3:B3000),0))</f>
        <v>0</v>
      </c>
      <c r="M253" s="157"/>
      <c r="N253" s="157"/>
      <c r="O253" s="157"/>
      <c r="P253" s="149" t="s">
        <v>4635</v>
      </c>
      <c r="Q253" s="143" t="s">
        <v>4723</v>
      </c>
      <c r="R253" s="2114" t="s">
        <v>2315</v>
      </c>
      <c r="S253" s="2147" t="s">
        <v>5349</v>
      </c>
    </row>
    <row r="254" spans="1:19" ht="16.5" x14ac:dyDescent="0.15">
      <c r="A254" s="607" t="s">
        <v>5350</v>
      </c>
      <c r="B254" s="143" t="s">
        <v>4635</v>
      </c>
      <c r="C254" s="164" t="s">
        <v>4575</v>
      </c>
      <c r="D254" s="157"/>
      <c r="E254" s="2656" cm="1">
        <f t="array" ref="E254">INDEX('6층_부하량'!J3:J3000,MATCH(1,("6-DaHall 1-PDU-02"='6층_부하량'!A3:A3000)*(45='6층_부하량'!B3:B3000),0))</f>
        <v>0</v>
      </c>
      <c r="F254" s="157"/>
      <c r="G254" s="157"/>
      <c r="H254" s="143" t="s">
        <v>4597</v>
      </c>
      <c r="I254" s="1465" t="s">
        <v>4847</v>
      </c>
      <c r="J254" s="1463" t="s">
        <v>4848</v>
      </c>
      <c r="K254" s="143" t="s">
        <v>4597</v>
      </c>
      <c r="L254" s="157"/>
      <c r="M254" s="2656" cm="1" t="n">
        <f t="array" ref="M254">INDEX('6층_부하량'!J3:J3000,MATCH(1,("6-DaHall 1-PDU-02"='6층_부하량'!A3:A3000)*(46='6층_부하량'!B3:B3000),0))</f>
        <v>3.823464377758112</v>
      </c>
      <c r="N254" s="157"/>
      <c r="O254" s="157"/>
      <c r="P254" s="157" t="s">
        <v>565</v>
      </c>
      <c r="Q254" s="143" t="s">
        <v>4723</v>
      </c>
      <c r="R254" s="182" t="s">
        <v>5351</v>
      </c>
    </row>
    <row r="255" spans="1:19" ht="16.5" x14ac:dyDescent="0.15">
      <c r="A255" s="607" t="s">
        <v>5352</v>
      </c>
      <c r="B255" s="143" t="s">
        <v>4635</v>
      </c>
      <c r="C255" s="164" t="s">
        <v>4575</v>
      </c>
      <c r="D255" s="157"/>
      <c r="E255" s="157"/>
      <c r="F255" s="2656" cm="1">
        <f t="array" ref="F255">INDEX('6층_부하량'!K3:K3000,MATCH(1,("6-DaHall 1-PDU-02"='6층_부하량'!A3:A3000)*(47='6층_부하량'!B3:B3000),0))</f>
        <v>0</v>
      </c>
      <c r="G255" s="157"/>
      <c r="H255" s="143" t="s">
        <v>4597</v>
      </c>
      <c r="I255" s="1471" t="s">
        <v>4849</v>
      </c>
      <c r="J255" s="294" t="s">
        <v>4850</v>
      </c>
      <c r="K255" s="143" t="s">
        <v>4597</v>
      </c>
      <c r="L255" s="157"/>
      <c r="M255" s="157"/>
      <c r="N255" s="2656" cm="1">
        <f t="array" ref="N255">INDEX('6층_부하량'!K3:K3000,MATCH(1,("6-DaHall 1-PDU-02"='6층_부하량'!A3:A3000)*(48='6층_부하량'!B3:B3000),0))</f>
        <v>0</v>
      </c>
      <c r="O255" s="157"/>
      <c r="P255" s="157" t="s">
        <v>4635</v>
      </c>
      <c r="Q255" s="164" t="s">
        <v>4575</v>
      </c>
      <c r="R255" s="342" t="s">
        <v>5353</v>
      </c>
    </row>
    <row r="256" spans="1:19" ht="14.25" thickBot="1" x14ac:dyDescent="0.2">
      <c r="A256" s="165"/>
      <c r="B256" s="166" t="s">
        <v>565</v>
      </c>
      <c r="C256" s="166" t="s">
        <v>4723</v>
      </c>
      <c r="D256" s="2659" cm="1">
        <f t="array" ref="D256">INDEX('6층_부하량'!I3:I3000,MATCH(1,("6-DaHall 1-PDU-02"='6층_부하량'!A3:A3000)*(49='6층_부하량'!B3:B3000),0))</f>
        <v>0</v>
      </c>
      <c r="E256" s="167"/>
      <c r="F256" s="167"/>
      <c r="G256" s="167"/>
      <c r="H256" s="166" t="s">
        <v>4597</v>
      </c>
      <c r="I256" s="1472" t="s">
        <v>4851</v>
      </c>
      <c r="J256" s="1473" t="s">
        <v>4852</v>
      </c>
      <c r="K256" s="166" t="s">
        <v>4597</v>
      </c>
      <c r="L256" s="2659" cm="1">
        <f t="array" ref="L256">INDEX('6층_부하량'!I3:I3000,MATCH(1,("6-DaHall 1-PDU-02"='6층_부하량'!A3:A3000)*(50='6층_부하량'!B3:B3000),0))</f>
        <v>0</v>
      </c>
      <c r="M256" s="167"/>
      <c r="N256" s="167"/>
      <c r="O256" s="167"/>
      <c r="P256" s="167" t="s">
        <v>565</v>
      </c>
      <c r="Q256" s="166" t="s">
        <v>4723</v>
      </c>
      <c r="R256" s="170"/>
    </row>
    <row r="257" spans="1:18" ht="14.25" thickTop="1" x14ac:dyDescent="0.15">
      <c r="A257" s="171"/>
      <c r="B257" s="133"/>
      <c r="C257" s="133"/>
      <c r="D257" s="131"/>
      <c r="E257" s="131"/>
      <c r="F257" s="131"/>
      <c r="G257" s="131"/>
      <c r="H257" s="133"/>
      <c r="I257" s="172"/>
      <c r="J257" s="172"/>
      <c r="K257" s="133" t="s">
        <v>4713</v>
      </c>
      <c r="L257" s="131" t="n">
        <f>SUM(D232:D256,L232:L256)</f>
        <v>29.976854454630125</v>
      </c>
      <c r="M257" s="131" t="n">
        <f>SUM(E232:E256,M232:M256)</f>
        <v>31.059660444907745</v>
      </c>
      <c r="N257" s="131" t="n">
        <f>SUM(F232:F256,N232:N256)</f>
        <v>34.280362271161906</v>
      </c>
      <c r="O257" s="131"/>
      <c r="P257" s="131"/>
      <c r="Q257" s="133"/>
      <c r="R257" s="131"/>
    </row>
    <row r="258" spans="1:18" ht="14.25" thickBot="1" x14ac:dyDescent="0.2">
      <c r="A258" s="128"/>
      <c r="B258" s="128"/>
      <c r="C258" s="128"/>
      <c r="D258" s="128"/>
      <c r="E258" s="128"/>
      <c r="F258" s="128"/>
      <c r="G258" s="128"/>
      <c r="H258" s="128"/>
      <c r="I258" s="128"/>
      <c r="J258" s="128"/>
      <c r="K258" s="128"/>
      <c r="L258" s="128"/>
      <c r="M258" s="128"/>
      <c r="N258" s="128"/>
      <c r="O258" s="128"/>
      <c r="P258" s="128"/>
      <c r="Q258" s="128"/>
      <c r="R258" s="128"/>
    </row>
    <row r="259" spans="1:18" ht="15" thickTop="1" thickBot="1" x14ac:dyDescent="0.2">
      <c r="A259" s="173" t="s">
        <v>7005</v>
      </c>
      <c r="B259" s="128"/>
      <c r="C259" s="3660" t="s">
        <v>5354</v>
      </c>
      <c r="D259" s="3660"/>
      <c r="E259" s="3660"/>
      <c r="F259" s="173"/>
      <c r="G259" s="173"/>
      <c r="H259" s="133"/>
      <c r="I259" s="3665" t="s">
        <v>5063</v>
      </c>
      <c r="J259" s="3666"/>
      <c r="K259" s="133"/>
      <c r="L259" s="173"/>
      <c r="M259" s="173"/>
      <c r="N259" s="173"/>
      <c r="O259" s="173"/>
      <c r="P259" s="173"/>
      <c r="Q259" s="173"/>
      <c r="R259" s="128"/>
    </row>
    <row r="260" spans="1:18" ht="15" thickTop="1" thickBot="1" x14ac:dyDescent="0.2">
      <c r="A260" s="127"/>
      <c r="B260" s="128"/>
      <c r="C260" s="128"/>
      <c r="D260" s="129"/>
      <c r="E260" s="129"/>
      <c r="F260" s="130"/>
      <c r="G260" s="129"/>
      <c r="H260" s="131"/>
      <c r="I260" s="128"/>
      <c r="J260" s="132"/>
      <c r="K260" s="1371" t="s">
        <v>4562</v>
      </c>
      <c r="L260" s="1368">
        <v>20.7</v>
      </c>
      <c r="M260" s="1369">
        <v>21.3</v>
      </c>
      <c r="N260" s="1370">
        <v>10.5</v>
      </c>
      <c r="O260" s="508" t="s">
        <v>4563</v>
      </c>
      <c r="P260" s="133"/>
      <c r="Q260" s="128"/>
      <c r="R260" s="528"/>
    </row>
    <row r="261" spans="1:18" ht="15" thickTop="1" thickBot="1" x14ac:dyDescent="0.2">
      <c r="A261" s="134" t="s">
        <v>4564</v>
      </c>
      <c r="B261" s="135" t="s">
        <v>5031</v>
      </c>
      <c r="C261" s="136" t="s">
        <v>4566</v>
      </c>
      <c r="D261" s="135" t="s">
        <v>5032</v>
      </c>
      <c r="E261" s="135" t="s">
        <v>5033</v>
      </c>
      <c r="F261" s="135" t="s">
        <v>5034</v>
      </c>
      <c r="G261" s="135" t="s">
        <v>5035</v>
      </c>
      <c r="H261" s="135" t="s">
        <v>5036</v>
      </c>
      <c r="I261" s="138" t="s">
        <v>5037</v>
      </c>
      <c r="J261" s="139" t="s">
        <v>5037</v>
      </c>
      <c r="K261" s="135" t="s">
        <v>5036</v>
      </c>
      <c r="L261" s="135" t="s">
        <v>5032</v>
      </c>
      <c r="M261" s="135" t="s">
        <v>5033</v>
      </c>
      <c r="N261" s="135" t="s">
        <v>5034</v>
      </c>
      <c r="O261" s="135" t="s">
        <v>5035</v>
      </c>
      <c r="P261" s="135" t="s">
        <v>5031</v>
      </c>
      <c r="Q261" s="136" t="s">
        <v>4566</v>
      </c>
      <c r="R261" s="140" t="s">
        <v>4564</v>
      </c>
    </row>
    <row r="262" spans="1:18" ht="17.25" thickTop="1" x14ac:dyDescent="0.15">
      <c r="A262" s="141" t="s">
        <v>5355</v>
      </c>
      <c r="B262" s="142" t="s">
        <v>4635</v>
      </c>
      <c r="C262" s="164" t="s">
        <v>4575</v>
      </c>
      <c r="D262" s="2654" cm="1" t="n">
        <f t="array" ref="D262">INDEX('6층_부하량'!I3:I3000,MATCH(1,("6-DaHall 1-PDU-03"='6층_부하량'!A3:A3000)*(1='6층_부하량'!B3:B3000),0))</f>
        <v>4.585554509970289</v>
      </c>
      <c r="E262" s="144"/>
      <c r="F262" s="144"/>
      <c r="G262" s="144"/>
      <c r="H262" s="142" t="s">
        <v>4597</v>
      </c>
      <c r="I262" s="1469" t="s">
        <v>4633</v>
      </c>
      <c r="J262" s="1476" t="s">
        <v>4578</v>
      </c>
      <c r="K262" s="142" t="s">
        <v>4597</v>
      </c>
      <c r="L262" s="2654" cm="1" t="n">
        <f t="array" ref="L262">INDEX('6층_부하량'!I3:I3000,MATCH(1,("6-DaHall 1-PDU-03"='6층_부하량'!A3:A3000)*(2='6층_부하량'!B3:B3000),0))</f>
        <v>4.154037696207758</v>
      </c>
      <c r="M262" s="144"/>
      <c r="N262" s="144"/>
      <c r="O262" s="144"/>
      <c r="P262" s="144" t="s">
        <v>565</v>
      </c>
      <c r="Q262" s="142" t="s">
        <v>4723</v>
      </c>
      <c r="R262" s="147" t="s">
        <v>5356</v>
      </c>
    </row>
    <row r="263" spans="1:18" ht="16.5" x14ac:dyDescent="0.15">
      <c r="A263" s="158" t="s">
        <v>5357</v>
      </c>
      <c r="B263" s="143" t="s">
        <v>4635</v>
      </c>
      <c r="C263" s="164" t="s">
        <v>4575</v>
      </c>
      <c r="D263" s="149"/>
      <c r="E263" s="2655" cm="1" t="n">
        <f t="array" ref="E263">INDEX('6층_부하량'!J3:J3000,MATCH(1,("6-DaHall 1-PDU-03"='6층_부하량'!A3:A3000)*(3='6층_부하량'!B3:B3000),0))</f>
        <v>3.38199466840998</v>
      </c>
      <c r="F263" s="149"/>
      <c r="G263" s="149"/>
      <c r="H263" s="143" t="s">
        <v>4597</v>
      </c>
      <c r="I263" s="1465" t="s">
        <v>4638</v>
      </c>
      <c r="J263" s="1463" t="s">
        <v>4583</v>
      </c>
      <c r="K263" s="143" t="s">
        <v>4597</v>
      </c>
      <c r="L263" s="149"/>
      <c r="M263" s="2655" cm="1" t="n">
        <f t="array" ref="M263">INDEX('6층_부하량'!J3:J3000,MATCH(1,("6-DaHall 1-PDU-03"='6층_부하량'!A3:A3000)*(4='6층_부하량'!B3:B3000),0))</f>
        <v>3.5319855744769413</v>
      </c>
      <c r="N263" s="149"/>
      <c r="O263" s="149"/>
      <c r="P263" s="149" t="s">
        <v>565</v>
      </c>
      <c r="Q263" s="143" t="s">
        <v>4723</v>
      </c>
      <c r="R263" s="153" t="s">
        <v>5358</v>
      </c>
    </row>
    <row r="264" spans="1:18" ht="16.5" x14ac:dyDescent="0.15">
      <c r="A264" s="148" t="s">
        <v>5359</v>
      </c>
      <c r="B264" s="143" t="s">
        <v>4635</v>
      </c>
      <c r="C264" s="164" t="s">
        <v>4575</v>
      </c>
      <c r="D264" s="157"/>
      <c r="E264" s="157"/>
      <c r="F264" s="2656" cm="1" t="n">
        <f t="array" ref="F264">INDEX('6층_부하량'!K3:K3000,MATCH(1,("6-DaHall 1-PDU-03"='6층_부하량'!A3:A3000)*(5='6층_부하량'!B3:B3000),0))</f>
        <v>1.2079645046393812</v>
      </c>
      <c r="G264" s="157"/>
      <c r="H264" s="143" t="s">
        <v>4597</v>
      </c>
      <c r="I264" s="1471" t="s">
        <v>4641</v>
      </c>
      <c r="J264" s="1460" t="s">
        <v>4588</v>
      </c>
      <c r="K264" s="143" t="s">
        <v>4597</v>
      </c>
      <c r="L264" s="157"/>
      <c r="M264" s="157"/>
      <c r="N264" s="2656" cm="1" t="n">
        <f t="array" ref="N264">INDEX('6층_부하량'!K3:K3000,MATCH(1,("6-DaHall 1-PDU-03"='6층_부하량'!A3:A3000)*(6='6층_부하량'!B3:B3000),0))</f>
        <v>2.6374086945981405</v>
      </c>
      <c r="O264" s="157"/>
      <c r="P264" s="157" t="s">
        <v>565</v>
      </c>
      <c r="Q264" s="143" t="s">
        <v>4723</v>
      </c>
      <c r="R264" s="153" t="s">
        <v>5360</v>
      </c>
    </row>
    <row r="265" spans="1:18" ht="16.5" x14ac:dyDescent="0.15">
      <c r="A265" s="158" t="s">
        <v>5361</v>
      </c>
      <c r="B265" s="143" t="s">
        <v>4635</v>
      </c>
      <c r="C265" s="164" t="s">
        <v>4575</v>
      </c>
      <c r="D265" s="2656" cm="1" t="n">
        <f t="array" ref="D265">INDEX('6층_부하량'!I3:I3000,MATCH(1,("6-DaHall 1-PDU-03"='6층_부하량'!A3:A3000)*(7='6층_부하량'!B3:B3000),0))</f>
        <v>4.038509556282127</v>
      </c>
      <c r="E265" s="157"/>
      <c r="F265" s="157"/>
      <c r="G265" s="157"/>
      <c r="H265" s="143" t="s">
        <v>4597</v>
      </c>
      <c r="I265" s="1471" t="s">
        <v>4645</v>
      </c>
      <c r="J265" s="1460" t="s">
        <v>4593</v>
      </c>
      <c r="K265" s="143" t="s">
        <v>4597</v>
      </c>
      <c r="L265" s="2656" cm="1" t="n">
        <f t="array" ref="L265">INDEX('6층_부하량'!I3:I3000,MATCH(1,("6-DaHall 1-PDU-03"='6층_부하량'!A3:A3000)*(8='6층_부하량'!B3:B3000),0))</f>
        <v>3.8164257573394083</v>
      </c>
      <c r="M265" s="157"/>
      <c r="N265" s="157"/>
      <c r="O265" s="157"/>
      <c r="P265" s="157" t="s">
        <v>565</v>
      </c>
      <c r="Q265" s="143" t="s">
        <v>4723</v>
      </c>
      <c r="R265" s="153" t="s">
        <v>5362</v>
      </c>
    </row>
    <row r="266" spans="1:18" ht="16.5" x14ac:dyDescent="0.15">
      <c r="A266" s="148" t="s">
        <v>5363</v>
      </c>
      <c r="B266" s="143" t="s">
        <v>4635</v>
      </c>
      <c r="C266" s="164" t="s">
        <v>4575</v>
      </c>
      <c r="D266" s="157"/>
      <c r="E266" s="2656" cm="1" t="n">
        <f t="array" ref="E266">INDEX('6층_부하량'!J3:J3000,MATCH(1,("6-DaHall 1-PDU-03"='6층_부하량'!A3:A3000)*(9='6층_부하량'!B3:B3000),0))</f>
        <v>3.4998799806360137</v>
      </c>
      <c r="F266" s="157"/>
      <c r="G266" s="157"/>
      <c r="H266" s="143" t="s">
        <v>4597</v>
      </c>
      <c r="I266" s="1471" t="s">
        <v>4648</v>
      </c>
      <c r="J266" s="1460" t="s">
        <v>4596</v>
      </c>
      <c r="K266" s="143" t="s">
        <v>4597</v>
      </c>
      <c r="L266" s="157"/>
      <c r="M266" s="2656" cm="1">
        <f t="array" ref="M266">INDEX('6층_부하량'!J3:J3000,MATCH(1,("6-DaHall 1-PDU-03"='6층_부하량'!A3:A3000)*(10='6층_부하량'!B3:B3000),0))</f>
        <v>0</v>
      </c>
      <c r="N266" s="157"/>
      <c r="O266" s="157"/>
      <c r="P266" s="157" t="s">
        <v>565</v>
      </c>
      <c r="Q266" s="143" t="s">
        <v>4723</v>
      </c>
      <c r="R266" s="153" t="s">
        <v>5364</v>
      </c>
    </row>
    <row r="267" spans="1:18" ht="16.5" x14ac:dyDescent="0.15">
      <c r="A267" s="158" t="s">
        <v>5365</v>
      </c>
      <c r="B267" s="143" t="s">
        <v>4635</v>
      </c>
      <c r="C267" s="164" t="s">
        <v>4575</v>
      </c>
      <c r="D267" s="157"/>
      <c r="E267" s="157"/>
      <c r="F267" s="2656" cm="1" t="n">
        <f t="array" ref="F267">INDEX('6층_부하량'!K3:K3000,MATCH(1,("6-DaHall 1-PDU-03"='6층_부하량'!A3:A3000)*(11='6층_부하량'!B3:B3000),0))</f>
        <v>2.8968455462412526</v>
      </c>
      <c r="G267" s="157" t="s">
        <v>5366</v>
      </c>
      <c r="H267" s="143" t="s">
        <v>4597</v>
      </c>
      <c r="I267" s="1471" t="s">
        <v>4653</v>
      </c>
      <c r="J267" s="1460" t="s">
        <v>4599</v>
      </c>
      <c r="K267" s="143" t="s">
        <v>4597</v>
      </c>
      <c r="L267" s="157"/>
      <c r="M267" s="157"/>
      <c r="N267" s="2656" cm="1">
        <f t="array" ref="N267">INDEX('6층_부하량'!K3:K3000,MATCH(1,("6-DaHall 1-PDU-03"='6층_부하량'!A3:A3000)*(12='6층_부하량'!B3:B3000),0))</f>
        <v>0</v>
      </c>
      <c r="O267" s="157"/>
      <c r="P267" s="157" t="s">
        <v>565</v>
      </c>
      <c r="Q267" s="143" t="s">
        <v>4723</v>
      </c>
      <c r="R267" s="153" t="s">
        <v>5367</v>
      </c>
    </row>
    <row r="268" spans="1:18" ht="16.5" x14ac:dyDescent="0.15">
      <c r="A268" s="148" t="s">
        <v>5368</v>
      </c>
      <c r="B268" s="143" t="s">
        <v>4635</v>
      </c>
      <c r="C268" s="164" t="s">
        <v>4575</v>
      </c>
      <c r="D268" s="2656" cm="1" t="n">
        <f t="array" ref="D268">INDEX('6층_부하량'!I3:I3000,MATCH(1,("6-DaHall 1-PDU-03"='6층_부하량'!A3:A3000)*(13='6층_부하량'!B3:B3000),0))</f>
        <v>5.0606469601323285</v>
      </c>
      <c r="E268" s="157"/>
      <c r="F268" s="157"/>
      <c r="G268" s="157"/>
      <c r="H268" s="143" t="s">
        <v>4597</v>
      </c>
      <c r="I268" s="1471" t="s">
        <v>4657</v>
      </c>
      <c r="J268" s="1460" t="s">
        <v>4601</v>
      </c>
      <c r="K268" s="143" t="s">
        <v>4597</v>
      </c>
      <c r="L268" s="2656" cm="1">
        <f t="array" ref="L268">INDEX('6층_부하량'!I3:I3000,MATCH(1,("6-DaHall 1-PDU-03"='6층_부하량'!A3:A3000)*(14='6층_부하량'!B3:B3000),0))</f>
        <v>0</v>
      </c>
      <c r="M268" s="157"/>
      <c r="N268" s="157"/>
      <c r="O268" s="157"/>
      <c r="P268" s="157" t="s">
        <v>565</v>
      </c>
      <c r="Q268" s="143" t="s">
        <v>4723</v>
      </c>
      <c r="R268" s="153" t="s">
        <v>5369</v>
      </c>
    </row>
    <row r="269" spans="1:18" ht="16.5" x14ac:dyDescent="0.15">
      <c r="A269" s="158" t="s">
        <v>5370</v>
      </c>
      <c r="B269" s="143" t="s">
        <v>4635</v>
      </c>
      <c r="C269" s="164" t="s">
        <v>4575</v>
      </c>
      <c r="D269" s="157"/>
      <c r="E269" s="2656" cm="1" t="n">
        <f t="array" ref="E269">INDEX('6층_부하량'!J3:J3000,MATCH(1,("6-DaHall 1-PDU-03"='6층_부하량'!A3:A3000)*(15='6층_부하량'!B3:B3000),0))</f>
        <v>3.905615064809628</v>
      </c>
      <c r="F269" s="157"/>
      <c r="G269" s="157"/>
      <c r="H269" s="143" t="s">
        <v>4597</v>
      </c>
      <c r="I269" s="1471" t="s">
        <v>4661</v>
      </c>
      <c r="J269" s="151" t="s">
        <v>4603</v>
      </c>
      <c r="K269" s="143" t="s">
        <v>4597</v>
      </c>
      <c r="L269" s="157"/>
      <c r="M269" s="2656" cm="1">
        <f t="array" ref="M269">INDEX('6층_부하량'!J3:J3000,MATCH(1,("6-DaHall 1-PDU-03"='6층_부하량'!A3:A3000)*(16='6층_부하량'!B3:B3000),0))</f>
        <v>0</v>
      </c>
      <c r="N269" s="157"/>
      <c r="O269" s="157"/>
      <c r="P269" s="157" t="s">
        <v>4635</v>
      </c>
      <c r="Q269" s="164" t="s">
        <v>4575</v>
      </c>
      <c r="R269" s="342" t="s">
        <v>5371</v>
      </c>
    </row>
    <row r="270" spans="1:18" ht="17.25" thickBot="1" x14ac:dyDescent="0.2">
      <c r="A270" s="148" t="s">
        <v>5372</v>
      </c>
      <c r="B270" s="159" t="s">
        <v>4635</v>
      </c>
      <c r="C270" s="164" t="s">
        <v>4575</v>
      </c>
      <c r="D270" s="177"/>
      <c r="E270" s="177"/>
      <c r="F270" s="2661" cm="1" t="n">
        <f t="array" ref="F270">INDEX('6층_부하량'!K3:K3000,MATCH(1,("6-DaHall 1-PDU-03"='6층_부하량'!A3:A3000)*(17='6층_부하량'!B3:B3000),0))</f>
        <v>1.9962047006365833</v>
      </c>
      <c r="G270" s="160"/>
      <c r="H270" s="159" t="s">
        <v>4597</v>
      </c>
      <c r="I270" s="1478" t="s">
        <v>4665</v>
      </c>
      <c r="J270" s="192" t="s">
        <v>4605</v>
      </c>
      <c r="K270" s="159" t="s">
        <v>4597</v>
      </c>
      <c r="L270" s="177"/>
      <c r="M270" s="177"/>
      <c r="N270" s="2661" cm="1">
        <f t="array" ref="N270">INDEX('6층_부하량'!K3:K3000,MATCH(1,("6-DaHall 1-PDU-03"='6층_부하량'!A3:A3000)*(18='6층_부하량'!B3:B3000),0))</f>
        <v>0</v>
      </c>
      <c r="O270" s="160"/>
      <c r="P270" s="160" t="s">
        <v>4635</v>
      </c>
      <c r="Q270" s="164" t="s">
        <v>4575</v>
      </c>
      <c r="R270" s="342" t="s">
        <v>5373</v>
      </c>
    </row>
    <row r="271" spans="1:18" ht="14.25" thickTop="1" x14ac:dyDescent="0.15">
      <c r="A271" s="141" t="s">
        <v>5374</v>
      </c>
      <c r="B271" s="142" t="s">
        <v>565</v>
      </c>
      <c r="C271" s="142" t="s">
        <v>4723</v>
      </c>
      <c r="D271" s="2658" cm="1">
        <f t="array" ref="D271">INDEX('6층_부하량'!I3:I3000,MATCH(1,("6-DaHall 1-PDU-03"='6층_부하량'!A3:A3000)*(19='6층_부하량'!B3:B3000),0))</f>
        <v>0</v>
      </c>
      <c r="E271" s="179"/>
      <c r="F271" s="179"/>
      <c r="G271" s="163"/>
      <c r="H271" s="142" t="s">
        <v>4597</v>
      </c>
      <c r="I271" s="1479" t="s">
        <v>4670</v>
      </c>
      <c r="J271" s="1481" t="s">
        <v>4609</v>
      </c>
      <c r="K271" s="142" t="s">
        <v>4597</v>
      </c>
      <c r="L271" s="2658" cm="1">
        <f t="array" ref="L271">INDEX('6층_부하량'!I3:I3000,MATCH(1,("6-DaHall 1-PDU-03"='6층_부하량'!A3:A3000)*(20='6층_부하량'!B3:B3000),0))</f>
        <v>0</v>
      </c>
      <c r="M271" s="179"/>
      <c r="N271" s="179"/>
      <c r="O271" s="163"/>
      <c r="P271" s="163" t="s">
        <v>4635</v>
      </c>
      <c r="Q271" s="142" t="s">
        <v>4723</v>
      </c>
      <c r="R271" s="147" t="s">
        <v>3170</v>
      </c>
    </row>
    <row r="272" spans="1:18" ht="16.5" x14ac:dyDescent="0.15">
      <c r="A272" s="174" t="s">
        <v>5375</v>
      </c>
      <c r="B272" s="156" t="s">
        <v>565</v>
      </c>
      <c r="C272" s="143" t="s">
        <v>4723</v>
      </c>
      <c r="D272" s="157"/>
      <c r="E272" s="2656" cm="1">
        <f t="array" ref="E272">INDEX('6층_부하량'!J3:J3000,MATCH(1,("6-DaHall 1-PDU-03"='6층_부하량'!A3:A3000)*(21='6층_부하량'!B3:B3000),0))</f>
        <v>0</v>
      </c>
      <c r="F272" s="157"/>
      <c r="G272" s="179"/>
      <c r="H272" s="156" t="s">
        <v>4597</v>
      </c>
      <c r="I272" s="1470" t="s">
        <v>4674</v>
      </c>
      <c r="J272" s="181" t="s">
        <v>4613</v>
      </c>
      <c r="K272" s="156" t="s">
        <v>4597</v>
      </c>
      <c r="L272" s="157"/>
      <c r="M272" s="2656" cm="1">
        <f t="array" ref="M272">INDEX('6층_부하량'!J3:J3000,MATCH(1,("6-DaHall 1-PDU-03"='6층_부하량'!A3:A3000)*(22='6층_부하량'!B3:B3000),0))</f>
        <v>0</v>
      </c>
      <c r="N272" s="157"/>
      <c r="O272" s="179"/>
      <c r="P272" s="179" t="s">
        <v>4635</v>
      </c>
      <c r="Q272" s="164" t="s">
        <v>4575</v>
      </c>
      <c r="R272" s="256" t="s">
        <v>5376</v>
      </c>
    </row>
    <row r="273" spans="1:18" ht="16.5" x14ac:dyDescent="0.15">
      <c r="A273" s="148" t="s">
        <v>5377</v>
      </c>
      <c r="B273" s="143" t="s">
        <v>565</v>
      </c>
      <c r="C273" s="143" t="s">
        <v>4723</v>
      </c>
      <c r="D273" s="157"/>
      <c r="E273" s="157"/>
      <c r="F273" s="2656" cm="1">
        <f t="array" ref="F273">INDEX('6층_부하량'!K3:K3000,MATCH(1,("6-DaHall 1-PDU-03"='6층_부하량'!A3:A3000)*(23='6층_부하량'!B3:B3000),0))</f>
        <v>0</v>
      </c>
      <c r="G273" s="157"/>
      <c r="H273" s="143" t="s">
        <v>4597</v>
      </c>
      <c r="I273" s="1471" t="s">
        <v>4678</v>
      </c>
      <c r="J273" s="151" t="s">
        <v>4680</v>
      </c>
      <c r="K273" s="143" t="s">
        <v>4597</v>
      </c>
      <c r="L273" s="157"/>
      <c r="M273" s="157"/>
      <c r="N273" s="2656" cm="1">
        <f t="array" ref="N273">INDEX('6층_부하량'!K3:K3000,MATCH(1,("6-DaHall 1-PDU-03"='6층_부하량'!A3:A3000)*(24='6층_부하량'!B3:B3000),0))</f>
        <v>0</v>
      </c>
      <c r="O273" s="157"/>
      <c r="P273" s="157" t="s">
        <v>4635</v>
      </c>
      <c r="Q273" s="164" t="s">
        <v>4575</v>
      </c>
      <c r="R273" s="342" t="s">
        <v>5378</v>
      </c>
    </row>
    <row r="274" spans="1:18" ht="16.5" x14ac:dyDescent="0.15">
      <c r="A274" s="174" t="s">
        <v>3097</v>
      </c>
      <c r="B274" s="143" t="s">
        <v>565</v>
      </c>
      <c r="C274" s="143" t="s">
        <v>4723</v>
      </c>
      <c r="D274" s="2656" cm="1">
        <f t="array" ref="D274">INDEX('6층_부하량'!I3:I3000,MATCH(1,("6-DaHall 1-PDU-03"='6층_부하량'!A3:A3000)*(25='6층_부하량'!B3:B3000),0))</f>
        <v>0</v>
      </c>
      <c r="E274" s="157"/>
      <c r="F274" s="157"/>
      <c r="G274" s="157"/>
      <c r="H274" s="143" t="s">
        <v>4597</v>
      </c>
      <c r="I274" s="1471" t="s">
        <v>4683</v>
      </c>
      <c r="J274" s="151" t="s">
        <v>4685</v>
      </c>
      <c r="K274" s="143" t="s">
        <v>4597</v>
      </c>
      <c r="L274" s="2656" cm="1">
        <f t="array" ref="L274">INDEX('6층_부하량'!I3:I3000,MATCH(1,("6-DaHall 1-PDU-03"='6층_부하량'!A3:A3000)*(26='6층_부하량'!B3:B3000),0))</f>
        <v>0</v>
      </c>
      <c r="M274" s="157"/>
      <c r="N274" s="157"/>
      <c r="O274" s="157"/>
      <c r="P274" s="157" t="s">
        <v>4635</v>
      </c>
      <c r="Q274" s="164" t="s">
        <v>4575</v>
      </c>
      <c r="R274" s="342" t="s">
        <v>5379</v>
      </c>
    </row>
    <row r="275" spans="1:18" ht="16.5" x14ac:dyDescent="0.15">
      <c r="A275" s="148" t="s">
        <v>3104</v>
      </c>
      <c r="B275" s="143" t="s">
        <v>565</v>
      </c>
      <c r="C275" s="143" t="s">
        <v>4723</v>
      </c>
      <c r="D275" s="157"/>
      <c r="E275" s="2656" cm="1">
        <f t="array" ref="E275">INDEX('6층_부하량'!J3:J3000,MATCH(1,("6-DaHall 1-PDU-03"='6층_부하량'!A3:A3000)*(27='6층_부하량'!B3:B3000),0))</f>
        <v>0</v>
      </c>
      <c r="F275" s="157"/>
      <c r="G275" s="157"/>
      <c r="H275" s="143" t="s">
        <v>4597</v>
      </c>
      <c r="I275" s="1471" t="s">
        <v>4688</v>
      </c>
      <c r="J275" s="151" t="s">
        <v>4689</v>
      </c>
      <c r="K275" s="143" t="s">
        <v>4597</v>
      </c>
      <c r="L275" s="157"/>
      <c r="M275" s="2656" cm="1">
        <f t="array" ref="M275">INDEX('6층_부하량'!J3:J3000,MATCH(1,("6-DaHall 1-PDU-03"='6층_부하량'!A3:A3000)*(28='6층_부하량'!B3:B3000),0))</f>
        <v>0</v>
      </c>
      <c r="N275" s="157"/>
      <c r="O275" s="157"/>
      <c r="P275" s="157" t="s">
        <v>4635</v>
      </c>
      <c r="Q275" s="164" t="s">
        <v>4575</v>
      </c>
      <c r="R275" s="342" t="s">
        <v>5380</v>
      </c>
    </row>
    <row r="276" spans="1:18" ht="16.5" x14ac:dyDescent="0.15">
      <c r="A276" s="174" t="s">
        <v>3110</v>
      </c>
      <c r="B276" s="143" t="s">
        <v>565</v>
      </c>
      <c r="C276" s="143" t="s">
        <v>4723</v>
      </c>
      <c r="D276" s="157"/>
      <c r="E276" s="157"/>
      <c r="F276" s="2656" cm="1">
        <f t="array" ref="F276">INDEX('6층_부하량'!K3:K3000,MATCH(1,("6-DaHall 1-PDU-03"='6층_부하량'!A3:A3000)*(29='6층_부하량'!B3:B3000),0))</f>
        <v>0</v>
      </c>
      <c r="G276" s="157"/>
      <c r="H276" s="143" t="s">
        <v>4597</v>
      </c>
      <c r="I276" s="1471" t="s">
        <v>4691</v>
      </c>
      <c r="J276" s="151" t="s">
        <v>4692</v>
      </c>
      <c r="K276" s="143" t="s">
        <v>4597</v>
      </c>
      <c r="L276" s="157"/>
      <c r="M276" s="157"/>
      <c r="N276" s="2656" cm="1">
        <f t="array" ref="N276">INDEX('6층_부하량'!K3:K3000,MATCH(1,("6-DaHall 1-PDU-03"='6층_부하량'!A3:A3000)*(30='6층_부하량'!B3:B3000),0))</f>
        <v>0</v>
      </c>
      <c r="O276" s="157"/>
      <c r="P276" s="157" t="s">
        <v>4635</v>
      </c>
      <c r="Q276" s="164" t="s">
        <v>4575</v>
      </c>
      <c r="R276" s="342" t="s">
        <v>5381</v>
      </c>
    </row>
    <row r="277" spans="1:18" ht="16.5" x14ac:dyDescent="0.15">
      <c r="A277" s="148" t="s">
        <v>3117</v>
      </c>
      <c r="B277" s="143" t="s">
        <v>565</v>
      </c>
      <c r="C277" s="143" t="s">
        <v>4723</v>
      </c>
      <c r="D277" s="2656" cm="1">
        <f t="array" ref="D277">INDEX('6층_부하량'!I3:I3000,MATCH(1,("6-DaHall 1-PDU-03"='6층_부하량'!A3:A3000)*(31='6층_부하량'!B3:B3000),0))</f>
        <v>0</v>
      </c>
      <c r="E277" s="157"/>
      <c r="F277" s="157"/>
      <c r="G277" s="157"/>
      <c r="H277" s="143" t="s">
        <v>4597</v>
      </c>
      <c r="I277" s="1471" t="s">
        <v>4693</v>
      </c>
      <c r="J277" s="151" t="s">
        <v>4694</v>
      </c>
      <c r="K277" s="143" t="s">
        <v>4597</v>
      </c>
      <c r="L277" s="2656" cm="1">
        <f t="array" ref="L277">INDEX('6층_부하량'!I3:I3000,MATCH(1,("6-DaHall 1-PDU-03"='6층_부하량'!A3:A3000)*(32='6층_부하량'!B3:B3000),0))</f>
        <v>0</v>
      </c>
      <c r="M277" s="157"/>
      <c r="N277" s="157"/>
      <c r="O277" s="157"/>
      <c r="P277" s="157" t="s">
        <v>4635</v>
      </c>
      <c r="Q277" s="164" t="s">
        <v>4575</v>
      </c>
      <c r="R277" s="342" t="s">
        <v>5382</v>
      </c>
    </row>
    <row r="278" spans="1:18" ht="16.5" x14ac:dyDescent="0.15">
      <c r="A278" s="632" t="s">
        <v>5383</v>
      </c>
      <c r="B278" s="143" t="s">
        <v>4635</v>
      </c>
      <c r="C278" s="164" t="s">
        <v>4575</v>
      </c>
      <c r="D278" s="157"/>
      <c r="E278" s="2656" cm="1">
        <f t="array" ref="E278">INDEX('6층_부하량'!J3:J3000,MATCH(1,("6-DaHall 1-PDU-03"='6층_부하량'!A3:A3000)*(33='6층_부하량'!B3:B3000),0))</f>
        <v>0</v>
      </c>
      <c r="F278" s="157"/>
      <c r="G278" s="157"/>
      <c r="H278" s="143" t="s">
        <v>4597</v>
      </c>
      <c r="I278" s="150" t="s">
        <v>4697</v>
      </c>
      <c r="J278" s="151" t="s">
        <v>4698</v>
      </c>
      <c r="K278" s="143" t="s">
        <v>4597</v>
      </c>
      <c r="L278" s="157"/>
      <c r="M278" s="2656" cm="1">
        <f t="array" ref="M278">INDEX('6층_부하량'!J3:J3000,MATCH(1,("6-DaHall 1-PDU-03"='6층_부하량'!A3:A3000)*(34='6층_부하량'!B3:B3000),0))</f>
        <v>0</v>
      </c>
      <c r="N278" s="157"/>
      <c r="O278" s="157"/>
      <c r="P278" s="157" t="s">
        <v>4635</v>
      </c>
      <c r="Q278" s="164" t="s">
        <v>4575</v>
      </c>
      <c r="R278" s="342" t="s">
        <v>5384</v>
      </c>
    </row>
    <row r="279" spans="1:18" ht="16.5" x14ac:dyDescent="0.15">
      <c r="A279" s="607" t="s">
        <v>5385</v>
      </c>
      <c r="B279" s="143" t="s">
        <v>4635</v>
      </c>
      <c r="C279" s="164" t="s">
        <v>4575</v>
      </c>
      <c r="D279" s="157"/>
      <c r="E279" s="157"/>
      <c r="F279" s="2656" cm="1">
        <f t="array" ref="F279">INDEX('6층_부하량'!K3:K3000,MATCH(1,("6-DaHall 1-PDU-03"='6층_부하량'!A3:A3000)*(35='6층_부하량'!B3:B3000),0))</f>
        <v>0</v>
      </c>
      <c r="G279" s="157"/>
      <c r="H279" s="143" t="s">
        <v>4597</v>
      </c>
      <c r="I279" s="150" t="s">
        <v>4701</v>
      </c>
      <c r="J279" s="151" t="s">
        <v>4703</v>
      </c>
      <c r="K279" s="143" t="s">
        <v>4597</v>
      </c>
      <c r="L279" s="157"/>
      <c r="M279" s="157"/>
      <c r="N279" s="2656" cm="1">
        <f t="array" ref="N279">INDEX('6층_부하량'!K3:K3000,MATCH(1,("6-DaHall 1-PDU-03"='6층_부하량'!A3:A3000)*(36='6층_부하량'!B3:B3000),0))</f>
        <v>0</v>
      </c>
      <c r="O279" s="157"/>
      <c r="P279" s="157" t="s">
        <v>4635</v>
      </c>
      <c r="Q279" s="143" t="s">
        <v>4723</v>
      </c>
      <c r="R279" s="342" t="s">
        <v>5386</v>
      </c>
    </row>
    <row r="280" spans="1:18" ht="16.5" x14ac:dyDescent="0.15">
      <c r="A280" s="148" t="s">
        <v>5387</v>
      </c>
      <c r="B280" s="143" t="s">
        <v>4635</v>
      </c>
      <c r="C280" s="143" t="s">
        <v>4723</v>
      </c>
      <c r="D280" s="2656" cm="1">
        <f t="array" ref="D280">INDEX('6층_부하량'!I3:I3000,MATCH(1,("6-DaHall 1-PDU-03"='6층_부하량'!A3:A3000)*(37='6층_부하량'!B3:B3000),0))</f>
        <v>0</v>
      </c>
      <c r="E280" s="157"/>
      <c r="F280" s="157"/>
      <c r="G280" s="157"/>
      <c r="H280" s="143" t="s">
        <v>4597</v>
      </c>
      <c r="I280" s="1471" t="s">
        <v>4706</v>
      </c>
      <c r="J280" s="155" t="s">
        <v>4707</v>
      </c>
      <c r="K280" s="143" t="s">
        <v>4597</v>
      </c>
      <c r="L280" s="2656" cm="1">
        <f t="array" ref="L280">INDEX('6층_부하량'!I3:I3000,MATCH(1,("6-DaHall 1-PDU-03"='6층_부하량'!A3:A3000)*(38='6층_부하량'!B3:B3000),0))</f>
        <v>0</v>
      </c>
      <c r="M280" s="157"/>
      <c r="N280" s="157"/>
      <c r="O280" s="157"/>
      <c r="P280" s="157" t="s">
        <v>4635</v>
      </c>
      <c r="Q280" s="164" t="s">
        <v>4575</v>
      </c>
      <c r="R280" s="641" t="s">
        <v>5388</v>
      </c>
    </row>
    <row r="281" spans="1:18" ht="16.5" x14ac:dyDescent="0.15">
      <c r="A281" s="148" t="s">
        <v>5389</v>
      </c>
      <c r="B281" s="143" t="s">
        <v>4635</v>
      </c>
      <c r="C281" s="143" t="s">
        <v>4723</v>
      </c>
      <c r="D281" s="157"/>
      <c r="E281" s="2656" cm="1">
        <f t="array" ref="E281">INDEX('6층_부하량'!J3:J3000,MATCH(1,("6-DaHall 1-PDU-03"='6층_부하량'!A3:A3000)*(39='6층_부하량'!B3:B3000),0))</f>
        <v>0</v>
      </c>
      <c r="F281" s="157"/>
      <c r="G281" s="157"/>
      <c r="H281" s="143" t="s">
        <v>4597</v>
      </c>
      <c r="I281" s="1471" t="s">
        <v>4710</v>
      </c>
      <c r="J281" s="151" t="s">
        <v>4711</v>
      </c>
      <c r="K281" s="143" t="s">
        <v>4597</v>
      </c>
      <c r="L281" s="157"/>
      <c r="M281" s="2656" cm="1">
        <f t="array" ref="M281">INDEX('6층_부하량'!J3:J3000,MATCH(1,("6-DaHall 1-PDU-03"='6층_부하량'!A3:A3000)*(40='6층_부하량'!B3:B3000),0))</f>
        <v>0</v>
      </c>
      <c r="N281" s="157"/>
      <c r="O281" s="157"/>
      <c r="P281" s="157" t="s">
        <v>4635</v>
      </c>
      <c r="Q281" s="164" t="s">
        <v>4575</v>
      </c>
      <c r="R281" s="342" t="s">
        <v>5390</v>
      </c>
    </row>
    <row r="282" spans="1:18" ht="16.5" x14ac:dyDescent="0.15">
      <c r="A282" s="148" t="s">
        <v>5391</v>
      </c>
      <c r="B282" s="143" t="s">
        <v>4635</v>
      </c>
      <c r="C282" s="143" t="s">
        <v>4723</v>
      </c>
      <c r="D282" s="157"/>
      <c r="E282" s="157"/>
      <c r="F282" s="2656" cm="1">
        <f t="array" ref="F282">INDEX('6층_부하량'!K3:K3000,MATCH(1,("6-DaHall 1-PDU-03"='6층_부하량'!A3:A3000)*(41='6층_부하량'!B3:B3000),0))</f>
        <v>0</v>
      </c>
      <c r="G282" s="157"/>
      <c r="H282" s="143" t="s">
        <v>4597</v>
      </c>
      <c r="I282" s="1471" t="s">
        <v>5055</v>
      </c>
      <c r="J282" s="151" t="s">
        <v>4843</v>
      </c>
      <c r="K282" s="143" t="s">
        <v>4597</v>
      </c>
      <c r="L282" s="157"/>
      <c r="M282" s="157"/>
      <c r="N282" s="2656" cm="1">
        <f t="array" ref="N282">INDEX('6층_부하량'!K3:K3000,MATCH(1,("6-DaHall 1-PDU-03"='6층_부하량'!A3:A3000)*(42='6층_부하량'!B3:B3000),0))</f>
        <v>0</v>
      </c>
      <c r="O282" s="157"/>
      <c r="P282" s="157" t="s">
        <v>4635</v>
      </c>
      <c r="Q282" s="164" t="s">
        <v>4575</v>
      </c>
      <c r="R282" s="475" t="s">
        <v>5392</v>
      </c>
    </row>
    <row r="283" spans="1:18" ht="16.5" x14ac:dyDescent="0.15">
      <c r="A283" s="148" t="s">
        <v>3145</v>
      </c>
      <c r="B283" s="143" t="s">
        <v>4635</v>
      </c>
      <c r="C283" s="143" t="s">
        <v>4723</v>
      </c>
      <c r="D283" s="2656" cm="1">
        <f t="array" ref="D283">INDEX('6층_부하량'!I3:I3000,MATCH(1,("6-DaHall 1-PDU-03"='6층_부하량'!A3:A3000)*(43='6층_부하량'!B3:B3000),0))</f>
        <v>0</v>
      </c>
      <c r="E283" s="157"/>
      <c r="F283" s="157"/>
      <c r="G283" s="157"/>
      <c r="H283" s="143" t="s">
        <v>4597</v>
      </c>
      <c r="I283" s="1471" t="s">
        <v>4845</v>
      </c>
      <c r="J283" s="151" t="s">
        <v>4846</v>
      </c>
      <c r="K283" s="143" t="s">
        <v>4597</v>
      </c>
      <c r="L283" s="2656" cm="1">
        <f t="array" ref="L283">INDEX('6층_부하량'!I3:I3000,MATCH(1,("6-DaHall 1-PDU-03"='6층_부하량'!A3:A3000)*(44='6층_부하량'!B3:B3000),0))</f>
        <v>0</v>
      </c>
      <c r="M283" s="157"/>
      <c r="N283" s="157"/>
      <c r="O283" s="157"/>
      <c r="P283" s="157" t="s">
        <v>4635</v>
      </c>
      <c r="Q283" s="164" t="s">
        <v>4575</v>
      </c>
      <c r="R283" s="342" t="s">
        <v>5393</v>
      </c>
    </row>
    <row r="284" spans="1:18" ht="16.5" x14ac:dyDescent="0.15">
      <c r="A284" s="148" t="s">
        <v>3151</v>
      </c>
      <c r="B284" s="143" t="s">
        <v>4635</v>
      </c>
      <c r="C284" s="143" t="s">
        <v>4723</v>
      </c>
      <c r="D284" s="157"/>
      <c r="E284" s="2656" cm="1">
        <f t="array" ref="E284">INDEX('6층_부하량'!J3:J3000,MATCH(1,("6-DaHall 1-PDU-03"='6층_부하량'!A3:A3000)*(45='6층_부하량'!B3:B3000),0))</f>
        <v>0</v>
      </c>
      <c r="F284" s="157"/>
      <c r="G284" s="157"/>
      <c r="H284" s="143" t="s">
        <v>4597</v>
      </c>
      <c r="I284" s="1471" t="s">
        <v>4847</v>
      </c>
      <c r="J284" s="151" t="s">
        <v>4848</v>
      </c>
      <c r="K284" s="143" t="s">
        <v>4597</v>
      </c>
      <c r="L284" s="157"/>
      <c r="M284" s="2656" cm="1">
        <f t="array" ref="M284">INDEX('6층_부하량'!J3:J3000,MATCH(1,("6-DaHall 1-PDU-03"='6층_부하량'!A3:A3000)*(46='6층_부하량'!B3:B3000),0))</f>
        <v>0</v>
      </c>
      <c r="N284" s="157"/>
      <c r="O284" s="157"/>
      <c r="P284" s="157" t="s">
        <v>4635</v>
      </c>
      <c r="Q284" s="164" t="s">
        <v>4575</v>
      </c>
      <c r="R284" s="475" t="s">
        <v>5394</v>
      </c>
    </row>
    <row r="285" spans="1:18" ht="16.5" x14ac:dyDescent="0.15">
      <c r="A285" s="148" t="s">
        <v>3157</v>
      </c>
      <c r="B285" s="143" t="s">
        <v>4635</v>
      </c>
      <c r="C285" s="143" t="s">
        <v>4723</v>
      </c>
      <c r="D285" s="157"/>
      <c r="E285" s="157"/>
      <c r="F285" s="2656" cm="1">
        <f t="array" ref="F285">INDEX('6층_부하량'!K3:K3000,MATCH(1,("6-DaHall 1-PDU-03"='6층_부하량'!A3:A3000)*(47='6층_부하량'!B3:B3000),0))</f>
        <v>0</v>
      </c>
      <c r="G285" s="157"/>
      <c r="H285" s="143" t="s">
        <v>4597</v>
      </c>
      <c r="I285" s="1471" t="s">
        <v>4849</v>
      </c>
      <c r="J285" s="151" t="s">
        <v>4850</v>
      </c>
      <c r="K285" s="143" t="s">
        <v>4597</v>
      </c>
      <c r="L285" s="157"/>
      <c r="M285" s="157"/>
      <c r="N285" s="2656" cm="1">
        <f t="array" ref="N285">INDEX('6층_부하량'!K3:K3000,MATCH(1,("6-DaHall 1-PDU-03"='6층_부하량'!A3:A3000)*(48='6층_부하량'!B3:B3000),0))</f>
        <v>0</v>
      </c>
      <c r="O285" s="157"/>
      <c r="P285" s="157" t="s">
        <v>4635</v>
      </c>
      <c r="Q285" s="164" t="s">
        <v>4575</v>
      </c>
      <c r="R285" s="342" t="s">
        <v>5395</v>
      </c>
    </row>
    <row r="286" spans="1:18" ht="17.25" thickBot="1" x14ac:dyDescent="0.2">
      <c r="A286" s="165" t="s">
        <v>5396</v>
      </c>
      <c r="B286" s="166" t="s">
        <v>4635</v>
      </c>
      <c r="C286" s="184" t="s">
        <v>4575</v>
      </c>
      <c r="D286" s="2659" cm="1">
        <f t="array" ref="D286">INDEX('6층_부하량'!I3:I3000,MATCH(1,("6-DaHall 1-PDU-03"='6층_부하량'!A3:A3000)*(49='6층_부하량'!B3:B3000),0))</f>
        <v>0</v>
      </c>
      <c r="E286" s="167"/>
      <c r="F286" s="167"/>
      <c r="G286" s="167"/>
      <c r="H286" s="166" t="s">
        <v>4597</v>
      </c>
      <c r="I286" s="1480" t="s">
        <v>4851</v>
      </c>
      <c r="J286" s="1482" t="s">
        <v>4852</v>
      </c>
      <c r="K286" s="166" t="s">
        <v>4597</v>
      </c>
      <c r="L286" s="2659" cm="1">
        <f t="array" ref="L286">INDEX('6층_부하량'!I3:I3000,MATCH(1,("6-DaHall 1-PDU-03"='6층_부하량'!A3:A3000)*(50='6층_부하량'!B3:B3000),0))</f>
        <v>0</v>
      </c>
      <c r="M286" s="167"/>
      <c r="N286" s="167"/>
      <c r="O286" s="167"/>
      <c r="P286" s="167" t="s">
        <v>565</v>
      </c>
      <c r="Q286" s="166" t="s">
        <v>4723</v>
      </c>
      <c r="R286" s="170"/>
    </row>
    <row r="287" spans="1:18" ht="14.25" thickTop="1" x14ac:dyDescent="0.15">
      <c r="A287" s="128"/>
      <c r="B287" s="128"/>
      <c r="C287" s="128"/>
      <c r="D287" s="128"/>
      <c r="E287" s="128"/>
      <c r="F287" s="128"/>
      <c r="G287" s="128"/>
      <c r="H287" s="128"/>
      <c r="I287" s="128"/>
      <c r="J287" s="128"/>
      <c r="K287" s="128" t="s">
        <v>4713</v>
      </c>
      <c r="L287" s="128" t="n">
        <f>SUM(D262:D286,L262:L286)</f>
        <v>21.65517447993191</v>
      </c>
      <c r="M287" s="128" t="n">
        <f>SUM(E262:E286,M262:M286)</f>
        <v>14.319475288332562</v>
      </c>
      <c r="N287" s="128" t="n">
        <f>SUM(F262:F286,N262:N286)</f>
        <v>8.738423446115357</v>
      </c>
      <c r="O287" s="128"/>
      <c r="P287" s="128"/>
      <c r="Q287" s="128"/>
      <c r="R287" s="128"/>
    </row>
    <row r="288" spans="1:18" ht="14.25" thickBot="1" x14ac:dyDescent="0.2">
      <c r="A288" s="128"/>
      <c r="B288" s="128"/>
      <c r="C288" s="128"/>
      <c r="D288" s="128"/>
      <c r="E288" s="128"/>
      <c r="F288" s="128"/>
      <c r="G288" s="128"/>
      <c r="H288" s="128"/>
      <c r="I288" s="128"/>
      <c r="J288" s="128"/>
      <c r="K288" s="128"/>
      <c r="L288" s="128"/>
      <c r="M288" s="128"/>
      <c r="N288" s="128"/>
      <c r="O288" s="128"/>
      <c r="P288" s="128"/>
      <c r="Q288" s="128"/>
      <c r="R288" s="128"/>
    </row>
    <row r="289" spans="1:18" ht="15" thickTop="1" thickBot="1" x14ac:dyDescent="0.2">
      <c r="A289" s="173" t="s">
        <v>7006</v>
      </c>
      <c r="B289" s="128"/>
      <c r="C289" s="3660" t="s">
        <v>5397</v>
      </c>
      <c r="D289" s="3660"/>
      <c r="E289" s="3660"/>
      <c r="F289" s="173"/>
      <c r="G289" s="173"/>
      <c r="H289" s="133"/>
      <c r="I289" s="3665" t="s">
        <v>5063</v>
      </c>
      <c r="J289" s="3666"/>
      <c r="K289" s="133"/>
      <c r="L289" s="173"/>
      <c r="M289" s="173"/>
      <c r="N289" s="173"/>
      <c r="O289" s="173"/>
      <c r="P289" s="173"/>
      <c r="Q289" s="173"/>
      <c r="R289" s="128"/>
    </row>
    <row r="290" spans="1:18" ht="15" thickTop="1" thickBot="1" x14ac:dyDescent="0.2">
      <c r="A290" s="127"/>
      <c r="B290" s="128"/>
      <c r="C290" s="128"/>
      <c r="D290" s="129"/>
      <c r="E290" s="129"/>
      <c r="F290" s="130"/>
      <c r="G290" s="129"/>
      <c r="H290" s="131"/>
      <c r="I290" s="128"/>
      <c r="J290" s="132"/>
      <c r="K290" s="1371" t="s">
        <v>4562</v>
      </c>
      <c r="L290" s="1368">
        <v>18.600000000000001</v>
      </c>
      <c r="M290" s="1369">
        <v>29.1</v>
      </c>
      <c r="N290" s="1370">
        <v>14.2</v>
      </c>
      <c r="O290" s="508" t="s">
        <v>4563</v>
      </c>
      <c r="P290" s="133"/>
      <c r="Q290" s="128"/>
      <c r="R290" s="528"/>
    </row>
    <row r="291" spans="1:18" ht="15" thickTop="1" thickBot="1" x14ac:dyDescent="0.2">
      <c r="A291" s="134" t="s">
        <v>4564</v>
      </c>
      <c r="B291" s="135" t="s">
        <v>5031</v>
      </c>
      <c r="C291" s="136" t="s">
        <v>4566</v>
      </c>
      <c r="D291" s="135" t="s">
        <v>5032</v>
      </c>
      <c r="E291" s="135" t="s">
        <v>5033</v>
      </c>
      <c r="F291" s="135" t="s">
        <v>5034</v>
      </c>
      <c r="G291" s="135" t="s">
        <v>5035</v>
      </c>
      <c r="H291" s="135" t="s">
        <v>5036</v>
      </c>
      <c r="I291" s="138" t="s">
        <v>5037</v>
      </c>
      <c r="J291" s="139" t="s">
        <v>5037</v>
      </c>
      <c r="K291" s="135" t="s">
        <v>5036</v>
      </c>
      <c r="L291" s="135" t="s">
        <v>5032</v>
      </c>
      <c r="M291" s="135" t="s">
        <v>5033</v>
      </c>
      <c r="N291" s="135" t="s">
        <v>5034</v>
      </c>
      <c r="O291" s="135" t="s">
        <v>5035</v>
      </c>
      <c r="P291" s="135" t="s">
        <v>5031</v>
      </c>
      <c r="Q291" s="136" t="s">
        <v>4566</v>
      </c>
      <c r="R291" s="140" t="s">
        <v>4564</v>
      </c>
    </row>
    <row r="292" spans="1:18" ht="17.25" thickTop="1" x14ac:dyDescent="0.15">
      <c r="A292" s="141" t="s">
        <v>5398</v>
      </c>
      <c r="B292" s="142" t="s">
        <v>4635</v>
      </c>
      <c r="C292" s="164" t="s">
        <v>4575</v>
      </c>
      <c r="D292" s="2654" cm="1" t="n">
        <f t="array" ref="D292">INDEX('6층_부하량'!I3:I3000,MATCH(1,("6-DaHall 1-PDU-04"='6층_부하량'!A3:A3000)*(1='6층_부하량'!B3:B3000),0))</f>
        <v>3.4110275072707483</v>
      </c>
      <c r="E292" s="144"/>
      <c r="F292" s="144"/>
      <c r="G292" s="144"/>
      <c r="H292" s="142" t="s">
        <v>4597</v>
      </c>
      <c r="I292" s="1469" t="s">
        <v>4633</v>
      </c>
      <c r="J292" s="1476" t="s">
        <v>4578</v>
      </c>
      <c r="K292" s="142" t="s">
        <v>4597</v>
      </c>
      <c r="L292" s="2654" cm="1" t="n">
        <f t="array" ref="L292">INDEX('6층_부하량'!I3:I3000,MATCH(1,("6-DaHall 1-PDU-04"='6층_부하량'!A3:A3000)*(2='6층_부하량'!B3:B3000),0))</f>
        <v>4.551708126024627</v>
      </c>
      <c r="M292" s="144"/>
      <c r="N292" s="144"/>
      <c r="O292" s="144"/>
      <c r="P292" s="144" t="s">
        <v>565</v>
      </c>
      <c r="Q292" s="142" t="s">
        <v>4723</v>
      </c>
      <c r="R292" s="147" t="s">
        <v>5399</v>
      </c>
    </row>
    <row r="293" spans="1:18" ht="16.5" x14ac:dyDescent="0.15">
      <c r="A293" s="158" t="s">
        <v>5400</v>
      </c>
      <c r="B293" s="143" t="s">
        <v>4635</v>
      </c>
      <c r="C293" s="164" t="s">
        <v>4575</v>
      </c>
      <c r="D293" s="149"/>
      <c r="E293" s="2655" cm="1" t="n">
        <f t="array" ref="E293">INDEX('6층_부하량'!J3:J3000,MATCH(1,("6-DaHall 1-PDU-04"='6층_부하량'!A3:A3000)*(3='6층_부하량'!B3:B3000),0))</f>
        <v>3.681532228062914</v>
      </c>
      <c r="F293" s="149"/>
      <c r="G293" s="149"/>
      <c r="H293" s="143" t="s">
        <v>4597</v>
      </c>
      <c r="I293" s="1465" t="s">
        <v>4638</v>
      </c>
      <c r="J293" s="1463" t="s">
        <v>4583</v>
      </c>
      <c r="K293" s="143" t="s">
        <v>4597</v>
      </c>
      <c r="L293" s="149"/>
      <c r="M293" s="2655" cm="1" t="n">
        <f t="array" ref="M293">INDEX('6층_부하량'!J3:J3000,MATCH(1,("6-DaHall 1-PDU-04"='6층_부하량'!A3:A3000)*(4='6층_부하량'!B3:B3000),0))</f>
        <v>3.707268990197321</v>
      </c>
      <c r="N293" s="149"/>
      <c r="O293" s="149"/>
      <c r="P293" s="149" t="s">
        <v>565</v>
      </c>
      <c r="Q293" s="143" t="s">
        <v>4723</v>
      </c>
      <c r="R293" s="153" t="s">
        <v>5401</v>
      </c>
    </row>
    <row r="294" spans="1:18" ht="16.5" x14ac:dyDescent="0.15">
      <c r="A294" s="148" t="s">
        <v>5402</v>
      </c>
      <c r="B294" s="143" t="s">
        <v>4635</v>
      </c>
      <c r="C294" s="164" t="s">
        <v>4575</v>
      </c>
      <c r="D294" s="157"/>
      <c r="E294" s="157"/>
      <c r="F294" s="2656" cm="1" t="n">
        <f t="array" ref="F294">INDEX('6층_부하량'!K3:K3000,MATCH(1,("6-DaHall 1-PDU-04"='6층_부하량'!A3:A3000)*(5='6층_부하량'!B3:B3000),0))</f>
        <v>1.3534738941436142</v>
      </c>
      <c r="G294" s="157"/>
      <c r="H294" s="143" t="s">
        <v>4597</v>
      </c>
      <c r="I294" s="1471" t="s">
        <v>4641</v>
      </c>
      <c r="J294" s="1460" t="s">
        <v>4588</v>
      </c>
      <c r="K294" s="143" t="s">
        <v>4597</v>
      </c>
      <c r="L294" s="157"/>
      <c r="M294" s="157"/>
      <c r="N294" s="2656" cm="1" t="n">
        <f t="array" ref="N294">INDEX('6층_부하량'!K3:K3000,MATCH(1,("6-DaHall 1-PDU-04"='6층_부하량'!A3:A3000)*(6='6층_부하량'!B3:B3000),0))</f>
        <v>4.330521184728203</v>
      </c>
      <c r="O294" s="157"/>
      <c r="P294" s="157" t="s">
        <v>565</v>
      </c>
      <c r="Q294" s="143" t="s">
        <v>4723</v>
      </c>
      <c r="R294" s="153" t="s">
        <v>5403</v>
      </c>
    </row>
    <row r="295" spans="1:18" ht="16.5" x14ac:dyDescent="0.15">
      <c r="A295" s="158" t="s">
        <v>5404</v>
      </c>
      <c r="B295" s="143" t="s">
        <v>4635</v>
      </c>
      <c r="C295" s="164" t="s">
        <v>4575</v>
      </c>
      <c r="D295" s="2656" cm="1" t="n">
        <f t="array" ref="D295">INDEX('6층_부하량'!I3:I3000,MATCH(1,("6-DaHall 1-PDU-04"='6층_부하량'!A3:A3000)*(7='6층_부하량'!B3:B3000),0))</f>
        <v>3.708118547281813</v>
      </c>
      <c r="E295" s="157"/>
      <c r="F295" s="157"/>
      <c r="G295" s="157"/>
      <c r="H295" s="143" t="s">
        <v>4597</v>
      </c>
      <c r="I295" s="1471" t="s">
        <v>4645</v>
      </c>
      <c r="J295" s="1460" t="s">
        <v>4593</v>
      </c>
      <c r="K295" s="143" t="s">
        <v>4597</v>
      </c>
      <c r="L295" s="2656" cm="1" t="n">
        <f t="array" ref="L295">INDEX('6층_부하량'!I3:I3000,MATCH(1,("6-DaHall 1-PDU-04"='6층_부하량'!A3:A3000)*(8='6층_부하량'!B3:B3000),0))</f>
        <v>3.549507864096279</v>
      </c>
      <c r="M295" s="157"/>
      <c r="N295" s="157"/>
      <c r="O295" s="157"/>
      <c r="P295" s="157" t="s">
        <v>565</v>
      </c>
      <c r="Q295" s="143" t="s">
        <v>4723</v>
      </c>
      <c r="R295" s="153" t="s">
        <v>5405</v>
      </c>
    </row>
    <row r="296" spans="1:18" ht="16.5" x14ac:dyDescent="0.15">
      <c r="A296" s="148" t="s">
        <v>5406</v>
      </c>
      <c r="B296" s="143" t="s">
        <v>4635</v>
      </c>
      <c r="C296" s="164" t="s">
        <v>4575</v>
      </c>
      <c r="D296" s="157"/>
      <c r="E296" s="2656" cm="1" t="n">
        <f t="array" ref="E296">INDEX('6층_부하량'!J3:J3000,MATCH(1,("6-DaHall 1-PDU-04"='6층_부하량'!A3:A3000)*(9='6층_부하량'!B3:B3000),0))</f>
        <v>3.7826846440147364</v>
      </c>
      <c r="F296" s="157"/>
      <c r="G296" s="157"/>
      <c r="H296" s="143" t="s">
        <v>4597</v>
      </c>
      <c r="I296" s="1471" t="s">
        <v>4648</v>
      </c>
      <c r="J296" s="1460" t="s">
        <v>4596</v>
      </c>
      <c r="K296" s="143" t="s">
        <v>4597</v>
      </c>
      <c r="L296" s="157"/>
      <c r="M296" s="2656" cm="1">
        <f t="array" ref="M296">INDEX('6층_부하량'!J3:J3000,MATCH(1,("6-DaHall 1-PDU-04"='6층_부하량'!A3:A3000)*(10='6층_부하량'!B3:B3000),0))</f>
        <v>0</v>
      </c>
      <c r="N296" s="157"/>
      <c r="O296" s="157"/>
      <c r="P296" s="157" t="s">
        <v>565</v>
      </c>
      <c r="Q296" s="143" t="s">
        <v>4723</v>
      </c>
      <c r="R296" s="153" t="s">
        <v>5407</v>
      </c>
    </row>
    <row r="297" spans="1:18" ht="16.5" x14ac:dyDescent="0.15">
      <c r="A297" s="158" t="s">
        <v>5408</v>
      </c>
      <c r="B297" s="143" t="s">
        <v>4635</v>
      </c>
      <c r="C297" s="164" t="s">
        <v>4575</v>
      </c>
      <c r="D297" s="157"/>
      <c r="E297" s="157"/>
      <c r="F297" s="2656" cm="1" t="n">
        <f t="array" ref="F297">INDEX('6층_부하량'!K3:K3000,MATCH(1,("6-DaHall 1-PDU-04"='6층_부하량'!A3:A3000)*(11='6층_부하량'!B3:B3000),0))</f>
        <v>4.3490375026493915</v>
      </c>
      <c r="G297" s="157" t="s">
        <v>5366</v>
      </c>
      <c r="H297" s="143" t="s">
        <v>4597</v>
      </c>
      <c r="I297" s="1471" t="s">
        <v>4653</v>
      </c>
      <c r="J297" s="1460" t="s">
        <v>4599</v>
      </c>
      <c r="K297" s="143" t="s">
        <v>4597</v>
      </c>
      <c r="L297" s="157"/>
      <c r="M297" s="157"/>
      <c r="N297" s="2656" cm="1">
        <f t="array" ref="N297">INDEX('6층_부하량'!K3:K3000,MATCH(1,("6-DaHall 1-PDU-04"='6층_부하량'!A3:A3000)*(12='6층_부하량'!B3:B3000),0))</f>
        <v>0</v>
      </c>
      <c r="O297" s="157"/>
      <c r="P297" s="157" t="s">
        <v>565</v>
      </c>
      <c r="Q297" s="143" t="s">
        <v>4723</v>
      </c>
      <c r="R297" s="153" t="s">
        <v>5409</v>
      </c>
    </row>
    <row r="298" spans="1:18" ht="16.5" x14ac:dyDescent="0.15">
      <c r="A298" s="148" t="s">
        <v>5410</v>
      </c>
      <c r="B298" s="143" t="s">
        <v>4635</v>
      </c>
      <c r="C298" s="164" t="s">
        <v>4575</v>
      </c>
      <c r="D298" s="2656" cm="1" t="n">
        <f t="array" ref="D298">INDEX('6층_부하량'!I3:I3000,MATCH(1,("6-DaHall 1-PDU-04"='6층_부하량'!A3:A3000)*(13='6층_부하량'!B3:B3000),0))</f>
        <v>2.7069253839166856</v>
      </c>
      <c r="E298" s="157"/>
      <c r="F298" s="157"/>
      <c r="G298" s="157"/>
      <c r="H298" s="143" t="s">
        <v>4597</v>
      </c>
      <c r="I298" s="1471" t="s">
        <v>4657</v>
      </c>
      <c r="J298" s="1460" t="s">
        <v>4601</v>
      </c>
      <c r="K298" s="143" t="s">
        <v>4597</v>
      </c>
      <c r="L298" s="2656" cm="1">
        <f t="array" ref="L298">INDEX('6층_부하량'!I3:I3000,MATCH(1,("6-DaHall 1-PDU-04"='6층_부하량'!A3:A3000)*(14='6층_부하량'!B3:B3000),0))</f>
        <v>0</v>
      </c>
      <c r="M298" s="157"/>
      <c r="N298" s="157"/>
      <c r="O298" s="157"/>
      <c r="P298" s="157" t="s">
        <v>565</v>
      </c>
      <c r="Q298" s="143" t="s">
        <v>4723</v>
      </c>
      <c r="R298" s="153" t="s">
        <v>5411</v>
      </c>
    </row>
    <row r="299" spans="1:18" ht="16.5" x14ac:dyDescent="0.15">
      <c r="A299" s="158" t="s">
        <v>5412</v>
      </c>
      <c r="B299" s="143" t="s">
        <v>4635</v>
      </c>
      <c r="C299" s="164" t="s">
        <v>4575</v>
      </c>
      <c r="D299" s="157"/>
      <c r="E299" s="2656" cm="1" t="n">
        <f t="array" ref="E299">INDEX('6층_부하량'!J3:J3000,MATCH(1,("6-DaHall 1-PDU-04"='6층_부하량'!A3:A3000)*(15='6층_부하량'!B3:B3000),0))</f>
        <v>3.624065911812693</v>
      </c>
      <c r="F299" s="157"/>
      <c r="G299" s="157"/>
      <c r="H299" s="143" t="s">
        <v>4597</v>
      </c>
      <c r="I299" s="1471" t="s">
        <v>4661</v>
      </c>
      <c r="J299" s="151" t="s">
        <v>4603</v>
      </c>
      <c r="K299" s="143" t="s">
        <v>4597</v>
      </c>
      <c r="L299" s="157"/>
      <c r="M299" s="2656" cm="1">
        <f t="array" ref="M299">INDEX('6층_부하량'!J3:J3000,MATCH(1,("6-DaHall 1-PDU-04"='6층_부하량'!A3:A3000)*(16='6층_부하량'!B3:B3000),0))</f>
        <v>0</v>
      </c>
      <c r="N299" s="157"/>
      <c r="O299" s="157"/>
      <c r="P299" s="157" t="s">
        <v>4635</v>
      </c>
      <c r="Q299" s="164" t="s">
        <v>4575</v>
      </c>
      <c r="R299" s="342" t="s">
        <v>5413</v>
      </c>
    </row>
    <row r="300" spans="1:18" ht="17.25" thickBot="1" x14ac:dyDescent="0.2">
      <c r="A300" s="148" t="s">
        <v>5414</v>
      </c>
      <c r="B300" s="159" t="s">
        <v>4635</v>
      </c>
      <c r="C300" s="164" t="s">
        <v>4575</v>
      </c>
      <c r="D300" s="177"/>
      <c r="E300" s="177"/>
      <c r="F300" s="2661" cm="1" t="n">
        <f t="array" ref="F300">INDEX('6층_부하량'!K3:K3000,MATCH(1,("6-DaHall 1-PDU-04"='6층_부하량'!A3:A3000)*(17='6층_부하량'!B3:B3000),0))</f>
        <v>1.794012204819564</v>
      </c>
      <c r="G300" s="160"/>
      <c r="H300" s="159" t="s">
        <v>4597</v>
      </c>
      <c r="I300" s="1478" t="s">
        <v>4665</v>
      </c>
      <c r="J300" s="192" t="s">
        <v>4605</v>
      </c>
      <c r="K300" s="159" t="s">
        <v>4597</v>
      </c>
      <c r="L300" s="177"/>
      <c r="M300" s="177"/>
      <c r="N300" s="2661" cm="1">
        <f t="array" ref="N300">INDEX('6층_부하량'!K3:K3000,MATCH(1,("6-DaHall 1-PDU-04"='6층_부하량'!A3:A3000)*(18='6층_부하량'!B3:B3000),0))</f>
        <v>0</v>
      </c>
      <c r="O300" s="160"/>
      <c r="P300" s="160" t="s">
        <v>4635</v>
      </c>
      <c r="Q300" s="164" t="s">
        <v>4575</v>
      </c>
      <c r="R300" s="342" t="s">
        <v>5415</v>
      </c>
    </row>
    <row r="301" spans="1:18" ht="14.25" thickTop="1" x14ac:dyDescent="0.15">
      <c r="A301" s="141" t="s">
        <v>5416</v>
      </c>
      <c r="B301" s="142" t="s">
        <v>565</v>
      </c>
      <c r="C301" s="142" t="s">
        <v>4723</v>
      </c>
      <c r="D301" s="2658" cm="1">
        <f t="array" ref="D301">INDEX('6층_부하량'!I3:I3000,MATCH(1,("6-DaHall 1-PDU-04"='6층_부하량'!A3:A3000)*(19='6층_부하량'!B3:B3000),0))</f>
        <v>0</v>
      </c>
      <c r="E301" s="179"/>
      <c r="F301" s="179"/>
      <c r="G301" s="163"/>
      <c r="H301" s="142" t="s">
        <v>4597</v>
      </c>
      <c r="I301" s="1479" t="s">
        <v>4670</v>
      </c>
      <c r="J301" s="1481" t="s">
        <v>4609</v>
      </c>
      <c r="K301" s="142" t="s">
        <v>4597</v>
      </c>
      <c r="L301" s="2658" cm="1">
        <f t="array" ref="L301">INDEX('6층_부하량'!I3:I3000,MATCH(1,("6-DaHall 1-PDU-04"='6층_부하량'!A3:A3000)*(20='6층_부하량'!B3:B3000),0))</f>
        <v>0</v>
      </c>
      <c r="M301" s="179"/>
      <c r="N301" s="179"/>
      <c r="O301" s="163"/>
      <c r="P301" s="163" t="s">
        <v>4635</v>
      </c>
      <c r="Q301" s="142" t="s">
        <v>4723</v>
      </c>
      <c r="R301" s="147" t="s">
        <v>3171</v>
      </c>
    </row>
    <row r="302" spans="1:18" ht="16.5" x14ac:dyDescent="0.15">
      <c r="A302" s="174" t="s">
        <v>5417</v>
      </c>
      <c r="B302" s="156" t="s">
        <v>565</v>
      </c>
      <c r="C302" s="143" t="s">
        <v>4723</v>
      </c>
      <c r="D302" s="157"/>
      <c r="E302" s="2656" cm="1">
        <f t="array" ref="E302">INDEX('6층_부하량'!J3:J3000,MATCH(1,("6-DaHall 1-PDU-04"='6층_부하량'!A3:A3000)*(21='6층_부하량'!B3:B3000),0))</f>
        <v>0</v>
      </c>
      <c r="F302" s="157"/>
      <c r="G302" s="179"/>
      <c r="H302" s="156" t="s">
        <v>4597</v>
      </c>
      <c r="I302" s="1470" t="s">
        <v>4674</v>
      </c>
      <c r="J302" s="181" t="s">
        <v>4613</v>
      </c>
      <c r="K302" s="156" t="s">
        <v>4597</v>
      </c>
      <c r="L302" s="157"/>
      <c r="M302" s="2656" cm="1">
        <f t="array" ref="M302">INDEX('6층_부하량'!J3:J3000,MATCH(1,("6-DaHall 1-PDU-04"='6층_부하량'!A3:A3000)*(22='6층_부하량'!B3:B3000),0))</f>
        <v>0</v>
      </c>
      <c r="N302" s="157"/>
      <c r="O302" s="179"/>
      <c r="P302" s="179" t="s">
        <v>4635</v>
      </c>
      <c r="Q302" s="164" t="s">
        <v>4575</v>
      </c>
      <c r="R302" s="256" t="s">
        <v>5418</v>
      </c>
    </row>
    <row r="303" spans="1:18" ht="16.5" x14ac:dyDescent="0.15">
      <c r="A303" s="148" t="s">
        <v>5419</v>
      </c>
      <c r="B303" s="143" t="s">
        <v>565</v>
      </c>
      <c r="C303" s="143" t="s">
        <v>4723</v>
      </c>
      <c r="D303" s="157"/>
      <c r="E303" s="157"/>
      <c r="F303" s="2656" cm="1">
        <f t="array" ref="F303">INDEX('6층_부하량'!K3:K3000,MATCH(1,("6-DaHall 1-PDU-04"='6층_부하량'!A3:A3000)*(23='6층_부하량'!B3:B3000),0))</f>
        <v>0</v>
      </c>
      <c r="G303" s="157"/>
      <c r="H303" s="143" t="s">
        <v>4597</v>
      </c>
      <c r="I303" s="1471" t="s">
        <v>4678</v>
      </c>
      <c r="J303" s="151" t="s">
        <v>4680</v>
      </c>
      <c r="K303" s="143" t="s">
        <v>4597</v>
      </c>
      <c r="L303" s="157"/>
      <c r="M303" s="157"/>
      <c r="N303" s="2656" cm="1">
        <f t="array" ref="N303">INDEX('6층_부하량'!K3:K3000,MATCH(1,("6-DaHall 1-PDU-04"='6층_부하량'!A3:A3000)*(24='6층_부하량'!B3:B3000),0))</f>
        <v>0</v>
      </c>
      <c r="O303" s="157"/>
      <c r="P303" s="157" t="s">
        <v>4635</v>
      </c>
      <c r="Q303" s="164" t="s">
        <v>4575</v>
      </c>
      <c r="R303" s="342" t="s">
        <v>5420</v>
      </c>
    </row>
    <row r="304" spans="1:18" ht="16.5" x14ac:dyDescent="0.15">
      <c r="A304" s="174" t="s">
        <v>3098</v>
      </c>
      <c r="B304" s="143" t="s">
        <v>565</v>
      </c>
      <c r="C304" s="143" t="s">
        <v>4723</v>
      </c>
      <c r="D304" s="2656" cm="1">
        <f t="array" ref="D304">INDEX('6층_부하량'!I3:I3000,MATCH(1,("6-DaHall 1-PDU-04"='6층_부하량'!A3:A3000)*(25='6층_부하량'!B3:B3000),0))</f>
        <v>0</v>
      </c>
      <c r="E304" s="157"/>
      <c r="F304" s="157"/>
      <c r="G304" s="157"/>
      <c r="H304" s="143" t="s">
        <v>4597</v>
      </c>
      <c r="I304" s="1471" t="s">
        <v>4683</v>
      </c>
      <c r="J304" s="151" t="s">
        <v>4685</v>
      </c>
      <c r="K304" s="143" t="s">
        <v>4597</v>
      </c>
      <c r="L304" s="2656" cm="1">
        <f t="array" ref="L304">INDEX('6층_부하량'!I3:I3000,MATCH(1,("6-DaHall 1-PDU-04"='6층_부하량'!A3:A3000)*(26='6층_부하량'!B3:B3000),0))</f>
        <v>0</v>
      </c>
      <c r="M304" s="157"/>
      <c r="N304" s="157"/>
      <c r="O304" s="157"/>
      <c r="P304" s="157" t="s">
        <v>4635</v>
      </c>
      <c r="Q304" s="164" t="s">
        <v>4575</v>
      </c>
      <c r="R304" s="342" t="s">
        <v>5421</v>
      </c>
    </row>
    <row r="305" spans="1:18" ht="16.5" x14ac:dyDescent="0.15">
      <c r="A305" s="148" t="s">
        <v>3105</v>
      </c>
      <c r="B305" s="143" t="s">
        <v>565</v>
      </c>
      <c r="C305" s="143" t="s">
        <v>4723</v>
      </c>
      <c r="D305" s="157"/>
      <c r="E305" s="2656" cm="1">
        <f t="array" ref="E305">INDEX('6층_부하량'!J3:J3000,MATCH(1,("6-DaHall 1-PDU-04"='6층_부하량'!A3:A3000)*(27='6층_부하량'!B3:B3000),0))</f>
        <v>0</v>
      </c>
      <c r="F305" s="157"/>
      <c r="G305" s="157"/>
      <c r="H305" s="143" t="s">
        <v>4597</v>
      </c>
      <c r="I305" s="1471" t="s">
        <v>4688</v>
      </c>
      <c r="J305" s="151" t="s">
        <v>4689</v>
      </c>
      <c r="K305" s="143" t="s">
        <v>4597</v>
      </c>
      <c r="L305" s="157"/>
      <c r="M305" s="2656" cm="1">
        <f t="array" ref="M305">INDEX('6층_부하량'!J3:J3000,MATCH(1,("6-DaHall 1-PDU-04"='6층_부하량'!A3:A3000)*(28='6층_부하량'!B3:B3000),0))</f>
        <v>0</v>
      </c>
      <c r="N305" s="157"/>
      <c r="O305" s="157"/>
      <c r="P305" s="157" t="s">
        <v>4635</v>
      </c>
      <c r="Q305" s="164" t="s">
        <v>4575</v>
      </c>
      <c r="R305" s="342" t="s">
        <v>5422</v>
      </c>
    </row>
    <row r="306" spans="1:18" ht="16.5" x14ac:dyDescent="0.15">
      <c r="A306" s="174" t="s">
        <v>3111</v>
      </c>
      <c r="B306" s="143" t="s">
        <v>565</v>
      </c>
      <c r="C306" s="143" t="s">
        <v>4723</v>
      </c>
      <c r="D306" s="157"/>
      <c r="E306" s="157"/>
      <c r="F306" s="2656" cm="1">
        <f t="array" ref="F306">INDEX('6층_부하량'!K3:K3000,MATCH(1,("6-DaHall 1-PDU-04"='6층_부하량'!A3:A3000)*(29='6층_부하량'!B3:B3000),0))</f>
        <v>0</v>
      </c>
      <c r="G306" s="157"/>
      <c r="H306" s="143" t="s">
        <v>4597</v>
      </c>
      <c r="I306" s="1471" t="s">
        <v>4691</v>
      </c>
      <c r="J306" s="151" t="s">
        <v>4692</v>
      </c>
      <c r="K306" s="143" t="s">
        <v>4597</v>
      </c>
      <c r="L306" s="157"/>
      <c r="M306" s="157"/>
      <c r="N306" s="2656" cm="1">
        <f t="array" ref="N306">INDEX('6층_부하량'!K3:K3000,MATCH(1,("6-DaHall 1-PDU-04"='6층_부하량'!A3:A3000)*(30='6층_부하량'!B3:B3000),0))</f>
        <v>0</v>
      </c>
      <c r="O306" s="157"/>
      <c r="P306" s="157" t="s">
        <v>4635</v>
      </c>
      <c r="Q306" s="164" t="s">
        <v>4575</v>
      </c>
      <c r="R306" s="342" t="s">
        <v>5423</v>
      </c>
    </row>
    <row r="307" spans="1:18" ht="16.5" x14ac:dyDescent="0.15">
      <c r="A307" s="148" t="s">
        <v>3118</v>
      </c>
      <c r="B307" s="143" t="s">
        <v>565</v>
      </c>
      <c r="C307" s="143" t="s">
        <v>4723</v>
      </c>
      <c r="D307" s="2656" cm="1">
        <f t="array" ref="D307">INDEX('6층_부하량'!I3:I3000,MATCH(1,("6-DaHall 1-PDU-04"='6층_부하량'!A3:A3000)*(31='6층_부하량'!B3:B3000),0))</f>
        <v>0</v>
      </c>
      <c r="E307" s="157"/>
      <c r="F307" s="157"/>
      <c r="G307" s="157"/>
      <c r="H307" s="143" t="s">
        <v>4597</v>
      </c>
      <c r="I307" s="1471" t="s">
        <v>4693</v>
      </c>
      <c r="J307" s="151" t="s">
        <v>4694</v>
      </c>
      <c r="K307" s="143" t="s">
        <v>4597</v>
      </c>
      <c r="L307" s="2656" cm="1">
        <f t="array" ref="L307">INDEX('6층_부하량'!I3:I3000,MATCH(1,("6-DaHall 1-PDU-04"='6층_부하량'!A3:A3000)*(32='6층_부하량'!B3:B3000),0))</f>
        <v>0</v>
      </c>
      <c r="M307" s="157"/>
      <c r="N307" s="157"/>
      <c r="O307" s="157"/>
      <c r="P307" s="157" t="s">
        <v>4635</v>
      </c>
      <c r="Q307" s="164" t="s">
        <v>4575</v>
      </c>
      <c r="R307" s="342" t="s">
        <v>5424</v>
      </c>
    </row>
    <row r="308" spans="1:18" ht="16.5" x14ac:dyDescent="0.15">
      <c r="A308" s="632" t="s">
        <v>5425</v>
      </c>
      <c r="B308" s="143" t="s">
        <v>4635</v>
      </c>
      <c r="C308" s="164" t="s">
        <v>4575</v>
      </c>
      <c r="D308" s="157"/>
      <c r="E308" s="2656" cm="1">
        <f t="array" ref="E308">INDEX('6층_부하량'!J3:J3000,MATCH(1,("6-DaHall 1-PDU-04"='6층_부하량'!A3:A3000)*(33='6층_부하량'!B3:B3000),0))</f>
        <v>0</v>
      </c>
      <c r="F308" s="157"/>
      <c r="G308" s="157"/>
      <c r="H308" s="143" t="s">
        <v>4597</v>
      </c>
      <c r="I308" s="150" t="s">
        <v>4697</v>
      </c>
      <c r="J308" s="151" t="s">
        <v>4698</v>
      </c>
      <c r="K308" s="143" t="s">
        <v>4597</v>
      </c>
      <c r="L308" s="157"/>
      <c r="M308" s="2656" cm="1">
        <f t="array" ref="M308">INDEX('6층_부하량'!J3:J3000,MATCH(1,("6-DaHall 1-PDU-04"='6층_부하량'!A3:A3000)*(34='6층_부하량'!B3:B3000),0))</f>
        <v>0</v>
      </c>
      <c r="N308" s="157"/>
      <c r="O308" s="157"/>
      <c r="P308" s="157" t="s">
        <v>4635</v>
      </c>
      <c r="Q308" s="164" t="s">
        <v>4575</v>
      </c>
      <c r="R308" s="342" t="s">
        <v>5426</v>
      </c>
    </row>
    <row r="309" spans="1:18" ht="16.5" x14ac:dyDescent="0.15">
      <c r="A309" s="607" t="s">
        <v>5427</v>
      </c>
      <c r="B309" s="143" t="s">
        <v>4635</v>
      </c>
      <c r="C309" s="164" t="s">
        <v>4575</v>
      </c>
      <c r="D309" s="157"/>
      <c r="E309" s="157"/>
      <c r="F309" s="2656" cm="1">
        <f t="array" ref="F309">INDEX('6층_부하량'!K3:K3000,MATCH(1,("6-DaHall 1-PDU-04"='6층_부하량'!A3:A3000)*(35='6층_부하량'!B3:B3000),0))</f>
        <v>0</v>
      </c>
      <c r="G309" s="157"/>
      <c r="H309" s="143" t="s">
        <v>4597</v>
      </c>
      <c r="I309" s="150" t="s">
        <v>4701</v>
      </c>
      <c r="J309" s="151" t="s">
        <v>4703</v>
      </c>
      <c r="K309" s="143" t="s">
        <v>4597</v>
      </c>
      <c r="L309" s="157"/>
      <c r="M309" s="157"/>
      <c r="N309" s="2656" cm="1">
        <f t="array" ref="N309">INDEX('6층_부하량'!K3:K3000,MATCH(1,("6-DaHall 1-PDU-04"='6층_부하량'!A3:A3000)*(36='6층_부하량'!B3:B3000),0))</f>
        <v>0</v>
      </c>
      <c r="O309" s="157"/>
      <c r="P309" s="157" t="s">
        <v>4635</v>
      </c>
      <c r="Q309" s="143" t="s">
        <v>4723</v>
      </c>
      <c r="R309" s="342" t="s">
        <v>5428</v>
      </c>
    </row>
    <row r="310" spans="1:18" ht="16.5" x14ac:dyDescent="0.15">
      <c r="A310" s="148" t="s">
        <v>5429</v>
      </c>
      <c r="B310" s="143" t="s">
        <v>4635</v>
      </c>
      <c r="C310" s="143" t="s">
        <v>4723</v>
      </c>
      <c r="D310" s="2656" cm="1">
        <f t="array" ref="D310">INDEX('6층_부하량'!I3:I3000,MATCH(1,("6-DaHall 1-PDU-04"='6층_부하량'!A3:A3000)*(37='6층_부하량'!B3:B3000),0))</f>
        <v>0</v>
      </c>
      <c r="E310" s="157"/>
      <c r="F310" s="157"/>
      <c r="G310" s="157"/>
      <c r="H310" s="143" t="s">
        <v>4597</v>
      </c>
      <c r="I310" s="1471" t="s">
        <v>4706</v>
      </c>
      <c r="J310" s="155" t="s">
        <v>4707</v>
      </c>
      <c r="K310" s="143" t="s">
        <v>4597</v>
      </c>
      <c r="L310" s="2656" cm="1">
        <f t="array" ref="L310">INDEX('6층_부하량'!I3:I3000,MATCH(1,("6-DaHall 1-PDU-04"='6층_부하량'!A3:A3000)*(38='6층_부하량'!B3:B3000),0))</f>
        <v>0</v>
      </c>
      <c r="M310" s="157"/>
      <c r="N310" s="157"/>
      <c r="O310" s="157"/>
      <c r="P310" s="157" t="s">
        <v>4635</v>
      </c>
      <c r="Q310" s="164" t="s">
        <v>4575</v>
      </c>
      <c r="R310" s="641" t="s">
        <v>5430</v>
      </c>
    </row>
    <row r="311" spans="1:18" ht="16.5" x14ac:dyDescent="0.15">
      <c r="A311" s="148" t="s">
        <v>5431</v>
      </c>
      <c r="B311" s="143" t="s">
        <v>4635</v>
      </c>
      <c r="C311" s="143" t="s">
        <v>4723</v>
      </c>
      <c r="D311" s="157"/>
      <c r="E311" s="2656" cm="1">
        <f t="array" ref="E311">INDEX('6층_부하량'!J3:J3000,MATCH(1,("6-DaHall 1-PDU-04"='6층_부하량'!A3:A3000)*(39='6층_부하량'!B3:B3000),0))</f>
        <v>0</v>
      </c>
      <c r="F311" s="157"/>
      <c r="G311" s="157"/>
      <c r="H311" s="143" t="s">
        <v>4597</v>
      </c>
      <c r="I311" s="1471" t="s">
        <v>4710</v>
      </c>
      <c r="J311" s="151" t="s">
        <v>4711</v>
      </c>
      <c r="K311" s="143" t="s">
        <v>4597</v>
      </c>
      <c r="L311" s="157"/>
      <c r="M311" s="2656" cm="1">
        <f t="array" ref="M311">INDEX('6층_부하량'!J3:J3000,MATCH(1,("6-DaHall 1-PDU-04"='6층_부하량'!A3:A3000)*(40='6층_부하량'!B3:B3000),0))</f>
        <v>0</v>
      </c>
      <c r="N311" s="157"/>
      <c r="O311" s="157"/>
      <c r="P311" s="157" t="s">
        <v>4635</v>
      </c>
      <c r="Q311" s="164" t="s">
        <v>4575</v>
      </c>
      <c r="R311" s="342" t="s">
        <v>5432</v>
      </c>
    </row>
    <row r="312" spans="1:18" ht="16.5" x14ac:dyDescent="0.15">
      <c r="A312" s="148" t="s">
        <v>5433</v>
      </c>
      <c r="B312" s="143" t="s">
        <v>4635</v>
      </c>
      <c r="C312" s="143" t="s">
        <v>4723</v>
      </c>
      <c r="D312" s="157"/>
      <c r="E312" s="157"/>
      <c r="F312" s="2656" cm="1">
        <f t="array" ref="F312">INDEX('6층_부하량'!K3:K3000,MATCH(1,("6-DaHall 1-PDU-04"='6층_부하량'!A3:A3000)*(41='6층_부하량'!B3:B3000),0))</f>
        <v>0</v>
      </c>
      <c r="G312" s="157"/>
      <c r="H312" s="143" t="s">
        <v>4597</v>
      </c>
      <c r="I312" s="1471" t="s">
        <v>5055</v>
      </c>
      <c r="J312" s="151" t="s">
        <v>4843</v>
      </c>
      <c r="K312" s="143" t="s">
        <v>4597</v>
      </c>
      <c r="L312" s="157"/>
      <c r="M312" s="157"/>
      <c r="N312" s="2656" cm="1">
        <f t="array" ref="N312">INDEX('6층_부하량'!K3:K3000,MATCH(1,("6-DaHall 1-PDU-04"='6층_부하량'!A3:A3000)*(42='6층_부하량'!B3:B3000),0))</f>
        <v>0</v>
      </c>
      <c r="O312" s="157"/>
      <c r="P312" s="157" t="s">
        <v>4635</v>
      </c>
      <c r="Q312" s="164" t="s">
        <v>4575</v>
      </c>
      <c r="R312" s="475" t="s">
        <v>5434</v>
      </c>
    </row>
    <row r="313" spans="1:18" ht="16.5" x14ac:dyDescent="0.15">
      <c r="A313" s="148" t="s">
        <v>3146</v>
      </c>
      <c r="B313" s="143" t="s">
        <v>4635</v>
      </c>
      <c r="C313" s="143" t="s">
        <v>4723</v>
      </c>
      <c r="D313" s="2656" cm="1">
        <f t="array" ref="D313">INDEX('6층_부하량'!I3:I3000,MATCH(1,("6-DaHall 1-PDU-04"='6층_부하량'!A3:A3000)*(43='6층_부하량'!B3:B3000),0))</f>
        <v>0</v>
      </c>
      <c r="E313" s="157"/>
      <c r="F313" s="157"/>
      <c r="G313" s="157"/>
      <c r="H313" s="143" t="s">
        <v>4597</v>
      </c>
      <c r="I313" s="1471" t="s">
        <v>4845</v>
      </c>
      <c r="J313" s="151" t="s">
        <v>4846</v>
      </c>
      <c r="K313" s="143" t="s">
        <v>4597</v>
      </c>
      <c r="L313" s="2656" cm="1">
        <f t="array" ref="L313">INDEX('6층_부하량'!I3:I3000,MATCH(1,("6-DaHall 1-PDU-04"='6층_부하량'!A3:A3000)*(44='6층_부하량'!B3:B3000),0))</f>
        <v>0</v>
      </c>
      <c r="M313" s="157"/>
      <c r="N313" s="157"/>
      <c r="O313" s="157"/>
      <c r="P313" s="157" t="s">
        <v>4635</v>
      </c>
      <c r="Q313" s="164" t="s">
        <v>4575</v>
      </c>
      <c r="R313" s="342" t="s">
        <v>5435</v>
      </c>
    </row>
    <row r="314" spans="1:18" ht="16.5" x14ac:dyDescent="0.15">
      <c r="A314" s="148" t="s">
        <v>3152</v>
      </c>
      <c r="B314" s="143" t="s">
        <v>4635</v>
      </c>
      <c r="C314" s="143" t="s">
        <v>4723</v>
      </c>
      <c r="D314" s="157"/>
      <c r="E314" s="2656" cm="1">
        <f t="array" ref="E314">INDEX('6층_부하량'!J3:J3000,MATCH(1,("6-DaHall 1-PDU-04"='6층_부하량'!A3:A3000)*(45='6층_부하량'!B3:B3000),0))</f>
        <v>0</v>
      </c>
      <c r="F314" s="157"/>
      <c r="G314" s="157"/>
      <c r="H314" s="143" t="s">
        <v>4597</v>
      </c>
      <c r="I314" s="1471" t="s">
        <v>4847</v>
      </c>
      <c r="J314" s="151" t="s">
        <v>4848</v>
      </c>
      <c r="K314" s="143" t="s">
        <v>4597</v>
      </c>
      <c r="L314" s="157"/>
      <c r="M314" s="2656" cm="1">
        <f t="array" ref="M314">INDEX('6층_부하량'!J3:J3000,MATCH(1,("6-DaHall 1-PDU-04"='6층_부하량'!A3:A3000)*(46='6층_부하량'!B3:B3000),0))</f>
        <v>0</v>
      </c>
      <c r="N314" s="157"/>
      <c r="O314" s="157"/>
      <c r="P314" s="157" t="s">
        <v>4635</v>
      </c>
      <c r="Q314" s="164" t="s">
        <v>4575</v>
      </c>
      <c r="R314" s="475" t="s">
        <v>5436</v>
      </c>
    </row>
    <row r="315" spans="1:18" ht="16.5" x14ac:dyDescent="0.15">
      <c r="A315" s="148" t="s">
        <v>3158</v>
      </c>
      <c r="B315" s="143" t="s">
        <v>4635</v>
      </c>
      <c r="C315" s="143" t="s">
        <v>4723</v>
      </c>
      <c r="D315" s="157"/>
      <c r="E315" s="157"/>
      <c r="F315" s="2656" cm="1">
        <f t="array" ref="F315">INDEX('6층_부하량'!K3:K3000,MATCH(1,("6-DaHall 1-PDU-04"='6층_부하량'!A3:A3000)*(47='6층_부하량'!B3:B3000),0))</f>
        <v>0</v>
      </c>
      <c r="G315" s="157"/>
      <c r="H315" s="143" t="s">
        <v>4597</v>
      </c>
      <c r="I315" s="1471" t="s">
        <v>4849</v>
      </c>
      <c r="J315" s="151" t="s">
        <v>4850</v>
      </c>
      <c r="K315" s="143" t="s">
        <v>4597</v>
      </c>
      <c r="L315" s="157"/>
      <c r="M315" s="157"/>
      <c r="N315" s="2656" cm="1">
        <f t="array" ref="N315">INDEX('6층_부하량'!K3:K3000,MATCH(1,("6-DaHall 1-PDU-04"='6층_부하량'!A3:A3000)*(48='6층_부하량'!B3:B3000),0))</f>
        <v>0</v>
      </c>
      <c r="O315" s="157"/>
      <c r="P315" s="157" t="s">
        <v>4635</v>
      </c>
      <c r="Q315" s="164" t="s">
        <v>4575</v>
      </c>
      <c r="R315" s="342" t="s">
        <v>5437</v>
      </c>
    </row>
    <row r="316" spans="1:18" ht="14.25" thickBot="1" x14ac:dyDescent="0.2">
      <c r="A316" s="165"/>
      <c r="B316" s="166" t="s">
        <v>565</v>
      </c>
      <c r="C316" s="166" t="s">
        <v>4723</v>
      </c>
      <c r="D316" s="2659" cm="1">
        <f t="array" ref="D316">INDEX('6층_부하량'!I3:I3000,MATCH(1,("6-DaHall 1-PDU-04"='6층_부하량'!A3:A3000)*(49='6층_부하량'!B3:B3000),0))</f>
        <v>0</v>
      </c>
      <c r="E316" s="167"/>
      <c r="F316" s="167"/>
      <c r="G316" s="167"/>
      <c r="H316" s="166" t="s">
        <v>4597</v>
      </c>
      <c r="I316" s="1472" t="s">
        <v>4851</v>
      </c>
      <c r="J316" s="1482" t="s">
        <v>4852</v>
      </c>
      <c r="K316" s="166" t="s">
        <v>4597</v>
      </c>
      <c r="L316" s="2659" cm="1">
        <f t="array" ref="L316">INDEX('6층_부하량'!I3:I3000,MATCH(1,("6-DaHall 1-PDU-04"='6층_부하량'!A3:A3000)*(50='6층_부하량'!B3:B3000),0))</f>
        <v>0</v>
      </c>
      <c r="M316" s="167"/>
      <c r="N316" s="167"/>
      <c r="O316" s="167"/>
      <c r="P316" s="167" t="s">
        <v>565</v>
      </c>
      <c r="Q316" s="166" t="s">
        <v>4723</v>
      </c>
      <c r="R316" s="170"/>
    </row>
    <row r="317" spans="1:18" ht="14.25" thickTop="1" x14ac:dyDescent="0.15">
      <c r="A317" s="128"/>
      <c r="B317" s="128"/>
      <c r="C317" s="128"/>
      <c r="D317" s="128"/>
      <c r="E317" s="128"/>
      <c r="F317" s="128"/>
      <c r="G317" s="128"/>
      <c r="H317" s="128"/>
      <c r="I317" s="128"/>
      <c r="J317" s="128"/>
      <c r="K317" s="128" t="s">
        <v>4713</v>
      </c>
      <c r="L317" s="128" t="n">
        <f>SUM(D292:D316,L292:L316)</f>
        <v>17.927287428590155</v>
      </c>
      <c r="M317" s="128" t="n">
        <f>SUM(E292:E316,M292:M316)</f>
        <v>14.795551774087665</v>
      </c>
      <c r="N317" s="128" t="n">
        <f>SUM(F292:F316,N292:N316)</f>
        <v>11.827044786340771</v>
      </c>
      <c r="O317" s="128"/>
      <c r="P317" s="128"/>
      <c r="Q317" s="128"/>
      <c r="R317" s="128"/>
    </row>
    <row r="318" spans="1:18" ht="14.25" thickBot="1" x14ac:dyDescent="0.2">
      <c r="A318" s="128"/>
      <c r="B318" s="128"/>
      <c r="C318" s="128"/>
      <c r="D318" s="128"/>
      <c r="E318" s="128"/>
      <c r="F318" s="128"/>
      <c r="G318" s="128"/>
      <c r="H318" s="128"/>
      <c r="I318" s="128"/>
      <c r="J318" s="128"/>
      <c r="K318" s="128"/>
      <c r="L318" s="128"/>
      <c r="M318" s="128"/>
      <c r="N318" s="128"/>
      <c r="O318" s="128"/>
      <c r="P318" s="128"/>
      <c r="Q318" s="128"/>
      <c r="R318" s="128"/>
    </row>
    <row r="319" spans="1:18" ht="15" thickTop="1" thickBot="1" x14ac:dyDescent="0.2">
      <c r="A319" s="173" t="s">
        <v>7007</v>
      </c>
      <c r="B319" s="128"/>
      <c r="C319" s="3660" t="s">
        <v>5438</v>
      </c>
      <c r="D319" s="3660"/>
      <c r="E319" s="3660"/>
      <c r="F319" s="173"/>
      <c r="G319" s="173"/>
      <c r="H319" s="133"/>
      <c r="I319" s="3665" t="s">
        <v>4715</v>
      </c>
      <c r="J319" s="3666"/>
      <c r="K319" s="133"/>
      <c r="L319" s="173"/>
      <c r="M319" s="173"/>
      <c r="N319" s="173"/>
      <c r="O319" s="173"/>
      <c r="P319" s="173"/>
      <c r="Q319" s="173"/>
      <c r="R319" s="128"/>
    </row>
    <row r="320" spans="1:18" ht="15" thickTop="1" thickBot="1" x14ac:dyDescent="0.2">
      <c r="A320" s="127"/>
      <c r="B320" s="128"/>
      <c r="C320" s="128"/>
      <c r="D320" s="129"/>
      <c r="E320" s="129"/>
      <c r="F320" s="130"/>
      <c r="G320" s="129"/>
      <c r="H320" s="131"/>
      <c r="I320" s="128"/>
      <c r="J320" s="132"/>
      <c r="K320" s="1371" t="s">
        <v>4562</v>
      </c>
      <c r="L320" s="1368">
        <v>19.5</v>
      </c>
      <c r="M320" s="1369">
        <v>43.6</v>
      </c>
      <c r="N320" s="1370">
        <v>27</v>
      </c>
      <c r="O320" s="508" t="s">
        <v>4563</v>
      </c>
      <c r="P320" s="133"/>
      <c r="Q320" s="128"/>
      <c r="R320" s="528"/>
    </row>
    <row r="321" spans="1:18" ht="15" thickTop="1" thickBot="1" x14ac:dyDescent="0.2">
      <c r="A321" s="134" t="s">
        <v>4564</v>
      </c>
      <c r="B321" s="135" t="s">
        <v>5031</v>
      </c>
      <c r="C321" s="136" t="s">
        <v>4566</v>
      </c>
      <c r="D321" s="135" t="s">
        <v>5032</v>
      </c>
      <c r="E321" s="135" t="s">
        <v>5033</v>
      </c>
      <c r="F321" s="135" t="s">
        <v>5034</v>
      </c>
      <c r="G321" s="135" t="s">
        <v>5035</v>
      </c>
      <c r="H321" s="135" t="s">
        <v>5036</v>
      </c>
      <c r="I321" s="138" t="s">
        <v>5037</v>
      </c>
      <c r="J321" s="139" t="s">
        <v>5037</v>
      </c>
      <c r="K321" s="135" t="s">
        <v>5036</v>
      </c>
      <c r="L321" s="135" t="s">
        <v>5032</v>
      </c>
      <c r="M321" s="135" t="s">
        <v>5033</v>
      </c>
      <c r="N321" s="135" t="s">
        <v>5034</v>
      </c>
      <c r="O321" s="135" t="s">
        <v>5035</v>
      </c>
      <c r="P321" s="135" t="s">
        <v>5031</v>
      </c>
      <c r="Q321" s="136" t="s">
        <v>4566</v>
      </c>
      <c r="R321" s="140" t="s">
        <v>4564</v>
      </c>
    </row>
    <row r="322" spans="1:18" ht="17.25" thickTop="1" x14ac:dyDescent="0.15">
      <c r="A322" s="277" t="s">
        <v>5439</v>
      </c>
      <c r="B322" s="142" t="s">
        <v>4635</v>
      </c>
      <c r="C322" s="152" t="s">
        <v>4575</v>
      </c>
      <c r="D322" s="144"/>
      <c r="E322" s="2654" cm="1">
        <f t="array" ref="E322">INDEX('6층_부하량'!J3:J3000,MATCH(1,("6-DaHall 1-PDU-05"='6층_부하량'!A3:A3000)*(1='6층_부하량'!B3:B3000),0))</f>
        <v>0</v>
      </c>
      <c r="F322" s="144"/>
      <c r="G322" s="144"/>
      <c r="H322" s="142" t="s">
        <v>4597</v>
      </c>
      <c r="I322" s="145" t="s">
        <v>4633</v>
      </c>
      <c r="J322" s="146" t="s">
        <v>4578</v>
      </c>
      <c r="K322" s="142" t="s">
        <v>4597</v>
      </c>
      <c r="L322" s="144"/>
      <c r="M322" s="2654" cm="1" t="n">
        <f t="array" ref="M322">INDEX('6층_부하량'!J3:J3000,MATCH(1,("6-DaHall 1-PDU-05"='6층_부하량'!A3:A3000)*(2='6층_부하량'!B3:B3000),0))</f>
        <v>11.23827724277424</v>
      </c>
      <c r="N322" s="144"/>
      <c r="O322" s="144"/>
      <c r="P322" s="142" t="s">
        <v>4635</v>
      </c>
      <c r="Q322" s="152" t="s">
        <v>4575</v>
      </c>
      <c r="R322" s="618" t="s">
        <v>5440</v>
      </c>
    </row>
    <row r="323" spans="1:18" ht="16.5" x14ac:dyDescent="0.15">
      <c r="A323" s="278" t="s">
        <v>5441</v>
      </c>
      <c r="B323" s="143" t="s">
        <v>4635</v>
      </c>
      <c r="C323" s="164" t="s">
        <v>4575</v>
      </c>
      <c r="D323" s="149"/>
      <c r="E323" s="149"/>
      <c r="F323" s="2655" cm="1">
        <f t="array" ref="F323">INDEX('6층_부하량'!K3:K3000,MATCH(1,("6-DaHall 1-PDU-05"='6층_부하량'!A3:A3000)*(3='6층_부하량'!B3:B3000),0))</f>
        <v>0</v>
      </c>
      <c r="G323" s="149"/>
      <c r="H323" s="143" t="s">
        <v>4597</v>
      </c>
      <c r="I323" s="150" t="s">
        <v>4638</v>
      </c>
      <c r="J323" s="151" t="s">
        <v>4583</v>
      </c>
      <c r="K323" s="143" t="s">
        <v>4597</v>
      </c>
      <c r="L323" s="149"/>
      <c r="M323" s="149"/>
      <c r="N323" s="2655" cm="1" t="n">
        <f t="array" ref="N323">INDEX('6층_부하량'!K3:K3000,MATCH(1,("6-DaHall 1-PDU-05"='6층_부하량'!A3:A3000)*(4='6층_부하량'!B3:B3000),0))</f>
        <v>5.057212697595213</v>
      </c>
      <c r="O323" s="149"/>
      <c r="P323" s="149" t="s">
        <v>4635</v>
      </c>
      <c r="Q323" s="164" t="s">
        <v>4575</v>
      </c>
      <c r="R323" s="342" t="s">
        <v>5442</v>
      </c>
    </row>
    <row r="324" spans="1:18" ht="16.5" x14ac:dyDescent="0.15">
      <c r="A324" s="148" t="s">
        <v>5443</v>
      </c>
      <c r="B324" s="143" t="s">
        <v>4635</v>
      </c>
      <c r="C324" s="143" t="s">
        <v>4723</v>
      </c>
      <c r="D324" s="2656" cm="1">
        <f t="array" ref="D324">INDEX('6층_부하량'!I3:I3000,MATCH(1,("6-DaHall 1-PDU-05"='6층_부하량'!A3:A3000)*(5='6층_부하량'!B3:B3000),0))</f>
        <v>0</v>
      </c>
      <c r="E324" s="157"/>
      <c r="F324" s="157"/>
      <c r="G324" s="157"/>
      <c r="H324" s="143" t="s">
        <v>4597</v>
      </c>
      <c r="I324" s="1471" t="s">
        <v>4641</v>
      </c>
      <c r="J324" s="151" t="s">
        <v>4588</v>
      </c>
      <c r="K324" s="143" t="s">
        <v>4597</v>
      </c>
      <c r="L324" s="2656" cm="1" t="n">
        <f t="array" ref="L324">INDEX('6층_부하량'!I3:I3000,MATCH(1,("6-DaHall 1-PDU-05"='6층_부하량'!A3:A3000)*(6='6층_부하량'!B3:B3000),0))</f>
        <v>0.9013545329225355</v>
      </c>
      <c r="M324" s="157"/>
      <c r="N324" s="157"/>
      <c r="O324" s="157"/>
      <c r="P324" s="157" t="s">
        <v>4635</v>
      </c>
      <c r="Q324" s="164" t="s">
        <v>4575</v>
      </c>
      <c r="R324" s="342" t="s">
        <v>5444</v>
      </c>
    </row>
    <row r="325" spans="1:18" ht="16.5" x14ac:dyDescent="0.15">
      <c r="A325" s="260" t="s">
        <v>5445</v>
      </c>
      <c r="B325" s="143" t="s">
        <v>4635</v>
      </c>
      <c r="C325" s="164" t="s">
        <v>4575</v>
      </c>
      <c r="D325" s="157"/>
      <c r="E325" s="2656" cm="1" t="n">
        <f t="array" ref="E325">INDEX('6층_부하량'!J3:J3000,MATCH(1,("6-DaHall 1-PDU-05"='6층_부하량'!A3:A3000)*(7='6층_부하량'!B3:B3000),0))</f>
        <v>1.9102991508416194</v>
      </c>
      <c r="F325" s="157"/>
      <c r="G325" s="157"/>
      <c r="H325" s="143" t="s">
        <v>4597</v>
      </c>
      <c r="I325" s="150" t="s">
        <v>4645</v>
      </c>
      <c r="J325" s="151" t="s">
        <v>4593</v>
      </c>
      <c r="K325" s="143" t="s">
        <v>4597</v>
      </c>
      <c r="L325" s="157"/>
      <c r="M325" s="2656" cm="1" t="n">
        <f t="array" ref="M325">INDEX('6층_부하량'!J3:J3000,MATCH(1,("6-DaHall 1-PDU-05"='6층_부하량'!A3:A3000)*(8='6층_부하량'!B3:B3000),0))</f>
        <v>2.876906975681374</v>
      </c>
      <c r="N325" s="157"/>
      <c r="O325" s="157"/>
      <c r="P325" s="157" t="s">
        <v>4635</v>
      </c>
      <c r="Q325" s="164" t="s">
        <v>4575</v>
      </c>
      <c r="R325" s="342" t="s">
        <v>5446</v>
      </c>
    </row>
    <row r="326" spans="1:18" ht="16.5" x14ac:dyDescent="0.15">
      <c r="A326" s="258" t="s">
        <v>5447</v>
      </c>
      <c r="B326" s="143" t="s">
        <v>4635</v>
      </c>
      <c r="C326" s="164" t="s">
        <v>4575</v>
      </c>
      <c r="D326" s="157"/>
      <c r="E326" s="157"/>
      <c r="F326" s="2656" cm="1" t="n">
        <f t="array" ref="F326">INDEX('6층_부하량'!K3:K3000,MATCH(1,("6-DaHall 1-PDU-05"='6층_부하량'!A3:A3000)*(9='6층_부하량'!B3:B3000),0))</f>
        <v>0.8920721343496524</v>
      </c>
      <c r="G326" s="157"/>
      <c r="H326" s="143" t="s">
        <v>4597</v>
      </c>
      <c r="I326" s="150" t="s">
        <v>4648</v>
      </c>
      <c r="J326" s="151" t="s">
        <v>4596</v>
      </c>
      <c r="K326" s="143" t="s">
        <v>4597</v>
      </c>
      <c r="L326" s="157"/>
      <c r="M326" s="157"/>
      <c r="N326" s="2656" cm="1" t="n">
        <f t="array" ref="N326">INDEX('6층_부하량'!K3:K3000,MATCH(1,("6-DaHall 1-PDU-05"='6층_부하량'!A3:A3000)*(10='6층_부하량'!B3:B3000),0))</f>
        <v>0.8107594660605024</v>
      </c>
      <c r="O326" s="157"/>
      <c r="P326" s="157" t="s">
        <v>4635</v>
      </c>
      <c r="Q326" s="164" t="s">
        <v>4575</v>
      </c>
      <c r="R326" s="342" t="s">
        <v>5448</v>
      </c>
    </row>
    <row r="327" spans="1:18" ht="16.5" x14ac:dyDescent="0.15">
      <c r="A327" s="632" t="s">
        <v>5449</v>
      </c>
      <c r="B327" s="143" t="s">
        <v>4635</v>
      </c>
      <c r="C327" s="164" t="s">
        <v>4575</v>
      </c>
      <c r="D327" s="2656" cm="1" t="n">
        <f t="array" ref="D327">INDEX('6층_부하량'!I3:I3000,MATCH(1,("6-DaHall 1-PDU-05"='6층_부하량'!A3:A3000)*(11='6층_부하량'!B3:B3000),0))</f>
        <v>1.678963652185743</v>
      </c>
      <c r="E327" s="157"/>
      <c r="F327" s="157"/>
      <c r="G327" s="157"/>
      <c r="H327" s="143" t="s">
        <v>4597</v>
      </c>
      <c r="I327" s="150" t="s">
        <v>4653</v>
      </c>
      <c r="J327" s="151" t="s">
        <v>4599</v>
      </c>
      <c r="K327" s="143" t="s">
        <v>4597</v>
      </c>
      <c r="L327" s="2656" cm="1" t="n">
        <f t="array" ref="L327">INDEX('6층_부하량'!I3:I3000,MATCH(1,("6-DaHall 1-PDU-05"='6층_부하량'!A3:A3000)*(12='6층_부하량'!B3:B3000),0))</f>
        <v>1.3706399795982511</v>
      </c>
      <c r="M327" s="157"/>
      <c r="N327" s="157"/>
      <c r="O327" s="157"/>
      <c r="P327" s="157" t="s">
        <v>4635</v>
      </c>
      <c r="Q327" s="164" t="s">
        <v>4575</v>
      </c>
      <c r="R327" s="342" t="s">
        <v>5450</v>
      </c>
    </row>
    <row r="328" spans="1:18" ht="16.5" x14ac:dyDescent="0.15">
      <c r="A328" s="607" t="s">
        <v>5451</v>
      </c>
      <c r="B328" s="143" t="s">
        <v>4635</v>
      </c>
      <c r="C328" s="164" t="s">
        <v>4575</v>
      </c>
      <c r="D328" s="157"/>
      <c r="E328" s="2656" cm="1" t="n">
        <f t="array" ref="E328">INDEX('6층_부하량'!J3:J3000,MATCH(1,("6-DaHall 1-PDU-05"='6층_부하량'!A3:A3000)*(13='6층_부하량'!B3:B3000),0))</f>
        <v>2.157735109808472</v>
      </c>
      <c r="F328" s="157"/>
      <c r="G328" s="157"/>
      <c r="H328" s="143" t="s">
        <v>4597</v>
      </c>
      <c r="I328" s="150" t="s">
        <v>4657</v>
      </c>
      <c r="J328" s="155" t="s">
        <v>4601</v>
      </c>
      <c r="K328" s="143" t="s">
        <v>4597</v>
      </c>
      <c r="L328" s="157"/>
      <c r="M328" s="2656" cm="1" t="n">
        <f t="array" ref="M328">INDEX('6층_부하량'!J3:J3000,MATCH(1,("6-DaHall 1-PDU-05"='6층_부하량'!A3:A3000)*(14='6층_부하량'!B3:B3000),0))</f>
        <v>4.642571869055514</v>
      </c>
      <c r="N328" s="157"/>
      <c r="O328" s="157"/>
      <c r="P328" s="157" t="s">
        <v>4635</v>
      </c>
      <c r="Q328" s="164" t="s">
        <v>4575</v>
      </c>
      <c r="R328" s="342" t="s">
        <v>5452</v>
      </c>
    </row>
    <row r="329" spans="1:18" ht="16.5" x14ac:dyDescent="0.15">
      <c r="A329" s="632" t="s">
        <v>5453</v>
      </c>
      <c r="B329" s="143" t="s">
        <v>4635</v>
      </c>
      <c r="C329" s="164" t="s">
        <v>4575</v>
      </c>
      <c r="D329" s="157"/>
      <c r="E329" s="157"/>
      <c r="F329" s="2656" cm="1" t="n">
        <f t="array" ref="F329">INDEX('6층_부하량'!K3:K3000,MATCH(1,("6-DaHall 1-PDU-05"='6층_부하량'!A3:A3000)*(15='6층_부하량'!B3:B3000),0))</f>
        <v>3.4769115196668476</v>
      </c>
      <c r="G329" s="157"/>
      <c r="H329" s="143" t="s">
        <v>4597</v>
      </c>
      <c r="I329" s="150" t="s">
        <v>4661</v>
      </c>
      <c r="J329" s="155" t="s">
        <v>4603</v>
      </c>
      <c r="K329" s="143" t="s">
        <v>4597</v>
      </c>
      <c r="L329" s="157"/>
      <c r="M329" s="157"/>
      <c r="N329" s="2656" cm="1" t="n">
        <f t="array" ref="N329">INDEX('6층_부하량'!K3:K3000,MATCH(1,("6-DaHall 1-PDU-05"='6층_부하량'!A3:A3000)*(16='6층_부하량'!B3:B3000),0))</f>
        <v>3.0141033377941526</v>
      </c>
      <c r="O329" s="157"/>
      <c r="P329" s="157" t="s">
        <v>4635</v>
      </c>
      <c r="Q329" s="164" t="s">
        <v>4575</v>
      </c>
      <c r="R329" s="342" t="s">
        <v>5454</v>
      </c>
    </row>
    <row r="330" spans="1:18" ht="16.5" x14ac:dyDescent="0.15">
      <c r="A330" s="607" t="s">
        <v>5455</v>
      </c>
      <c r="B330" s="143" t="s">
        <v>4635</v>
      </c>
      <c r="C330" s="164" t="s">
        <v>4575</v>
      </c>
      <c r="D330" s="2656" cm="1" t="n">
        <f t="array" ref="D330">INDEX('6층_부하량'!I3:I3000,MATCH(1,("6-DaHall 1-PDU-05"='6층_부하량'!A3:A3000)*(17='6층_부하량'!B3:B3000),0))</f>
        <v>0.9846491174410603</v>
      </c>
      <c r="E330" s="157"/>
      <c r="F330" s="157"/>
      <c r="G330" s="157"/>
      <c r="H330" s="143" t="s">
        <v>4597</v>
      </c>
      <c r="I330" s="150" t="s">
        <v>4665</v>
      </c>
      <c r="J330" s="1460" t="s">
        <v>4605</v>
      </c>
      <c r="K330" s="143" t="s">
        <v>4597</v>
      </c>
      <c r="L330" s="2656" cm="1" t="n">
        <f t="array" ref="L330">INDEX('6층_부하량'!I3:I3000,MATCH(1,("6-DaHall 1-PDU-05"='6층_부하량'!A3:A3000)*(18='6층_부하량'!B3:B3000),0))</f>
        <v>0.6426559962885641</v>
      </c>
      <c r="M330" s="157"/>
      <c r="N330" s="157"/>
      <c r="O330" s="157"/>
      <c r="P330" s="157" t="s">
        <v>4635</v>
      </c>
      <c r="Q330" s="143" t="s">
        <v>4723</v>
      </c>
      <c r="R330" s="153" t="s">
        <v>5456</v>
      </c>
    </row>
    <row r="331" spans="1:18" ht="16.5" x14ac:dyDescent="0.15">
      <c r="A331" s="632" t="s">
        <v>5457</v>
      </c>
      <c r="B331" s="143" t="s">
        <v>4635</v>
      </c>
      <c r="C331" s="164" t="s">
        <v>4575</v>
      </c>
      <c r="D331" s="157"/>
      <c r="E331" s="2656" cm="1" t="n">
        <f t="array" ref="E331">INDEX('6층_부하량'!J3:J3000,MATCH(1,("6-DaHall 1-PDU-05"='6층_부하량'!A3:A3000)*(19='6층_부하량'!B3:B3000),0))</f>
        <v>6.016757214596122</v>
      </c>
      <c r="F331" s="157"/>
      <c r="G331" s="157"/>
      <c r="H331" s="143" t="s">
        <v>4597</v>
      </c>
      <c r="I331" s="150" t="s">
        <v>4670</v>
      </c>
      <c r="J331" s="151" t="s">
        <v>4609</v>
      </c>
      <c r="K331" s="143" t="s">
        <v>4597</v>
      </c>
      <c r="L331" s="157"/>
      <c r="M331" s="2656" cm="1" t="n">
        <f t="array" ref="M331">INDEX('6층_부하량'!J3:J3000,MATCH(1,("6-DaHall 1-PDU-05"='6층_부하량'!A3:A3000)*(20='6층_부하량'!B3:B3000),0))</f>
        <v>1.9901868998014143</v>
      </c>
      <c r="N331" s="157"/>
      <c r="O331" s="157"/>
      <c r="P331" s="157" t="s">
        <v>4635</v>
      </c>
      <c r="Q331" s="164" t="s">
        <v>4575</v>
      </c>
      <c r="R331" s="342" t="s">
        <v>5458</v>
      </c>
    </row>
    <row r="332" spans="1:18" ht="16.5" x14ac:dyDescent="0.15">
      <c r="A332" s="148" t="s">
        <v>5459</v>
      </c>
      <c r="B332" s="143" t="s">
        <v>4635</v>
      </c>
      <c r="C332" s="143" t="s">
        <v>4723</v>
      </c>
      <c r="D332" s="157"/>
      <c r="E332" s="157"/>
      <c r="F332" s="2656" cm="1" t="n">
        <f t="array" ref="F332">INDEX('6층_부하량'!K3:K3000,MATCH(1,("6-DaHall 1-PDU-05"='6층_부하량'!A3:A3000)*(21='6층_부하량'!B3:B3000),0))</f>
        <v>1.7327360623943953</v>
      </c>
      <c r="G332" s="157"/>
      <c r="H332" s="143" t="s">
        <v>4597</v>
      </c>
      <c r="I332" s="1471" t="s">
        <v>4674</v>
      </c>
      <c r="J332" s="151" t="s">
        <v>4613</v>
      </c>
      <c r="K332" s="143" t="s">
        <v>4597</v>
      </c>
      <c r="L332" s="157"/>
      <c r="M332" s="157"/>
      <c r="N332" s="2656" cm="1" t="n">
        <f t="array" ref="N332">INDEX('6층_부하량'!K3:K3000,MATCH(1,("6-DaHall 1-PDU-05"='6층_부하량'!A3:A3000)*(22='6층_부하량'!B3:B3000),0))</f>
        <v>5.458110540472899</v>
      </c>
      <c r="O332" s="157"/>
      <c r="P332" s="157" t="s">
        <v>4635</v>
      </c>
      <c r="Q332" s="164" t="s">
        <v>4575</v>
      </c>
      <c r="R332" s="342" t="s">
        <v>5460</v>
      </c>
    </row>
    <row r="333" spans="1:18" ht="16.5" x14ac:dyDescent="0.15">
      <c r="A333" s="2330" t="s">
        <v>5461</v>
      </c>
      <c r="B333" s="143" t="s">
        <v>4635</v>
      </c>
      <c r="C333" s="164" t="s">
        <v>4575</v>
      </c>
      <c r="D333" s="2656" cm="1" t="n">
        <f t="array" ref="D333">INDEX('6층_부하량'!I3:I3000,MATCH(1,("6-DaHall 1-PDU-05"='6층_부하량'!A3:A3000)*(23='6층_부하량'!B3:B3000),0))</f>
        <v>4.600304043410945</v>
      </c>
      <c r="E333" s="157"/>
      <c r="F333" s="157"/>
      <c r="G333" s="157"/>
      <c r="H333" s="143" t="s">
        <v>4597</v>
      </c>
      <c r="I333" s="150" t="s">
        <v>4678</v>
      </c>
      <c r="J333" s="151" t="s">
        <v>4680</v>
      </c>
      <c r="K333" s="143" t="s">
        <v>4597</v>
      </c>
      <c r="L333" s="2656" cm="1" t="n">
        <f t="array" ref="L333">INDEX('6층_부하량'!I3:I3000,MATCH(1,("6-DaHall 1-PDU-05"='6층_부하량'!A3:A3000)*(24='6층_부하량'!B3:B3000),0))</f>
        <v>3.981119202023048</v>
      </c>
      <c r="M333" s="157"/>
      <c r="N333" s="157"/>
      <c r="O333" s="157"/>
      <c r="P333" s="157" t="s">
        <v>4635</v>
      </c>
      <c r="Q333" s="164" t="s">
        <v>4575</v>
      </c>
      <c r="R333" s="342" t="s">
        <v>5462</v>
      </c>
    </row>
    <row r="334" spans="1:18" ht="16.5" x14ac:dyDescent="0.15">
      <c r="A334" s="607" t="s">
        <v>5463</v>
      </c>
      <c r="B334" s="143" t="s">
        <v>4635</v>
      </c>
      <c r="C334" s="164" t="s">
        <v>4575</v>
      </c>
      <c r="D334" s="157"/>
      <c r="E334" s="2656" cm="1" t="n">
        <f t="array" ref="E334">INDEX('6층_부하량'!J3:J3000,MATCH(1,("6-DaHall 1-PDU-05"='6층_부하량'!A3:A3000)*(25='6층_부하량'!B3:B3000),0))</f>
        <v>4.056361230175299</v>
      </c>
      <c r="F334" s="157"/>
      <c r="G334" s="157"/>
      <c r="H334" s="143" t="s">
        <v>4597</v>
      </c>
      <c r="I334" s="150" t="s">
        <v>4683</v>
      </c>
      <c r="J334" s="151" t="s">
        <v>4685</v>
      </c>
      <c r="K334" s="143" t="s">
        <v>4597</v>
      </c>
      <c r="L334" s="157"/>
      <c r="M334" s="2656" cm="1" t="n">
        <f t="array" ref="M334">INDEX('6층_부하량'!J3:J3000,MATCH(1,("6-DaHall 1-PDU-05"='6층_부하량'!A3:A3000)*(26='6층_부하량'!B3:B3000),0))</f>
        <v>4.0684076382517285</v>
      </c>
      <c r="N334" s="157"/>
      <c r="O334" s="157"/>
      <c r="P334" s="157" t="s">
        <v>4635</v>
      </c>
      <c r="Q334" s="164" t="s">
        <v>4575</v>
      </c>
      <c r="R334" s="342" t="s">
        <v>5464</v>
      </c>
    </row>
    <row r="335" spans="1:18" ht="17.25" thickBot="1" x14ac:dyDescent="0.2">
      <c r="A335" s="623" t="s">
        <v>5465</v>
      </c>
      <c r="B335" s="176" t="s">
        <v>4635</v>
      </c>
      <c r="C335" s="185" t="s">
        <v>4575</v>
      </c>
      <c r="D335" s="177"/>
      <c r="E335" s="177"/>
      <c r="F335" s="2661" cm="1" t="n">
        <f t="array" ref="F335">INDEX('6층_부하량'!K3:K3000,MATCH(1,("6-DaHall 1-PDU-05"='6층_부하량'!A3:A3000)*(27='6층_부하량'!B3:B3000),0))</f>
        <v>3.8297947642080503</v>
      </c>
      <c r="G335" s="177"/>
      <c r="H335" s="176" t="s">
        <v>4597</v>
      </c>
      <c r="I335" s="186" t="s">
        <v>4688</v>
      </c>
      <c r="J335" s="187" t="s">
        <v>4689</v>
      </c>
      <c r="K335" s="176" t="s">
        <v>4597</v>
      </c>
      <c r="L335" s="177"/>
      <c r="M335" s="177"/>
      <c r="N335" s="2661" cm="1" t="n">
        <f t="array" ref="N335">INDEX('6층_부하량'!K3:K3000,MATCH(1,("6-DaHall 1-PDU-05"='6층_부하량'!A3:A3000)*(28='6층_부하량'!B3:B3000),0))</f>
        <v>11.291059469104349</v>
      </c>
      <c r="O335" s="177"/>
      <c r="P335" s="177" t="s">
        <v>4635</v>
      </c>
      <c r="Q335" s="185" t="s">
        <v>4575</v>
      </c>
      <c r="R335" s="477" t="s">
        <v>5466</v>
      </c>
    </row>
    <row r="336" spans="1:18" ht="17.25" thickTop="1" x14ac:dyDescent="0.15">
      <c r="A336" s="632" t="s">
        <v>5467</v>
      </c>
      <c r="B336" s="156" t="s">
        <v>4635</v>
      </c>
      <c r="C336" s="152" t="s">
        <v>4575</v>
      </c>
      <c r="D336" s="2658" cm="1" t="n">
        <f t="array" ref="D336">INDEX('6층_부하량'!I3:I3000,MATCH(1,("6-DaHall 1-PDU-05"='6층_부하량'!A3:A3000)*(29='6층_부하량'!B3:B3000),0))</f>
        <v>3.0855642270049155</v>
      </c>
      <c r="E336" s="179"/>
      <c r="F336" s="179"/>
      <c r="G336" s="179"/>
      <c r="H336" s="156" t="s">
        <v>4597</v>
      </c>
      <c r="I336" s="193" t="s">
        <v>4691</v>
      </c>
      <c r="J336" s="188" t="s">
        <v>4692</v>
      </c>
      <c r="K336" s="156" t="s">
        <v>4597</v>
      </c>
      <c r="L336" s="2658" cm="1" t="n">
        <f t="array" ref="L336">INDEX('6층_부하량'!I3:I3000,MATCH(1,("6-DaHall 1-PDU-05"='6층_부하량'!A3:A3000)*(30='6층_부하량'!B3:B3000),0))</f>
        <v>0.6708666279581109</v>
      </c>
      <c r="M336" s="179"/>
      <c r="N336" s="179"/>
      <c r="O336" s="179"/>
      <c r="P336" s="179" t="s">
        <v>4635</v>
      </c>
      <c r="Q336" s="152" t="s">
        <v>4575</v>
      </c>
      <c r="R336" s="475" t="s">
        <v>5468</v>
      </c>
    </row>
    <row r="337" spans="1:18" ht="16.5" x14ac:dyDescent="0.15">
      <c r="A337" s="607" t="s">
        <v>5469</v>
      </c>
      <c r="B337" s="143" t="s">
        <v>4635</v>
      </c>
      <c r="C337" s="164" t="s">
        <v>4575</v>
      </c>
      <c r="D337" s="157"/>
      <c r="E337" s="2656" cm="1" t="n">
        <f t="array" ref="E337">INDEX('6층_부하량'!J3:J3000,MATCH(1,("6-DaHall 1-PDU-05"='6층_부하량'!A3:A3000)*(31='6층_부하량'!B3:B3000),0))</f>
        <v>1.747170333581677</v>
      </c>
      <c r="F337" s="157"/>
      <c r="G337" s="157"/>
      <c r="H337" s="143" t="s">
        <v>4597</v>
      </c>
      <c r="I337" s="150" t="s">
        <v>4693</v>
      </c>
      <c r="J337" s="151" t="s">
        <v>4694</v>
      </c>
      <c r="K337" s="143" t="s">
        <v>4597</v>
      </c>
      <c r="L337" s="157"/>
      <c r="M337" s="2656" cm="1" t="n">
        <f t="array" ref="M337">INDEX('6층_부하량'!J3:J3000,MATCH(1,("6-DaHall 1-PDU-05"='6층_부하량'!A3:A3000)*(32='6층_부하량'!B3:B3000),0))</f>
        <v>0.8033246306909622</v>
      </c>
      <c r="N337" s="157"/>
      <c r="O337" s="157"/>
      <c r="P337" s="157" t="s">
        <v>4635</v>
      </c>
      <c r="Q337" s="164" t="s">
        <v>4575</v>
      </c>
      <c r="R337" s="342" t="s">
        <v>5470</v>
      </c>
    </row>
    <row r="338" spans="1:18" ht="16.5" x14ac:dyDescent="0.15">
      <c r="A338" s="607" t="s">
        <v>5471</v>
      </c>
      <c r="B338" s="143" t="s">
        <v>4635</v>
      </c>
      <c r="C338" s="164" t="s">
        <v>4575</v>
      </c>
      <c r="D338" s="157"/>
      <c r="E338" s="157"/>
      <c r="F338" s="2656" cm="1" t="n">
        <f t="array" ref="F338">INDEX('6층_부하량'!K3:K3000,MATCH(1,("6-DaHall 1-PDU-05"='6층_부하량'!A3:A3000)*(33='6층_부하량'!B3:B3000),0))</f>
        <v>1.1757908615639248</v>
      </c>
      <c r="G338" s="157"/>
      <c r="H338" s="143" t="s">
        <v>4597</v>
      </c>
      <c r="I338" s="150" t="s">
        <v>4697</v>
      </c>
      <c r="J338" s="151" t="s">
        <v>4698</v>
      </c>
      <c r="K338" s="143" t="s">
        <v>4597</v>
      </c>
      <c r="L338" s="157"/>
      <c r="M338" s="157"/>
      <c r="N338" s="2656" cm="1" t="n">
        <f t="array" ref="N338">INDEX('6층_부하량'!K3:K3000,MATCH(1,("6-DaHall 1-PDU-05"='6층_부하량'!A3:A3000)*(34='6층_부하량'!B3:B3000),0))</f>
        <v>4.603319303668875</v>
      </c>
      <c r="O338" s="157"/>
      <c r="P338" s="157" t="s">
        <v>4635</v>
      </c>
      <c r="Q338" s="164" t="s">
        <v>4575</v>
      </c>
      <c r="R338" s="342" t="s">
        <v>5472</v>
      </c>
    </row>
    <row r="339" spans="1:18" ht="16.5" x14ac:dyDescent="0.15">
      <c r="A339" s="607" t="s">
        <v>5473</v>
      </c>
      <c r="B339" s="143" t="s">
        <v>4635</v>
      </c>
      <c r="C339" s="164" t="s">
        <v>4575</v>
      </c>
      <c r="D339" s="2656" cm="1" t="n">
        <f t="array" ref="D339">INDEX('6층_부하량'!I3:I3000,MATCH(1,("6-DaHall 1-PDU-05"='6층_부하량'!A3:A3000)*(35='6층_부하량'!B3:B3000),0))</f>
        <v>1.2188816967823872</v>
      </c>
      <c r="E339" s="157"/>
      <c r="F339" s="157"/>
      <c r="G339" s="157"/>
      <c r="H339" s="143" t="s">
        <v>4597</v>
      </c>
      <c r="I339" s="293" t="s">
        <v>4701</v>
      </c>
      <c r="J339" s="151" t="s">
        <v>4703</v>
      </c>
      <c r="K339" s="143" t="s">
        <v>4597</v>
      </c>
      <c r="L339" s="2656" cm="1">
        <f t="array" ref="L339">INDEX('6층_부하량'!I3:I3000,MATCH(1,("6-DaHall 1-PDU-05"='6층_부하량'!A3:A3000)*(36='6층_부하량'!B3:B3000),0))</f>
        <v>0</v>
      </c>
      <c r="M339" s="157"/>
      <c r="N339" s="157"/>
      <c r="O339" s="157"/>
      <c r="P339" s="157" t="s">
        <v>4635</v>
      </c>
      <c r="Q339" s="164" t="s">
        <v>4575</v>
      </c>
      <c r="R339" s="342" t="s">
        <v>5474</v>
      </c>
    </row>
    <row r="340" spans="1:18" ht="16.5" x14ac:dyDescent="0.15">
      <c r="A340" s="607" t="s">
        <v>5475</v>
      </c>
      <c r="B340" s="143" t="s">
        <v>4635</v>
      </c>
      <c r="C340" s="164" t="s">
        <v>4575</v>
      </c>
      <c r="D340" s="157"/>
      <c r="E340" s="2664" cm="1" t="n">
        <f t="array" ref="E340">INDEX('6층_부하량'!J3:J3000,MATCH(1,("6-DaHall 1-PDU-05"='6층_부하량'!A3:A3000)*(37='6층_부하량'!B3:B3000),0))</f>
        <v>2.896299747140026</v>
      </c>
      <c r="F340" s="157"/>
      <c r="G340" s="157"/>
      <c r="H340" s="143" t="s">
        <v>4597</v>
      </c>
      <c r="I340" s="293" t="s">
        <v>4706</v>
      </c>
      <c r="J340" s="151" t="s">
        <v>4707</v>
      </c>
      <c r="K340" s="143" t="s">
        <v>4597</v>
      </c>
      <c r="L340" s="157"/>
      <c r="M340" s="2664" cm="1">
        <f t="array" ref="M340">INDEX('6층_부하량'!J3:J3000,MATCH(1,("6-DaHall 1-PDU-05"='6층_부하량'!A3:A3000)*(38='6층_부하량'!B3:B3000),0))</f>
        <v>0</v>
      </c>
      <c r="N340" s="157"/>
      <c r="O340" s="157"/>
      <c r="P340" s="157" t="s">
        <v>4635</v>
      </c>
      <c r="Q340" s="164" t="s">
        <v>4575</v>
      </c>
      <c r="R340" s="342" t="s">
        <v>5476</v>
      </c>
    </row>
    <row r="341" spans="1:18" ht="16.5" x14ac:dyDescent="0.15">
      <c r="A341" s="607" t="s">
        <v>5477</v>
      </c>
      <c r="B341" s="143" t="s">
        <v>4635</v>
      </c>
      <c r="C341" s="164" t="s">
        <v>4575</v>
      </c>
      <c r="D341" s="157"/>
      <c r="E341" s="157"/>
      <c r="F341" s="2656" cm="1" t="n">
        <f t="array" ref="F341">INDEX('6층_부하량'!K3:K3000,MATCH(1,("6-DaHall 1-PDU-05"='6층_부하량'!A3:A3000)*(39='6층_부하량'!B3:B3000),0))</f>
        <v>2.048466671758551</v>
      </c>
      <c r="G341" s="157"/>
      <c r="H341" s="143" t="s">
        <v>4597</v>
      </c>
      <c r="I341" s="293" t="s">
        <v>4710</v>
      </c>
      <c r="J341" s="151" t="s">
        <v>4711</v>
      </c>
      <c r="K341" s="143" t="s">
        <v>4597</v>
      </c>
      <c r="L341" s="157"/>
      <c r="M341" s="157"/>
      <c r="N341" s="2656" cm="1">
        <f t="array" ref="N341">INDEX('6층_부하량'!K3:K3000,MATCH(1,("6-DaHall 1-PDU-05"='6층_부하량'!A3:A3000)*(40='6층_부하량'!B3:B3000),0))</f>
        <v>0</v>
      </c>
      <c r="O341" s="157"/>
      <c r="P341" s="157" t="s">
        <v>4635</v>
      </c>
      <c r="Q341" s="164" t="s">
        <v>4575</v>
      </c>
      <c r="R341" s="633" t="s">
        <v>5478</v>
      </c>
    </row>
    <row r="342" spans="1:18" ht="16.5" x14ac:dyDescent="0.15">
      <c r="A342" s="607" t="s">
        <v>5479</v>
      </c>
      <c r="B342" s="143" t="s">
        <v>4635</v>
      </c>
      <c r="C342" s="164" t="s">
        <v>4575</v>
      </c>
      <c r="D342" s="2656" cm="1" t="n">
        <f t="array" ref="D342">INDEX('6층_부하량'!I3:I3000,MATCH(1,("6-DaHall 1-PDU-05"='6층_부하량'!A3:A3000)*(41='6층_부하량'!B3:B3000),0))</f>
        <v>1.6433896386927698</v>
      </c>
      <c r="E342" s="157"/>
      <c r="F342" s="157"/>
      <c r="G342" s="157"/>
      <c r="H342" s="143" t="s">
        <v>4597</v>
      </c>
      <c r="I342" s="293" t="s">
        <v>5055</v>
      </c>
      <c r="J342" s="151" t="s">
        <v>4843</v>
      </c>
      <c r="K342" s="143" t="s">
        <v>4597</v>
      </c>
      <c r="L342" s="2656" cm="1">
        <f t="array" ref="L342">INDEX('6층_부하량'!I3:I3000,MATCH(1,("6-DaHall 1-PDU-05"='6층_부하량'!A3:A3000)*(42='6층_부하량'!B3:B3000),0))</f>
        <v>0</v>
      </c>
      <c r="M342" s="157"/>
      <c r="N342" s="157"/>
      <c r="O342" s="157"/>
      <c r="P342" s="157" t="s">
        <v>4635</v>
      </c>
      <c r="Q342" s="164" t="s">
        <v>4575</v>
      </c>
      <c r="R342" s="342" t="s">
        <v>5480</v>
      </c>
    </row>
    <row r="343" spans="1:18" ht="16.5" x14ac:dyDescent="0.15">
      <c r="A343" s="607" t="s">
        <v>5481</v>
      </c>
      <c r="B343" s="143" t="s">
        <v>4635</v>
      </c>
      <c r="C343" s="164" t="s">
        <v>4575</v>
      </c>
      <c r="D343" s="157"/>
      <c r="E343" s="2656" cm="1" t="n">
        <f t="array" ref="E343">INDEX('6층_부하량'!J3:J3000,MATCH(1,("6-DaHall 1-PDU-05"='6층_부하량'!A3:A3000)*(43='6층_부하량'!B3:B3000),0))</f>
        <v>5.6121085274497435</v>
      </c>
      <c r="F343" s="157"/>
      <c r="G343" s="157"/>
      <c r="H343" s="143" t="s">
        <v>4597</v>
      </c>
      <c r="I343" s="293" t="s">
        <v>4845</v>
      </c>
      <c r="J343" s="151" t="s">
        <v>4846</v>
      </c>
      <c r="K343" s="143" t="s">
        <v>4597</v>
      </c>
      <c r="L343" s="157"/>
      <c r="M343" s="2656" cm="1">
        <f t="array" ref="M343">INDEX('6층_부하량'!J3:J3000,MATCH(1,("6-DaHall 1-PDU-05"='6층_부하량'!A3:A3000)*(44='6층_부하량'!B3:B3000),0))</f>
        <v>0</v>
      </c>
      <c r="N343" s="157"/>
      <c r="O343" s="157"/>
      <c r="P343" s="157" t="s">
        <v>4635</v>
      </c>
      <c r="Q343" s="164" t="s">
        <v>4575</v>
      </c>
      <c r="R343" s="633" t="s">
        <v>5482</v>
      </c>
    </row>
    <row r="344" spans="1:18" ht="16.5" x14ac:dyDescent="0.15">
      <c r="A344" s="607" t="s">
        <v>5483</v>
      </c>
      <c r="B344" s="143" t="s">
        <v>4635</v>
      </c>
      <c r="C344" s="164" t="s">
        <v>4575</v>
      </c>
      <c r="D344" s="157"/>
      <c r="E344" s="157"/>
      <c r="F344" s="2656" cm="1" t="n">
        <f t="array" ref="F344">INDEX('6층_부하량'!K3:K3000,MATCH(1,("6-DaHall 1-PDU-05"='6층_부하량'!A3:A3000)*(45='6층_부하량'!B3:B3000),0))</f>
        <v>4.832759028573322</v>
      </c>
      <c r="G344" s="157"/>
      <c r="H344" s="143" t="s">
        <v>4597</v>
      </c>
      <c r="I344" s="293" t="s">
        <v>4847</v>
      </c>
      <c r="J344" s="151" t="s">
        <v>4848</v>
      </c>
      <c r="K344" s="143" t="s">
        <v>4597</v>
      </c>
      <c r="L344" s="157"/>
      <c r="M344" s="157"/>
      <c r="N344" s="2656" cm="1">
        <f t="array" ref="N344">INDEX('6층_부하량'!K3:K3000,MATCH(1,("6-DaHall 1-PDU-05"='6층_부하량'!A3:A3000)*(46='6층_부하량'!B3:B3000),0))</f>
        <v>0</v>
      </c>
      <c r="O344" s="157"/>
      <c r="P344" s="157" t="s">
        <v>4635</v>
      </c>
      <c r="Q344" s="164" t="s">
        <v>4575</v>
      </c>
      <c r="R344" s="342" t="s">
        <v>5484</v>
      </c>
    </row>
    <row r="345" spans="1:18" ht="16.5" x14ac:dyDescent="0.15">
      <c r="A345" s="607" t="s">
        <v>5485</v>
      </c>
      <c r="B345" s="143" t="s">
        <v>4635</v>
      </c>
      <c r="C345" s="164" t="s">
        <v>4575</v>
      </c>
      <c r="D345" s="2664" cm="1" t="n">
        <f t="array" ref="D345">INDEX('6층_부하량'!I3:I3000,MATCH(1,("6-DaHall 1-PDU-05"='6층_부하량'!A3:A3000)*(47='6층_부하량'!B3:B3000),0))</f>
        <v>4.058154138543116</v>
      </c>
      <c r="E345" s="157"/>
      <c r="F345" s="157"/>
      <c r="G345" s="157"/>
      <c r="H345" s="143" t="s">
        <v>4597</v>
      </c>
      <c r="I345" s="293" t="s">
        <v>4849</v>
      </c>
      <c r="J345" s="151" t="s">
        <v>4850</v>
      </c>
      <c r="K345" s="143" t="s">
        <v>4597</v>
      </c>
      <c r="L345" s="2664" cm="1">
        <f t="array" ref="L345">INDEX('6층_부하량'!I3:I3000,MATCH(1,("6-DaHall 1-PDU-05"='6층_부하량'!A3:A3000)*(48='6층_부하량'!B3:B3000),0))</f>
        <v>0</v>
      </c>
      <c r="M345" s="157"/>
      <c r="N345" s="157"/>
      <c r="O345" s="157"/>
      <c r="P345" s="157" t="s">
        <v>4635</v>
      </c>
      <c r="Q345" s="164" t="s">
        <v>4575</v>
      </c>
      <c r="R345" s="279" t="s">
        <v>5486</v>
      </c>
    </row>
    <row r="346" spans="1:18" ht="16.5" x14ac:dyDescent="0.15">
      <c r="A346" s="607" t="s">
        <v>5487</v>
      </c>
      <c r="B346" s="143" t="s">
        <v>4635</v>
      </c>
      <c r="C346" s="164" t="s">
        <v>4575</v>
      </c>
      <c r="D346" s="157"/>
      <c r="E346" s="2656" cm="1" t="n">
        <f t="array" ref="E346">INDEX('6층_부하량'!J3:J3000,MATCH(1,("6-DaHall 1-PDU-05"='6층_부하량'!A3:A3000)*(49='6층_부하량'!B3:B3000),0))</f>
        <v>8.007320668488973</v>
      </c>
      <c r="F346" s="157"/>
      <c r="G346" s="157"/>
      <c r="H346" s="143" t="s">
        <v>4597</v>
      </c>
      <c r="I346" s="293" t="s">
        <v>4851</v>
      </c>
      <c r="J346" s="1463" t="s">
        <v>4852</v>
      </c>
      <c r="K346" s="143" t="s">
        <v>4597</v>
      </c>
      <c r="L346" s="157"/>
      <c r="M346" s="2656" cm="1">
        <f t="array" ref="M346">INDEX('6층_부하량'!J3:J3000,MATCH(1,("6-DaHall 1-PDU-05"='6층_부하량'!A3:A3000)*(50='6층_부하량'!B3:B3000),0))</f>
        <v>0</v>
      </c>
      <c r="N346" s="157"/>
      <c r="O346" s="157"/>
      <c r="P346" s="157" t="s">
        <v>4635</v>
      </c>
      <c r="Q346" s="164" t="s">
        <v>4575</v>
      </c>
      <c r="R346" s="264" t="s">
        <v>5488</v>
      </c>
    </row>
    <row r="347" spans="1:18" ht="16.5" x14ac:dyDescent="0.15">
      <c r="A347" s="607" t="s">
        <v>5489</v>
      </c>
      <c r="B347" s="143" t="s">
        <v>4635</v>
      </c>
      <c r="C347" s="164" t="s">
        <v>4575</v>
      </c>
      <c r="D347" s="157"/>
      <c r="E347" s="157"/>
      <c r="F347" s="2664" cm="1" t="n">
        <f t="array" ref="F347">INDEX('6층_부하량'!K3:K3000,MATCH(1,("6-DaHall 1-PDU-05"='6층_부하량'!A3:A3000)*(51='6층_부하량'!B3:B3000),0))</f>
        <v>3.9896537291310765</v>
      </c>
      <c r="G347" s="157"/>
      <c r="H347" s="143" t="s">
        <v>4597</v>
      </c>
      <c r="I347" s="293" t="s">
        <v>4791</v>
      </c>
      <c r="J347" s="1460" t="s">
        <v>4793</v>
      </c>
      <c r="K347" s="143" t="s">
        <v>4597</v>
      </c>
      <c r="L347" s="157"/>
      <c r="M347" s="157"/>
      <c r="N347" s="2664" cm="1">
        <f t="array" ref="N347">INDEX('6층_부하량'!K3:K3000,MATCH(1,("6-DaHall 1-PDU-05"='6층_부하량'!A3:A3000)*(52='6층_부하량'!B3:B3000),0))</f>
        <v>0</v>
      </c>
      <c r="O347" s="157"/>
      <c r="P347" s="157" t="s">
        <v>4635</v>
      </c>
      <c r="Q347" s="143" t="s">
        <v>4723</v>
      </c>
      <c r="R347" s="183" t="s">
        <v>5490</v>
      </c>
    </row>
    <row r="348" spans="1:18" ht="17.25" thickBot="1" x14ac:dyDescent="0.2">
      <c r="A348" s="275" t="s">
        <v>5491</v>
      </c>
      <c r="B348" s="166" t="s">
        <v>4635</v>
      </c>
      <c r="C348" s="184" t="s">
        <v>4575</v>
      </c>
      <c r="D348" s="2668" cm="1" t="n">
        <f t="array" ref="D348">INDEX('6층_부하량'!I3:I3000,MATCH(1,("6-DaHall 1-PDU-05"='6층_부하량'!A3:A3000)*(53='6층_부하량'!B3:B3000),0))</f>
        <v>5.393365032462852</v>
      </c>
      <c r="E348" s="167"/>
      <c r="F348" s="167"/>
      <c r="G348" s="167"/>
      <c r="H348" s="166" t="s">
        <v>4597</v>
      </c>
      <c r="I348" s="300" t="s">
        <v>4796</v>
      </c>
      <c r="J348" s="169" t="s">
        <v>4797</v>
      </c>
      <c r="K348" s="166" t="s">
        <v>4597</v>
      </c>
      <c r="L348" s="2668" cm="1" t="n">
        <f t="array" ref="L348">INDEX('6층_부하량'!I3:I3000,MATCH(1,("6-DaHall 1-PDU-05"='6층_부하량'!A3:A3000)*(54='6층_부하량'!B3:B3000),0))</f>
        <v>4.220377321272683</v>
      </c>
      <c r="M348" s="167"/>
      <c r="N348" s="167"/>
      <c r="O348" s="167"/>
      <c r="P348" s="166" t="s">
        <v>4635</v>
      </c>
      <c r="Q348" s="184" t="s">
        <v>4575</v>
      </c>
      <c r="R348" s="325" t="s">
        <v>5492</v>
      </c>
    </row>
    <row r="349" spans="1:18" ht="14.25" thickTop="1" x14ac:dyDescent="0.15">
      <c r="A349" s="171"/>
      <c r="B349" s="133"/>
      <c r="C349" s="133"/>
      <c r="D349" s="131"/>
      <c r="E349" s="131"/>
      <c r="F349" s="131"/>
      <c r="G349" s="131"/>
      <c r="H349" s="133"/>
      <c r="I349" s="172"/>
      <c r="J349" s="172"/>
      <c r="K349" s="133" t="s">
        <v>4713</v>
      </c>
      <c r="L349" s="131" t="n">
        <f>SUM(D322:D348,L322:L348)</f>
        <v>34.45028520658699</v>
      </c>
      <c r="M349" s="131" t="n">
        <f>SUM(E322:E348,M322:M348)</f>
        <v>58.02372723833716</v>
      </c>
      <c r="N349" s="131" t="n">
        <f>SUM(F322:F348,N322:N348)</f>
        <v>52.212749586341815</v>
      </c>
      <c r="O349" s="131"/>
      <c r="P349" s="131"/>
      <c r="Q349" s="133"/>
      <c r="R349" s="131"/>
    </row>
    <row r="350" spans="1:18" ht="14.25" thickBot="1" x14ac:dyDescent="0.2">
      <c r="A350" s="128"/>
      <c r="B350" s="128"/>
      <c r="C350" s="128"/>
      <c r="D350" s="128"/>
      <c r="E350" s="128"/>
      <c r="F350" s="128"/>
      <c r="G350" s="128"/>
      <c r="H350" s="128"/>
      <c r="I350" s="128"/>
      <c r="J350" s="128"/>
      <c r="K350" s="128"/>
      <c r="L350" s="128"/>
      <c r="M350" s="128"/>
      <c r="N350" s="128"/>
      <c r="O350" s="128"/>
      <c r="P350" s="128"/>
      <c r="Q350" s="128"/>
      <c r="R350" s="128"/>
    </row>
    <row r="351" spans="1:18" ht="15" thickTop="1" thickBot="1" x14ac:dyDescent="0.2">
      <c r="A351" s="173" t="s">
        <v>7008</v>
      </c>
      <c r="B351" s="128"/>
      <c r="C351" s="3660" t="s">
        <v>5493</v>
      </c>
      <c r="D351" s="3660"/>
      <c r="E351" s="3660"/>
      <c r="F351" s="173"/>
      <c r="G351" s="173"/>
      <c r="H351" s="133"/>
      <c r="I351" s="3665" t="s">
        <v>4715</v>
      </c>
      <c r="J351" s="3666"/>
      <c r="K351" s="133"/>
      <c r="L351" s="173"/>
      <c r="M351" s="173"/>
      <c r="N351" s="173"/>
      <c r="O351" s="173"/>
      <c r="P351" s="173"/>
      <c r="Q351" s="173"/>
      <c r="R351" s="128"/>
    </row>
    <row r="352" spans="1:18" ht="15" thickTop="1" thickBot="1" x14ac:dyDescent="0.2">
      <c r="A352" s="127"/>
      <c r="B352" s="128"/>
      <c r="C352" s="128"/>
      <c r="D352" s="129"/>
      <c r="E352" s="129"/>
      <c r="F352" s="130"/>
      <c r="G352" s="129"/>
      <c r="H352" s="131"/>
      <c r="I352" s="128"/>
      <c r="J352" s="132"/>
      <c r="K352" s="1371" t="s">
        <v>4562</v>
      </c>
      <c r="L352" s="1368">
        <v>12.5</v>
      </c>
      <c r="M352" s="1369">
        <v>37.1</v>
      </c>
      <c r="N352" s="1370">
        <v>24.7</v>
      </c>
      <c r="O352" s="508" t="s">
        <v>4563</v>
      </c>
      <c r="P352" s="133"/>
      <c r="Q352" s="128"/>
      <c r="R352" s="528"/>
    </row>
    <row r="353" spans="1:18" ht="15" thickTop="1" thickBot="1" x14ac:dyDescent="0.2">
      <c r="A353" s="134" t="s">
        <v>4564</v>
      </c>
      <c r="B353" s="135" t="s">
        <v>5031</v>
      </c>
      <c r="C353" s="136" t="s">
        <v>4566</v>
      </c>
      <c r="D353" s="135" t="s">
        <v>5032</v>
      </c>
      <c r="E353" s="135" t="s">
        <v>5033</v>
      </c>
      <c r="F353" s="135" t="s">
        <v>5034</v>
      </c>
      <c r="G353" s="135" t="s">
        <v>5035</v>
      </c>
      <c r="H353" s="135" t="s">
        <v>5036</v>
      </c>
      <c r="I353" s="138" t="s">
        <v>5037</v>
      </c>
      <c r="J353" s="139" t="s">
        <v>5037</v>
      </c>
      <c r="K353" s="135" t="s">
        <v>5036</v>
      </c>
      <c r="L353" s="135" t="s">
        <v>5032</v>
      </c>
      <c r="M353" s="135" t="s">
        <v>5033</v>
      </c>
      <c r="N353" s="135" t="s">
        <v>5034</v>
      </c>
      <c r="O353" s="135" t="s">
        <v>5035</v>
      </c>
      <c r="P353" s="135" t="s">
        <v>5031</v>
      </c>
      <c r="Q353" s="136" t="s">
        <v>4566</v>
      </c>
      <c r="R353" s="140" t="s">
        <v>4564</v>
      </c>
    </row>
    <row r="354" spans="1:18" ht="17.25" thickTop="1" x14ac:dyDescent="0.15">
      <c r="A354" s="277" t="s">
        <v>5494</v>
      </c>
      <c r="B354" s="142" t="s">
        <v>4635</v>
      </c>
      <c r="C354" s="164" t="s">
        <v>4575</v>
      </c>
      <c r="D354" s="144"/>
      <c r="E354" s="2654" cm="1">
        <f t="array" ref="E354">INDEX('6층_부하량'!J3:J3000,MATCH(1,("6-DaHall 1-PDU-06"='6층_부하량'!A3:A3000)*(1='6층_부하량'!B3:B3000),0))</f>
        <v>0</v>
      </c>
      <c r="F354" s="144"/>
      <c r="G354" s="144"/>
      <c r="H354" s="142" t="s">
        <v>4597</v>
      </c>
      <c r="I354" s="145" t="s">
        <v>4633</v>
      </c>
      <c r="J354" s="146" t="s">
        <v>4578</v>
      </c>
      <c r="K354" s="142" t="s">
        <v>4597</v>
      </c>
      <c r="L354" s="144"/>
      <c r="M354" s="2654" cm="1" t="n">
        <f t="array" ref="M354">INDEX('6층_부하량'!J3:J3000,MATCH(1,("6-DaHall 1-PDU-06"='6층_부하량'!A3:A3000)*(2='6층_부하량'!B3:B3000),0))</f>
        <v>10.169192931811594</v>
      </c>
      <c r="N354" s="144"/>
      <c r="O354" s="144"/>
      <c r="P354" s="142" t="s">
        <v>4635</v>
      </c>
      <c r="Q354" s="152" t="s">
        <v>4575</v>
      </c>
      <c r="R354" s="618" t="s">
        <v>5495</v>
      </c>
    </row>
    <row r="355" spans="1:18" ht="16.5" x14ac:dyDescent="0.15">
      <c r="A355" s="278" t="s">
        <v>5496</v>
      </c>
      <c r="B355" s="143" t="s">
        <v>4635</v>
      </c>
      <c r="C355" s="164" t="s">
        <v>4575</v>
      </c>
      <c r="D355" s="149"/>
      <c r="E355" s="149"/>
      <c r="F355" s="2655" cm="1">
        <f t="array" ref="F355">INDEX('6층_부하량'!K3:K3000,MATCH(1,("6-DaHall 1-PDU-06"='6층_부하량'!A3:A3000)*(3='6층_부하량'!B3:B3000),0))</f>
        <v>0</v>
      </c>
      <c r="G355" s="149"/>
      <c r="H355" s="143" t="s">
        <v>4597</v>
      </c>
      <c r="I355" s="150" t="s">
        <v>4638</v>
      </c>
      <c r="J355" s="151" t="s">
        <v>4583</v>
      </c>
      <c r="K355" s="143" t="s">
        <v>4597</v>
      </c>
      <c r="L355" s="149"/>
      <c r="M355" s="149"/>
      <c r="N355" s="2655" cm="1" t="n">
        <f t="array" ref="N355">INDEX('6층_부하량'!K3:K3000,MATCH(1,("6-DaHall 1-PDU-06"='6층_부하량'!A3:A3000)*(4='6층_부하량'!B3:B3000),0))</f>
        <v>3.9770839679891967</v>
      </c>
      <c r="O355" s="149"/>
      <c r="P355" s="149" t="s">
        <v>4635</v>
      </c>
      <c r="Q355" s="164" t="s">
        <v>4575</v>
      </c>
      <c r="R355" s="342" t="s">
        <v>5497</v>
      </c>
    </row>
    <row r="356" spans="1:18" ht="16.5" x14ac:dyDescent="0.15">
      <c r="A356" s="148" t="s">
        <v>5498</v>
      </c>
      <c r="B356" s="143" t="s">
        <v>4635</v>
      </c>
      <c r="C356" s="143" t="s">
        <v>4723</v>
      </c>
      <c r="D356" s="2656" cm="1">
        <f t="array" ref="D356">INDEX('6층_부하량'!I3:I3000,MATCH(1,("6-DaHall 1-PDU-06"='6층_부하량'!A3:A3000)*(5='6층_부하량'!B3:B3000),0))</f>
        <v>0</v>
      </c>
      <c r="E356" s="157"/>
      <c r="F356" s="157"/>
      <c r="G356" s="157"/>
      <c r="H356" s="143" t="s">
        <v>4597</v>
      </c>
      <c r="I356" s="1465" t="s">
        <v>4641</v>
      </c>
      <c r="J356" s="151" t="s">
        <v>4588</v>
      </c>
      <c r="K356" s="143" t="s">
        <v>4597</v>
      </c>
      <c r="L356" s="2656" cm="1" t="n">
        <f t="array" ref="L356">INDEX('6층_부하량'!I3:I3000,MATCH(1,("6-DaHall 1-PDU-06"='6층_부하량'!A3:A3000)*(6='6층_부하량'!B3:B3000),0))</f>
        <v>0.91603646536539</v>
      </c>
      <c r="M356" s="157"/>
      <c r="N356" s="157"/>
      <c r="O356" s="157"/>
      <c r="P356" s="157" t="s">
        <v>4635</v>
      </c>
      <c r="Q356" s="164" t="s">
        <v>4575</v>
      </c>
      <c r="R356" s="342" t="s">
        <v>5499</v>
      </c>
    </row>
    <row r="357" spans="1:18" ht="16.5" x14ac:dyDescent="0.15">
      <c r="A357" s="260" t="s">
        <v>5500</v>
      </c>
      <c r="B357" s="143" t="s">
        <v>4635</v>
      </c>
      <c r="C357" s="164" t="s">
        <v>4575</v>
      </c>
      <c r="D357" s="157"/>
      <c r="E357" s="2656" cm="1" t="n">
        <f t="array" ref="E357">INDEX('6층_부하량'!J3:J3000,MATCH(1,("6-DaHall 1-PDU-06"='6층_부하량'!A3:A3000)*(7='6층_부하량'!B3:B3000),0))</f>
        <v>3.3355694378171914</v>
      </c>
      <c r="F357" s="157"/>
      <c r="G357" s="157"/>
      <c r="H357" s="143" t="s">
        <v>4597</v>
      </c>
      <c r="I357" s="150" t="s">
        <v>4645</v>
      </c>
      <c r="J357" s="151" t="s">
        <v>4593</v>
      </c>
      <c r="K357" s="143" t="s">
        <v>4597</v>
      </c>
      <c r="L357" s="157"/>
      <c r="M357" s="2656" cm="1" t="n">
        <f t="array" ref="M357">INDEX('6층_부하량'!J3:J3000,MATCH(1,("6-DaHall 1-PDU-06"='6층_부하량'!A3:A3000)*(8='6층_부하량'!B3:B3000),0))</f>
        <v>3.354490991593231</v>
      </c>
      <c r="N357" s="157"/>
      <c r="O357" s="157"/>
      <c r="P357" s="157" t="s">
        <v>4635</v>
      </c>
      <c r="Q357" s="164" t="s">
        <v>4575</v>
      </c>
      <c r="R357" s="342" t="s">
        <v>5501</v>
      </c>
    </row>
    <row r="358" spans="1:18" ht="16.5" x14ac:dyDescent="0.15">
      <c r="A358" s="258" t="s">
        <v>2436</v>
      </c>
      <c r="B358" s="143" t="s">
        <v>4635</v>
      </c>
      <c r="C358" s="164" t="s">
        <v>4575</v>
      </c>
      <c r="D358" s="157"/>
      <c r="E358" s="157"/>
      <c r="F358" s="2656" cm="1" t="n">
        <f t="array" ref="F358">INDEX('6층_부하량'!K3:K3000,MATCH(1,("6-DaHall 1-PDU-06"='6층_부하량'!A3:A3000)*(9='6층_부하량'!B3:B3000),0))</f>
        <v>0.855618565758128</v>
      </c>
      <c r="G358" s="157"/>
      <c r="H358" s="143" t="s">
        <v>4597</v>
      </c>
      <c r="I358" s="150" t="s">
        <v>4648</v>
      </c>
      <c r="J358" s="151" t="s">
        <v>4596</v>
      </c>
      <c r="K358" s="143" t="s">
        <v>4597</v>
      </c>
      <c r="L358" s="157"/>
      <c r="M358" s="157"/>
      <c r="N358" s="2656" cm="1" t="n">
        <f t="array" ref="N358">INDEX('6층_부하량'!K3:K3000,MATCH(1,("6-DaHall 1-PDU-06"='6층_부하량'!A3:A3000)*(10='6층_부하량'!B3:B3000),0))</f>
        <v>0.525556811340634</v>
      </c>
      <c r="O358" s="157"/>
      <c r="P358" s="157" t="s">
        <v>4635</v>
      </c>
      <c r="Q358" s="164" t="s">
        <v>4575</v>
      </c>
      <c r="R358" s="342" t="s">
        <v>5502</v>
      </c>
    </row>
    <row r="359" spans="1:18" ht="16.5" x14ac:dyDescent="0.15">
      <c r="A359" s="632" t="s">
        <v>5503</v>
      </c>
      <c r="B359" s="143" t="s">
        <v>4635</v>
      </c>
      <c r="C359" s="164" t="s">
        <v>4575</v>
      </c>
      <c r="D359" s="2656" cm="1" t="n">
        <f t="array" ref="D359">INDEX('6층_부하량'!I3:I3000,MATCH(1,("6-DaHall 1-PDU-06"='6층_부하량'!A3:A3000)*(11='6층_부하량'!B3:B3000),0))</f>
        <v>1.844045002231885</v>
      </c>
      <c r="E359" s="157"/>
      <c r="F359" s="157"/>
      <c r="G359" s="157"/>
      <c r="H359" s="143" t="s">
        <v>4597</v>
      </c>
      <c r="I359" s="150" t="s">
        <v>4653</v>
      </c>
      <c r="J359" s="151" t="s">
        <v>4599</v>
      </c>
      <c r="K359" s="143" t="s">
        <v>4597</v>
      </c>
      <c r="L359" s="2656" cm="1">
        <f t="array" ref="L359">INDEX('6층_부하량'!I3:I3000,MATCH(1,("6-DaHall 1-PDU-06"='6층_부하량'!A3:A3000)*(12='6층_부하량'!B3:B3000),0))</f>
        <v>0</v>
      </c>
      <c r="M359" s="157"/>
      <c r="N359" s="157"/>
      <c r="O359" s="157"/>
      <c r="P359" s="157" t="s">
        <v>4635</v>
      </c>
      <c r="Q359" s="164" t="s">
        <v>4575</v>
      </c>
      <c r="R359" s="342" t="s">
        <v>5504</v>
      </c>
    </row>
    <row r="360" spans="1:18" ht="16.5" x14ac:dyDescent="0.15">
      <c r="A360" s="607" t="s">
        <v>5505</v>
      </c>
      <c r="B360" s="143" t="s">
        <v>4635</v>
      </c>
      <c r="C360" s="164" t="s">
        <v>4575</v>
      </c>
      <c r="D360" s="157"/>
      <c r="E360" s="2656" cm="1" t="n">
        <f t="array" ref="E360">INDEX('6층_부하량'!J3:J3000,MATCH(1,("6-DaHall 1-PDU-06"='6층_부하량'!A3:A3000)*(13='6층_부하량'!B3:B3000),0))</f>
        <v>3.296479507291262</v>
      </c>
      <c r="F360" s="157"/>
      <c r="G360" s="157"/>
      <c r="H360" s="143" t="s">
        <v>4597</v>
      </c>
      <c r="I360" s="150" t="s">
        <v>4657</v>
      </c>
      <c r="J360" s="155" t="s">
        <v>4601</v>
      </c>
      <c r="K360" s="143" t="s">
        <v>4597</v>
      </c>
      <c r="L360" s="157"/>
      <c r="M360" s="2656" cm="1" t="n">
        <f t="array" ref="M360">INDEX('6층_부하량'!J3:J3000,MATCH(1,("6-DaHall 1-PDU-06"='6층_부하량'!A3:A3000)*(14='6층_부하량'!B3:B3000),0))</f>
        <v>2.899333633533138</v>
      </c>
      <c r="N360" s="157"/>
      <c r="O360" s="157"/>
      <c r="P360" s="157" t="s">
        <v>4635</v>
      </c>
      <c r="Q360" s="164" t="s">
        <v>4575</v>
      </c>
      <c r="R360" s="342" t="s">
        <v>5506</v>
      </c>
    </row>
    <row r="361" spans="1:18" ht="16.5" x14ac:dyDescent="0.15">
      <c r="A361" s="632" t="s">
        <v>5507</v>
      </c>
      <c r="B361" s="143" t="s">
        <v>4635</v>
      </c>
      <c r="C361" s="164" t="s">
        <v>4575</v>
      </c>
      <c r="D361" s="157"/>
      <c r="E361" s="157"/>
      <c r="F361" s="2656" cm="1" t="n">
        <f t="array" ref="F361">INDEX('6층_부하량'!K3:K3000,MATCH(1,("6-DaHall 1-PDU-06"='6층_부하량'!A3:A3000)*(15='6층_부하량'!B3:B3000),0))</f>
        <v>2.8371860546714234</v>
      </c>
      <c r="G361" s="157"/>
      <c r="H361" s="143" t="s">
        <v>4597</v>
      </c>
      <c r="I361" s="150" t="s">
        <v>4661</v>
      </c>
      <c r="J361" s="155" t="s">
        <v>4603</v>
      </c>
      <c r="K361" s="143" t="s">
        <v>4597</v>
      </c>
      <c r="L361" s="157"/>
      <c r="M361" s="157"/>
      <c r="N361" s="2656" cm="1" t="n">
        <f t="array" ref="N361">INDEX('6층_부하량'!K3:K3000,MATCH(1,("6-DaHall 1-PDU-06"='6층_부하량'!A3:A3000)*(16='6층_부하량'!B3:B3000),0))</f>
        <v>3.5159798181865822</v>
      </c>
      <c r="O361" s="157"/>
      <c r="P361" s="157" t="s">
        <v>4635</v>
      </c>
      <c r="Q361" s="164" t="s">
        <v>4575</v>
      </c>
      <c r="R361" s="342" t="s">
        <v>5508</v>
      </c>
    </row>
    <row r="362" spans="1:18" ht="16.5" x14ac:dyDescent="0.15">
      <c r="A362" s="607" t="s">
        <v>5509</v>
      </c>
      <c r="B362" s="143" t="s">
        <v>4635</v>
      </c>
      <c r="C362" s="164" t="s">
        <v>4575</v>
      </c>
      <c r="D362" s="2656" cm="1" t="n">
        <f t="array" ref="D362">INDEX('6층_부하량'!I3:I3000,MATCH(1,("6-DaHall 1-PDU-06"='6층_부하량'!A3:A3000)*(17='6층_부하량'!B3:B3000),0))</f>
        <v>0.9603581504804399</v>
      </c>
      <c r="E362" s="157"/>
      <c r="F362" s="157"/>
      <c r="G362" s="157"/>
      <c r="H362" s="143" t="s">
        <v>4597</v>
      </c>
      <c r="I362" s="150" t="s">
        <v>4665</v>
      </c>
      <c r="J362" s="1460" t="s">
        <v>4605</v>
      </c>
      <c r="K362" s="143" t="s">
        <v>4597</v>
      </c>
      <c r="L362" s="2656" cm="1" t="n">
        <f t="array" ref="L362">INDEX('6층_부하량'!I3:I3000,MATCH(1,("6-DaHall 1-PDU-06"='6층_부하량'!A3:A3000)*(18='6층_부하량'!B3:B3000),0))</f>
        <v>0.36841879350348045</v>
      </c>
      <c r="M362" s="157"/>
      <c r="N362" s="157"/>
      <c r="O362" s="157"/>
      <c r="P362" s="157" t="s">
        <v>4635</v>
      </c>
      <c r="Q362" s="143" t="s">
        <v>4723</v>
      </c>
      <c r="R362" s="153" t="s">
        <v>5510</v>
      </c>
    </row>
    <row r="363" spans="1:18" ht="16.5" x14ac:dyDescent="0.15">
      <c r="A363" s="632" t="s">
        <v>5511</v>
      </c>
      <c r="B363" s="143" t="s">
        <v>4635</v>
      </c>
      <c r="C363" s="164" t="s">
        <v>4575</v>
      </c>
      <c r="D363" s="157"/>
      <c r="E363" s="2656" cm="1" t="n">
        <f t="array" ref="E363">INDEX('6층_부하량'!J3:J3000,MATCH(1,("6-DaHall 1-PDU-06"='6층_부하량'!A3:A3000)*(19='6층_부하량'!B3:B3000),0))</f>
        <v>6.257557258402925</v>
      </c>
      <c r="F363" s="157"/>
      <c r="G363" s="157"/>
      <c r="H363" s="143" t="s">
        <v>4597</v>
      </c>
      <c r="I363" s="150" t="s">
        <v>4670</v>
      </c>
      <c r="J363" s="1463" t="s">
        <v>4609</v>
      </c>
      <c r="K363" s="143" t="s">
        <v>4597</v>
      </c>
      <c r="L363" s="157"/>
      <c r="M363" s="2656" cm="1" t="n">
        <f t="array" ref="M363">INDEX('6층_부하량'!J3:J3000,MATCH(1,("6-DaHall 1-PDU-06"='6층_부하량'!A3:A3000)*(20='6층_부하량'!B3:B3000),0))</f>
        <v>1.810296220005115</v>
      </c>
      <c r="N363" s="157"/>
      <c r="O363" s="157"/>
      <c r="P363" s="157" t="s">
        <v>4635</v>
      </c>
      <c r="Q363" s="164" t="s">
        <v>4575</v>
      </c>
      <c r="R363" s="342" t="s">
        <v>5512</v>
      </c>
    </row>
    <row r="364" spans="1:18" ht="16.5" x14ac:dyDescent="0.15">
      <c r="A364" s="148" t="s">
        <v>5513</v>
      </c>
      <c r="B364" s="143" t="s">
        <v>4635</v>
      </c>
      <c r="C364" s="143" t="s">
        <v>4723</v>
      </c>
      <c r="D364" s="157"/>
      <c r="E364" s="157"/>
      <c r="F364" s="2656" cm="1" t="n">
        <f t="array" ref="F364">INDEX('6층_부하량'!K3:K3000,MATCH(1,("6-DaHall 1-PDU-06"='6층_부하량'!A3:A3000)*(21='6층_부하량'!B3:B3000),0))</f>
        <v>0.3586134723521153</v>
      </c>
      <c r="G364" s="157"/>
      <c r="H364" s="143" t="s">
        <v>4597</v>
      </c>
      <c r="I364" s="1465" t="s">
        <v>4674</v>
      </c>
      <c r="J364" s="1463" t="s">
        <v>4613</v>
      </c>
      <c r="K364" s="143" t="s">
        <v>4597</v>
      </c>
      <c r="L364" s="157"/>
      <c r="M364" s="157"/>
      <c r="N364" s="2656" cm="1" t="n">
        <f t="array" ref="N364">INDEX('6층_부하량'!K3:K3000,MATCH(1,("6-DaHall 1-PDU-06"='6층_부하량'!A3:A3000)*(22='6층_부하량'!B3:B3000),0))</f>
        <v>4.6349360958656165</v>
      </c>
      <c r="O364" s="157"/>
      <c r="P364" s="157" t="s">
        <v>4635</v>
      </c>
      <c r="Q364" s="164" t="s">
        <v>4575</v>
      </c>
      <c r="R364" s="342" t="s">
        <v>5514</v>
      </c>
    </row>
    <row r="365" spans="1:18" ht="16.5" x14ac:dyDescent="0.15">
      <c r="A365" s="2330" t="s">
        <v>5515</v>
      </c>
      <c r="B365" s="143" t="s">
        <v>4635</v>
      </c>
      <c r="C365" s="164" t="s">
        <v>4575</v>
      </c>
      <c r="D365" s="2656" cm="1" t="n">
        <f t="array" ref="D365">INDEX('6층_부하량'!I3:I3000,MATCH(1,("6-DaHall 1-PDU-06"='6층_부하량'!A3:A3000)*(23='6층_부하량'!B3:B3000),0))</f>
        <v>4.679894708461411</v>
      </c>
      <c r="E365" s="157"/>
      <c r="F365" s="157"/>
      <c r="G365" s="157"/>
      <c r="H365" s="143" t="s">
        <v>4597</v>
      </c>
      <c r="I365" s="150" t="s">
        <v>4678</v>
      </c>
      <c r="J365" s="1463" t="s">
        <v>4680</v>
      </c>
      <c r="K365" s="143" t="s">
        <v>4597</v>
      </c>
      <c r="L365" s="2656" cm="1" t="n">
        <f t="array" ref="L365">INDEX('6층_부하량'!I3:I3000,MATCH(1,("6-DaHall 1-PDU-06"='6층_부하량'!A3:A3000)*(24='6층_부하량'!B3:B3000),0))</f>
        <v>3.66190963945832</v>
      </c>
      <c r="M365" s="157"/>
      <c r="N365" s="157"/>
      <c r="O365" s="157"/>
      <c r="P365" s="157" t="s">
        <v>4635</v>
      </c>
      <c r="Q365" s="164" t="s">
        <v>4575</v>
      </c>
      <c r="R365" s="342" t="s">
        <v>5516</v>
      </c>
    </row>
    <row r="366" spans="1:18" ht="16.5" x14ac:dyDescent="0.15">
      <c r="A366" s="607" t="s">
        <v>5517</v>
      </c>
      <c r="B366" s="143" t="s">
        <v>4635</v>
      </c>
      <c r="C366" s="164" t="s">
        <v>4575</v>
      </c>
      <c r="D366" s="157"/>
      <c r="E366" s="2656" cm="1" t="n">
        <f t="array" ref="E366">INDEX('6층_부하량'!J3:J3000,MATCH(1,("6-DaHall 1-PDU-06"='6층_부하량'!A3:A3000)*(25='6층_부하량'!B3:B3000),0))</f>
        <v>2.3915937472663003</v>
      </c>
      <c r="F366" s="157"/>
      <c r="G366" s="157"/>
      <c r="H366" s="143" t="s">
        <v>4597</v>
      </c>
      <c r="I366" s="150" t="s">
        <v>4683</v>
      </c>
      <c r="J366" s="1463" t="s">
        <v>4685</v>
      </c>
      <c r="K366" s="143" t="s">
        <v>4597</v>
      </c>
      <c r="L366" s="157"/>
      <c r="M366" s="2656" cm="1" t="n">
        <f t="array" ref="M366">INDEX('6층_부하량'!J3:J3000,MATCH(1,("6-DaHall 1-PDU-06"='6층_부하량'!A3:A3000)*(26='6층_부하량'!B3:B3000),0))</f>
        <v>4.627262528836272</v>
      </c>
      <c r="N366" s="157"/>
      <c r="O366" s="157"/>
      <c r="P366" s="157" t="s">
        <v>4635</v>
      </c>
      <c r="Q366" s="164" t="s">
        <v>4575</v>
      </c>
      <c r="R366" s="342" t="s">
        <v>5518</v>
      </c>
    </row>
    <row r="367" spans="1:18" ht="17.25" thickBot="1" x14ac:dyDescent="0.2">
      <c r="A367" s="623" t="s">
        <v>5519</v>
      </c>
      <c r="B367" s="176" t="s">
        <v>4635</v>
      </c>
      <c r="C367" s="185" t="s">
        <v>4575</v>
      </c>
      <c r="D367" s="177"/>
      <c r="E367" s="177"/>
      <c r="F367" s="2661" cm="1" t="n">
        <f t="array" ref="F367">INDEX('6층_부하량'!K3:K3000,MATCH(1,("6-DaHall 1-PDU-06"='6층_부하량'!A3:A3000)*(27='6층_부하량'!B3:B3000),0))</f>
        <v>1.7875910226850256</v>
      </c>
      <c r="G367" s="177"/>
      <c r="H367" s="176" t="s">
        <v>4597</v>
      </c>
      <c r="I367" s="186" t="s">
        <v>4688</v>
      </c>
      <c r="J367" s="1477" t="s">
        <v>4689</v>
      </c>
      <c r="K367" s="176" t="s">
        <v>4597</v>
      </c>
      <c r="L367" s="177"/>
      <c r="M367" s="177"/>
      <c r="N367" s="2661" cm="1" t="n">
        <f t="array" ref="N367">INDEX('6층_부하량'!K3:K3000,MATCH(1,("6-DaHall 1-PDU-06"='6층_부하량'!A3:A3000)*(28='6층_부하량'!B3:B3000),0))</f>
        <v>10.200220316751064</v>
      </c>
      <c r="O367" s="177"/>
      <c r="P367" s="177" t="s">
        <v>4635</v>
      </c>
      <c r="Q367" s="185" t="s">
        <v>4575</v>
      </c>
      <c r="R367" s="477" t="s">
        <v>5520</v>
      </c>
    </row>
    <row r="368" spans="1:18" ht="17.25" thickTop="1" x14ac:dyDescent="0.15">
      <c r="A368" s="632" t="s">
        <v>5521</v>
      </c>
      <c r="B368" s="156" t="s">
        <v>4635</v>
      </c>
      <c r="C368" s="152" t="s">
        <v>4575</v>
      </c>
      <c r="D368" s="2658" cm="1" t="n">
        <f t="array" ref="D368">INDEX('6층_부하량'!I3:I3000,MATCH(1,("6-DaHall 1-PDU-06"='6층_부하량'!A3:A3000)*(29='6층_부하량'!B3:B3000),0))</f>
        <v>1.938283441148581</v>
      </c>
      <c r="E368" s="179"/>
      <c r="F368" s="179"/>
      <c r="G368" s="179"/>
      <c r="H368" s="156" t="s">
        <v>4597</v>
      </c>
      <c r="I368" s="193" t="s">
        <v>4691</v>
      </c>
      <c r="J368" s="1474" t="s">
        <v>4692</v>
      </c>
      <c r="K368" s="156" t="s">
        <v>4597</v>
      </c>
      <c r="L368" s="2658" cm="1" t="n">
        <f t="array" ref="L368">INDEX('6층_부하량'!I3:I3000,MATCH(1,("6-DaHall 1-PDU-06"='6층_부하량'!A3:A3000)*(30='6층_부하량'!B3:B3000),0))</f>
        <v>0.6533433738880324</v>
      </c>
      <c r="M368" s="179"/>
      <c r="N368" s="179"/>
      <c r="O368" s="179"/>
      <c r="P368" s="179" t="s">
        <v>4635</v>
      </c>
      <c r="Q368" s="152" t="s">
        <v>4575</v>
      </c>
      <c r="R368" s="475" t="s">
        <v>5522</v>
      </c>
    </row>
    <row r="369" spans="1:18" ht="16.5" x14ac:dyDescent="0.15">
      <c r="A369" s="607" t="s">
        <v>5523</v>
      </c>
      <c r="B369" s="143" t="s">
        <v>4635</v>
      </c>
      <c r="C369" s="164" t="s">
        <v>4575</v>
      </c>
      <c r="D369" s="157"/>
      <c r="E369" s="2656" cm="1" t="n">
        <f t="array" ref="E369">INDEX('6층_부하량'!J3:J3000,MATCH(1,("6-DaHall 1-PDU-06"='6층_부하량'!A3:A3000)*(31='6층_부하량'!B3:B3000),0))</f>
        <v>0.9421666006967918</v>
      </c>
      <c r="F369" s="157"/>
      <c r="G369" s="157"/>
      <c r="H369" s="143" t="s">
        <v>4597</v>
      </c>
      <c r="I369" s="150" t="s">
        <v>4693</v>
      </c>
      <c r="J369" s="1463" t="s">
        <v>4694</v>
      </c>
      <c r="K369" s="143" t="s">
        <v>4597</v>
      </c>
      <c r="L369" s="157"/>
      <c r="M369" s="2656" cm="1" t="n">
        <f t="array" ref="M369">INDEX('6층_부하량'!J3:J3000,MATCH(1,("6-DaHall 1-PDU-06"='6층_부하량'!A3:A3000)*(32='6층_부하량'!B3:B3000),0))</f>
        <v>0.5102239134309489</v>
      </c>
      <c r="N369" s="157"/>
      <c r="O369" s="157"/>
      <c r="P369" s="157" t="s">
        <v>4635</v>
      </c>
      <c r="Q369" s="164" t="s">
        <v>4575</v>
      </c>
      <c r="R369" s="342" t="s">
        <v>5524</v>
      </c>
    </row>
    <row r="370" spans="1:18" ht="16.5" x14ac:dyDescent="0.15">
      <c r="A370" s="607" t="s">
        <v>5525</v>
      </c>
      <c r="B370" s="143" t="s">
        <v>4635</v>
      </c>
      <c r="C370" s="164" t="s">
        <v>4575</v>
      </c>
      <c r="D370" s="157"/>
      <c r="E370" s="157"/>
      <c r="F370" s="2656" cm="1" t="n">
        <f t="array" ref="F370">INDEX('6층_부하량'!K3:K3000,MATCH(1,("6-DaHall 1-PDU-06"='6층_부하량'!A3:A3000)*(33='6층_부하량'!B3:B3000),0))</f>
        <v>1.1484818323195223</v>
      </c>
      <c r="G370" s="157"/>
      <c r="H370" s="143" t="s">
        <v>4597</v>
      </c>
      <c r="I370" s="150" t="s">
        <v>4697</v>
      </c>
      <c r="J370" s="1463" t="s">
        <v>4698</v>
      </c>
      <c r="K370" s="143" t="s">
        <v>4597</v>
      </c>
      <c r="L370" s="157"/>
      <c r="M370" s="157"/>
      <c r="N370" s="2656" cm="1" t="n">
        <f t="array" ref="N370">INDEX('6층_부하량'!K3:K3000,MATCH(1,("6-DaHall 1-PDU-06"='6층_부하량'!A3:A3000)*(34='6층_부하량'!B3:B3000),0))</f>
        <v>3.060201147579967</v>
      </c>
      <c r="O370" s="157"/>
      <c r="P370" s="157" t="s">
        <v>4635</v>
      </c>
      <c r="Q370" s="164" t="s">
        <v>4575</v>
      </c>
      <c r="R370" s="342" t="s">
        <v>5526</v>
      </c>
    </row>
    <row r="371" spans="1:18" ht="16.5" x14ac:dyDescent="0.15">
      <c r="A371" s="607" t="s">
        <v>5527</v>
      </c>
      <c r="B371" s="143" t="s">
        <v>4635</v>
      </c>
      <c r="C371" s="164" t="s">
        <v>4575</v>
      </c>
      <c r="D371" s="2656" cm="1" t="n">
        <f t="array" ref="D371">INDEX('6층_부하량'!I3:I3000,MATCH(1,("6-DaHall 1-PDU-06"='6층_부하량'!A3:A3000)*(35='6층_부하량'!B3:B3000),0))</f>
        <v>1.08423251029554</v>
      </c>
      <c r="E371" s="157"/>
      <c r="F371" s="157"/>
      <c r="G371" s="157"/>
      <c r="H371" s="143" t="s">
        <v>4597</v>
      </c>
      <c r="I371" s="150" t="s">
        <v>4701</v>
      </c>
      <c r="J371" s="1463" t="s">
        <v>4703</v>
      </c>
      <c r="K371" s="143" t="s">
        <v>4597</v>
      </c>
      <c r="L371" s="2656" cm="1">
        <f t="array" ref="L371">INDEX('6층_부하량'!I3:I3000,MATCH(1,("6-DaHall 1-PDU-06"='6층_부하량'!A3:A3000)*(36='6층_부하량'!B3:B3000),0))</f>
        <v>0</v>
      </c>
      <c r="M371" s="157"/>
      <c r="N371" s="157"/>
      <c r="O371" s="157"/>
      <c r="P371" s="157" t="s">
        <v>4635</v>
      </c>
      <c r="Q371" s="164" t="s">
        <v>4575</v>
      </c>
      <c r="R371" s="342" t="s">
        <v>5528</v>
      </c>
    </row>
    <row r="372" spans="1:18" ht="16.5" x14ac:dyDescent="0.15">
      <c r="A372" s="607" t="s">
        <v>5475</v>
      </c>
      <c r="B372" s="143" t="s">
        <v>4635</v>
      </c>
      <c r="C372" s="164" t="s">
        <v>4575</v>
      </c>
      <c r="D372" s="157"/>
      <c r="E372" s="2664" cm="1" t="n">
        <f t="array" ref="E372">INDEX('6층_부하량'!J3:J3000,MATCH(1,("6-DaHall 1-PDU-06"='6층_부하량'!A3:A3000)*(37='6층_부하량'!B3:B3000),0))</f>
        <v>2.7648304260769123</v>
      </c>
      <c r="F372" s="157"/>
      <c r="G372" s="157"/>
      <c r="H372" s="143" t="s">
        <v>4597</v>
      </c>
      <c r="I372" s="150" t="s">
        <v>4706</v>
      </c>
      <c r="J372" s="1463" t="s">
        <v>4707</v>
      </c>
      <c r="K372" s="143" t="s">
        <v>4597</v>
      </c>
      <c r="L372" s="157"/>
      <c r="M372" s="2664" cm="1">
        <f t="array" ref="M372">INDEX('6층_부하량'!J3:J3000,MATCH(1,("6-DaHall 1-PDU-06"='6층_부하량'!A3:A3000)*(38='6층_부하량'!B3:B3000),0))</f>
        <v>0</v>
      </c>
      <c r="N372" s="157"/>
      <c r="O372" s="157"/>
      <c r="P372" s="157" t="s">
        <v>4635</v>
      </c>
      <c r="Q372" s="164" t="s">
        <v>4575</v>
      </c>
      <c r="R372" s="342" t="s">
        <v>5529</v>
      </c>
    </row>
    <row r="373" spans="1:18" ht="16.5" x14ac:dyDescent="0.15">
      <c r="A373" s="607" t="s">
        <v>5477</v>
      </c>
      <c r="B373" s="143" t="s">
        <v>4635</v>
      </c>
      <c r="C373" s="164" t="s">
        <v>4575</v>
      </c>
      <c r="D373" s="157"/>
      <c r="E373" s="157"/>
      <c r="F373" s="2656" cm="1" t="n">
        <f t="array" ref="F373">INDEX('6층_부하량'!K3:K3000,MATCH(1,("6-DaHall 1-PDU-06"='6층_부하량'!A3:A3000)*(39='6층_부하량'!B3:B3000),0))</f>
        <v>1.860547461023661</v>
      </c>
      <c r="G373" s="157"/>
      <c r="H373" s="143" t="s">
        <v>4597</v>
      </c>
      <c r="I373" s="293" t="s">
        <v>4710</v>
      </c>
      <c r="J373" s="1463" t="s">
        <v>4711</v>
      </c>
      <c r="K373" s="143" t="s">
        <v>4597</v>
      </c>
      <c r="L373" s="157"/>
      <c r="M373" s="157"/>
      <c r="N373" s="2656" cm="1">
        <f t="array" ref="N373">INDEX('6층_부하량'!K3:K3000,MATCH(1,("6-DaHall 1-PDU-06"='6층_부하량'!A3:A3000)*(40='6층_부하량'!B3:B3000),0))</f>
        <v>0</v>
      </c>
      <c r="O373" s="157"/>
      <c r="P373" s="157" t="s">
        <v>4635</v>
      </c>
      <c r="Q373" s="164" t="s">
        <v>4575</v>
      </c>
      <c r="R373" s="633" t="s">
        <v>5530</v>
      </c>
    </row>
    <row r="374" spans="1:18" ht="16.5" x14ac:dyDescent="0.15">
      <c r="A374" s="607" t="s">
        <v>5479</v>
      </c>
      <c r="B374" s="143" t="s">
        <v>4635</v>
      </c>
      <c r="C374" s="164" t="s">
        <v>4575</v>
      </c>
      <c r="D374" s="2656" cm="1" t="n">
        <f t="array" ref="D374">INDEX('6층_부하량'!I3:I3000,MATCH(1,("6-DaHall 1-PDU-06"='6층_부하량'!A3:A3000)*(41='6층_부하량'!B3:B3000),0))</f>
        <v>0.5280262912583201</v>
      </c>
      <c r="E374" s="157"/>
      <c r="F374" s="157"/>
      <c r="G374" s="157"/>
      <c r="H374" s="143" t="s">
        <v>4597</v>
      </c>
      <c r="I374" s="293" t="s">
        <v>5055</v>
      </c>
      <c r="J374" s="1463" t="s">
        <v>4843</v>
      </c>
      <c r="K374" s="143" t="s">
        <v>4597</v>
      </c>
      <c r="L374" s="2656" cm="1">
        <f t="array" ref="L374">INDEX('6층_부하량'!I3:I3000,MATCH(1,("6-DaHall 1-PDU-06"='6층_부하량'!A3:A3000)*(42='6층_부하량'!B3:B3000),0))</f>
        <v>0</v>
      </c>
      <c r="M374" s="157"/>
      <c r="N374" s="157"/>
      <c r="O374" s="157"/>
      <c r="P374" s="157" t="s">
        <v>4635</v>
      </c>
      <c r="Q374" s="164" t="s">
        <v>4575</v>
      </c>
      <c r="R374" s="342" t="s">
        <v>5531</v>
      </c>
    </row>
    <row r="375" spans="1:18" ht="16.5" x14ac:dyDescent="0.15">
      <c r="A375" s="607" t="s">
        <v>5481</v>
      </c>
      <c r="B375" s="143" t="s">
        <v>4635</v>
      </c>
      <c r="C375" s="164" t="s">
        <v>4575</v>
      </c>
      <c r="D375" s="157"/>
      <c r="E375" s="2656" cm="1" t="n">
        <f t="array" ref="E375">INDEX('6층_부하량'!J3:J3000,MATCH(1,("6-DaHall 1-PDU-06"='6층_부하량'!A3:A3000)*(43='6층_부하량'!B3:B3000),0))</f>
        <v>4.7700040873720635</v>
      </c>
      <c r="F375" s="157"/>
      <c r="G375" s="157"/>
      <c r="H375" s="143" t="s">
        <v>4597</v>
      </c>
      <c r="I375" s="293" t="s">
        <v>4845</v>
      </c>
      <c r="J375" s="1463" t="s">
        <v>4846</v>
      </c>
      <c r="K375" s="143" t="s">
        <v>4597</v>
      </c>
      <c r="L375" s="157"/>
      <c r="M375" s="2656" cm="1">
        <f t="array" ref="M375">INDEX('6층_부하량'!J3:J3000,MATCH(1,("6-DaHall 1-PDU-06"='6층_부하량'!A3:A3000)*(44='6층_부하량'!B3:B3000),0))</f>
        <v>0</v>
      </c>
      <c r="N375" s="157"/>
      <c r="O375" s="157"/>
      <c r="P375" s="157" t="s">
        <v>4635</v>
      </c>
      <c r="Q375" s="164" t="s">
        <v>4575</v>
      </c>
      <c r="R375" s="633" t="s">
        <v>5532</v>
      </c>
    </row>
    <row r="376" spans="1:18" ht="16.5" x14ac:dyDescent="0.15">
      <c r="A376" s="607" t="s">
        <v>5483</v>
      </c>
      <c r="B376" s="143" t="s">
        <v>4635</v>
      </c>
      <c r="C376" s="164" t="s">
        <v>4575</v>
      </c>
      <c r="D376" s="157"/>
      <c r="E376" s="157"/>
      <c r="F376" s="2656" cm="1" t="n">
        <f t="array" ref="F376">INDEX('6층_부하량'!K3:K3000,MATCH(1,("6-DaHall 1-PDU-06"='6층_부하량'!A3:A3000)*(45='6층_부하량'!B3:B3000),0))</f>
        <v>4.924312780575548</v>
      </c>
      <c r="G376" s="157"/>
      <c r="H376" s="143" t="s">
        <v>4597</v>
      </c>
      <c r="I376" s="293" t="s">
        <v>4847</v>
      </c>
      <c r="J376" s="1463" t="s">
        <v>4848</v>
      </c>
      <c r="K376" s="143" t="s">
        <v>4597</v>
      </c>
      <c r="L376" s="157"/>
      <c r="M376" s="157"/>
      <c r="N376" s="2656" cm="1">
        <f t="array" ref="N376">INDEX('6층_부하량'!K3:K3000,MATCH(1,("6-DaHall 1-PDU-06"='6층_부하량'!A3:A3000)*(46='6층_부하량'!B3:B3000),0))</f>
        <v>0</v>
      </c>
      <c r="O376" s="157"/>
      <c r="P376" s="157" t="s">
        <v>4635</v>
      </c>
      <c r="Q376" s="164" t="s">
        <v>4575</v>
      </c>
      <c r="R376" s="342" t="s">
        <v>5533</v>
      </c>
    </row>
    <row r="377" spans="1:18" ht="16.5" x14ac:dyDescent="0.15">
      <c r="A377" s="607" t="s">
        <v>5534</v>
      </c>
      <c r="B377" s="143" t="s">
        <v>4635</v>
      </c>
      <c r="C377" s="164" t="s">
        <v>4575</v>
      </c>
      <c r="D377" s="2664" cm="1" t="n">
        <f t="array" ref="D377">INDEX('6층_부하량'!I3:I3000,MATCH(1,("6-DaHall 1-PDU-06"='6층_부하량'!A3:A3000)*(47='6층_부하량'!B3:B3000),0))</f>
        <v>3.7378973240676587</v>
      </c>
      <c r="E377" s="157"/>
      <c r="F377" s="157"/>
      <c r="G377" s="157"/>
      <c r="H377" s="143" t="s">
        <v>4597</v>
      </c>
      <c r="I377" s="293" t="s">
        <v>4849</v>
      </c>
      <c r="J377" s="151" t="s">
        <v>4850</v>
      </c>
      <c r="K377" s="143" t="s">
        <v>4597</v>
      </c>
      <c r="L377" s="2664" cm="1">
        <f t="array" ref="L377">INDEX('6층_부하량'!I3:I3000,MATCH(1,("6-DaHall 1-PDU-06"='6층_부하량'!A3:A3000)*(48='6층_부하량'!B3:B3000),0))</f>
        <v>0</v>
      </c>
      <c r="M377" s="157"/>
      <c r="N377" s="157"/>
      <c r="O377" s="157"/>
      <c r="P377" s="157" t="s">
        <v>4635</v>
      </c>
      <c r="Q377" s="164" t="s">
        <v>4575</v>
      </c>
      <c r="R377" s="279" t="s">
        <v>5535</v>
      </c>
    </row>
    <row r="378" spans="1:18" ht="16.5" x14ac:dyDescent="0.15">
      <c r="A378" s="607" t="s">
        <v>5487</v>
      </c>
      <c r="B378" s="143" t="s">
        <v>4635</v>
      </c>
      <c r="C378" s="164" t="s">
        <v>4575</v>
      </c>
      <c r="D378" s="157"/>
      <c r="E378" s="2656" cm="1" t="n">
        <f t="array" ref="E378">INDEX('6층_부하량'!J3:J3000,MATCH(1,("6-DaHall 1-PDU-06"='6층_부하량'!A3:A3000)*(49='6층_부하량'!B3:B3000),0))</f>
        <v>1.3017880648648068</v>
      </c>
      <c r="F378" s="157"/>
      <c r="G378" s="157"/>
      <c r="H378" s="143" t="s">
        <v>4597</v>
      </c>
      <c r="I378" s="293" t="s">
        <v>4851</v>
      </c>
      <c r="J378" s="151" t="s">
        <v>4852</v>
      </c>
      <c r="K378" s="143" t="s">
        <v>4597</v>
      </c>
      <c r="L378" s="157"/>
      <c r="M378" s="2656" cm="1">
        <f t="array" ref="M378">INDEX('6층_부하량'!J3:J3000,MATCH(1,("6-DaHall 1-PDU-06"='6층_부하량'!A3:A3000)*(50='6층_부하량'!B3:B3000),0))</f>
        <v>0</v>
      </c>
      <c r="N378" s="157"/>
      <c r="O378" s="157"/>
      <c r="P378" s="157" t="s">
        <v>4635</v>
      </c>
      <c r="Q378" s="164" t="s">
        <v>4575</v>
      </c>
      <c r="R378" s="264" t="s">
        <v>5536</v>
      </c>
    </row>
    <row r="379" spans="1:18" ht="16.5" x14ac:dyDescent="0.15">
      <c r="A379" s="607" t="s">
        <v>5537</v>
      </c>
      <c r="B379" s="143" t="s">
        <v>4635</v>
      </c>
      <c r="C379" s="164" t="s">
        <v>4575</v>
      </c>
      <c r="D379" s="157"/>
      <c r="E379" s="157"/>
      <c r="F379" s="2664" cm="1" t="n">
        <f t="array" ref="F379">INDEX('6층_부하량'!K3:K3000,MATCH(1,("6-DaHall 1-PDU-06"='6층_부하량'!A3:A3000)*(51='6층_부하량'!B3:B3000),0))</f>
        <v>4.552255512957185</v>
      </c>
      <c r="G379" s="157"/>
      <c r="H379" s="143" t="s">
        <v>4597</v>
      </c>
      <c r="I379" s="293" t="s">
        <v>4791</v>
      </c>
      <c r="J379" s="1460" t="s">
        <v>4793</v>
      </c>
      <c r="K379" s="143" t="s">
        <v>4597</v>
      </c>
      <c r="L379" s="157"/>
      <c r="M379" s="157"/>
      <c r="N379" s="2664" cm="1">
        <f t="array" ref="N379">INDEX('6층_부하량'!K3:K3000,MATCH(1,("6-DaHall 1-PDU-06"='6층_부하량'!A3:A3000)*(52='6층_부하량'!B3:B3000),0))</f>
        <v>0</v>
      </c>
      <c r="O379" s="157"/>
      <c r="P379" s="157" t="s">
        <v>4635</v>
      </c>
      <c r="Q379" s="143" t="s">
        <v>4723</v>
      </c>
      <c r="R379" s="183" t="s">
        <v>5538</v>
      </c>
    </row>
    <row r="380" spans="1:18" ht="17.25" thickBot="1" x14ac:dyDescent="0.2">
      <c r="A380" s="280" t="s">
        <v>5539</v>
      </c>
      <c r="B380" s="166" t="s">
        <v>4635</v>
      </c>
      <c r="C380" s="184" t="s">
        <v>4575</v>
      </c>
      <c r="D380" s="2668" cm="1" t="n">
        <f t="array" ref="D380">INDEX('6층_부하량'!I3:I3000,MATCH(1,("6-DaHall 1-PDU-06"='6층_부하량'!A3:A3000)*(53='6층_부하량'!B3:B3000),0))</f>
        <v>0.5747520159780852</v>
      </c>
      <c r="E380" s="167"/>
      <c r="F380" s="167"/>
      <c r="G380" s="167"/>
      <c r="H380" s="166" t="s">
        <v>4597</v>
      </c>
      <c r="I380" s="300" t="s">
        <v>4796</v>
      </c>
      <c r="J380" s="169" t="s">
        <v>4797</v>
      </c>
      <c r="K380" s="166" t="s">
        <v>4597</v>
      </c>
      <c r="L380" s="2668" cm="1" t="n">
        <f t="array" ref="L380">INDEX('6층_부하량'!I3:I3000,MATCH(1,("6-DaHall 1-PDU-06"='6층_부하량'!A3:A3000)*(54='6층_부하량'!B3:B3000),0))</f>
        <v>2.4267372394180073</v>
      </c>
      <c r="M380" s="167"/>
      <c r="N380" s="167"/>
      <c r="O380" s="167"/>
      <c r="P380" s="166" t="s">
        <v>4635</v>
      </c>
      <c r="Q380" s="184" t="s">
        <v>4575</v>
      </c>
      <c r="R380" s="325" t="s">
        <v>5540</v>
      </c>
    </row>
    <row r="381" spans="1:18" ht="14.25" thickTop="1" x14ac:dyDescent="0.15">
      <c r="A381" s="128"/>
      <c r="B381" s="128"/>
      <c r="C381" s="128"/>
      <c r="D381" s="128"/>
      <c r="E381" s="128"/>
      <c r="F381" s="128"/>
      <c r="G381" s="128"/>
      <c r="H381" s="128"/>
      <c r="I381" s="128"/>
      <c r="J381" s="128"/>
      <c r="K381" s="128" t="s">
        <v>4713</v>
      </c>
      <c r="L381" s="128" t="n">
        <f>SUM(D354:D380,L354:L380)</f>
        <v>23.373934955555146</v>
      </c>
      <c r="M381" s="128" t="n">
        <f>SUM(E354:E380,M354:M380)</f>
        <v>48.430789348998545</v>
      </c>
      <c r="N381" s="128" t="n">
        <f>SUM(F354:F380,N354:N380)</f>
        <v>44.23858486005567</v>
      </c>
      <c r="O381" s="128"/>
      <c r="P381" s="128"/>
      <c r="Q381" s="128"/>
      <c r="R381" s="128"/>
    </row>
    <row r="382" spans="1:18" ht="14.25" thickBot="1" x14ac:dyDescent="0.2">
      <c r="A382" s="128"/>
      <c r="B382" s="128"/>
      <c r="C382" s="128"/>
      <c r="D382" s="128"/>
      <c r="E382" s="128"/>
      <c r="F382" s="128"/>
      <c r="G382" s="128"/>
      <c r="H382" s="128"/>
      <c r="I382" s="128"/>
      <c r="J382" s="128"/>
      <c r="K382" s="128"/>
      <c r="L382" s="128"/>
      <c r="M382" s="128"/>
      <c r="N382" s="128"/>
      <c r="O382" s="128"/>
      <c r="P382" s="128"/>
      <c r="Q382" s="128"/>
      <c r="R382" s="128"/>
    </row>
    <row r="383" spans="1:18" ht="15" thickTop="1" thickBot="1" x14ac:dyDescent="0.2">
      <c r="A383" s="173" t="s">
        <v>7009</v>
      </c>
      <c r="B383" s="128"/>
      <c r="C383" s="3660" t="s">
        <v>5541</v>
      </c>
      <c r="D383" s="3660"/>
      <c r="E383" s="3660"/>
      <c r="F383" s="173"/>
      <c r="G383" s="173"/>
      <c r="H383" s="133"/>
      <c r="I383" s="3665" t="s">
        <v>4715</v>
      </c>
      <c r="J383" s="3666"/>
      <c r="K383" s="133"/>
      <c r="L383" s="173"/>
      <c r="M383" s="173"/>
      <c r="N383" s="173"/>
      <c r="O383" s="173"/>
      <c r="P383" s="173"/>
      <c r="Q383" s="173"/>
      <c r="R383" s="128"/>
    </row>
    <row r="384" spans="1:18" ht="15" thickTop="1" thickBot="1" x14ac:dyDescent="0.2">
      <c r="A384" s="127"/>
      <c r="B384" s="128"/>
      <c r="C384" s="128"/>
      <c r="D384" s="129"/>
      <c r="E384" s="129"/>
      <c r="F384" s="130"/>
      <c r="G384" s="129"/>
      <c r="H384" s="131"/>
      <c r="I384" s="128"/>
      <c r="J384" s="132"/>
      <c r="K384" s="1371" t="s">
        <v>4562</v>
      </c>
      <c r="L384" s="1368">
        <v>0</v>
      </c>
      <c r="M384" s="1369">
        <v>0</v>
      </c>
      <c r="N384" s="1370">
        <v>0</v>
      </c>
      <c r="O384" s="508" t="s">
        <v>4563</v>
      </c>
      <c r="P384" s="133"/>
      <c r="Q384" s="128"/>
      <c r="R384" s="528"/>
    </row>
    <row r="385" spans="1:18" ht="15" thickTop="1" thickBot="1" x14ac:dyDescent="0.2">
      <c r="A385" s="134" t="s">
        <v>4564</v>
      </c>
      <c r="B385" s="135" t="s">
        <v>5031</v>
      </c>
      <c r="C385" s="136" t="s">
        <v>4566</v>
      </c>
      <c r="D385" s="135" t="s">
        <v>5032</v>
      </c>
      <c r="E385" s="135" t="s">
        <v>5033</v>
      </c>
      <c r="F385" s="135" t="s">
        <v>5034</v>
      </c>
      <c r="G385" s="135" t="s">
        <v>5035</v>
      </c>
      <c r="H385" s="135" t="s">
        <v>5036</v>
      </c>
      <c r="I385" s="138" t="s">
        <v>5037</v>
      </c>
      <c r="J385" s="139" t="s">
        <v>5037</v>
      </c>
      <c r="K385" s="135" t="s">
        <v>5036</v>
      </c>
      <c r="L385" s="135" t="s">
        <v>5032</v>
      </c>
      <c r="M385" s="135" t="s">
        <v>5033</v>
      </c>
      <c r="N385" s="135" t="s">
        <v>5034</v>
      </c>
      <c r="O385" s="135" t="s">
        <v>5035</v>
      </c>
      <c r="P385" s="135" t="s">
        <v>5031</v>
      </c>
      <c r="Q385" s="136" t="s">
        <v>4566</v>
      </c>
      <c r="R385" s="140" t="s">
        <v>4564</v>
      </c>
    </row>
    <row r="386" spans="1:18" ht="14.25" thickTop="1" x14ac:dyDescent="0.15">
      <c r="A386" s="141" t="s">
        <v>5542</v>
      </c>
      <c r="B386" s="142" t="s">
        <v>4635</v>
      </c>
      <c r="C386" s="142" t="s">
        <v>4723</v>
      </c>
      <c r="D386" s="144"/>
      <c r="E386" s="2654" cm="1">
        <f t="array" ref="E386">INDEX('6층_부하량'!J3:J3000,MATCH(1,("6-DaHall 1-PDU-07"='6층_부하량'!A3:A3000)*(1='6층_부하량'!B3:B3000),0))</f>
        <v>0</v>
      </c>
      <c r="F386" s="144"/>
      <c r="G386" s="144"/>
      <c r="H386" s="142" t="s">
        <v>4597</v>
      </c>
      <c r="I386" s="1469" t="s">
        <v>4633</v>
      </c>
      <c r="J386" s="1476" t="s">
        <v>4578</v>
      </c>
      <c r="K386" s="142" t="s">
        <v>4597</v>
      </c>
      <c r="L386" s="144"/>
      <c r="M386" s="2654" cm="1">
        <f t="array" ref="M386">INDEX('6층_부하량'!J3:J3000,MATCH(1,("6-DaHall 1-PDU-07"='6층_부하량'!A3:A3000)*(2='6층_부하량'!B3:B3000),0))</f>
        <v>0</v>
      </c>
      <c r="N386" s="144"/>
      <c r="O386" s="144"/>
      <c r="P386" s="144" t="s">
        <v>4635</v>
      </c>
      <c r="Q386" s="143" t="s">
        <v>4723</v>
      </c>
      <c r="R386" s="147" t="s">
        <v>5543</v>
      </c>
    </row>
    <row r="387" spans="1:18" x14ac:dyDescent="0.15">
      <c r="A387" s="158" t="s">
        <v>5544</v>
      </c>
      <c r="B387" s="143" t="s">
        <v>4635</v>
      </c>
      <c r="C387" s="143" t="s">
        <v>4723</v>
      </c>
      <c r="D387" s="149"/>
      <c r="E387" s="149"/>
      <c r="F387" s="2655" cm="1">
        <f t="array" ref="F387">INDEX('6층_부하량'!K3:K3000,MATCH(1,("6-DaHall 1-PDU-07"='6층_부하량'!A3:A3000)*(3='6층_부하량'!B3:B3000),0))</f>
        <v>0</v>
      </c>
      <c r="G387" s="149"/>
      <c r="H387" s="143" t="s">
        <v>4597</v>
      </c>
      <c r="I387" s="1465" t="s">
        <v>4638</v>
      </c>
      <c r="J387" s="1463" t="s">
        <v>4583</v>
      </c>
      <c r="K387" s="143" t="s">
        <v>4597</v>
      </c>
      <c r="L387" s="149"/>
      <c r="M387" s="149"/>
      <c r="N387" s="2655" cm="1">
        <f t="array" ref="N387">INDEX('6층_부하량'!K3:K3000,MATCH(1,("6-DaHall 1-PDU-07"='6층_부하량'!A3:A3000)*(4='6층_부하량'!B3:B3000),0))</f>
        <v>0</v>
      </c>
      <c r="O387" s="149"/>
      <c r="P387" s="149" t="s">
        <v>4635</v>
      </c>
      <c r="Q387" s="143" t="s">
        <v>4723</v>
      </c>
      <c r="R387" s="153" t="s">
        <v>5545</v>
      </c>
    </row>
    <row r="388" spans="1:18" x14ac:dyDescent="0.15">
      <c r="A388" s="148" t="s">
        <v>5546</v>
      </c>
      <c r="B388" s="143" t="s">
        <v>4635</v>
      </c>
      <c r="C388" s="143" t="s">
        <v>4723</v>
      </c>
      <c r="D388" s="2656" cm="1">
        <f t="array" ref="D388">INDEX('6층_부하량'!I3:I3000,MATCH(1,("6-DaHall 1-PDU-07"='6층_부하량'!A3:A3000)*(5='6층_부하량'!B3:B3000),0))</f>
        <v>0</v>
      </c>
      <c r="E388" s="157"/>
      <c r="F388" s="157"/>
      <c r="G388" s="157"/>
      <c r="H388" s="143" t="s">
        <v>4597</v>
      </c>
      <c r="I388" s="1471" t="s">
        <v>4641</v>
      </c>
      <c r="J388" s="1460" t="s">
        <v>4588</v>
      </c>
      <c r="K388" s="143" t="s">
        <v>4597</v>
      </c>
      <c r="L388" s="2656" cm="1">
        <f t="array" ref="L388">INDEX('6층_부하량'!I3:I3000,MATCH(1,("6-DaHall 1-PDU-07"='6층_부하량'!A3:A3000)*(6='6층_부하량'!B3:B3000),0))</f>
        <v>0</v>
      </c>
      <c r="M388" s="157"/>
      <c r="N388" s="157"/>
      <c r="O388" s="157"/>
      <c r="P388" s="157" t="s">
        <v>4635</v>
      </c>
      <c r="Q388" s="143" t="s">
        <v>4723</v>
      </c>
      <c r="R388" s="153" t="s">
        <v>5547</v>
      </c>
    </row>
    <row r="389" spans="1:18" ht="16.5" x14ac:dyDescent="0.15">
      <c r="A389" s="174" t="s">
        <v>5548</v>
      </c>
      <c r="B389" s="143" t="s">
        <v>4635</v>
      </c>
      <c r="C389" s="143" t="s">
        <v>4723</v>
      </c>
      <c r="D389" s="157"/>
      <c r="E389" s="2656" cm="1">
        <f t="array" ref="E389">INDEX('6층_부하량'!J3:J3000,MATCH(1,("6-DaHall 1-PDU-07"='6층_부하량'!A3:A3000)*(7='6층_부하량'!B3:B3000),0))</f>
        <v>0</v>
      </c>
      <c r="F389" s="157"/>
      <c r="G389" s="157"/>
      <c r="H389" s="143" t="s">
        <v>4597</v>
      </c>
      <c r="I389" s="1471" t="s">
        <v>4645</v>
      </c>
      <c r="J389" s="151" t="s">
        <v>4593</v>
      </c>
      <c r="K389" s="143" t="s">
        <v>4597</v>
      </c>
      <c r="L389" s="157"/>
      <c r="M389" s="2656" cm="1">
        <f t="array" ref="M389">INDEX('6층_부하량'!J3:J3000,MATCH(1,("6-DaHall 1-PDU-07"='6층_부하량'!A3:A3000)*(8='6층_부하량'!B3:B3000),0))</f>
        <v>0</v>
      </c>
      <c r="N389" s="157"/>
      <c r="O389" s="157"/>
      <c r="P389" s="157" t="s">
        <v>4635</v>
      </c>
      <c r="Q389" s="164" t="s">
        <v>4575</v>
      </c>
      <c r="R389" s="342" t="s">
        <v>5549</v>
      </c>
    </row>
    <row r="390" spans="1:18" ht="16.5" x14ac:dyDescent="0.15">
      <c r="A390" s="148" t="s">
        <v>5550</v>
      </c>
      <c r="B390" s="143" t="s">
        <v>4635</v>
      </c>
      <c r="C390" s="143" t="s">
        <v>4723</v>
      </c>
      <c r="D390" s="157"/>
      <c r="E390" s="157"/>
      <c r="F390" s="2656" cm="1">
        <f t="array" ref="F390">INDEX('6층_부하량'!K3:K3000,MATCH(1,("6-DaHall 1-PDU-07"='6층_부하량'!A3:A3000)*(9='6층_부하량'!B3:B3000),0))</f>
        <v>0</v>
      </c>
      <c r="G390" s="157"/>
      <c r="H390" s="143" t="s">
        <v>4597</v>
      </c>
      <c r="I390" s="1471" t="s">
        <v>4648</v>
      </c>
      <c r="J390" s="151" t="s">
        <v>4596</v>
      </c>
      <c r="K390" s="143" t="s">
        <v>4597</v>
      </c>
      <c r="L390" s="157"/>
      <c r="M390" s="157"/>
      <c r="N390" s="2656" cm="1">
        <f t="array" ref="N390">INDEX('6층_부하량'!K3:K3000,MATCH(1,("6-DaHall 1-PDU-07"='6층_부하량'!A3:A3000)*(10='6층_부하량'!B3:B3000),0))</f>
        <v>0</v>
      </c>
      <c r="O390" s="157"/>
      <c r="P390" s="157" t="s">
        <v>4635</v>
      </c>
      <c r="Q390" s="164" t="s">
        <v>4575</v>
      </c>
      <c r="R390" s="342" t="s">
        <v>5551</v>
      </c>
    </row>
    <row r="391" spans="1:18" ht="16.5" x14ac:dyDescent="0.15">
      <c r="A391" s="174" t="s">
        <v>5552</v>
      </c>
      <c r="B391" s="143" t="s">
        <v>4635</v>
      </c>
      <c r="C391" s="143" t="s">
        <v>4723</v>
      </c>
      <c r="D391" s="2656" cm="1">
        <f t="array" ref="D391">INDEX('6층_부하량'!I3:I3000,MATCH(1,("6-DaHall 1-PDU-07"='6층_부하량'!A3:A3000)*(11='6층_부하량'!B3:B3000),0))</f>
        <v>0</v>
      </c>
      <c r="E391" s="157"/>
      <c r="F391" s="157"/>
      <c r="G391" s="157"/>
      <c r="H391" s="143" t="s">
        <v>4597</v>
      </c>
      <c r="I391" s="1471" t="s">
        <v>4653</v>
      </c>
      <c r="J391" s="151" t="s">
        <v>4599</v>
      </c>
      <c r="K391" s="143" t="s">
        <v>4597</v>
      </c>
      <c r="L391" s="2656" cm="1">
        <f t="array" ref="L391">INDEX('6층_부하량'!I3:I3000,MATCH(1,("6-DaHall 1-PDU-07"='6층_부하량'!A3:A3000)*(12='6층_부하량'!B3:B3000),0))</f>
        <v>0</v>
      </c>
      <c r="M391" s="157"/>
      <c r="N391" s="157"/>
      <c r="O391" s="157"/>
      <c r="P391" s="157" t="s">
        <v>4635</v>
      </c>
      <c r="Q391" s="164" t="s">
        <v>4575</v>
      </c>
      <c r="R391" s="342" t="s">
        <v>5553</v>
      </c>
    </row>
    <row r="392" spans="1:18" ht="16.5" x14ac:dyDescent="0.15">
      <c r="A392" s="148" t="s">
        <v>5554</v>
      </c>
      <c r="B392" s="143" t="s">
        <v>4635</v>
      </c>
      <c r="C392" s="143" t="s">
        <v>4723</v>
      </c>
      <c r="D392" s="157"/>
      <c r="E392" s="2656" cm="1">
        <f t="array" ref="E392">INDEX('6층_부하량'!J3:J3000,MATCH(1,("6-DaHall 1-PDU-07"='6층_부하량'!A3:A3000)*(13='6층_부하량'!B3:B3000),0))</f>
        <v>0</v>
      </c>
      <c r="F392" s="157"/>
      <c r="G392" s="157"/>
      <c r="H392" s="143" t="s">
        <v>4597</v>
      </c>
      <c r="I392" s="1471" t="s">
        <v>4657</v>
      </c>
      <c r="J392" s="151" t="s">
        <v>4601</v>
      </c>
      <c r="K392" s="143" t="s">
        <v>4597</v>
      </c>
      <c r="L392" s="157"/>
      <c r="M392" s="2656" cm="1">
        <f t="array" ref="M392">INDEX('6층_부하량'!J3:J3000,MATCH(1,("6-DaHall 1-PDU-07"='6층_부하량'!A3:A3000)*(14='6층_부하량'!B3:B3000),0))</f>
        <v>0</v>
      </c>
      <c r="N392" s="157"/>
      <c r="O392" s="157"/>
      <c r="P392" s="157" t="s">
        <v>4635</v>
      </c>
      <c r="Q392" s="164" t="s">
        <v>4575</v>
      </c>
      <c r="R392" s="342" t="s">
        <v>5555</v>
      </c>
    </row>
    <row r="393" spans="1:18" x14ac:dyDescent="0.15">
      <c r="A393" s="174" t="s">
        <v>5556</v>
      </c>
      <c r="B393" s="143" t="s">
        <v>4635</v>
      </c>
      <c r="C393" s="143" t="s">
        <v>4723</v>
      </c>
      <c r="D393" s="157"/>
      <c r="E393" s="157"/>
      <c r="F393" s="2656" cm="1">
        <f t="array" ref="F393">INDEX('6층_부하량'!K3:K3000,MATCH(1,("6-DaHall 1-PDU-07"='6층_부하량'!A3:A3000)*(15='6층_부하량'!B3:B3000),0))</f>
        <v>0</v>
      </c>
      <c r="G393" s="157"/>
      <c r="H393" s="143" t="s">
        <v>4597</v>
      </c>
      <c r="I393" s="1471" t="s">
        <v>4661</v>
      </c>
      <c r="J393" s="1460" t="s">
        <v>4603</v>
      </c>
      <c r="K393" s="143" t="s">
        <v>4597</v>
      </c>
      <c r="L393" s="157"/>
      <c r="M393" s="157"/>
      <c r="N393" s="2656" cm="1">
        <f t="array" ref="N393">INDEX('6층_부하량'!K3:K3000,MATCH(1,("6-DaHall 1-PDU-07"='6층_부하량'!A3:A3000)*(16='6층_부하량'!B3:B3000),0))</f>
        <v>0</v>
      </c>
      <c r="O393" s="157"/>
      <c r="P393" s="157" t="s">
        <v>4635</v>
      </c>
      <c r="Q393" s="143" t="s">
        <v>4723</v>
      </c>
      <c r="R393" s="153" t="s">
        <v>5557</v>
      </c>
    </row>
    <row r="394" spans="1:18" x14ac:dyDescent="0.15">
      <c r="A394" s="148" t="s">
        <v>5558</v>
      </c>
      <c r="B394" s="143" t="s">
        <v>4635</v>
      </c>
      <c r="C394" s="143" t="s">
        <v>4723</v>
      </c>
      <c r="D394" s="2656" cm="1">
        <f t="array" ref="D394">INDEX('6층_부하량'!I3:I3000,MATCH(1,("6-DaHall 1-PDU-07"='6층_부하량'!A3:A3000)*(17='6층_부하량'!B3:B3000),0))</f>
        <v>0</v>
      </c>
      <c r="E394" s="157"/>
      <c r="F394" s="157"/>
      <c r="G394" s="157"/>
      <c r="H394" s="143" t="s">
        <v>4597</v>
      </c>
      <c r="I394" s="1471" t="s">
        <v>4665</v>
      </c>
      <c r="J394" s="1460" t="s">
        <v>4605</v>
      </c>
      <c r="K394" s="143" t="s">
        <v>4597</v>
      </c>
      <c r="L394" s="2656" cm="1">
        <f t="array" ref="L394">INDEX('6층_부하량'!I3:I3000,MATCH(1,("6-DaHall 1-PDU-07"='6층_부하량'!A3:A3000)*(18='6층_부하량'!B3:B3000),0))</f>
        <v>0</v>
      </c>
      <c r="M394" s="157"/>
      <c r="N394" s="157"/>
      <c r="O394" s="157"/>
      <c r="P394" s="157" t="s">
        <v>4635</v>
      </c>
      <c r="Q394" s="143" t="s">
        <v>4723</v>
      </c>
      <c r="R394" s="153" t="s">
        <v>5559</v>
      </c>
    </row>
    <row r="395" spans="1:18" x14ac:dyDescent="0.15">
      <c r="A395" s="174" t="s">
        <v>5560</v>
      </c>
      <c r="B395" s="143" t="s">
        <v>4635</v>
      </c>
      <c r="C395" s="143" t="s">
        <v>4723</v>
      </c>
      <c r="D395" s="157"/>
      <c r="E395" s="2656" cm="1">
        <f t="array" ref="E395">INDEX('6층_부하량'!J3:J3000,MATCH(1,("6-DaHall 1-PDU-07"='6층_부하량'!A3:A3000)*(19='6층_부하량'!B3:B3000),0))</f>
        <v>0</v>
      </c>
      <c r="F395" s="157"/>
      <c r="G395" s="157"/>
      <c r="H395" s="143" t="s">
        <v>4597</v>
      </c>
      <c r="I395" s="1471" t="s">
        <v>4670</v>
      </c>
      <c r="J395" s="1460" t="s">
        <v>4609</v>
      </c>
      <c r="K395" s="143" t="s">
        <v>4597</v>
      </c>
      <c r="L395" s="157"/>
      <c r="M395" s="2656" cm="1">
        <f t="array" ref="M395">INDEX('6층_부하량'!J3:J3000,MATCH(1,("6-DaHall 1-PDU-07"='6층_부하량'!A3:A3000)*(20='6층_부하량'!B3:B3000),0))</f>
        <v>0</v>
      </c>
      <c r="N395" s="157"/>
      <c r="O395" s="157"/>
      <c r="P395" s="157" t="s">
        <v>4635</v>
      </c>
      <c r="Q395" s="143" t="s">
        <v>4723</v>
      </c>
      <c r="R395" s="153" t="s">
        <v>5561</v>
      </c>
    </row>
    <row r="396" spans="1:18" ht="16.5" x14ac:dyDescent="0.15">
      <c r="A396" s="148" t="s">
        <v>5562</v>
      </c>
      <c r="B396" s="143" t="s">
        <v>4635</v>
      </c>
      <c r="C396" s="143" t="s">
        <v>4723</v>
      </c>
      <c r="D396" s="157"/>
      <c r="E396" s="157"/>
      <c r="F396" s="2656" cm="1">
        <f t="array" ref="F396">INDEX('6층_부하량'!K3:K3000,MATCH(1,("6-DaHall 1-PDU-07"='6층_부하량'!A3:A3000)*(21='6층_부하량'!B3:B3000),0))</f>
        <v>0</v>
      </c>
      <c r="G396" s="157"/>
      <c r="H396" s="143" t="s">
        <v>4597</v>
      </c>
      <c r="I396" s="1471" t="s">
        <v>4674</v>
      </c>
      <c r="J396" s="151" t="s">
        <v>4613</v>
      </c>
      <c r="K396" s="143" t="s">
        <v>4597</v>
      </c>
      <c r="L396" s="157"/>
      <c r="M396" s="157"/>
      <c r="N396" s="2656" cm="1">
        <f t="array" ref="N396">INDEX('6층_부하량'!K3:K3000,MATCH(1,("6-DaHall 1-PDU-07"='6층_부하량'!A3:A3000)*(22='6층_부하량'!B3:B3000),0))</f>
        <v>0</v>
      </c>
      <c r="O396" s="157"/>
      <c r="P396" s="157" t="s">
        <v>4635</v>
      </c>
      <c r="Q396" s="164" t="s">
        <v>4575</v>
      </c>
      <c r="R396" s="342" t="s">
        <v>5563</v>
      </c>
    </row>
    <row r="397" spans="1:18" ht="16.5" x14ac:dyDescent="0.15">
      <c r="A397" s="148" t="s">
        <v>5564</v>
      </c>
      <c r="B397" s="143" t="s">
        <v>4635</v>
      </c>
      <c r="C397" s="143" t="s">
        <v>4723</v>
      </c>
      <c r="D397" s="2656" cm="1">
        <f t="array" ref="D397">INDEX('6층_부하량'!I3:I3000,MATCH(1,("6-DaHall 1-PDU-07"='6층_부하량'!A3:A3000)*(23='6층_부하량'!B3:B3000),0))</f>
        <v>0</v>
      </c>
      <c r="E397" s="157"/>
      <c r="F397" s="157"/>
      <c r="G397" s="157"/>
      <c r="H397" s="143" t="s">
        <v>4597</v>
      </c>
      <c r="I397" s="1471" t="s">
        <v>4678</v>
      </c>
      <c r="J397" s="151" t="s">
        <v>4680</v>
      </c>
      <c r="K397" s="143" t="s">
        <v>4597</v>
      </c>
      <c r="L397" s="2656" cm="1">
        <f t="array" ref="L397">INDEX('6층_부하량'!I3:I3000,MATCH(1,("6-DaHall 1-PDU-07"='6층_부하량'!A3:A3000)*(24='6층_부하량'!B3:B3000),0))</f>
        <v>0</v>
      </c>
      <c r="M397" s="157"/>
      <c r="N397" s="157"/>
      <c r="O397" s="157"/>
      <c r="P397" s="157" t="s">
        <v>4635</v>
      </c>
      <c r="Q397" s="164" t="s">
        <v>4575</v>
      </c>
      <c r="R397" s="342" t="s">
        <v>5565</v>
      </c>
    </row>
    <row r="398" spans="1:18" ht="16.5" x14ac:dyDescent="0.15">
      <c r="A398" s="148" t="s">
        <v>5566</v>
      </c>
      <c r="B398" s="143" t="s">
        <v>4635</v>
      </c>
      <c r="C398" s="143" t="s">
        <v>4723</v>
      </c>
      <c r="D398" s="157"/>
      <c r="E398" s="2656" cm="1">
        <f t="array" ref="E398">INDEX('6층_부하량'!J3:J3000,MATCH(1,("6-DaHall 1-PDU-07"='6층_부하량'!A3:A3000)*(25='6층_부하량'!B3:B3000),0))</f>
        <v>0</v>
      </c>
      <c r="F398" s="157"/>
      <c r="G398" s="157"/>
      <c r="H398" s="143" t="s">
        <v>4597</v>
      </c>
      <c r="I398" s="1471" t="s">
        <v>4683</v>
      </c>
      <c r="J398" s="151" t="s">
        <v>4685</v>
      </c>
      <c r="K398" s="143" t="s">
        <v>4597</v>
      </c>
      <c r="L398" s="157"/>
      <c r="M398" s="2656" cm="1">
        <f t="array" ref="M398">INDEX('6층_부하량'!J3:J3000,MATCH(1,("6-DaHall 1-PDU-07"='6층_부하량'!A3:A3000)*(26='6층_부하량'!B3:B3000),0))</f>
        <v>0</v>
      </c>
      <c r="N398" s="157"/>
      <c r="O398" s="157"/>
      <c r="P398" s="157" t="s">
        <v>4635</v>
      </c>
      <c r="Q398" s="164" t="s">
        <v>4575</v>
      </c>
      <c r="R398" s="342" t="s">
        <v>5567</v>
      </c>
    </row>
    <row r="399" spans="1:18" ht="17.25" thickBot="1" x14ac:dyDescent="0.2">
      <c r="A399" s="175" t="s">
        <v>5568</v>
      </c>
      <c r="B399" s="176" t="s">
        <v>4635</v>
      </c>
      <c r="C399" s="176" t="s">
        <v>4723</v>
      </c>
      <c r="D399" s="177"/>
      <c r="E399" s="177"/>
      <c r="F399" s="2661" cm="1">
        <f t="array" ref="F399">INDEX('6층_부하량'!K3:K3000,MATCH(1,("6-DaHall 1-PDU-07"='6층_부하량'!A3:A3000)*(27='6층_부하량'!B3:B3000),0))</f>
        <v>0</v>
      </c>
      <c r="G399" s="177"/>
      <c r="H399" s="176" t="s">
        <v>4597</v>
      </c>
      <c r="I399" s="1483" t="s">
        <v>4688</v>
      </c>
      <c r="J399" s="187" t="s">
        <v>4689</v>
      </c>
      <c r="K399" s="176" t="s">
        <v>4597</v>
      </c>
      <c r="L399" s="177"/>
      <c r="M399" s="177"/>
      <c r="N399" s="2661" cm="1">
        <f t="array" ref="N399">INDEX('6층_부하량'!K3:K3000,MATCH(1,("6-DaHall 1-PDU-07"='6층_부하량'!A3:A3000)*(28='6층_부하량'!B3:B3000),0))</f>
        <v>0</v>
      </c>
      <c r="O399" s="177"/>
      <c r="P399" s="177" t="s">
        <v>4635</v>
      </c>
      <c r="Q399" s="191" t="s">
        <v>4575</v>
      </c>
      <c r="R399" s="477" t="s">
        <v>5569</v>
      </c>
    </row>
    <row r="400" spans="1:18" ht="14.25" thickTop="1" x14ac:dyDescent="0.15">
      <c r="A400" s="174" t="s">
        <v>5570</v>
      </c>
      <c r="B400" s="156" t="s">
        <v>4635</v>
      </c>
      <c r="C400" s="156" t="s">
        <v>4723</v>
      </c>
      <c r="D400" s="2658" cm="1">
        <f t="array" ref="D400">INDEX('6층_부하량'!I3:I3000,MATCH(1,("6-DaHall 1-PDU-07"='6층_부하량'!A3:A3000)*(29='6층_부하량'!B3:B3000),0))</f>
        <v>0</v>
      </c>
      <c r="E400" s="179"/>
      <c r="F400" s="179"/>
      <c r="G400" s="179"/>
      <c r="H400" s="156" t="s">
        <v>4597</v>
      </c>
      <c r="I400" s="1470" t="s">
        <v>4691</v>
      </c>
      <c r="J400" s="1462" t="s">
        <v>4692</v>
      </c>
      <c r="K400" s="156" t="s">
        <v>4597</v>
      </c>
      <c r="L400" s="2658" cm="1">
        <f t="array" ref="L400">INDEX('6층_부하량'!I3:I3000,MATCH(1,("6-DaHall 1-PDU-07"='6층_부하량'!A3:A3000)*(30='6층_부하량'!B3:B3000),0))</f>
        <v>0</v>
      </c>
      <c r="M400" s="179"/>
      <c r="N400" s="179"/>
      <c r="O400" s="179"/>
      <c r="P400" s="179" t="s">
        <v>4635</v>
      </c>
      <c r="Q400" s="143" t="s">
        <v>4723</v>
      </c>
      <c r="R400" s="182" t="s">
        <v>5571</v>
      </c>
    </row>
    <row r="401" spans="1:18" x14ac:dyDescent="0.15">
      <c r="A401" s="148" t="s">
        <v>5572</v>
      </c>
      <c r="B401" s="143" t="s">
        <v>4635</v>
      </c>
      <c r="C401" s="143" t="s">
        <v>4723</v>
      </c>
      <c r="D401" s="157"/>
      <c r="E401" s="2656" cm="1">
        <f t="array" ref="E401">INDEX('6층_부하량'!J3:J3000,MATCH(1,("6-DaHall 1-PDU-07"='6층_부하량'!A3:A3000)*(31='6층_부하량'!B3:B3000),0))</f>
        <v>0</v>
      </c>
      <c r="F401" s="157"/>
      <c r="G401" s="157"/>
      <c r="H401" s="143" t="s">
        <v>4597</v>
      </c>
      <c r="I401" s="1471" t="s">
        <v>4693</v>
      </c>
      <c r="J401" s="1460" t="s">
        <v>4694</v>
      </c>
      <c r="K401" s="143" t="s">
        <v>4597</v>
      </c>
      <c r="L401" s="157"/>
      <c r="M401" s="2656" cm="1">
        <f t="array" ref="M401">INDEX('6층_부하량'!J3:J3000,MATCH(1,("6-DaHall 1-PDU-07"='6층_부하량'!A3:A3000)*(32='6층_부하량'!B3:B3000),0))</f>
        <v>0</v>
      </c>
      <c r="N401" s="157"/>
      <c r="O401" s="157"/>
      <c r="P401" s="157" t="s">
        <v>4635</v>
      </c>
      <c r="Q401" s="143" t="s">
        <v>4723</v>
      </c>
      <c r="R401" s="153" t="s">
        <v>5573</v>
      </c>
    </row>
    <row r="402" spans="1:18" x14ac:dyDescent="0.15">
      <c r="A402" s="148" t="s">
        <v>5574</v>
      </c>
      <c r="B402" s="143" t="s">
        <v>4635</v>
      </c>
      <c r="C402" s="143" t="s">
        <v>4723</v>
      </c>
      <c r="D402" s="157"/>
      <c r="E402" s="157"/>
      <c r="F402" s="2656" cm="1">
        <f t="array" ref="F402">INDEX('6층_부하량'!K3:K3000,MATCH(1,("6-DaHall 1-PDU-07"='6층_부하량'!A3:A3000)*(33='6층_부하량'!B3:B3000),0))</f>
        <v>0</v>
      </c>
      <c r="G402" s="157"/>
      <c r="H402" s="143" t="s">
        <v>4597</v>
      </c>
      <c r="I402" s="1471" t="s">
        <v>4697</v>
      </c>
      <c r="J402" s="1460" t="s">
        <v>4698</v>
      </c>
      <c r="K402" s="143" t="s">
        <v>4597</v>
      </c>
      <c r="L402" s="157"/>
      <c r="M402" s="157"/>
      <c r="N402" s="2656" cm="1">
        <f t="array" ref="N402">INDEX('6층_부하량'!K3:K3000,MATCH(1,("6-DaHall 1-PDU-07"='6층_부하량'!A3:A3000)*(34='6층_부하량'!B3:B3000),0))</f>
        <v>0</v>
      </c>
      <c r="O402" s="157"/>
      <c r="P402" s="157" t="s">
        <v>4635</v>
      </c>
      <c r="Q402" s="143" t="s">
        <v>4723</v>
      </c>
      <c r="R402" s="182" t="s">
        <v>5575</v>
      </c>
    </row>
    <row r="403" spans="1:18" ht="16.5" x14ac:dyDescent="0.15">
      <c r="A403" s="148" t="s">
        <v>5576</v>
      </c>
      <c r="B403" s="143" t="s">
        <v>4635</v>
      </c>
      <c r="C403" s="143" t="s">
        <v>4723</v>
      </c>
      <c r="D403" s="2656" cm="1">
        <f t="array" ref="D403">INDEX('6층_부하량'!I3:I3000,MATCH(1,("6-DaHall 1-PDU-07"='6층_부하량'!A3:A3000)*(35='6층_부하량'!B3:B3000),0))</f>
        <v>0</v>
      </c>
      <c r="E403" s="157"/>
      <c r="F403" s="157"/>
      <c r="G403" s="157"/>
      <c r="H403" s="143" t="s">
        <v>4597</v>
      </c>
      <c r="I403" s="1471" t="s">
        <v>4701</v>
      </c>
      <c r="J403" s="151" t="s">
        <v>4703</v>
      </c>
      <c r="K403" s="143" t="s">
        <v>4597</v>
      </c>
      <c r="L403" s="2656" cm="1">
        <f t="array" ref="L403">INDEX('6층_부하량'!I3:I3000,MATCH(1,("6-DaHall 1-PDU-07"='6층_부하량'!A3:A3000)*(36='6층_부하량'!B3:B3000),0))</f>
        <v>0</v>
      </c>
      <c r="M403" s="157"/>
      <c r="N403" s="157"/>
      <c r="O403" s="157"/>
      <c r="P403" s="157" t="s">
        <v>4635</v>
      </c>
      <c r="Q403" s="164" t="s">
        <v>4575</v>
      </c>
      <c r="R403" s="342" t="s">
        <v>5577</v>
      </c>
    </row>
    <row r="404" spans="1:18" ht="16.5" x14ac:dyDescent="0.15">
      <c r="A404" s="148" t="s">
        <v>5578</v>
      </c>
      <c r="B404" s="143" t="s">
        <v>4635</v>
      </c>
      <c r="C404" s="143" t="s">
        <v>4723</v>
      </c>
      <c r="D404" s="157"/>
      <c r="E404" s="2664" cm="1">
        <f t="array" ref="E404">INDEX('6층_부하량'!J3:J3000,MATCH(1,("6-DaHall 1-PDU-07"='6층_부하량'!A3:A3000)*(37='6층_부하량'!B3:B3000),0))</f>
        <v>0</v>
      </c>
      <c r="F404" s="157"/>
      <c r="G404" s="157"/>
      <c r="H404" s="143" t="s">
        <v>4597</v>
      </c>
      <c r="I404" s="1471" t="s">
        <v>4706</v>
      </c>
      <c r="J404" s="151" t="s">
        <v>4707</v>
      </c>
      <c r="K404" s="143" t="s">
        <v>4597</v>
      </c>
      <c r="L404" s="157"/>
      <c r="M404" s="2664" cm="1">
        <f t="array" ref="M404">INDEX('6층_부하량'!J3:J3000,MATCH(1,("6-DaHall 1-PDU-07"='6층_부하량'!A3:A3000)*(38='6층_부하량'!B3:B3000),0))</f>
        <v>0</v>
      </c>
      <c r="N404" s="157"/>
      <c r="O404" s="157"/>
      <c r="P404" s="157" t="s">
        <v>4635</v>
      </c>
      <c r="Q404" s="164" t="s">
        <v>4575</v>
      </c>
      <c r="R404" s="475" t="s">
        <v>5579</v>
      </c>
    </row>
    <row r="405" spans="1:18" ht="16.5" x14ac:dyDescent="0.15">
      <c r="A405" s="148" t="s">
        <v>5580</v>
      </c>
      <c r="B405" s="143" t="s">
        <v>4635</v>
      </c>
      <c r="C405" s="143" t="s">
        <v>4723</v>
      </c>
      <c r="D405" s="157"/>
      <c r="E405" s="157"/>
      <c r="F405" s="2656" cm="1">
        <f t="array" ref="F405">INDEX('6층_부하량'!K3:K3000,MATCH(1,("6-DaHall 1-PDU-07"='6층_부하량'!A3:A3000)*(39='6층_부하량'!B3:B3000),0))</f>
        <v>0</v>
      </c>
      <c r="G405" s="157"/>
      <c r="H405" s="143" t="s">
        <v>4597</v>
      </c>
      <c r="I405" s="1471" t="s">
        <v>4710</v>
      </c>
      <c r="J405" s="151" t="s">
        <v>4711</v>
      </c>
      <c r="K405" s="143" t="s">
        <v>4597</v>
      </c>
      <c r="L405" s="157"/>
      <c r="M405" s="157"/>
      <c r="N405" s="2656" cm="1">
        <f t="array" ref="N405">INDEX('6층_부하량'!K3:K3000,MATCH(1,("6-DaHall 1-PDU-07"='6층_부하량'!A3:A3000)*(40='6층_부하량'!B3:B3000),0))</f>
        <v>0</v>
      </c>
      <c r="O405" s="157"/>
      <c r="P405" s="157" t="s">
        <v>4635</v>
      </c>
      <c r="Q405" s="164" t="s">
        <v>4575</v>
      </c>
      <c r="R405" s="342" t="s">
        <v>5581</v>
      </c>
    </row>
    <row r="406" spans="1:18" ht="16.5" x14ac:dyDescent="0.15">
      <c r="A406" s="257" t="s">
        <v>5582</v>
      </c>
      <c r="B406" s="143" t="s">
        <v>5583</v>
      </c>
      <c r="C406" s="164" t="s">
        <v>4575</v>
      </c>
      <c r="D406" s="2656" cm="1">
        <f t="array" ref="D406">INDEX('6층_부하량'!I3:I3000,MATCH(1,("6-DaHall 1-PDU-07"='6층_부하량'!A3:A3000)*(41='6층_부하량'!B3:B3000),0))</f>
        <v>0</v>
      </c>
      <c r="E406" s="157"/>
      <c r="F406" s="157"/>
      <c r="G406" s="157"/>
      <c r="H406" s="143" t="s">
        <v>4597</v>
      </c>
      <c r="I406" s="154" t="s">
        <v>5055</v>
      </c>
      <c r="J406" s="151" t="s">
        <v>4843</v>
      </c>
      <c r="K406" s="143" t="s">
        <v>4597</v>
      </c>
      <c r="L406" s="2656" cm="1">
        <f t="array" ref="L406">INDEX('6층_부하량'!I3:I3000,MATCH(1,("6-DaHall 1-PDU-07"='6층_부하량'!A3:A3000)*(42='6층_부하량'!B3:B3000),0))</f>
        <v>0</v>
      </c>
      <c r="M406" s="157"/>
      <c r="N406" s="157"/>
      <c r="O406" s="157"/>
      <c r="P406" s="157" t="s">
        <v>4635</v>
      </c>
      <c r="Q406" s="164" t="s">
        <v>4575</v>
      </c>
      <c r="R406" s="475" t="s">
        <v>5584</v>
      </c>
    </row>
    <row r="407" spans="1:18" ht="16.5" x14ac:dyDescent="0.15">
      <c r="A407" s="257" t="s">
        <v>5585</v>
      </c>
      <c r="B407" s="143" t="s">
        <v>5583</v>
      </c>
      <c r="C407" s="164" t="s">
        <v>4575</v>
      </c>
      <c r="D407" s="157"/>
      <c r="E407" s="2656" cm="1">
        <f t="array" ref="E407">INDEX('6층_부하량'!J3:J3000,MATCH(1,("6-DaHall 1-PDU-07"='6층_부하량'!A3:A3000)*(43='6층_부하량'!B3:B3000),0))</f>
        <v>0</v>
      </c>
      <c r="F407" s="157"/>
      <c r="G407" s="157"/>
      <c r="H407" s="143" t="s">
        <v>4597</v>
      </c>
      <c r="I407" s="154" t="s">
        <v>4845</v>
      </c>
      <c r="J407" s="151" t="s">
        <v>4846</v>
      </c>
      <c r="K407" s="143" t="s">
        <v>4597</v>
      </c>
      <c r="L407" s="157"/>
      <c r="M407" s="2656" cm="1">
        <f t="array" ref="M407">INDEX('6층_부하량'!J3:J3000,MATCH(1,("6-DaHall 1-PDU-07"='6층_부하량'!A3:A3000)*(44='6층_부하량'!B3:B3000),0))</f>
        <v>0</v>
      </c>
      <c r="N407" s="157"/>
      <c r="O407" s="157"/>
      <c r="P407" s="157" t="s">
        <v>4635</v>
      </c>
      <c r="Q407" s="164" t="s">
        <v>4575</v>
      </c>
      <c r="R407" s="342" t="s">
        <v>5586</v>
      </c>
    </row>
    <row r="408" spans="1:18" ht="16.5" x14ac:dyDescent="0.15">
      <c r="A408" s="257" t="s">
        <v>5587</v>
      </c>
      <c r="B408" s="143" t="s">
        <v>5583</v>
      </c>
      <c r="C408" s="164" t="s">
        <v>4575</v>
      </c>
      <c r="D408" s="157"/>
      <c r="E408" s="157"/>
      <c r="F408" s="2656" cm="1">
        <f t="array" ref="F408">INDEX('6층_부하량'!K3:K3000,MATCH(1,("6-DaHall 1-PDU-07"='6층_부하량'!A3:A3000)*(45='6층_부하량'!B3:B3000),0))</f>
        <v>0</v>
      </c>
      <c r="G408" s="157"/>
      <c r="H408" s="143" t="s">
        <v>4597</v>
      </c>
      <c r="I408" s="154" t="s">
        <v>4847</v>
      </c>
      <c r="J408" s="151" t="s">
        <v>4848</v>
      </c>
      <c r="K408" s="143" t="s">
        <v>4597</v>
      </c>
      <c r="L408" s="157"/>
      <c r="M408" s="157"/>
      <c r="N408" s="2656" cm="1">
        <f t="array" ref="N408">INDEX('6층_부하량'!K3:K3000,MATCH(1,("6-DaHall 1-PDU-07"='6층_부하량'!A3:A3000)*(46='6층_부하량'!B3:B3000),0))</f>
        <v>0</v>
      </c>
      <c r="O408" s="157"/>
      <c r="P408" s="157" t="s">
        <v>4635</v>
      </c>
      <c r="Q408" s="164" t="s">
        <v>4575</v>
      </c>
      <c r="R408" s="475" t="s">
        <v>5588</v>
      </c>
    </row>
    <row r="409" spans="1:18" x14ac:dyDescent="0.15">
      <c r="A409" s="257" t="s">
        <v>5589</v>
      </c>
      <c r="B409" s="143" t="s">
        <v>565</v>
      </c>
      <c r="C409" s="143" t="s">
        <v>4723</v>
      </c>
      <c r="D409" s="2664" cm="1">
        <f t="array" ref="D409">INDEX('6층_부하량'!I3:I3000,MATCH(1,("6-DaHall 1-PDU-07"='6층_부하량'!A3:A3000)*(47='6층_부하량'!B3:B3000),0))</f>
        <v>0</v>
      </c>
      <c r="E409" s="157"/>
      <c r="F409" s="157"/>
      <c r="G409" s="157"/>
      <c r="H409" s="143" t="s">
        <v>4597</v>
      </c>
      <c r="I409" s="1471" t="s">
        <v>4849</v>
      </c>
      <c r="J409" s="1460" t="s">
        <v>4850</v>
      </c>
      <c r="K409" s="143" t="s">
        <v>4597</v>
      </c>
      <c r="L409" s="2664" cm="1">
        <f t="array" ref="L409">INDEX('6층_부하량'!I3:I3000,MATCH(1,("6-DaHall 1-PDU-07"='6층_부하량'!A3:A3000)*(48='6층_부하량'!B3:B3000),0))</f>
        <v>0</v>
      </c>
      <c r="M409" s="157"/>
      <c r="N409" s="157"/>
      <c r="O409" s="157"/>
      <c r="P409" s="157" t="s">
        <v>4635</v>
      </c>
      <c r="Q409" s="143" t="s">
        <v>4723</v>
      </c>
      <c r="R409" s="183" t="s">
        <v>5590</v>
      </c>
    </row>
    <row r="410" spans="1:18" ht="16.5" x14ac:dyDescent="0.15">
      <c r="A410" s="607" t="s">
        <v>5591</v>
      </c>
      <c r="B410" s="143" t="s">
        <v>4635</v>
      </c>
      <c r="C410" s="164" t="s">
        <v>4575</v>
      </c>
      <c r="D410" s="157"/>
      <c r="E410" s="2656" cm="1">
        <f t="array" ref="E410">INDEX('6층_부하량'!J3:J3000,MATCH(1,("6-DaHall 1-PDU-07"='6층_부하량'!A3:A3000)*(49='6층_부하량'!B3:B3000),0))</f>
        <v>0</v>
      </c>
      <c r="F410" s="157"/>
      <c r="G410" s="157"/>
      <c r="H410" s="143" t="s">
        <v>4597</v>
      </c>
      <c r="I410" s="150" t="s">
        <v>4851</v>
      </c>
      <c r="J410" s="1460" t="s">
        <v>4852</v>
      </c>
      <c r="K410" s="143" t="s">
        <v>4597</v>
      </c>
      <c r="L410" s="157"/>
      <c r="M410" s="2656" cm="1">
        <f t="array" ref="M410">INDEX('6층_부하량'!J3:J3000,MATCH(1,("6-DaHall 1-PDU-07"='6층_부하량'!A3:A3000)*(50='6층_부하량'!B3:B3000),0))</f>
        <v>0</v>
      </c>
      <c r="N410" s="157"/>
      <c r="O410" s="157"/>
      <c r="P410" s="157" t="s">
        <v>4635</v>
      </c>
      <c r="Q410" s="143" t="s">
        <v>4723</v>
      </c>
      <c r="R410" s="153" t="s">
        <v>5592</v>
      </c>
    </row>
    <row r="411" spans="1:18" ht="16.5" x14ac:dyDescent="0.15">
      <c r="A411" s="607" t="s">
        <v>5593</v>
      </c>
      <c r="B411" s="143" t="s">
        <v>4635</v>
      </c>
      <c r="C411" s="164" t="s">
        <v>4575</v>
      </c>
      <c r="D411" s="157"/>
      <c r="E411" s="157"/>
      <c r="F411" s="2664" cm="1">
        <f t="array" ref="F411">INDEX('6층_부하량'!K3:K3000,MATCH(1,("6-DaHall 1-PDU-07"='6층_부하량'!A3:A3000)*(51='6층_부하량'!B3:B3000),0))</f>
        <v>0</v>
      </c>
      <c r="G411" s="157"/>
      <c r="H411" s="143" t="s">
        <v>4597</v>
      </c>
      <c r="I411" s="150" t="s">
        <v>4791</v>
      </c>
      <c r="J411" s="1460" t="s">
        <v>4793</v>
      </c>
      <c r="K411" s="143" t="s">
        <v>4597</v>
      </c>
      <c r="L411" s="157"/>
      <c r="M411" s="157"/>
      <c r="N411" s="2664" cm="1">
        <f t="array" ref="N411">INDEX('6층_부하량'!K3:K3000,MATCH(1,("6-DaHall 1-PDU-07"='6층_부하량'!A3:A3000)*(52='6층_부하량'!B3:B3000),0))</f>
        <v>0</v>
      </c>
      <c r="O411" s="157"/>
      <c r="P411" s="157" t="s">
        <v>4635</v>
      </c>
      <c r="Q411" s="143" t="s">
        <v>4723</v>
      </c>
      <c r="R411" s="183" t="s">
        <v>5594</v>
      </c>
    </row>
    <row r="412" spans="1:18" ht="17.25" thickBot="1" x14ac:dyDescent="0.2">
      <c r="A412" s="275" t="s">
        <v>5595</v>
      </c>
      <c r="B412" s="166" t="s">
        <v>4635</v>
      </c>
      <c r="C412" s="184" t="s">
        <v>4575</v>
      </c>
      <c r="D412" s="2668" cm="1">
        <f t="array" ref="D412">INDEX('6층_부하량'!I3:I3000,MATCH(1,("6-DaHall 1-PDU-07"='6층_부하량'!A3:A3000)*(53='6층_부하량'!B3:B3000),0))</f>
        <v>0</v>
      </c>
      <c r="E412" s="167"/>
      <c r="F412" s="167"/>
      <c r="G412" s="167"/>
      <c r="H412" s="166" t="s">
        <v>4597</v>
      </c>
      <c r="I412" s="194" t="s">
        <v>4796</v>
      </c>
      <c r="J412" s="190" t="s">
        <v>4797</v>
      </c>
      <c r="K412" s="166" t="s">
        <v>4597</v>
      </c>
      <c r="L412" s="2668" cm="1">
        <f t="array" ref="L412">INDEX('6층_부하량'!I3:I3000,MATCH(1,("6-DaHall 1-PDU-07"='6층_부하량'!A3:A3000)*(54='6층_부하량'!B3:B3000),0))</f>
        <v>0</v>
      </c>
      <c r="M412" s="167"/>
      <c r="N412" s="167"/>
      <c r="O412" s="167"/>
      <c r="P412" s="167" t="s">
        <v>4635</v>
      </c>
      <c r="Q412" s="184" t="s">
        <v>4575</v>
      </c>
      <c r="R412" s="634" t="s">
        <v>5596</v>
      </c>
    </row>
    <row r="413" spans="1:18" ht="14.25" thickTop="1" x14ac:dyDescent="0.15">
      <c r="A413" s="128"/>
      <c r="C413" s="128"/>
      <c r="D413" s="128"/>
      <c r="E413" s="128"/>
      <c r="F413" s="128"/>
      <c r="G413" s="128"/>
      <c r="H413" s="128"/>
      <c r="I413" s="128"/>
      <c r="J413" s="128"/>
      <c r="K413" s="128" t="s">
        <v>4713</v>
      </c>
      <c r="L413" s="128" t="n">
        <f>SUM(D386:D412,L386:L412)</f>
        <v>0.0</v>
      </c>
      <c r="M413" s="128" t="n">
        <f>SUM(E386:E412,M386:M412)</f>
        <v>0.0</v>
      </c>
      <c r="N413" s="128" t="n">
        <f>SUM(F386:F412,N386:N412)</f>
        <v>0.0</v>
      </c>
      <c r="O413" s="128"/>
      <c r="P413" s="128"/>
      <c r="Q413" s="128"/>
      <c r="R413" s="128"/>
    </row>
    <row r="414" spans="1:18" ht="14.25" thickBot="1" x14ac:dyDescent="0.2">
      <c r="A414" s="128"/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8"/>
      <c r="M414" s="128"/>
      <c r="N414" s="128"/>
      <c r="O414" s="128"/>
      <c r="P414" s="128"/>
      <c r="Q414" s="128"/>
      <c r="R414" s="128"/>
    </row>
    <row r="415" spans="1:18" ht="15" thickTop="1" thickBot="1" x14ac:dyDescent="0.2">
      <c r="A415" s="173" t="s">
        <v>7010</v>
      </c>
      <c r="B415" s="128"/>
      <c r="C415" s="3660" t="s">
        <v>5597</v>
      </c>
      <c r="D415" s="3660"/>
      <c r="E415" s="3660"/>
      <c r="F415" s="173"/>
      <c r="G415" s="173"/>
      <c r="H415" s="133"/>
      <c r="I415" s="3665" t="s">
        <v>4715</v>
      </c>
      <c r="J415" s="3666"/>
      <c r="K415" s="133"/>
      <c r="L415" s="173"/>
      <c r="M415" s="173"/>
      <c r="N415" s="173"/>
      <c r="O415" s="173"/>
      <c r="P415" s="173"/>
      <c r="Q415" s="173"/>
      <c r="R415" s="128"/>
    </row>
    <row r="416" spans="1:18" ht="15" thickTop="1" thickBot="1" x14ac:dyDescent="0.2">
      <c r="A416" s="127"/>
      <c r="B416" s="128"/>
      <c r="C416" s="128"/>
      <c r="D416" s="129"/>
      <c r="E416" s="129"/>
      <c r="F416" s="130"/>
      <c r="G416" s="129"/>
      <c r="H416" s="131"/>
      <c r="I416" s="128"/>
      <c r="J416" s="132"/>
      <c r="K416" s="1371" t="s">
        <v>4562</v>
      </c>
      <c r="L416" s="1368">
        <v>0</v>
      </c>
      <c r="M416" s="1369">
        <v>0</v>
      </c>
      <c r="N416" s="1370">
        <v>0</v>
      </c>
      <c r="O416" s="508" t="s">
        <v>4563</v>
      </c>
      <c r="P416" s="133"/>
      <c r="Q416" s="128"/>
      <c r="R416" s="528"/>
    </row>
    <row r="417" spans="1:18" ht="15" thickTop="1" thickBot="1" x14ac:dyDescent="0.2">
      <c r="A417" s="134" t="s">
        <v>4564</v>
      </c>
      <c r="B417" s="135" t="s">
        <v>5031</v>
      </c>
      <c r="C417" s="136" t="s">
        <v>4566</v>
      </c>
      <c r="D417" s="135" t="s">
        <v>5032</v>
      </c>
      <c r="E417" s="135" t="s">
        <v>5033</v>
      </c>
      <c r="F417" s="135" t="s">
        <v>5034</v>
      </c>
      <c r="G417" s="135" t="s">
        <v>5035</v>
      </c>
      <c r="H417" s="135" t="s">
        <v>5036</v>
      </c>
      <c r="I417" s="138" t="s">
        <v>5037</v>
      </c>
      <c r="J417" s="139" t="s">
        <v>5037</v>
      </c>
      <c r="K417" s="135" t="s">
        <v>5036</v>
      </c>
      <c r="L417" s="135" t="s">
        <v>5032</v>
      </c>
      <c r="M417" s="135" t="s">
        <v>5033</v>
      </c>
      <c r="N417" s="135" t="s">
        <v>5034</v>
      </c>
      <c r="O417" s="135" t="s">
        <v>5035</v>
      </c>
      <c r="P417" s="135" t="s">
        <v>5031</v>
      </c>
      <c r="Q417" s="136" t="s">
        <v>4566</v>
      </c>
      <c r="R417" s="140" t="s">
        <v>4564</v>
      </c>
    </row>
    <row r="418" spans="1:18" ht="14.25" thickTop="1" x14ac:dyDescent="0.15">
      <c r="A418" s="141" t="s">
        <v>5598</v>
      </c>
      <c r="B418" s="142" t="s">
        <v>565</v>
      </c>
      <c r="C418" s="143" t="s">
        <v>4723</v>
      </c>
      <c r="D418" s="144"/>
      <c r="E418" s="2654" cm="1">
        <f t="array" ref="E418">INDEX('6층_부하량'!J3:J3000,MATCH(1,("6-DaHall 1-PDU-08"='6층_부하량'!A3:A3000)*(1='6층_부하량'!B3:B3000),0))</f>
        <v>0</v>
      </c>
      <c r="F418" s="144"/>
      <c r="G418" s="144"/>
      <c r="H418" s="142" t="s">
        <v>4597</v>
      </c>
      <c r="I418" s="1469" t="s">
        <v>4633</v>
      </c>
      <c r="J418" s="1476" t="s">
        <v>4578</v>
      </c>
      <c r="K418" s="142" t="s">
        <v>4597</v>
      </c>
      <c r="L418" s="144"/>
      <c r="M418" s="2654" cm="1">
        <f t="array" ref="M418">INDEX('6층_부하량'!J3:J3000,MATCH(1,("6-DaHall 1-PDU-08"='6층_부하량'!A3:A3000)*(2='6층_부하량'!B3:B3000),0))</f>
        <v>0</v>
      </c>
      <c r="N418" s="144"/>
      <c r="O418" s="144"/>
      <c r="P418" s="144" t="s">
        <v>4635</v>
      </c>
      <c r="Q418" s="143" t="s">
        <v>4723</v>
      </c>
      <c r="R418" s="147" t="s">
        <v>5599</v>
      </c>
    </row>
    <row r="419" spans="1:18" x14ac:dyDescent="0.15">
      <c r="A419" s="158" t="s">
        <v>5600</v>
      </c>
      <c r="B419" s="143" t="s">
        <v>565</v>
      </c>
      <c r="C419" s="143" t="s">
        <v>4723</v>
      </c>
      <c r="D419" s="149"/>
      <c r="E419" s="149"/>
      <c r="F419" s="2655" cm="1">
        <f t="array" ref="F419">INDEX('6층_부하량'!K3:K3000,MATCH(1,("6-DaHall 1-PDU-08"='6층_부하량'!A3:A3000)*(3='6층_부하량'!B3:B3000),0))</f>
        <v>0</v>
      </c>
      <c r="G419" s="149"/>
      <c r="H419" s="143" t="s">
        <v>4597</v>
      </c>
      <c r="I419" s="1465" t="s">
        <v>4638</v>
      </c>
      <c r="J419" s="1463" t="s">
        <v>4583</v>
      </c>
      <c r="K419" s="143" t="s">
        <v>4597</v>
      </c>
      <c r="L419" s="149"/>
      <c r="M419" s="149"/>
      <c r="N419" s="2655" cm="1">
        <f t="array" ref="N419">INDEX('6층_부하량'!K3:K3000,MATCH(1,("6-DaHall 1-PDU-08"='6층_부하량'!A3:A3000)*(4='6층_부하량'!B3:B3000),0))</f>
        <v>0</v>
      </c>
      <c r="O419" s="149"/>
      <c r="P419" s="149" t="s">
        <v>4635</v>
      </c>
      <c r="Q419" s="143" t="s">
        <v>4723</v>
      </c>
      <c r="R419" s="153" t="s">
        <v>5601</v>
      </c>
    </row>
    <row r="420" spans="1:18" x14ac:dyDescent="0.15">
      <c r="A420" s="148" t="s">
        <v>5602</v>
      </c>
      <c r="B420" s="143" t="s">
        <v>565</v>
      </c>
      <c r="C420" s="143" t="s">
        <v>4723</v>
      </c>
      <c r="D420" s="2656" cm="1">
        <f t="array" ref="D420">INDEX('6층_부하량'!I3:I3000,MATCH(1,("6-DaHall 1-PDU-08"='6층_부하량'!A3:A3000)*(5='6층_부하량'!B3:B3000),0))</f>
        <v>0</v>
      </c>
      <c r="E420" s="157"/>
      <c r="F420" s="157"/>
      <c r="G420" s="157"/>
      <c r="H420" s="143" t="s">
        <v>4597</v>
      </c>
      <c r="I420" s="1471" t="s">
        <v>4641</v>
      </c>
      <c r="J420" s="1460" t="s">
        <v>4588</v>
      </c>
      <c r="K420" s="143" t="s">
        <v>4597</v>
      </c>
      <c r="L420" s="2656" cm="1">
        <f t="array" ref="L420">INDEX('6층_부하량'!I3:I3000,MATCH(1,("6-DaHall 1-PDU-08"='6층_부하량'!A3:A3000)*(6='6층_부하량'!B3:B3000),0))</f>
        <v>0</v>
      </c>
      <c r="M420" s="157"/>
      <c r="N420" s="157"/>
      <c r="O420" s="157"/>
      <c r="P420" s="157" t="s">
        <v>4635</v>
      </c>
      <c r="Q420" s="143" t="s">
        <v>4723</v>
      </c>
      <c r="R420" s="153" t="s">
        <v>5603</v>
      </c>
    </row>
    <row r="421" spans="1:18" ht="16.5" x14ac:dyDescent="0.15">
      <c r="A421" s="174" t="s">
        <v>5604</v>
      </c>
      <c r="B421" s="143" t="s">
        <v>565</v>
      </c>
      <c r="C421" s="143" t="s">
        <v>4723</v>
      </c>
      <c r="D421" s="157"/>
      <c r="E421" s="2656" cm="1">
        <f t="array" ref="E421">INDEX('6층_부하량'!J3:J3000,MATCH(1,("6-DaHall 1-PDU-08"='6층_부하량'!A3:A3000)*(7='6층_부하량'!B3:B3000),0))</f>
        <v>0</v>
      </c>
      <c r="F421" s="157"/>
      <c r="G421" s="157"/>
      <c r="H421" s="143" t="s">
        <v>4597</v>
      </c>
      <c r="I421" s="1471" t="s">
        <v>4645</v>
      </c>
      <c r="J421" s="151" t="s">
        <v>4593</v>
      </c>
      <c r="K421" s="143" t="s">
        <v>4597</v>
      </c>
      <c r="L421" s="157"/>
      <c r="M421" s="2656" cm="1">
        <f t="array" ref="M421">INDEX('6층_부하량'!J3:J3000,MATCH(1,("6-DaHall 1-PDU-08"='6층_부하량'!A3:A3000)*(8='6층_부하량'!B3:B3000),0))</f>
        <v>0</v>
      </c>
      <c r="N421" s="157"/>
      <c r="O421" s="157"/>
      <c r="P421" s="157" t="s">
        <v>4635</v>
      </c>
      <c r="Q421" s="164" t="s">
        <v>4575</v>
      </c>
      <c r="R421" s="342" t="s">
        <v>5605</v>
      </c>
    </row>
    <row r="422" spans="1:18" ht="16.5" x14ac:dyDescent="0.15">
      <c r="A422" s="148" t="s">
        <v>5606</v>
      </c>
      <c r="B422" s="143" t="s">
        <v>565</v>
      </c>
      <c r="C422" s="143" t="s">
        <v>4723</v>
      </c>
      <c r="D422" s="157"/>
      <c r="E422" s="157"/>
      <c r="F422" s="2656" cm="1">
        <f t="array" ref="F422">INDEX('6층_부하량'!K3:K3000,MATCH(1,("6-DaHall 1-PDU-08"='6층_부하량'!A3:A3000)*(9='6층_부하량'!B3:B3000),0))</f>
        <v>0</v>
      </c>
      <c r="G422" s="157"/>
      <c r="H422" s="143" t="s">
        <v>4597</v>
      </c>
      <c r="I422" s="1471" t="s">
        <v>4648</v>
      </c>
      <c r="J422" s="151" t="s">
        <v>4596</v>
      </c>
      <c r="K422" s="143" t="s">
        <v>4597</v>
      </c>
      <c r="L422" s="157"/>
      <c r="M422" s="157"/>
      <c r="N422" s="2656" cm="1">
        <f t="array" ref="N422">INDEX('6층_부하량'!K3:K3000,MATCH(1,("6-DaHall 1-PDU-08"='6층_부하량'!A3:A3000)*(10='6층_부하량'!B3:B3000),0))</f>
        <v>0</v>
      </c>
      <c r="O422" s="157"/>
      <c r="P422" s="157" t="s">
        <v>4635</v>
      </c>
      <c r="Q422" s="164" t="s">
        <v>4575</v>
      </c>
      <c r="R422" s="342" t="s">
        <v>5607</v>
      </c>
    </row>
    <row r="423" spans="1:18" ht="16.5" x14ac:dyDescent="0.15">
      <c r="A423" s="174" t="s">
        <v>5608</v>
      </c>
      <c r="B423" s="143" t="s">
        <v>565</v>
      </c>
      <c r="C423" s="143" t="s">
        <v>4723</v>
      </c>
      <c r="D423" s="2656" cm="1">
        <f t="array" ref="D423">INDEX('6층_부하량'!I3:I3000,MATCH(1,("6-DaHall 1-PDU-08"='6층_부하량'!A3:A3000)*(11='6층_부하량'!B3:B3000),0))</f>
        <v>0</v>
      </c>
      <c r="E423" s="157"/>
      <c r="F423" s="157"/>
      <c r="G423" s="157"/>
      <c r="H423" s="143" t="s">
        <v>4597</v>
      </c>
      <c r="I423" s="1471" t="s">
        <v>4653</v>
      </c>
      <c r="J423" s="151" t="s">
        <v>4599</v>
      </c>
      <c r="K423" s="143" t="s">
        <v>4597</v>
      </c>
      <c r="L423" s="2656" cm="1">
        <f t="array" ref="L423">INDEX('6층_부하량'!I3:I3000,MATCH(1,("6-DaHall 1-PDU-08"='6층_부하량'!A3:A3000)*(12='6층_부하량'!B3:B3000),0))</f>
        <v>0</v>
      </c>
      <c r="M423" s="157"/>
      <c r="N423" s="157"/>
      <c r="O423" s="157"/>
      <c r="P423" s="157" t="s">
        <v>4635</v>
      </c>
      <c r="Q423" s="164" t="s">
        <v>4575</v>
      </c>
      <c r="R423" s="342" t="s">
        <v>5609</v>
      </c>
    </row>
    <row r="424" spans="1:18" ht="16.5" x14ac:dyDescent="0.15">
      <c r="A424" s="148" t="s">
        <v>5610</v>
      </c>
      <c r="B424" s="143" t="s">
        <v>565</v>
      </c>
      <c r="C424" s="143" t="s">
        <v>4723</v>
      </c>
      <c r="D424" s="157"/>
      <c r="E424" s="2656" cm="1">
        <f t="array" ref="E424">INDEX('6층_부하량'!J3:J3000,MATCH(1,("6-DaHall 1-PDU-08"='6층_부하량'!A3:A3000)*(13='6층_부하량'!B3:B3000),0))</f>
        <v>0</v>
      </c>
      <c r="F424" s="157"/>
      <c r="G424" s="157"/>
      <c r="H424" s="143" t="s">
        <v>4597</v>
      </c>
      <c r="I424" s="1471" t="s">
        <v>4657</v>
      </c>
      <c r="J424" s="151" t="s">
        <v>4601</v>
      </c>
      <c r="K424" s="143" t="s">
        <v>4597</v>
      </c>
      <c r="L424" s="157"/>
      <c r="M424" s="2656" cm="1">
        <f t="array" ref="M424">INDEX('6층_부하량'!J3:J3000,MATCH(1,("6-DaHall 1-PDU-08"='6층_부하량'!A3:A3000)*(14='6층_부하량'!B3:B3000),0))</f>
        <v>0</v>
      </c>
      <c r="N424" s="157"/>
      <c r="O424" s="157"/>
      <c r="P424" s="157" t="s">
        <v>4635</v>
      </c>
      <c r="Q424" s="164" t="s">
        <v>4575</v>
      </c>
      <c r="R424" s="342" t="s">
        <v>5611</v>
      </c>
    </row>
    <row r="425" spans="1:18" x14ac:dyDescent="0.15">
      <c r="A425" s="174" t="s">
        <v>5612</v>
      </c>
      <c r="B425" s="143" t="s">
        <v>565</v>
      </c>
      <c r="C425" s="143" t="s">
        <v>4723</v>
      </c>
      <c r="D425" s="157"/>
      <c r="E425" s="157"/>
      <c r="F425" s="2656" cm="1">
        <f t="array" ref="F425">INDEX('6층_부하량'!K3:K3000,MATCH(1,("6-DaHall 1-PDU-08"='6층_부하량'!A3:A3000)*(15='6층_부하량'!B3:B3000),0))</f>
        <v>0</v>
      </c>
      <c r="G425" s="157"/>
      <c r="H425" s="143" t="s">
        <v>4597</v>
      </c>
      <c r="I425" s="1471" t="s">
        <v>4661</v>
      </c>
      <c r="J425" s="1460" t="s">
        <v>4603</v>
      </c>
      <c r="K425" s="143" t="s">
        <v>4597</v>
      </c>
      <c r="L425" s="157"/>
      <c r="M425" s="157"/>
      <c r="N425" s="2656" cm="1">
        <f t="array" ref="N425">INDEX('6층_부하량'!K3:K3000,MATCH(1,("6-DaHall 1-PDU-08"='6층_부하량'!A3:A3000)*(16='6층_부하량'!B3:B3000),0))</f>
        <v>0</v>
      </c>
      <c r="O425" s="157"/>
      <c r="P425" s="157" t="s">
        <v>4635</v>
      </c>
      <c r="Q425" s="143" t="s">
        <v>4723</v>
      </c>
      <c r="R425" s="153" t="s">
        <v>5613</v>
      </c>
    </row>
    <row r="426" spans="1:18" x14ac:dyDescent="0.15">
      <c r="A426" s="148" t="s">
        <v>5614</v>
      </c>
      <c r="B426" s="143" t="s">
        <v>565</v>
      </c>
      <c r="C426" s="143" t="s">
        <v>4723</v>
      </c>
      <c r="D426" s="2656" cm="1">
        <f t="array" ref="D426">INDEX('6층_부하량'!I3:I3000,MATCH(1,("6-DaHall 1-PDU-08"='6층_부하량'!A3:A3000)*(17='6층_부하량'!B3:B3000),0))</f>
        <v>0</v>
      </c>
      <c r="E426" s="157"/>
      <c r="F426" s="157"/>
      <c r="G426" s="157"/>
      <c r="H426" s="143" t="s">
        <v>4597</v>
      </c>
      <c r="I426" s="1471" t="s">
        <v>4665</v>
      </c>
      <c r="J426" s="1460" t="s">
        <v>4605</v>
      </c>
      <c r="K426" s="143" t="s">
        <v>4597</v>
      </c>
      <c r="L426" s="2656" cm="1">
        <f t="array" ref="L426">INDEX('6층_부하량'!I3:I3000,MATCH(1,("6-DaHall 1-PDU-08"='6층_부하량'!A3:A3000)*(18='6층_부하량'!B3:B3000),0))</f>
        <v>0</v>
      </c>
      <c r="M426" s="157"/>
      <c r="N426" s="157"/>
      <c r="O426" s="157"/>
      <c r="P426" s="157" t="s">
        <v>4635</v>
      </c>
      <c r="Q426" s="143" t="s">
        <v>4723</v>
      </c>
      <c r="R426" s="153" t="s">
        <v>5615</v>
      </c>
    </row>
    <row r="427" spans="1:18" x14ac:dyDescent="0.15">
      <c r="A427" s="174" t="s">
        <v>5616</v>
      </c>
      <c r="B427" s="143" t="s">
        <v>565</v>
      </c>
      <c r="C427" s="143" t="s">
        <v>4723</v>
      </c>
      <c r="D427" s="157"/>
      <c r="E427" s="2656" cm="1">
        <f t="array" ref="E427">INDEX('6층_부하량'!J3:J3000,MATCH(1,("6-DaHall 1-PDU-08"='6층_부하량'!A3:A3000)*(19='6층_부하량'!B3:B3000),0))</f>
        <v>0</v>
      </c>
      <c r="F427" s="157"/>
      <c r="G427" s="157"/>
      <c r="H427" s="143" t="s">
        <v>4597</v>
      </c>
      <c r="I427" s="1471" t="s">
        <v>4670</v>
      </c>
      <c r="J427" s="1460" t="s">
        <v>4609</v>
      </c>
      <c r="K427" s="143" t="s">
        <v>4597</v>
      </c>
      <c r="L427" s="157"/>
      <c r="M427" s="2656" cm="1">
        <f t="array" ref="M427">INDEX('6층_부하량'!J3:J3000,MATCH(1,("6-DaHall 1-PDU-08"='6층_부하량'!A3:A3000)*(20='6층_부하량'!B3:B3000),0))</f>
        <v>0</v>
      </c>
      <c r="N427" s="157"/>
      <c r="O427" s="157"/>
      <c r="P427" s="157" t="s">
        <v>4635</v>
      </c>
      <c r="Q427" s="143" t="s">
        <v>4723</v>
      </c>
      <c r="R427" s="153" t="s">
        <v>5617</v>
      </c>
    </row>
    <row r="428" spans="1:18" ht="16.5" x14ac:dyDescent="0.15">
      <c r="A428" s="148" t="s">
        <v>5618</v>
      </c>
      <c r="B428" s="143" t="s">
        <v>565</v>
      </c>
      <c r="C428" s="143" t="s">
        <v>4723</v>
      </c>
      <c r="D428" s="157"/>
      <c r="E428" s="157"/>
      <c r="F428" s="2656" cm="1">
        <f t="array" ref="F428">INDEX('6층_부하량'!K3:K3000,MATCH(1,("6-DaHall 1-PDU-08"='6층_부하량'!A3:A3000)*(21='6층_부하량'!B3:B3000),0))</f>
        <v>0</v>
      </c>
      <c r="G428" s="157"/>
      <c r="H428" s="143" t="s">
        <v>4597</v>
      </c>
      <c r="I428" s="1471" t="s">
        <v>4674</v>
      </c>
      <c r="J428" s="151" t="s">
        <v>4613</v>
      </c>
      <c r="K428" s="143" t="s">
        <v>4597</v>
      </c>
      <c r="L428" s="157"/>
      <c r="M428" s="157"/>
      <c r="N428" s="2656" cm="1">
        <f t="array" ref="N428">INDEX('6층_부하량'!K3:K3000,MATCH(1,("6-DaHall 1-PDU-08"='6층_부하량'!A3:A3000)*(22='6층_부하량'!B3:B3000),0))</f>
        <v>0</v>
      </c>
      <c r="O428" s="157"/>
      <c r="P428" s="157" t="s">
        <v>4635</v>
      </c>
      <c r="Q428" s="164" t="s">
        <v>4575</v>
      </c>
      <c r="R428" s="342" t="s">
        <v>5619</v>
      </c>
    </row>
    <row r="429" spans="1:18" ht="16.5" x14ac:dyDescent="0.15">
      <c r="A429" s="148" t="s">
        <v>5620</v>
      </c>
      <c r="B429" s="143" t="s">
        <v>565</v>
      </c>
      <c r="C429" s="143" t="s">
        <v>4723</v>
      </c>
      <c r="D429" s="2656" cm="1">
        <f t="array" ref="D429">INDEX('6층_부하량'!I3:I3000,MATCH(1,("6-DaHall 1-PDU-08"='6층_부하량'!A3:A3000)*(23='6층_부하량'!B3:B3000),0))</f>
        <v>0</v>
      </c>
      <c r="E429" s="157"/>
      <c r="F429" s="157"/>
      <c r="G429" s="157"/>
      <c r="H429" s="143" t="s">
        <v>4597</v>
      </c>
      <c r="I429" s="1471" t="s">
        <v>4678</v>
      </c>
      <c r="J429" s="151" t="s">
        <v>4680</v>
      </c>
      <c r="K429" s="143" t="s">
        <v>4597</v>
      </c>
      <c r="L429" s="2656" cm="1">
        <f t="array" ref="L429">INDEX('6층_부하량'!I3:I3000,MATCH(1,("6-DaHall 1-PDU-08"='6층_부하량'!A3:A3000)*(24='6층_부하량'!B3:B3000),0))</f>
        <v>0</v>
      </c>
      <c r="M429" s="157"/>
      <c r="N429" s="157"/>
      <c r="O429" s="157"/>
      <c r="P429" s="157" t="s">
        <v>4635</v>
      </c>
      <c r="Q429" s="164" t="s">
        <v>4575</v>
      </c>
      <c r="R429" s="342" t="s">
        <v>5621</v>
      </c>
    </row>
    <row r="430" spans="1:18" ht="16.5" x14ac:dyDescent="0.15">
      <c r="A430" s="148"/>
      <c r="B430" s="143" t="s">
        <v>565</v>
      </c>
      <c r="C430" s="143" t="s">
        <v>4723</v>
      </c>
      <c r="D430" s="157"/>
      <c r="E430" s="2656" cm="1">
        <f t="array" ref="E430">INDEX('6층_부하량'!J3:J3000,MATCH(1,("6-DaHall 1-PDU-08"='6층_부하량'!A3:A3000)*(25='6층_부하량'!B3:B3000),0))</f>
        <v>0</v>
      </c>
      <c r="F430" s="157"/>
      <c r="G430" s="157"/>
      <c r="H430" s="143" t="s">
        <v>4597</v>
      </c>
      <c r="I430" s="1471" t="s">
        <v>4683</v>
      </c>
      <c r="J430" s="151" t="s">
        <v>4685</v>
      </c>
      <c r="K430" s="143" t="s">
        <v>4597</v>
      </c>
      <c r="L430" s="157"/>
      <c r="M430" s="2656" cm="1">
        <f t="array" ref="M430">INDEX('6층_부하량'!J3:J3000,MATCH(1,("6-DaHall 1-PDU-08"='6층_부하량'!A3:A3000)*(26='6층_부하량'!B3:B3000),0))</f>
        <v>0</v>
      </c>
      <c r="N430" s="157"/>
      <c r="O430" s="157"/>
      <c r="P430" s="157" t="s">
        <v>4635</v>
      </c>
      <c r="Q430" s="164" t="s">
        <v>4575</v>
      </c>
      <c r="R430" s="342" t="s">
        <v>5622</v>
      </c>
    </row>
    <row r="431" spans="1:18" ht="17.25" thickBot="1" x14ac:dyDescent="0.2">
      <c r="A431" s="175"/>
      <c r="B431" s="176" t="s">
        <v>565</v>
      </c>
      <c r="C431" s="176" t="s">
        <v>4723</v>
      </c>
      <c r="D431" s="177"/>
      <c r="E431" s="177"/>
      <c r="F431" s="2661" cm="1">
        <f t="array" ref="F431">INDEX('6층_부하량'!K3:K3000,MATCH(1,("6-DaHall 1-PDU-08"='6층_부하량'!A3:A3000)*(27='6층_부하량'!B3:B3000),0))</f>
        <v>0</v>
      </c>
      <c r="G431" s="177"/>
      <c r="H431" s="176" t="s">
        <v>4597</v>
      </c>
      <c r="I431" s="1483" t="s">
        <v>4688</v>
      </c>
      <c r="J431" s="187" t="s">
        <v>4689</v>
      </c>
      <c r="K431" s="176" t="s">
        <v>4597</v>
      </c>
      <c r="L431" s="177"/>
      <c r="M431" s="177"/>
      <c r="N431" s="2661" cm="1">
        <f t="array" ref="N431">INDEX('6층_부하량'!K3:K3000,MATCH(1,("6-DaHall 1-PDU-08"='6층_부하량'!A3:A3000)*(28='6층_부하량'!B3:B3000),0))</f>
        <v>0</v>
      </c>
      <c r="O431" s="177"/>
      <c r="P431" s="177" t="s">
        <v>4635</v>
      </c>
      <c r="Q431" s="191" t="s">
        <v>4575</v>
      </c>
      <c r="R431" s="477" t="s">
        <v>5623</v>
      </c>
    </row>
    <row r="432" spans="1:18" ht="14.25" thickTop="1" x14ac:dyDescent="0.15">
      <c r="A432" s="174"/>
      <c r="B432" s="156" t="s">
        <v>565</v>
      </c>
      <c r="C432" s="156" t="s">
        <v>4723</v>
      </c>
      <c r="D432" s="2658" cm="1">
        <f t="array" ref="D432">INDEX('6층_부하량'!I3:I3000,MATCH(1,("6-DaHall 1-PDU-08"='6층_부하량'!A3:A3000)*(29='6층_부하량'!B3:B3000),0))</f>
        <v>0</v>
      </c>
      <c r="E432" s="179"/>
      <c r="F432" s="179"/>
      <c r="G432" s="179"/>
      <c r="H432" s="156" t="s">
        <v>4597</v>
      </c>
      <c r="I432" s="1470" t="s">
        <v>4691</v>
      </c>
      <c r="J432" s="1462" t="s">
        <v>4692</v>
      </c>
      <c r="K432" s="156" t="s">
        <v>4597</v>
      </c>
      <c r="L432" s="2658" cm="1">
        <f t="array" ref="L432">INDEX('6층_부하량'!I3:I3000,MATCH(1,("6-DaHall 1-PDU-08"='6층_부하량'!A3:A3000)*(30='6층_부하량'!B3:B3000),0))</f>
        <v>0</v>
      </c>
      <c r="M432" s="179"/>
      <c r="N432" s="179"/>
      <c r="O432" s="179"/>
      <c r="P432" s="179" t="s">
        <v>4635</v>
      </c>
      <c r="Q432" s="143" t="s">
        <v>4723</v>
      </c>
      <c r="R432" s="182" t="s">
        <v>5624</v>
      </c>
    </row>
    <row r="433" spans="1:18" x14ac:dyDescent="0.15">
      <c r="A433" s="148"/>
      <c r="B433" s="143" t="s">
        <v>565</v>
      </c>
      <c r="C433" s="143" t="s">
        <v>4723</v>
      </c>
      <c r="D433" s="157"/>
      <c r="E433" s="2656" cm="1">
        <f t="array" ref="E433">INDEX('6층_부하량'!J3:J3000,MATCH(1,("6-DaHall 1-PDU-08"='6층_부하량'!A3:A3000)*(31='6층_부하량'!B3:B3000),0))</f>
        <v>0</v>
      </c>
      <c r="F433" s="157"/>
      <c r="G433" s="157"/>
      <c r="H433" s="143" t="s">
        <v>4597</v>
      </c>
      <c r="I433" s="1471" t="s">
        <v>4693</v>
      </c>
      <c r="J433" s="1460" t="s">
        <v>4694</v>
      </c>
      <c r="K433" s="143" t="s">
        <v>4597</v>
      </c>
      <c r="L433" s="157"/>
      <c r="M433" s="2656" cm="1">
        <f t="array" ref="M433">INDEX('6층_부하량'!J3:J3000,MATCH(1,("6-DaHall 1-PDU-08"='6층_부하량'!A3:A3000)*(32='6층_부하량'!B3:B3000),0))</f>
        <v>0</v>
      </c>
      <c r="N433" s="157"/>
      <c r="O433" s="157"/>
      <c r="P433" s="157" t="s">
        <v>4635</v>
      </c>
      <c r="Q433" s="143" t="s">
        <v>4723</v>
      </c>
      <c r="R433" s="153" t="s">
        <v>5625</v>
      </c>
    </row>
    <row r="434" spans="1:18" x14ac:dyDescent="0.15">
      <c r="A434" s="148"/>
      <c r="B434" s="143" t="s">
        <v>565</v>
      </c>
      <c r="C434" s="143" t="s">
        <v>4723</v>
      </c>
      <c r="D434" s="157"/>
      <c r="E434" s="157"/>
      <c r="F434" s="2656" cm="1">
        <f t="array" ref="F434">INDEX('6층_부하량'!K3:K3000,MATCH(1,("6-DaHall 1-PDU-08"='6층_부하량'!A3:A3000)*(33='6층_부하량'!B3:B3000),0))</f>
        <v>0</v>
      </c>
      <c r="G434" s="157"/>
      <c r="H434" s="143" t="s">
        <v>4597</v>
      </c>
      <c r="I434" s="1471" t="s">
        <v>4697</v>
      </c>
      <c r="J434" s="1460" t="s">
        <v>4698</v>
      </c>
      <c r="K434" s="143" t="s">
        <v>4597</v>
      </c>
      <c r="L434" s="157"/>
      <c r="M434" s="157"/>
      <c r="N434" s="2656" cm="1">
        <f t="array" ref="N434">INDEX('6층_부하량'!K3:K3000,MATCH(1,("6-DaHall 1-PDU-08"='6층_부하량'!A3:A3000)*(34='6층_부하량'!B3:B3000),0))</f>
        <v>0</v>
      </c>
      <c r="O434" s="157"/>
      <c r="P434" s="157" t="s">
        <v>4635</v>
      </c>
      <c r="Q434" s="143" t="s">
        <v>4723</v>
      </c>
      <c r="R434" s="182" t="s">
        <v>5626</v>
      </c>
    </row>
    <row r="435" spans="1:18" ht="16.5" x14ac:dyDescent="0.15">
      <c r="A435" s="148"/>
      <c r="B435" s="143" t="s">
        <v>565</v>
      </c>
      <c r="C435" s="143" t="s">
        <v>4723</v>
      </c>
      <c r="D435" s="2656" cm="1">
        <f t="array" ref="D435">INDEX('6층_부하량'!I3:I3000,MATCH(1,("6-DaHall 1-PDU-08"='6층_부하량'!A3:A3000)*(35='6층_부하량'!B3:B3000),0))</f>
        <v>0</v>
      </c>
      <c r="E435" s="157"/>
      <c r="F435" s="157"/>
      <c r="G435" s="157"/>
      <c r="H435" s="143" t="s">
        <v>4597</v>
      </c>
      <c r="I435" s="1471" t="s">
        <v>4701</v>
      </c>
      <c r="J435" s="151" t="s">
        <v>4703</v>
      </c>
      <c r="K435" s="143" t="s">
        <v>4597</v>
      </c>
      <c r="L435" s="2656" cm="1">
        <f t="array" ref="L435">INDEX('6층_부하량'!I3:I3000,MATCH(1,("6-DaHall 1-PDU-08"='6층_부하량'!A3:A3000)*(36='6층_부하량'!B3:B3000),0))</f>
        <v>0</v>
      </c>
      <c r="M435" s="157"/>
      <c r="N435" s="157"/>
      <c r="O435" s="157"/>
      <c r="P435" s="157" t="s">
        <v>4635</v>
      </c>
      <c r="Q435" s="164" t="s">
        <v>4575</v>
      </c>
      <c r="R435" s="342" t="s">
        <v>5627</v>
      </c>
    </row>
    <row r="436" spans="1:18" ht="16.5" x14ac:dyDescent="0.15">
      <c r="A436" s="148"/>
      <c r="B436" s="143" t="s">
        <v>565</v>
      </c>
      <c r="C436" s="143" t="s">
        <v>4723</v>
      </c>
      <c r="D436" s="157"/>
      <c r="E436" s="2664" cm="1">
        <f t="array" ref="E436">INDEX('6층_부하량'!J3:J3000,MATCH(1,("6-DaHall 1-PDU-08"='6층_부하량'!A3:A3000)*(37='6층_부하량'!B3:B3000),0))</f>
        <v>0</v>
      </c>
      <c r="F436" s="157"/>
      <c r="G436" s="157"/>
      <c r="H436" s="143" t="s">
        <v>4597</v>
      </c>
      <c r="I436" s="1471" t="s">
        <v>4706</v>
      </c>
      <c r="J436" s="151" t="s">
        <v>4707</v>
      </c>
      <c r="K436" s="143" t="s">
        <v>4597</v>
      </c>
      <c r="L436" s="157"/>
      <c r="M436" s="2664" cm="1">
        <f t="array" ref="M436">INDEX('6층_부하량'!J3:J3000,MATCH(1,("6-DaHall 1-PDU-08"='6층_부하량'!A3:A3000)*(38='6층_부하량'!B3:B3000),0))</f>
        <v>0</v>
      </c>
      <c r="N436" s="157"/>
      <c r="O436" s="157"/>
      <c r="P436" s="157" t="s">
        <v>4635</v>
      </c>
      <c r="Q436" s="164" t="s">
        <v>4575</v>
      </c>
      <c r="R436" s="475" t="s">
        <v>5628</v>
      </c>
    </row>
    <row r="437" spans="1:18" ht="16.5" x14ac:dyDescent="0.15">
      <c r="A437" s="148"/>
      <c r="B437" s="143" t="s">
        <v>565</v>
      </c>
      <c r="C437" s="143" t="s">
        <v>4723</v>
      </c>
      <c r="D437" s="157"/>
      <c r="E437" s="157"/>
      <c r="F437" s="2656" cm="1">
        <f t="array" ref="F437">INDEX('6층_부하량'!K3:K3000,MATCH(1,("6-DaHall 1-PDU-08"='6층_부하량'!A3:A3000)*(39='6층_부하량'!B3:B3000),0))</f>
        <v>0</v>
      </c>
      <c r="G437" s="157"/>
      <c r="H437" s="143" t="s">
        <v>4597</v>
      </c>
      <c r="I437" s="1471" t="s">
        <v>4710</v>
      </c>
      <c r="J437" s="151" t="s">
        <v>4711</v>
      </c>
      <c r="K437" s="143" t="s">
        <v>4597</v>
      </c>
      <c r="L437" s="157"/>
      <c r="M437" s="157"/>
      <c r="N437" s="2656" cm="1">
        <f t="array" ref="N437">INDEX('6층_부하량'!K3:K3000,MATCH(1,("6-DaHall 1-PDU-08"='6층_부하량'!A3:A3000)*(40='6층_부하량'!B3:B3000),0))</f>
        <v>0</v>
      </c>
      <c r="O437" s="157"/>
      <c r="P437" s="157" t="s">
        <v>4635</v>
      </c>
      <c r="Q437" s="164" t="s">
        <v>4575</v>
      </c>
      <c r="R437" s="342" t="s">
        <v>5629</v>
      </c>
    </row>
    <row r="438" spans="1:18" ht="16.5" x14ac:dyDescent="0.15">
      <c r="A438" s="148"/>
      <c r="B438" s="143" t="s">
        <v>565</v>
      </c>
      <c r="C438" s="143" t="s">
        <v>4723</v>
      </c>
      <c r="D438" s="2656" cm="1">
        <f t="array" ref="D438">INDEX('6층_부하량'!I3:I3000,MATCH(1,("6-DaHall 1-PDU-08"='6층_부하량'!A3:A3000)*(41='6층_부하량'!B3:B3000),0))</f>
        <v>0</v>
      </c>
      <c r="E438" s="157"/>
      <c r="F438" s="157"/>
      <c r="G438" s="157"/>
      <c r="H438" s="143" t="s">
        <v>4597</v>
      </c>
      <c r="I438" s="1471" t="s">
        <v>5055</v>
      </c>
      <c r="J438" s="151" t="s">
        <v>4843</v>
      </c>
      <c r="K438" s="143" t="s">
        <v>4597</v>
      </c>
      <c r="L438" s="2656" cm="1">
        <f t="array" ref="L438">INDEX('6층_부하량'!I3:I3000,MATCH(1,("6-DaHall 1-PDU-08"='6층_부하량'!A3:A3000)*(42='6층_부하량'!B3:B3000),0))</f>
        <v>0</v>
      </c>
      <c r="M438" s="157"/>
      <c r="N438" s="157"/>
      <c r="O438" s="157"/>
      <c r="P438" s="157" t="s">
        <v>4635</v>
      </c>
      <c r="Q438" s="164" t="s">
        <v>4575</v>
      </c>
      <c r="R438" s="475" t="s">
        <v>5630</v>
      </c>
    </row>
    <row r="439" spans="1:18" ht="16.5" x14ac:dyDescent="0.15">
      <c r="A439" s="257" t="s">
        <v>5631</v>
      </c>
      <c r="B439" s="143" t="s">
        <v>5583</v>
      </c>
      <c r="C439" s="164" t="s">
        <v>4575</v>
      </c>
      <c r="D439" s="157"/>
      <c r="E439" s="2656" cm="1">
        <f t="array" ref="E439">INDEX('6층_부하량'!J3:J3000,MATCH(1,("6-DaHall 1-PDU-08"='6층_부하량'!A3:A3000)*(43='6층_부하량'!B3:B3000),0))</f>
        <v>0</v>
      </c>
      <c r="F439" s="157"/>
      <c r="G439" s="157"/>
      <c r="H439" s="143" t="s">
        <v>4597</v>
      </c>
      <c r="I439" s="154" t="s">
        <v>4845</v>
      </c>
      <c r="J439" s="151" t="s">
        <v>4846</v>
      </c>
      <c r="K439" s="143" t="s">
        <v>4597</v>
      </c>
      <c r="L439" s="157"/>
      <c r="M439" s="2656" cm="1">
        <f t="array" ref="M439">INDEX('6층_부하량'!J3:J3000,MATCH(1,("6-DaHall 1-PDU-08"='6층_부하량'!A3:A3000)*(44='6층_부하량'!B3:B3000),0))</f>
        <v>0</v>
      </c>
      <c r="N439" s="157"/>
      <c r="O439" s="157"/>
      <c r="P439" s="157" t="s">
        <v>4635</v>
      </c>
      <c r="Q439" s="164" t="s">
        <v>4575</v>
      </c>
      <c r="R439" s="342" t="s">
        <v>5632</v>
      </c>
    </row>
    <row r="440" spans="1:18" ht="16.5" x14ac:dyDescent="0.15">
      <c r="A440" s="257" t="s">
        <v>5633</v>
      </c>
      <c r="B440" s="143" t="s">
        <v>5583</v>
      </c>
      <c r="C440" s="164" t="s">
        <v>4575</v>
      </c>
      <c r="D440" s="157"/>
      <c r="E440" s="157"/>
      <c r="F440" s="2656" cm="1">
        <f t="array" ref="F440">INDEX('6층_부하량'!K3:K3000,MATCH(1,("6-DaHall 1-PDU-08"='6층_부하량'!A3:A3000)*(45='6층_부하량'!B3:B3000),0))</f>
        <v>0</v>
      </c>
      <c r="G440" s="157"/>
      <c r="H440" s="143" t="s">
        <v>4597</v>
      </c>
      <c r="I440" s="154" t="s">
        <v>4847</v>
      </c>
      <c r="J440" s="151" t="s">
        <v>4848</v>
      </c>
      <c r="K440" s="143" t="s">
        <v>4597</v>
      </c>
      <c r="L440" s="157"/>
      <c r="M440" s="157"/>
      <c r="N440" s="2656" cm="1">
        <f t="array" ref="N440">INDEX('6층_부하량'!K3:K3000,MATCH(1,("6-DaHall 1-PDU-08"='6층_부하량'!A3:A3000)*(46='6층_부하량'!B3:B3000),0))</f>
        <v>0</v>
      </c>
      <c r="O440" s="157"/>
      <c r="P440" s="157" t="s">
        <v>4635</v>
      </c>
      <c r="Q440" s="164" t="s">
        <v>4575</v>
      </c>
      <c r="R440" s="475" t="s">
        <v>5634</v>
      </c>
    </row>
    <row r="441" spans="1:18" ht="16.5" x14ac:dyDescent="0.15">
      <c r="A441" s="257" t="s">
        <v>5635</v>
      </c>
      <c r="B441" s="143" t="s">
        <v>4635</v>
      </c>
      <c r="C441" s="164" t="s">
        <v>4575</v>
      </c>
      <c r="D441" s="2664" cm="1">
        <f t="array" ref="D441">INDEX('6층_부하량'!I3:I3000,MATCH(1,("6-DaHall 1-PDU-08"='6층_부하량'!A3:A3000)*(47='6층_부하량'!B3:B3000),0))</f>
        <v>0</v>
      </c>
      <c r="E441" s="157"/>
      <c r="F441" s="157"/>
      <c r="G441" s="157"/>
      <c r="H441" s="143" t="s">
        <v>4597</v>
      </c>
      <c r="I441" s="154" t="s">
        <v>4849</v>
      </c>
      <c r="J441" s="1460" t="s">
        <v>4850</v>
      </c>
      <c r="K441" s="143" t="s">
        <v>4597</v>
      </c>
      <c r="L441" s="2664" cm="1">
        <f t="array" ref="L441">INDEX('6층_부하량'!I3:I3000,MATCH(1,("6-DaHall 1-PDU-08"='6층_부하량'!A3:A3000)*(48='6층_부하량'!B3:B3000),0))</f>
        <v>0</v>
      </c>
      <c r="M441" s="157"/>
      <c r="N441" s="157"/>
      <c r="O441" s="157"/>
      <c r="P441" s="157" t="s">
        <v>4635</v>
      </c>
      <c r="Q441" s="143" t="s">
        <v>4723</v>
      </c>
      <c r="R441" s="183" t="s">
        <v>5636</v>
      </c>
    </row>
    <row r="442" spans="1:18" ht="16.5" x14ac:dyDescent="0.15">
      <c r="A442" s="607" t="s">
        <v>5637</v>
      </c>
      <c r="B442" s="143" t="s">
        <v>4635</v>
      </c>
      <c r="C442" s="164" t="s">
        <v>4575</v>
      </c>
      <c r="D442" s="157"/>
      <c r="E442" s="2656" cm="1">
        <f t="array" ref="E442">INDEX('6층_부하량'!J3:J3000,MATCH(1,("6-DaHall 1-PDU-08"='6층_부하량'!A3:A3000)*(49='6층_부하량'!B3:B3000),0))</f>
        <v>0</v>
      </c>
      <c r="F442" s="157"/>
      <c r="G442" s="157"/>
      <c r="H442" s="143" t="s">
        <v>4597</v>
      </c>
      <c r="I442" s="150" t="s">
        <v>4851</v>
      </c>
      <c r="J442" s="1460" t="s">
        <v>4852</v>
      </c>
      <c r="K442" s="143" t="s">
        <v>4597</v>
      </c>
      <c r="L442" s="157"/>
      <c r="M442" s="2656" cm="1">
        <f t="array" ref="M442">INDEX('6층_부하량'!J3:J3000,MATCH(1,("6-DaHall 1-PDU-08"='6층_부하량'!A3:A3000)*(50='6층_부하량'!B3:B3000),0))</f>
        <v>0</v>
      </c>
      <c r="N442" s="157"/>
      <c r="O442" s="157"/>
      <c r="P442" s="157" t="s">
        <v>4635</v>
      </c>
      <c r="Q442" s="143" t="s">
        <v>4723</v>
      </c>
      <c r="R442" s="153" t="s">
        <v>5638</v>
      </c>
    </row>
    <row r="443" spans="1:18" ht="16.5" x14ac:dyDescent="0.15">
      <c r="A443" s="607" t="s">
        <v>5639</v>
      </c>
      <c r="B443" s="143" t="s">
        <v>4635</v>
      </c>
      <c r="C443" s="164" t="s">
        <v>4575</v>
      </c>
      <c r="D443" s="157"/>
      <c r="E443" s="157"/>
      <c r="F443" s="2664" cm="1">
        <f t="array" ref="F443">INDEX('6층_부하량'!K3:K3000,MATCH(1,("6-DaHall 1-PDU-08"='6층_부하량'!A3:A3000)*(51='6층_부하량'!B3:B3000),0))</f>
        <v>0</v>
      </c>
      <c r="G443" s="157"/>
      <c r="H443" s="143" t="s">
        <v>4597</v>
      </c>
      <c r="I443" s="150" t="s">
        <v>4853</v>
      </c>
      <c r="J443" s="1460" t="s">
        <v>4854</v>
      </c>
      <c r="K443" s="143" t="s">
        <v>4597</v>
      </c>
      <c r="L443" s="157"/>
      <c r="M443" s="157"/>
      <c r="N443" s="2664" cm="1">
        <f t="array" ref="N443">INDEX('6층_부하량'!K3:K3000,MATCH(1,("6-DaHall 1-PDU-08"='6층_부하량'!A3:A3000)*(52='6층_부하량'!B3:B3000),0))</f>
        <v>0</v>
      </c>
      <c r="O443" s="157"/>
      <c r="P443" s="157" t="s">
        <v>4635</v>
      </c>
      <c r="Q443" s="143" t="s">
        <v>4723</v>
      </c>
      <c r="R443" s="183" t="s">
        <v>5640</v>
      </c>
    </row>
    <row r="444" spans="1:18" ht="17.25" thickBot="1" x14ac:dyDescent="0.2">
      <c r="A444" s="275" t="s">
        <v>5641</v>
      </c>
      <c r="B444" s="166" t="s">
        <v>4635</v>
      </c>
      <c r="C444" s="184" t="s">
        <v>4575</v>
      </c>
      <c r="D444" s="2668" cm="1">
        <f t="array" ref="D444">INDEX('6층_부하량'!I3:I3000,MATCH(1,("6-DaHall 1-PDU-08"='6층_부하량'!A3:A3000)*(53='6층_부하량'!B3:B3000),0))</f>
        <v>0</v>
      </c>
      <c r="E444" s="167"/>
      <c r="F444" s="167"/>
      <c r="G444" s="167"/>
      <c r="H444" s="166" t="s">
        <v>4597</v>
      </c>
      <c r="I444" s="194" t="s">
        <v>4856</v>
      </c>
      <c r="J444" s="190" t="s">
        <v>4857</v>
      </c>
      <c r="K444" s="166" t="s">
        <v>4597</v>
      </c>
      <c r="L444" s="2668" cm="1">
        <f t="array" ref="L444">INDEX('6층_부하량'!I3:I3000,MATCH(1,("6-DaHall 1-PDU-08"='6층_부하량'!A3:A3000)*(54='6층_부하량'!B3:B3000),0))</f>
        <v>0</v>
      </c>
      <c r="M444" s="167"/>
      <c r="N444" s="167"/>
      <c r="O444" s="167"/>
      <c r="P444" s="167" t="s">
        <v>4635</v>
      </c>
      <c r="Q444" s="184" t="s">
        <v>4575</v>
      </c>
      <c r="R444" s="634" t="s">
        <v>5642</v>
      </c>
    </row>
    <row r="445" spans="1:18" ht="14.25" thickTop="1" x14ac:dyDescent="0.15">
      <c r="A445" s="128"/>
      <c r="B445" s="128"/>
      <c r="C445" s="128"/>
      <c r="D445" s="128"/>
      <c r="E445" s="128"/>
      <c r="F445" s="128"/>
      <c r="G445" s="128"/>
      <c r="H445" s="128"/>
      <c r="I445" s="128"/>
      <c r="J445" s="128"/>
      <c r="K445" s="128" t="s">
        <v>4713</v>
      </c>
      <c r="L445" s="128" t="n">
        <f>SUM(D418:D444,L418:L444)</f>
        <v>0.0</v>
      </c>
      <c r="M445" s="128" t="n">
        <f>SUM(E418:E444,M418:M444)</f>
        <v>0.0</v>
      </c>
      <c r="N445" s="128" t="n">
        <f>SUM(F418:F444,N418:N444)</f>
        <v>0.0</v>
      </c>
      <c r="O445" s="128"/>
      <c r="P445" s="128"/>
      <c r="Q445" s="128"/>
      <c r="R445" s="128"/>
    </row>
    <row r="446" spans="1:18" x14ac:dyDescent="0.15">
      <c r="A446" s="128"/>
      <c r="B446" s="128"/>
      <c r="C446" s="128"/>
      <c r="D446" s="128"/>
      <c r="E446" s="128"/>
      <c r="F446" s="128"/>
      <c r="G446" s="128"/>
      <c r="H446" s="128"/>
      <c r="I446" s="128"/>
      <c r="J446" s="128"/>
      <c r="K446" s="128"/>
      <c r="L446" s="128"/>
      <c r="M446" s="128"/>
      <c r="N446" s="128"/>
      <c r="O446" s="128"/>
      <c r="P446" s="128"/>
      <c r="Q446" s="128"/>
      <c r="R446" s="128"/>
    </row>
    <row r="447" spans="1:18" x14ac:dyDescent="0.15">
      <c r="A447" s="128"/>
      <c r="B447" s="50" t="s">
        <v>4649</v>
      </c>
      <c r="C447" s="50" t="n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562.4314888496068</v>
      </c>
      <c r="D447" s="128"/>
      <c r="E447" s="128"/>
      <c r="F447" s="51"/>
      <c r="G447" s="128"/>
      <c r="H447" s="128"/>
      <c r="I447" s="128"/>
      <c r="J447" s="128"/>
      <c r="K447" s="128"/>
      <c r="L447" s="128"/>
      <c r="M447" s="128"/>
      <c r="N447" s="128"/>
      <c r="O447" s="128"/>
      <c r="P447" s="128"/>
      <c r="Q447" s="128"/>
      <c r="R447" s="128"/>
    </row>
    <row r="448" spans="1:18" x14ac:dyDescent="0.15">
      <c r="A448" s="128"/>
      <c r="B448" s="50"/>
      <c r="C448" s="50"/>
      <c r="D448" s="128"/>
      <c r="E448" s="128"/>
      <c r="F448" s="51"/>
      <c r="G448" s="128"/>
      <c r="H448" s="128"/>
      <c r="I448" s="128"/>
      <c r="J448" s="128"/>
      <c r="K448" s="128"/>
      <c r="L448" s="128"/>
      <c r="M448" s="128"/>
      <c r="N448" s="128"/>
      <c r="O448" s="128"/>
      <c r="P448" s="128"/>
      <c r="Q448" s="128"/>
      <c r="R448" s="128"/>
    </row>
    <row r="449" spans="1:18" x14ac:dyDescent="0.15">
      <c r="A449" s="128"/>
      <c r="B449" s="50"/>
      <c r="C449" s="50"/>
      <c r="D449" s="128"/>
      <c r="E449" s="128"/>
      <c r="F449" s="51"/>
      <c r="G449" s="128"/>
      <c r="H449" s="128"/>
      <c r="I449" s="128"/>
      <c r="J449" s="128"/>
      <c r="K449" s="128"/>
      <c r="L449" s="128"/>
      <c r="M449" s="128"/>
      <c r="N449" s="128"/>
      <c r="O449" s="128"/>
      <c r="P449" s="128"/>
      <c r="Q449" s="128"/>
      <c r="R449" s="128"/>
    </row>
    <row r="450" spans="1:18" x14ac:dyDescent="0.15">
      <c r="A450" s="128"/>
      <c r="B450" s="50"/>
      <c r="C450" s="50"/>
      <c r="D450" s="128"/>
      <c r="E450" s="128"/>
      <c r="F450" s="51"/>
      <c r="G450" s="128"/>
      <c r="H450" s="128"/>
      <c r="I450" s="128"/>
      <c r="J450" s="128"/>
      <c r="K450" s="128"/>
      <c r="L450" s="128"/>
      <c r="M450" s="128"/>
      <c r="N450" s="128"/>
      <c r="O450" s="128"/>
      <c r="P450" s="128"/>
      <c r="Q450" s="128"/>
      <c r="R450" s="128"/>
    </row>
    <row r="451" spans="1:18" x14ac:dyDescent="0.15">
      <c r="A451" s="128"/>
      <c r="B451" s="50"/>
      <c r="C451" s="50"/>
      <c r="D451" s="128"/>
      <c r="E451" s="128"/>
      <c r="F451" s="51"/>
      <c r="G451" s="128"/>
      <c r="H451" s="128"/>
      <c r="I451" s="128"/>
      <c r="J451" s="128"/>
      <c r="K451" s="128"/>
      <c r="L451" s="128"/>
      <c r="M451" s="128"/>
      <c r="N451" s="128"/>
      <c r="O451" s="128"/>
      <c r="P451" s="128"/>
      <c r="Q451" s="128"/>
      <c r="R451" s="128"/>
    </row>
    <row r="452" spans="1:18" x14ac:dyDescent="0.15">
      <c r="A452" s="128"/>
      <c r="B452" s="50"/>
      <c r="C452" s="50"/>
      <c r="D452" s="128"/>
      <c r="E452" s="128"/>
      <c r="F452" s="51"/>
      <c r="G452" s="128"/>
      <c r="H452" s="128"/>
      <c r="I452" s="128"/>
      <c r="J452" s="128"/>
      <c r="K452" s="128"/>
      <c r="L452" s="128"/>
      <c r="M452" s="128"/>
      <c r="N452" s="128"/>
      <c r="O452" s="128"/>
      <c r="P452" s="128"/>
      <c r="Q452" s="128"/>
      <c r="R452" s="128"/>
    </row>
    <row r="453" spans="1:18" x14ac:dyDescent="0.15">
      <c r="A453" s="128"/>
      <c r="B453" s="50"/>
      <c r="C453" s="50"/>
      <c r="D453" s="128"/>
      <c r="E453" s="128"/>
      <c r="F453" s="51"/>
      <c r="G453" s="128"/>
      <c r="H453" s="128"/>
      <c r="I453" s="128"/>
      <c r="J453" s="128"/>
      <c r="K453" s="128"/>
      <c r="L453" s="128"/>
      <c r="M453" s="128"/>
      <c r="N453" s="128"/>
      <c r="O453" s="128"/>
      <c r="P453" s="128"/>
      <c r="Q453" s="128"/>
      <c r="R453" s="128"/>
    </row>
    <row r="454" spans="1:18" x14ac:dyDescent="0.15">
      <c r="A454" s="128"/>
      <c r="B454" s="50"/>
      <c r="C454" s="50"/>
      <c r="D454" s="128"/>
      <c r="E454" s="128"/>
      <c r="F454" s="51"/>
      <c r="G454" s="128"/>
      <c r="H454" s="128"/>
      <c r="I454" s="128"/>
      <c r="J454" s="128"/>
      <c r="K454" s="128"/>
      <c r="L454" s="128"/>
      <c r="M454" s="128"/>
      <c r="N454" s="128"/>
      <c r="O454" s="128"/>
      <c r="P454" s="128"/>
      <c r="Q454" s="128"/>
      <c r="R454" s="128"/>
    </row>
    <row r="455" spans="1:18" x14ac:dyDescent="0.15">
      <c r="A455" s="128"/>
      <c r="B455" s="50"/>
      <c r="C455" s="50"/>
      <c r="D455" s="128"/>
      <c r="E455" s="128"/>
      <c r="F455" s="51"/>
      <c r="G455" s="128"/>
      <c r="H455" s="128"/>
      <c r="I455" s="128"/>
      <c r="J455" s="128"/>
      <c r="K455" s="128"/>
      <c r="L455" s="128"/>
      <c r="M455" s="128"/>
      <c r="N455" s="128"/>
      <c r="O455" s="128"/>
      <c r="P455" s="128"/>
      <c r="Q455" s="128"/>
      <c r="R455" s="128"/>
    </row>
    <row r="456" spans="1:18" x14ac:dyDescent="0.15">
      <c r="A456" s="128"/>
      <c r="B456" s="50"/>
      <c r="C456" s="50"/>
      <c r="D456" s="128"/>
      <c r="E456" s="128"/>
      <c r="F456" s="51"/>
      <c r="G456" s="128"/>
      <c r="H456" s="128"/>
      <c r="I456" s="128"/>
      <c r="J456" s="128"/>
      <c r="K456" s="128"/>
      <c r="L456" s="128"/>
      <c r="M456" s="128"/>
      <c r="N456" s="128"/>
      <c r="O456" s="128"/>
      <c r="P456" s="128"/>
      <c r="Q456" s="128"/>
      <c r="R456" s="128"/>
    </row>
    <row r="457" spans="1:18" x14ac:dyDescent="0.15">
      <c r="A457" s="128"/>
      <c r="B457" s="50"/>
      <c r="C457" s="50"/>
      <c r="D457" s="128"/>
      <c r="E457" s="128"/>
      <c r="F457" s="51"/>
      <c r="G457" s="128"/>
      <c r="H457" s="128"/>
      <c r="I457" s="128"/>
      <c r="J457" s="128"/>
      <c r="K457" s="128"/>
      <c r="L457" s="128"/>
      <c r="M457" s="128"/>
      <c r="N457" s="128"/>
      <c r="O457" s="128"/>
      <c r="P457" s="128"/>
      <c r="Q457" s="128"/>
      <c r="R457" s="128"/>
    </row>
    <row r="458" spans="1:18" x14ac:dyDescent="0.15">
      <c r="B458" s="50"/>
      <c r="C458" s="50"/>
      <c r="E458" s="128"/>
      <c r="F458" s="51"/>
    </row>
    <row r="459" spans="1:18" x14ac:dyDescent="0.15">
      <c r="B459" s="50"/>
      <c r="C459" s="50"/>
      <c r="E459" s="128"/>
      <c r="F459" s="51"/>
    </row>
    <row r="460" spans="1:18" x14ac:dyDescent="0.15">
      <c r="B460" s="50"/>
      <c r="C460" s="50"/>
      <c r="E460" s="128"/>
      <c r="F460" s="51"/>
    </row>
    <row r="461" spans="1:18" x14ac:dyDescent="0.15">
      <c r="B461" s="50"/>
      <c r="C461" s="50"/>
      <c r="E461" s="128"/>
      <c r="F461" s="51"/>
    </row>
    <row r="462" spans="1:18" x14ac:dyDescent="0.15">
      <c r="B462" s="50"/>
      <c r="C462" s="50"/>
      <c r="E462" s="128"/>
      <c r="F462" s="51"/>
    </row>
    <row r="463" spans="1:18" x14ac:dyDescent="0.15">
      <c r="B463" s="50"/>
      <c r="C463" s="50"/>
      <c r="E463" s="128"/>
      <c r="F463" s="51"/>
    </row>
    <row r="464" spans="1:18" x14ac:dyDescent="0.15">
      <c r="B464" s="50"/>
      <c r="C464" s="50"/>
      <c r="E464" s="128"/>
      <c r="F464" s="51"/>
    </row>
    <row r="465" spans="2:6" ht="14.25" thickBot="1" x14ac:dyDescent="0.2">
      <c r="B465" s="195"/>
      <c r="C465" s="195"/>
      <c r="E465" s="128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1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3.5" x14ac:dyDescent="0.15"/>
  <cols>
    <col min="1" max="1" customWidth="true" width="27.33203125" collapsed="false"/>
    <col min="2" max="3" customWidth="true" width="7.33203125" collapsed="false"/>
    <col min="4" max="7" customWidth="true" width="8.109375" collapsed="false"/>
    <col min="8" max="8" customWidth="true" width="10.33203125" collapsed="false"/>
    <col min="9" max="9" bestFit="true" customWidth="true" width="4.6640625" collapsed="false"/>
    <col min="10" max="11" customWidth="true" width="10.44140625" collapsed="false"/>
    <col min="12" max="12" bestFit="true" customWidth="true" width="4.6640625" collapsed="false"/>
    <col min="13" max="13" customWidth="true" width="10.33203125" collapsed="false"/>
    <col min="14" max="17" customWidth="true" width="8.109375" collapsed="false"/>
    <col min="18" max="19" customWidth="true" width="7.33203125" collapsed="false"/>
    <col min="20" max="20" customWidth="true" width="28.109375" collapsed="false"/>
    <col min="21" max="21" customWidth="true" width="1.88671875" collapsed="false"/>
  </cols>
  <sheetData>
    <row r="1" spans="1:22" x14ac:dyDescent="0.15">
      <c r="A1" s="2694" t="s">
        <v>9602</v>
      </c>
    </row>
    <row r="2" spans="1:22" ht="18" customHeight="1" thickBot="1" x14ac:dyDescent="0.2">
      <c r="V2" s="2147"/>
    </row>
    <row r="3" spans="1:22" ht="18" customHeight="1" thickTop="1" thickBot="1" x14ac:dyDescent="0.2">
      <c r="A3" s="2474" t="s">
        <v>6943</v>
      </c>
      <c r="D3" s="53"/>
      <c r="E3" s="53"/>
      <c r="F3" s="53"/>
      <c r="G3" s="53"/>
      <c r="H3" s="124"/>
      <c r="I3" s="124"/>
      <c r="J3" s="3661" t="s">
        <v>4989</v>
      </c>
      <c r="K3" s="3667"/>
      <c r="L3" s="124"/>
      <c r="M3" s="124"/>
      <c r="N3" s="53"/>
      <c r="O3" s="53"/>
      <c r="P3" s="53"/>
      <c r="Q3" s="53"/>
      <c r="R3" s="53"/>
      <c r="S3" s="53"/>
    </row>
    <row r="4" spans="1:22" ht="18" customHeight="1" thickTop="1" thickBot="1" x14ac:dyDescent="0.2">
      <c r="A4" s="3"/>
      <c r="D4" s="54"/>
      <c r="E4" s="54"/>
      <c r="F4" s="54"/>
      <c r="G4" s="54"/>
      <c r="H4" s="4"/>
      <c r="I4" s="4"/>
      <c r="K4" s="56"/>
      <c r="L4" s="565"/>
      <c r="M4" s="1371" t="s">
        <v>4562</v>
      </c>
      <c r="N4" s="1368">
        <v>62.2</v>
      </c>
      <c r="O4" s="1369">
        <v>67</v>
      </c>
      <c r="P4" s="1370">
        <v>61.8</v>
      </c>
      <c r="Q4" s="508" t="s">
        <v>4563</v>
      </c>
      <c r="R4" s="133"/>
      <c r="S4" s="128"/>
      <c r="T4" s="528">
        <v>-1</v>
      </c>
    </row>
    <row r="5" spans="1:22" ht="18" customHeight="1" thickTop="1" thickBot="1" x14ac:dyDescent="0.2">
      <c r="A5" s="5" t="s">
        <v>4564</v>
      </c>
      <c r="B5" s="6" t="s">
        <v>4565</v>
      </c>
      <c r="C5" s="7" t="s">
        <v>4566</v>
      </c>
      <c r="D5" s="6" t="s">
        <v>4567</v>
      </c>
      <c r="E5" s="6" t="s">
        <v>4568</v>
      </c>
      <c r="F5" s="6" t="s">
        <v>4569</v>
      </c>
      <c r="G5" s="6" t="s">
        <v>4570</v>
      </c>
      <c r="H5" s="100" t="s">
        <v>4571</v>
      </c>
      <c r="I5" s="554"/>
      <c r="J5" s="58" t="s">
        <v>4572</v>
      </c>
      <c r="K5" s="59" t="s">
        <v>4572</v>
      </c>
      <c r="L5" s="566"/>
      <c r="M5" s="8" t="s">
        <v>4571</v>
      </c>
      <c r="N5" s="6" t="s">
        <v>4567</v>
      </c>
      <c r="O5" s="6" t="s">
        <v>4568</v>
      </c>
      <c r="P5" s="6" t="s">
        <v>4569</v>
      </c>
      <c r="Q5" s="6" t="s">
        <v>4570</v>
      </c>
      <c r="R5" s="6" t="s">
        <v>4565</v>
      </c>
      <c r="S5" s="7" t="s">
        <v>4566</v>
      </c>
      <c r="T5" s="60" t="s">
        <v>4564</v>
      </c>
    </row>
    <row r="6" spans="1:22" ht="24.75" thickTop="1" x14ac:dyDescent="0.15">
      <c r="A6" s="2539" t="s">
        <v>6983</v>
      </c>
      <c r="B6" s="11" t="s">
        <v>4635</v>
      </c>
      <c r="C6" s="18" t="s">
        <v>4575</v>
      </c>
      <c r="D6" s="2670" cm="1" t="n">
        <f t="array" ref="D6">INDEX('5층_부하량'!C3:C3000,MATCH(1,("5-DaHall 1-CEP-05"='5층_부하량'!A3:A3000)*(1='5층_부하량'!B3:B3000),0))</f>
        <v>0.0</v>
      </c>
      <c r="E6" s="2670" cm="1" t="n">
        <f t="array" ref="E6">INDEX('5층_부하량'!D3:D3000,MATCH(1,("5-DaHall 1-CEP-05"='5층_부하량'!A3:A3000)*(1='5층_부하량'!B3:B3000),0))</f>
        <v>0.0</v>
      </c>
      <c r="F6" s="2670" cm="1" t="n">
        <f t="array" ref="F6">INDEX('5층_부하량'!E3:E3000,MATCH(1,("5-DaHall 1-CEP-05"='5층_부하량'!A3:A3000)*(1='5층_부하량'!B3:B3000),0))</f>
        <v>0.0</v>
      </c>
      <c r="G6" s="21"/>
      <c r="H6" s="11" t="s">
        <v>4996</v>
      </c>
      <c r="I6" s="548" t="s">
        <v>4633</v>
      </c>
      <c r="J6" s="61" t="s">
        <v>5643</v>
      </c>
      <c r="K6" s="62" t="s">
        <v>5643</v>
      </c>
      <c r="L6" s="548" t="s">
        <v>4578</v>
      </c>
      <c r="M6" s="11" t="s">
        <v>4996</v>
      </c>
      <c r="N6" s="2669" cm="1" t="n">
        <f t="array" ref="N6">INDEX('5층_부하량'!C3:C3000,MATCH(1,("5-DaHall 1-CEP-05"='5층_부하량'!A3:A3000)*(2='5층_부하량'!B3:B3000),0))</f>
        <v>0.0</v>
      </c>
      <c r="O6" s="2669" cm="1" t="n">
        <f t="array" ref="O6">INDEX('5층_부하량'!D3:D3000,MATCH(1,("5-DaHall 1-CEP-05"='5층_부하량'!A3:A3000)*(2='5층_부하량'!B3:B3000),0))</f>
        <v>0.0</v>
      </c>
      <c r="P6" s="2669" cm="1" t="n">
        <f t="array" ref="P6">INDEX('5층_부하량'!E3:E3000,MATCH(1,("5-DaHall 1-CEP-05"='5층_부하량'!A3:A3000)*(2='5층_부하량'!B3:B3000),0))</f>
        <v>0.0</v>
      </c>
      <c r="Q6" s="21"/>
      <c r="R6" s="13" t="s">
        <v>4635</v>
      </c>
      <c r="S6" s="97" t="s">
        <v>4575</v>
      </c>
      <c r="T6" s="101" t="s">
        <v>6996</v>
      </c>
    </row>
    <row r="7" spans="1:22" ht="24" x14ac:dyDescent="0.15">
      <c r="A7" s="22" t="s">
        <v>6984</v>
      </c>
      <c r="B7" s="17" t="s">
        <v>4635</v>
      </c>
      <c r="C7" s="18" t="s">
        <v>4575</v>
      </c>
      <c r="D7" s="2670" cm="1" t="n">
        <f t="array" ref="D7">INDEX('5층_부하량'!C3:C3000,MATCH(1,("5-DaHall 1-CEP-05"='5층_부하량'!A3:A3000)*(3='5층_부하량'!B3:B3000),0))</f>
        <v>0.0</v>
      </c>
      <c r="E7" s="2670" cm="1" t="n">
        <f t="array" ref="E7">INDEX('5층_부하량'!D3:D3000,MATCH(1,("5-DaHall 1-CEP-05"='5층_부하량'!A3:A3000)*(3='5층_부하량'!B3:B3000),0))</f>
        <v>0.0</v>
      </c>
      <c r="F7" s="2670" cm="1" t="n">
        <f t="array" ref="F7">INDEX('5층_부하량'!E3:E3000,MATCH(1,("5-DaHall 1-CEP-05"='5층_부하량'!A3:A3000)*(3='5층_부하량'!B3:B3000),0))</f>
        <v>0.0</v>
      </c>
      <c r="G7" s="350"/>
      <c r="H7" s="17" t="s">
        <v>4996</v>
      </c>
      <c r="I7" s="549" t="s">
        <v>4638</v>
      </c>
      <c r="J7" s="65" t="s">
        <v>5643</v>
      </c>
      <c r="K7" s="66" t="s">
        <v>5643</v>
      </c>
      <c r="L7" s="549" t="s">
        <v>4583</v>
      </c>
      <c r="M7" s="17" t="s">
        <v>4996</v>
      </c>
      <c r="N7" s="2670" cm="1" t="n">
        <f t="array" ref="N7">INDEX('5층_부하량'!C3:C3000,MATCH(1,("5-DaHall 1-CEP-05"='5층_부하량'!A3:A3000)*(4='5층_부하량'!B3:B3000),0))</f>
        <v>0.0</v>
      </c>
      <c r="O7" s="2670" cm="1" t="n">
        <f t="array" ref="O7">INDEX('5층_부하량'!D3:D3000,MATCH(1,("5-DaHall 1-CEP-05"='5층_부하량'!A3:A3000)*(4='5층_부하량'!B3:B3000),0))</f>
        <v>0.0</v>
      </c>
      <c r="P7" s="2670" cm="1" t="n">
        <f t="array" ref="P7">INDEX('5층_부하량'!E3:E3000,MATCH(1,("5-DaHall 1-CEP-05"='5층_부하량'!A3:A3000)*(4='5층_부하량'!B3:B3000),0))</f>
        <v>0.0</v>
      </c>
      <c r="Q7" s="349"/>
      <c r="R7" s="17" t="s">
        <v>4635</v>
      </c>
      <c r="S7" s="18" t="s">
        <v>4575</v>
      </c>
      <c r="T7" s="70" t="s">
        <v>6989</v>
      </c>
    </row>
    <row r="8" spans="1:22" ht="24" x14ac:dyDescent="0.15">
      <c r="A8" s="22" t="s">
        <v>6985</v>
      </c>
      <c r="B8" s="17" t="s">
        <v>4635</v>
      </c>
      <c r="C8" s="322" t="s">
        <v>4575</v>
      </c>
      <c r="D8" s="2672" cm="1" t="n">
        <f t="array" ref="D8">INDEX('5층_부하량'!C3:C3000,MATCH(1,("5-DaHall 1-CEP-05"='5층_부하량'!A3:A3000)*(5='5층_부하량'!B3:B3000),0))</f>
        <v>0.0</v>
      </c>
      <c r="E8" s="2672" cm="1" t="n">
        <f t="array" ref="E8">INDEX('5층_부하량'!D3:D3000,MATCH(1,("5-DaHall 1-CEP-05"='5층_부하량'!A3:A3000)*(5='5층_부하량'!B3:B3000),0))</f>
        <v>0.0</v>
      </c>
      <c r="F8" s="2672" cm="1" t="n">
        <f t="array" ref="F8">INDEX('5층_부하량'!E3:E3000,MATCH(1,("5-DaHall 1-CEP-05"='5층_부하량'!A3:A3000)*(5='5층_부하량'!B3:B3000),0))</f>
        <v>0.0</v>
      </c>
      <c r="G8" s="350"/>
      <c r="H8" s="17" t="s">
        <v>4996</v>
      </c>
      <c r="I8" s="549" t="s">
        <v>4641</v>
      </c>
      <c r="J8" s="65" t="s">
        <v>5643</v>
      </c>
      <c r="K8" s="66" t="s">
        <v>5643</v>
      </c>
      <c r="L8" s="550" t="s">
        <v>4588</v>
      </c>
      <c r="M8" s="72" t="s">
        <v>4996</v>
      </c>
      <c r="N8" s="2672" cm="1" t="n">
        <f t="array" ref="N8">INDEX('5층_부하량'!C3:C3000,MATCH(1,("5-DaHall 1-CEP-05"='5층_부하량'!A3:A3000)*(6='5층_부하량'!B3:B3000),0))</f>
        <v>0.0</v>
      </c>
      <c r="O8" s="2672" cm="1" t="n">
        <f t="array" ref="O8">INDEX('5층_부하량'!D3:D3000,MATCH(1,("5-DaHall 1-CEP-05"='5층_부하량'!A3:A3000)*(6='5층_부하량'!B3:B3000),0))</f>
        <v>0.0</v>
      </c>
      <c r="P8" s="2672" cm="1" t="n">
        <f t="array" ref="P8">INDEX('5층_부하량'!E3:E3000,MATCH(1,("5-DaHall 1-CEP-05"='5층_부하량'!A3:A3000)*(6='5층_부하량'!B3:B3000),0))</f>
        <v>0.0</v>
      </c>
      <c r="Q8" s="350"/>
      <c r="R8" s="17" t="s">
        <v>4635</v>
      </c>
      <c r="S8" s="18" t="s">
        <v>4575</v>
      </c>
      <c r="T8" s="70" t="s">
        <v>6990</v>
      </c>
    </row>
    <row r="9" spans="1:22" ht="24" x14ac:dyDescent="0.15">
      <c r="A9" s="22" t="s">
        <v>6986</v>
      </c>
      <c r="B9" s="17" t="s">
        <v>4635</v>
      </c>
      <c r="C9" s="18" t="s">
        <v>4575</v>
      </c>
      <c r="D9" s="2672" cm="1" t="n">
        <f t="array" ref="D9">INDEX('5층_부하량'!C3:C3000,MATCH(1,("5-DaHall 1-CEP-05"='5층_부하량'!A3:A3000)*(7='5층_부하량'!B3:B3000),0))</f>
        <v>0.0</v>
      </c>
      <c r="E9" s="2672" cm="1" t="n">
        <f t="array" ref="E9">INDEX('5층_부하량'!D3:D3000,MATCH(1,("5-DaHall 1-CEP-05"='5층_부하량'!A3:A3000)*(7='5층_부하량'!B3:B3000),0))</f>
        <v>0.0</v>
      </c>
      <c r="F9" s="2672" cm="1" t="n">
        <f t="array" ref="F9">INDEX('5층_부하량'!E3:E3000,MATCH(1,("5-DaHall 1-CEP-05"='5층_부하량'!A3:A3000)*(7='5층_부하량'!B3:B3000),0))</f>
        <v>0.0</v>
      </c>
      <c r="G9" s="350"/>
      <c r="H9" s="17" t="s">
        <v>4996</v>
      </c>
      <c r="I9" s="549" t="s">
        <v>4645</v>
      </c>
      <c r="J9" s="65" t="s">
        <v>5643</v>
      </c>
      <c r="K9" s="66" t="s">
        <v>5643</v>
      </c>
      <c r="L9" s="549" t="s">
        <v>4593</v>
      </c>
      <c r="M9" s="17" t="s">
        <v>4996</v>
      </c>
      <c r="N9" s="2672" cm="1" t="n">
        <f t="array" ref="N9">INDEX('5층_부하량'!C3:C3000,MATCH(1,("5-DaHall 1-CEP-05"='5층_부하량'!A3:A3000)*(8='5층_부하량'!B3:B3000),0))</f>
        <v>0.0</v>
      </c>
      <c r="O9" s="2672" cm="1" t="n">
        <f t="array" ref="O9">INDEX('5층_부하량'!D3:D3000,MATCH(1,("5-DaHall 1-CEP-05"='5층_부하량'!A3:A3000)*(8='5층_부하량'!B3:B3000),0))</f>
        <v>0.0</v>
      </c>
      <c r="P9" s="2672" cm="1" t="n">
        <f t="array" ref="P9">INDEX('5층_부하량'!E3:E3000,MATCH(1,("5-DaHall 1-CEP-05"='5층_부하량'!A3:A3000)*(8='5층_부하량'!B3:B3000),0))</f>
        <v>0.0</v>
      </c>
      <c r="Q9" s="350"/>
      <c r="R9" s="17" t="s">
        <v>4635</v>
      </c>
      <c r="S9" s="18" t="s">
        <v>4575</v>
      </c>
      <c r="T9" s="70" t="s">
        <v>6991</v>
      </c>
    </row>
    <row r="10" spans="1:22" ht="24" x14ac:dyDescent="0.15">
      <c r="A10" s="22" t="s">
        <v>6987</v>
      </c>
      <c r="B10" s="17" t="s">
        <v>4635</v>
      </c>
      <c r="C10" s="18" t="s">
        <v>4575</v>
      </c>
      <c r="D10" s="2672" cm="1" t="n">
        <f t="array" ref="D10">INDEX('5층_부하량'!C3:C3000,MATCH(1,("5-DaHall 1-CEP-05"='5층_부하량'!A3:A3000)*(9='5층_부하량'!B3:B3000),0))</f>
        <v>0.0</v>
      </c>
      <c r="E10" s="2672" cm="1" t="n">
        <f t="array" ref="E10">INDEX('5층_부하량'!D3:D3000,MATCH(1,("5-DaHall 1-CEP-05"='5층_부하량'!A3:A3000)*(9='5층_부하량'!B3:B3000),0))</f>
        <v>0.0</v>
      </c>
      <c r="F10" s="2672" cm="1" t="n">
        <f t="array" ref="F10">INDEX('5층_부하량'!E3:E3000,MATCH(1,("5-DaHall 1-CEP-05"='5층_부하량'!A3:A3000)*(9='5층_부하량'!B3:B3000),0))</f>
        <v>0.0</v>
      </c>
      <c r="G10" s="350"/>
      <c r="H10" s="17" t="s">
        <v>4996</v>
      </c>
      <c r="I10" s="549" t="s">
        <v>4648</v>
      </c>
      <c r="J10" s="65" t="s">
        <v>5643</v>
      </c>
      <c r="K10" s="66" t="s">
        <v>5643</v>
      </c>
      <c r="L10" s="550" t="s">
        <v>4596</v>
      </c>
      <c r="M10" s="72" t="s">
        <v>4996</v>
      </c>
      <c r="N10" s="2672" cm="1" t="n">
        <f t="array" ref="N10">INDEX('5층_부하량'!C3:C3000,MATCH(1,("5-DaHall 1-CEP-05"='5층_부하량'!A3:A3000)*(10='5층_부하량'!B3:B3000),0))</f>
        <v>0.0</v>
      </c>
      <c r="O10" s="2672" cm="1" t="n">
        <f t="array" ref="O10">INDEX('5층_부하량'!D3:D3000,MATCH(1,("5-DaHall 1-CEP-05"='5층_부하량'!A3:A3000)*(10='5층_부하량'!B3:B3000),0))</f>
        <v>0.0</v>
      </c>
      <c r="P10" s="2672" cm="1" t="n">
        <f t="array" ref="P10">INDEX('5층_부하량'!E3:E3000,MATCH(1,("5-DaHall 1-CEP-05"='5층_부하량'!A3:A3000)*(10='5층_부하량'!B3:B3000),0))</f>
        <v>0.0</v>
      </c>
      <c r="Q10" s="350"/>
      <c r="R10" s="17" t="s">
        <v>4635</v>
      </c>
      <c r="S10" s="18" t="s">
        <v>4575</v>
      </c>
      <c r="T10" s="70" t="s">
        <v>6992</v>
      </c>
    </row>
    <row r="11" spans="1:22" ht="24.75" thickBot="1" x14ac:dyDescent="0.2">
      <c r="A11" s="22" t="s">
        <v>6988</v>
      </c>
      <c r="B11" s="17" t="s">
        <v>4635</v>
      </c>
      <c r="C11" s="18" t="s">
        <v>4575</v>
      </c>
      <c r="D11" s="2673" cm="1" t="n">
        <f t="array" ref="D11">INDEX('5층_부하량'!C3:C3000,MATCH(1,("5-DaHall 1-CEP-05"='5층_부하량'!A3:A3000)*(11='5층_부하량'!B3:B3000),0))</f>
        <v>0.0</v>
      </c>
      <c r="E11" s="2673" cm="1" t="n">
        <f t="array" ref="E11">INDEX('5층_부하량'!D3:D3000,MATCH(1,("5-DaHall 1-CEP-05"='5층_부하량'!A3:A3000)*(11='5층_부하량'!B3:B3000),0))</f>
        <v>0.0</v>
      </c>
      <c r="F11" s="2673" cm="1" t="n">
        <f t="array" ref="F11">INDEX('5층_부하량'!E3:E3000,MATCH(1,("5-DaHall 1-CEP-05"='5층_부하량'!A3:A3000)*(11='5층_부하량'!B3:B3000),0))</f>
        <v>0.0</v>
      </c>
      <c r="G11" s="347"/>
      <c r="H11" s="23" t="s">
        <v>4996</v>
      </c>
      <c r="I11" s="555" t="s">
        <v>4653</v>
      </c>
      <c r="J11" s="102" t="s">
        <v>5643</v>
      </c>
      <c r="K11" s="103" t="s">
        <v>5643</v>
      </c>
      <c r="L11" s="555" t="s">
        <v>4599</v>
      </c>
      <c r="M11" s="23" t="s">
        <v>4996</v>
      </c>
      <c r="N11" s="2673" cm="1" t="n">
        <f t="array" ref="N11">INDEX('5층_부하량'!C3:C3000,MATCH(1,("5-DaHall 1-CEP-05"='5층_부하량'!A3:A3000)*(12='5층_부하량'!B3:B3000),0))</f>
        <v>0.0</v>
      </c>
      <c r="O11" s="2673" cm="1" t="n">
        <f t="array" ref="O11">INDEX('5층_부하량'!D3:D3000,MATCH(1,("5-DaHall 1-CEP-05"='5층_부하량'!A3:A3000)*(12='5층_부하량'!B3:B3000),0))</f>
        <v>0.0</v>
      </c>
      <c r="P11" s="2673" cm="1" t="n">
        <f t="array" ref="P11">INDEX('5층_부하량'!E3:E3000,MATCH(1,("5-DaHall 1-CEP-05"='5층_부하량'!A3:A3000)*(12='5층_부하량'!B3:B3000),0))</f>
        <v>0.0</v>
      </c>
      <c r="Q11" s="347"/>
      <c r="R11" s="17" t="s">
        <v>4635</v>
      </c>
      <c r="S11" s="18" t="s">
        <v>4575</v>
      </c>
      <c r="T11" s="70" t="s">
        <v>6993</v>
      </c>
    </row>
    <row r="12" spans="1:22" ht="18" customHeight="1" thickTop="1" x14ac:dyDescent="0.15">
      <c r="A12" s="10" t="s">
        <v>4998</v>
      </c>
      <c r="B12" s="11" t="s">
        <v>4590</v>
      </c>
      <c r="C12" s="11" t="s">
        <v>4642</v>
      </c>
      <c r="D12" s="2690" cm="1" t="n">
        <f t="array" ref="D12">INDEX('5층_부하량'!C3:C3000,MATCH(1,("5-DaHall 1-CEP-05"='5층_부하량'!A3:A3000)*(13='5층_부하량'!B3:B3000),0))</f>
        <v>0.0</v>
      </c>
      <c r="E12" s="105"/>
      <c r="F12" s="105"/>
      <c r="G12" s="105"/>
      <c r="H12" s="11" t="s">
        <v>4576</v>
      </c>
      <c r="I12" s="548" t="s">
        <v>4657</v>
      </c>
      <c r="J12" s="61" t="s">
        <v>4961</v>
      </c>
      <c r="K12" s="62" t="s">
        <v>4961</v>
      </c>
      <c r="L12" s="548" t="s">
        <v>4601</v>
      </c>
      <c r="M12" s="11" t="s">
        <v>4576</v>
      </c>
      <c r="N12" s="2690" cm="1" t="n">
        <f t="array" ref="N12">INDEX('5층_부하량'!C3:C3000,MATCH(1,("5-DaHall 1-CEP-05"='5층_부하량'!A3:A3000)*(14='5층_부하량'!B3:B3000),0))</f>
        <v>0.0</v>
      </c>
      <c r="O12" s="105"/>
      <c r="P12" s="105"/>
      <c r="Q12" s="105"/>
      <c r="R12" s="106" t="s">
        <v>4590</v>
      </c>
      <c r="S12" s="11" t="s">
        <v>4642</v>
      </c>
      <c r="T12" s="101" t="s">
        <v>4998</v>
      </c>
    </row>
    <row r="13" spans="1:22" ht="24" x14ac:dyDescent="0.15">
      <c r="A13" s="321" t="s">
        <v>4998</v>
      </c>
      <c r="B13" s="17" t="s">
        <v>4590</v>
      </c>
      <c r="C13" s="17" t="s">
        <v>4642</v>
      </c>
      <c r="D13" s="21"/>
      <c r="E13" s="2672" cm="1" t="n">
        <f t="array" ref="E13">INDEX('5층_부하량'!D3:D3000,MATCH(1,("5-DaHall 1-CEP-05"='5층_부하량'!A3:A3000)*(15='5층_부하량'!B3:B3000),0))</f>
        <v>0.0</v>
      </c>
      <c r="F13" s="21"/>
      <c r="G13" s="21"/>
      <c r="H13" s="17" t="s">
        <v>5644</v>
      </c>
      <c r="I13" s="549" t="s">
        <v>4661</v>
      </c>
      <c r="J13" s="65" t="s">
        <v>4961</v>
      </c>
      <c r="K13" s="66" t="s">
        <v>4961</v>
      </c>
      <c r="L13" s="549" t="s">
        <v>4603</v>
      </c>
      <c r="M13" s="143" t="s">
        <v>5001</v>
      </c>
      <c r="N13" s="157"/>
      <c r="O13" s="2656" cm="1" t="n">
        <f t="array" ref="O13">INDEX('5층_부하량'!D3:D3000,MATCH(1,("5-DaHall 1-CEP-05"='5층_부하량'!A3:A3000)*(16='5층_부하량'!B3:B3000),0))</f>
        <v>0.0</v>
      </c>
      <c r="P13" s="157"/>
      <c r="Q13" s="157"/>
      <c r="R13" s="157" t="s">
        <v>4635</v>
      </c>
      <c r="S13" s="309" t="s">
        <v>4575</v>
      </c>
      <c r="T13" s="70" t="s">
        <v>6994</v>
      </c>
    </row>
    <row r="14" spans="1:22" ht="24.75" thickBot="1" x14ac:dyDescent="0.2">
      <c r="A14" s="38" t="s">
        <v>4998</v>
      </c>
      <c r="B14" s="35" t="s">
        <v>4590</v>
      </c>
      <c r="C14" s="35" t="s">
        <v>4642</v>
      </c>
      <c r="D14" s="36"/>
      <c r="E14" s="36"/>
      <c r="F14" s="2671" cm="1" t="n">
        <f t="array" ref="F14">INDEX('5층_부하량'!E3:E3000,MATCH(1,("5-DaHall 1-CEP-05"='5층_부하량'!A3:A3000)*(17='5층_부하량'!B3:B3000),0))</f>
        <v>0.0</v>
      </c>
      <c r="G14" s="36"/>
      <c r="H14" s="35" t="s">
        <v>5644</v>
      </c>
      <c r="I14" s="551" t="s">
        <v>4665</v>
      </c>
      <c r="J14" s="76" t="s">
        <v>4961</v>
      </c>
      <c r="K14" s="77" t="s">
        <v>4961</v>
      </c>
      <c r="L14" s="551" t="s">
        <v>4605</v>
      </c>
      <c r="M14" s="166" t="s">
        <v>5001</v>
      </c>
      <c r="N14" s="167"/>
      <c r="O14" s="167"/>
      <c r="P14" s="2659" cm="1" t="n">
        <f t="array" ref="P14">INDEX('5층_부하량'!E3:E3000,MATCH(1,("5-DaHall 1-CEP-05"='5층_부하량'!A3:A3000)*(18='5층_부하량'!B3:B3000),0))</f>
        <v>5.82</v>
      </c>
      <c r="Q14" s="167"/>
      <c r="R14" s="166" t="s">
        <v>4579</v>
      </c>
      <c r="S14" s="288" t="s">
        <v>4575</v>
      </c>
      <c r="T14" s="79" t="s">
        <v>6995</v>
      </c>
    </row>
    <row r="15" spans="1:22" ht="18" customHeight="1" thickTop="1" thickBot="1" x14ac:dyDescent="0.2">
      <c r="M15" s="80" t="s">
        <v>5645</v>
      </c>
      <c r="N15" s="33" t="n">
        <f>SUM(D6:D14,N6:N14)</f>
        <v>0.0</v>
      </c>
      <c r="O15" s="33" t="n">
        <f>SUM(E6:E14,O6:O14)</f>
        <v>0.0</v>
      </c>
      <c r="P15" s="33" t="n">
        <f>SUM(F6:F14,P6:P14)</f>
        <v>5.82</v>
      </c>
    </row>
    <row r="16" spans="1:22" ht="18" customHeight="1" thickTop="1" thickBot="1" x14ac:dyDescent="0.2">
      <c r="A16" s="2" t="s">
        <v>6944</v>
      </c>
      <c r="D16" s="53"/>
      <c r="E16" s="53"/>
      <c r="F16" s="53"/>
      <c r="G16" s="53"/>
      <c r="H16" s="124"/>
      <c r="I16" s="124"/>
      <c r="J16" s="3661" t="s">
        <v>5646</v>
      </c>
      <c r="K16" s="3667"/>
      <c r="L16" s="124"/>
      <c r="M16" s="124"/>
      <c r="N16" s="53"/>
      <c r="O16" s="53"/>
      <c r="P16" s="53"/>
      <c r="Q16" s="53"/>
      <c r="R16" s="53"/>
      <c r="S16" s="53"/>
    </row>
    <row r="17" spans="1:20" ht="18" customHeight="1" thickTop="1" thickBot="1" x14ac:dyDescent="0.2">
      <c r="A17" s="3"/>
      <c r="D17" s="511"/>
      <c r="E17" s="511"/>
      <c r="F17" s="511"/>
      <c r="G17" s="511"/>
      <c r="H17" s="1305"/>
      <c r="I17" s="4"/>
      <c r="K17" s="56"/>
      <c r="L17" s="565"/>
      <c r="M17" s="1371" t="s">
        <v>4562</v>
      </c>
      <c r="N17" s="1368">
        <v>0.7</v>
      </c>
      <c r="O17" s="1369">
        <v>0</v>
      </c>
      <c r="P17" s="1370">
        <v>0.7</v>
      </c>
      <c r="Q17" s="508" t="s">
        <v>4563</v>
      </c>
      <c r="R17" s="133"/>
      <c r="S17" s="128"/>
      <c r="T17" s="528"/>
    </row>
    <row r="18" spans="1:20" ht="18" customHeight="1" thickTop="1" thickBot="1" x14ac:dyDescent="0.2">
      <c r="A18" s="1295"/>
      <c r="B18" s="1296"/>
      <c r="C18" s="495"/>
      <c r="D18" s="1296"/>
      <c r="E18" s="1296"/>
      <c r="F18" s="1296"/>
      <c r="G18" s="1296"/>
      <c r="H18" s="1295"/>
      <c r="I18" s="1295"/>
      <c r="J18" s="1304"/>
      <c r="K18" s="5" t="s">
        <v>4572</v>
      </c>
      <c r="L18" s="566"/>
      <c r="M18" s="8" t="s">
        <v>4571</v>
      </c>
      <c r="N18" s="6" t="s">
        <v>4567</v>
      </c>
      <c r="O18" s="6" t="s">
        <v>4568</v>
      </c>
      <c r="P18" s="6" t="s">
        <v>4569</v>
      </c>
      <c r="Q18" s="6" t="s">
        <v>4570</v>
      </c>
      <c r="R18" s="6" t="s">
        <v>4565</v>
      </c>
      <c r="S18" s="7" t="s">
        <v>4566</v>
      </c>
      <c r="T18" s="60" t="s">
        <v>4564</v>
      </c>
    </row>
    <row r="19" spans="1:20" ht="18" customHeight="1" thickTop="1" x14ac:dyDescent="0.15">
      <c r="A19" s="495"/>
      <c r="B19" s="124"/>
      <c r="C19" s="1297"/>
      <c r="D19" s="1298"/>
      <c r="E19" s="1298"/>
      <c r="F19" s="1298"/>
      <c r="G19" s="1299"/>
      <c r="H19" s="124"/>
      <c r="I19" s="124"/>
      <c r="J19" s="1304"/>
      <c r="K19" s="1301" t="s">
        <v>5643</v>
      </c>
      <c r="L19" s="548" t="s">
        <v>4577</v>
      </c>
      <c r="M19" s="11" t="s">
        <v>5647</v>
      </c>
      <c r="N19" s="2669" cm="1" t="n">
        <f t="array" ref="N19">INDEX('5층_부하량'!C3:C3000,MATCH(1,("5-DaHall 1-CEP-06"='5층_부하량'!A3:A3000)*(1='5층_부하량'!B3:B3000),0))</f>
        <v>0.24</v>
      </c>
      <c r="O19" s="2669" cm="1" t="n">
        <f t="array" ref="O19">INDEX('5층_부하량'!D3:D3000,MATCH(1,("5-DaHall 1-CEP-06"='5층_부하량'!A3:A3000)*(1='5층_부하량'!B3:B3000),0))</f>
        <v>0.0</v>
      </c>
      <c r="P19" s="2669" cm="1" t="n">
        <f t="array" ref="P19">INDEX('5층_부하량'!E3:E3000,MATCH(1,("5-DaHall 1-CEP-06"='5층_부하량'!A3:A3000)*(1='5층_부하량'!B3:B3000),0))</f>
        <v>0.23</v>
      </c>
      <c r="Q19" s="350"/>
      <c r="R19" s="13" t="s">
        <v>4635</v>
      </c>
      <c r="S19" s="97" t="s">
        <v>4575</v>
      </c>
      <c r="T19" s="101" t="s">
        <v>5648</v>
      </c>
    </row>
    <row r="20" spans="1:20" ht="18" customHeight="1" x14ac:dyDescent="0.15">
      <c r="A20" s="495"/>
      <c r="B20" s="124"/>
      <c r="C20" s="1297"/>
      <c r="D20" s="1298"/>
      <c r="E20" s="1298"/>
      <c r="F20" s="1298"/>
      <c r="G20" s="1299"/>
      <c r="H20" s="124"/>
      <c r="I20" s="124"/>
      <c r="J20" s="1304"/>
      <c r="K20" s="1302" t="s">
        <v>5643</v>
      </c>
      <c r="L20" s="549" t="s">
        <v>4863</v>
      </c>
      <c r="M20" s="17" t="s">
        <v>5647</v>
      </c>
      <c r="N20" s="2670" cm="1" t="n">
        <f t="array" ref="N20">INDEX('5층_부하량'!C3:C3000,MATCH(1,("5-DaHall 1-CEP-06"='5층_부하량'!A3:A3000)*(2='5층_부하량'!B3:B3000),0))</f>
        <v>0.24</v>
      </c>
      <c r="O20" s="2670" cm="1" t="n">
        <f t="array" ref="O20">INDEX('5층_부하량'!D3:D3000,MATCH(1,("5-DaHall 1-CEP-06"='5층_부하량'!A3:A3000)*(2='5층_부하량'!B3:B3000),0))</f>
        <v>0.0</v>
      </c>
      <c r="P20" s="2670" cm="1" t="n">
        <f t="array" ref="P20">INDEX('5층_부하량'!E3:E3000,MATCH(1,("5-DaHall 1-CEP-06"='5층_부하량'!A3:A3000)*(2='5층_부하량'!B3:B3000),0))</f>
        <v>0.23</v>
      </c>
      <c r="Q20" s="349"/>
      <c r="R20" s="17" t="s">
        <v>4635</v>
      </c>
      <c r="S20" s="18" t="s">
        <v>4575</v>
      </c>
      <c r="T20" s="70" t="s">
        <v>5649</v>
      </c>
    </row>
    <row r="21" spans="1:20" ht="18" customHeight="1" x14ac:dyDescent="0.15">
      <c r="A21" s="495"/>
      <c r="B21" s="124"/>
      <c r="C21" s="1300"/>
      <c r="D21" s="1299"/>
      <c r="E21" s="1299"/>
      <c r="F21" s="1299"/>
      <c r="G21" s="1299"/>
      <c r="H21" s="124"/>
      <c r="I21" s="124"/>
      <c r="J21" s="1304"/>
      <c r="K21" s="1302" t="s">
        <v>5643</v>
      </c>
      <c r="L21" s="550" t="s">
        <v>4582</v>
      </c>
      <c r="M21" s="72" t="s">
        <v>5647</v>
      </c>
      <c r="N21" s="2672" cm="1" t="n">
        <f t="array" ref="N21">INDEX('5층_부하량'!C3:C3000,MATCH(1,("5-DaHall 1-CEP-06"='5층_부하량'!A3:A3000)*(3='5층_부하량'!B3:B3000),0))</f>
        <v>0.24</v>
      </c>
      <c r="O21" s="2672" cm="1" t="n">
        <f t="array" ref="O21">INDEX('5층_부하량'!D3:D3000,MATCH(1,("5-DaHall 1-CEP-06"='5층_부하량'!A3:A3000)*(3='5층_부하량'!B3:B3000),0))</f>
        <v>0.0</v>
      </c>
      <c r="P21" s="2672" cm="1" t="n">
        <f t="array" ref="P21">INDEX('5층_부하량'!E3:E3000,MATCH(1,("5-DaHall 1-CEP-06"='5층_부하량'!A3:A3000)*(3='5층_부하량'!B3:B3000),0))</f>
        <v>0.22</v>
      </c>
      <c r="Q21" s="350"/>
      <c r="R21" s="17" t="s">
        <v>4635</v>
      </c>
      <c r="S21" s="18" t="s">
        <v>4575</v>
      </c>
      <c r="T21" s="70" t="s">
        <v>5650</v>
      </c>
    </row>
    <row r="22" spans="1:20" ht="18" customHeight="1" thickBot="1" x14ac:dyDescent="0.2">
      <c r="A22" s="495"/>
      <c r="B22" s="124"/>
      <c r="C22" s="1297"/>
      <c r="D22" s="1299"/>
      <c r="E22" s="1299"/>
      <c r="F22" s="1299"/>
      <c r="G22" s="1299"/>
      <c r="H22" s="124"/>
      <c r="I22" s="124"/>
      <c r="J22" s="1304"/>
      <c r="K22" s="1303" t="s">
        <v>5643</v>
      </c>
      <c r="L22" s="551" t="s">
        <v>4865</v>
      </c>
      <c r="M22" s="35" t="s">
        <v>5647</v>
      </c>
      <c r="N22" s="2671" cm="1" t="n">
        <f t="array" ref="N22">INDEX('5층_부하량'!C3:C3000,MATCH(1,("5-DaHall 1-CEP-06"='5층_부하량'!A3:A3000)*(4='5층_부하량'!B3:B3000),0))</f>
        <v>0.0</v>
      </c>
      <c r="O22" s="2671" cm="1" t="n">
        <f t="array" ref="O22">INDEX('5층_부하량'!D3:D3000,MATCH(1,("5-DaHall 1-CEP-06"='5층_부하량'!A3:A3000)*(4='5층_부하량'!B3:B3000),0))</f>
        <v>0.0</v>
      </c>
      <c r="P22" s="2671" cm="1" t="n">
        <f t="array" ref="P22">INDEX('5층_부하량'!E3:E3000,MATCH(1,("5-DaHall 1-CEP-06"='5층_부하량'!A3:A3000)*(4='5층_부하량'!B3:B3000),0))</f>
        <v>0.0</v>
      </c>
      <c r="Q22" s="36"/>
      <c r="R22" s="78" t="s">
        <v>4590</v>
      </c>
      <c r="S22" s="35" t="s">
        <v>4642</v>
      </c>
      <c r="T22" s="79" t="s">
        <v>4998</v>
      </c>
    </row>
    <row r="23" spans="1:20" ht="18" customHeight="1" thickTop="1" thickBot="1" x14ac:dyDescent="0.2">
      <c r="M23" s="80" t="s">
        <v>5645</v>
      </c>
      <c r="N23" s="33" t="n">
        <f>SUM(D19:D22,N19:N22)</f>
        <v>0.72</v>
      </c>
      <c r="O23" s="33" t="n">
        <f>SUM(E19:E22,O19:O22)</f>
        <v>0.0</v>
      </c>
      <c r="P23" s="33" t="n">
        <f>SUM(F19:F22,P19:P22)</f>
        <v>0.68</v>
      </c>
    </row>
    <row r="24" spans="1:20" ht="18" customHeight="1" thickTop="1" thickBot="1" x14ac:dyDescent="0.2">
      <c r="A24" s="2" t="s">
        <v>6945</v>
      </c>
      <c r="C24" s="3660" t="s">
        <v>5652</v>
      </c>
      <c r="D24" s="3660"/>
      <c r="E24" s="3660"/>
      <c r="F24" s="3660"/>
      <c r="G24" s="53"/>
      <c r="H24" s="124"/>
      <c r="I24" s="124"/>
      <c r="J24" s="3661" t="s">
        <v>5653</v>
      </c>
      <c r="K24" s="3667"/>
      <c r="L24" s="124"/>
      <c r="M24" s="124"/>
      <c r="N24" s="53"/>
      <c r="O24" s="53"/>
      <c r="P24" s="53"/>
      <c r="Q24" s="53"/>
      <c r="R24" s="53"/>
      <c r="S24" s="53"/>
    </row>
    <row r="25" spans="1:20" ht="18" customHeight="1" thickTop="1" thickBot="1" x14ac:dyDescent="0.2">
      <c r="A25" s="3"/>
      <c r="D25" s="54"/>
      <c r="E25" s="54"/>
      <c r="F25" s="54"/>
      <c r="G25" s="54"/>
      <c r="H25" s="4"/>
      <c r="I25" s="4"/>
      <c r="K25" s="56"/>
      <c r="L25" s="565"/>
      <c r="M25" s="1371" t="s">
        <v>4562</v>
      </c>
      <c r="N25" s="1368">
        <v>34.6</v>
      </c>
      <c r="O25" s="1369">
        <v>37.799999999999997</v>
      </c>
      <c r="P25" s="1370">
        <v>27.4</v>
      </c>
      <c r="Q25" s="508" t="s">
        <v>4563</v>
      </c>
      <c r="R25" s="133"/>
      <c r="S25" s="128"/>
      <c r="T25" s="528"/>
    </row>
    <row r="26" spans="1:20" ht="18" customHeight="1" thickTop="1" thickBot="1" x14ac:dyDescent="0.2">
      <c r="A26" s="5" t="s">
        <v>4629</v>
      </c>
      <c r="B26" s="6" t="s">
        <v>4565</v>
      </c>
      <c r="C26" s="7" t="s">
        <v>4566</v>
      </c>
      <c r="D26" s="6" t="s">
        <v>4567</v>
      </c>
      <c r="E26" s="6" t="s">
        <v>4568</v>
      </c>
      <c r="F26" s="6" t="s">
        <v>4569</v>
      </c>
      <c r="G26" s="6" t="s">
        <v>4570</v>
      </c>
      <c r="H26" s="8" t="s">
        <v>4571</v>
      </c>
      <c r="I26" s="547"/>
      <c r="J26" s="58" t="s">
        <v>4572</v>
      </c>
      <c r="K26" s="59" t="s">
        <v>4572</v>
      </c>
      <c r="L26" s="566"/>
      <c r="M26" s="8" t="s">
        <v>4571</v>
      </c>
      <c r="N26" s="6" t="s">
        <v>4567</v>
      </c>
      <c r="O26" s="6" t="s">
        <v>4568</v>
      </c>
      <c r="P26" s="6" t="s">
        <v>4569</v>
      </c>
      <c r="Q26" s="6" t="s">
        <v>4570</v>
      </c>
      <c r="R26" s="6" t="s">
        <v>4565</v>
      </c>
      <c r="S26" s="7" t="s">
        <v>4566</v>
      </c>
      <c r="T26" s="60" t="s">
        <v>4629</v>
      </c>
    </row>
    <row r="27" spans="1:20" ht="18" customHeight="1" thickTop="1" x14ac:dyDescent="0.15">
      <c r="A27" s="10"/>
      <c r="B27" s="11" t="s">
        <v>4590</v>
      </c>
      <c r="C27" s="13" t="s">
        <v>4723</v>
      </c>
      <c r="D27" s="2669" cm="1" t="n">
        <f t="array" ref="D27">INDEX('5층_부하량'!C3:C3000,MATCH(1,("5-DaHall 1-PDU-01"='5층_부하량'!A3:A3000)*(1='5층_부하량'!B3:B3000),0))</f>
        <v>0.0</v>
      </c>
      <c r="E27" s="2669" cm="1" t="n">
        <f t="array" ref="E27">INDEX('5층_부하량'!D3:D3000,MATCH(1,("5-DaHall 1-PDU-01"='5층_부하량'!A3:A3000)*(1='5층_부하량'!B3:B3000),0))</f>
        <v>0.0</v>
      </c>
      <c r="F27" s="2669" cm="1" t="n">
        <f t="array" ref="F27">INDEX('5층_부하량'!E3:E3000,MATCH(1,("5-DaHall 1-PDU-01"='5층_부하량'!A3:A3000)*(1='5층_부하량'!B3:B3000),0))</f>
        <v>0.0</v>
      </c>
      <c r="G27" s="15"/>
      <c r="H27" s="11" t="s">
        <v>5654</v>
      </c>
      <c r="I27" s="1443" t="s">
        <v>5655</v>
      </c>
      <c r="J27" s="61"/>
      <c r="K27" s="62"/>
      <c r="L27" s="567" t="s">
        <v>5656</v>
      </c>
      <c r="M27" s="11" t="s">
        <v>5654</v>
      </c>
      <c r="N27" s="2669" cm="1" t="n">
        <f t="array" ref="N27">INDEX('5층_부하량'!C3:C3000,MATCH(1,("5-DaHall 1-PDU-01"='5층_부하량'!A3:A3000)*(55='5층_부하량'!B3:B3000),0))</f>
        <v>0.0</v>
      </c>
      <c r="O27" s="2669" cm="1" t="n">
        <f t="array" ref="O27">INDEX('5층_부하량'!D3:D3000,MATCH(1,("5-DaHall 1-PDU-01"='5층_부하량'!A3:A3000)*(55='5층_부하량'!B3:B3000),0))</f>
        <v>0.58</v>
      </c>
      <c r="P27" s="2669" cm="1" t="n">
        <f t="array" ref="P27">INDEX('5층_부하량'!E3:E3000,MATCH(1,("5-DaHall 1-PDU-01"='5층_부하량'!A3:A3000)*(55='5층_부하량'!B3:B3000),0))</f>
        <v>0.73</v>
      </c>
      <c r="Q27" s="348"/>
      <c r="R27" s="63" t="s">
        <v>4631</v>
      </c>
      <c r="S27" s="12" t="s">
        <v>4575</v>
      </c>
      <c r="T27" s="98" t="s">
        <v>5657</v>
      </c>
    </row>
    <row r="28" spans="1:20" ht="18" customHeight="1" x14ac:dyDescent="0.15">
      <c r="A28" s="16" t="s">
        <v>6887</v>
      </c>
      <c r="B28" s="17" t="s">
        <v>4631</v>
      </c>
      <c r="C28" s="18" t="s">
        <v>4575</v>
      </c>
      <c r="D28" s="2672" cm="1" t="n">
        <f t="array" ref="D28">INDEX('5층_부하량'!C3:C3000,MATCH(1,("5-DaHall 1-PDU-01"='5층_부하량'!A3:A3000)*(2='5층_부하량'!B3:B3000),0))</f>
        <v>0.0</v>
      </c>
      <c r="E28" s="19"/>
      <c r="F28" s="19"/>
      <c r="G28" s="19"/>
      <c r="H28" s="17" t="s">
        <v>4576</v>
      </c>
      <c r="I28" s="549" t="s">
        <v>4633</v>
      </c>
      <c r="J28" s="65" t="s">
        <v>5658</v>
      </c>
      <c r="K28" s="66"/>
      <c r="L28" s="549" t="s">
        <v>4578</v>
      </c>
      <c r="M28" s="17" t="s">
        <v>4576</v>
      </c>
      <c r="N28" s="2672" cm="1" t="n">
        <f t="array" ref="N28">INDEX('5층_부하량'!C3:C3000,MATCH(1,("5-DaHall 1-PDU-01"='5층_부하량'!A3:A3000)*(56='5층_부하량'!B3:B3000),0))</f>
        <v>0.0</v>
      </c>
      <c r="O28" s="19"/>
      <c r="P28" s="19"/>
      <c r="Q28" s="19"/>
      <c r="R28" s="67" t="s">
        <v>4631</v>
      </c>
      <c r="S28" s="17" t="s">
        <v>4642</v>
      </c>
      <c r="T28" s="603" t="s">
        <v>5659</v>
      </c>
    </row>
    <row r="29" spans="1:20" ht="18" customHeight="1" x14ac:dyDescent="0.15">
      <c r="A29" s="321" t="s">
        <v>2825</v>
      </c>
      <c r="B29" s="17" t="s">
        <v>4631</v>
      </c>
      <c r="C29" s="2112" t="s">
        <v>5660</v>
      </c>
      <c r="D29" s="21"/>
      <c r="E29" s="2672" cm="1" t="n">
        <f t="array" ref="E29">INDEX('5층_부하량'!D3:D3000,MATCH(1,("5-DaHall 1-PDU-01"='5층_부하량'!A3:A3000)*(3='5층_부하량'!B3:B3000),0))</f>
        <v>0.0</v>
      </c>
      <c r="F29" s="21"/>
      <c r="G29" s="21"/>
      <c r="H29" s="17" t="s">
        <v>4576</v>
      </c>
      <c r="I29" s="549" t="s">
        <v>4638</v>
      </c>
      <c r="J29" s="65" t="s">
        <v>5661</v>
      </c>
      <c r="K29" s="638" t="s">
        <v>5662</v>
      </c>
      <c r="L29" s="549" t="s">
        <v>4583</v>
      </c>
      <c r="M29" s="17" t="s">
        <v>4576</v>
      </c>
      <c r="N29" s="21"/>
      <c r="O29" s="2672" cm="1" t="n">
        <f t="array" ref="O29">INDEX('5층_부하량'!D3:D3000,MATCH(1,("5-DaHall 1-PDU-01"='5층_부하량'!A3:A3000)*(57='5층_부하량'!B3:B3000),0))</f>
        <v>0.0</v>
      </c>
      <c r="P29" s="21"/>
      <c r="Q29" s="21"/>
      <c r="R29" s="69" t="s">
        <v>4631</v>
      </c>
      <c r="S29" s="597" t="s">
        <v>4575</v>
      </c>
      <c r="T29" s="603" t="s">
        <v>3648</v>
      </c>
    </row>
    <row r="30" spans="1:20" ht="18" customHeight="1" x14ac:dyDescent="0.15">
      <c r="A30" s="71" t="s">
        <v>2831</v>
      </c>
      <c r="B30" s="17" t="s">
        <v>4631</v>
      </c>
      <c r="C30" s="2112" t="s">
        <v>5660</v>
      </c>
      <c r="D30" s="21"/>
      <c r="E30" s="21"/>
      <c r="F30" s="2672" cm="1" t="n">
        <f t="array" ref="F30">INDEX('5층_부하량'!E3:E3000,MATCH(1,("5-DaHall 1-PDU-01"='5층_부하량'!A3:A3000)*(4='5층_부하량'!B3:B3000),0))</f>
        <v>0.0</v>
      </c>
      <c r="G30" s="21"/>
      <c r="H30" s="17" t="s">
        <v>4576</v>
      </c>
      <c r="I30" s="549" t="s">
        <v>4641</v>
      </c>
      <c r="J30" s="65" t="s">
        <v>5661</v>
      </c>
      <c r="K30" s="638" t="s">
        <v>5663</v>
      </c>
      <c r="L30" s="549" t="s">
        <v>4588</v>
      </c>
      <c r="M30" s="17" t="s">
        <v>4576</v>
      </c>
      <c r="N30" s="21"/>
      <c r="O30" s="21"/>
      <c r="P30" s="2672" cm="1" t="n">
        <f t="array" ref="P30">INDEX('5층_부하량'!E3:E3000,MATCH(1,("5-DaHall 1-PDU-01"='5층_부하량'!A3:A3000)*(58='5층_부하량'!B3:B3000),0))</f>
        <v>1.52</v>
      </c>
      <c r="Q30" s="21"/>
      <c r="R30" s="69" t="s">
        <v>4631</v>
      </c>
      <c r="S30" s="597" t="s">
        <v>4575</v>
      </c>
      <c r="T30" s="603" t="s">
        <v>3655</v>
      </c>
    </row>
    <row r="31" spans="1:20" ht="18" customHeight="1" x14ac:dyDescent="0.15">
      <c r="A31" s="321" t="s">
        <v>2840</v>
      </c>
      <c r="B31" s="17" t="s">
        <v>4631</v>
      </c>
      <c r="C31" s="2112" t="s">
        <v>5660</v>
      </c>
      <c r="D31" s="2672" cm="1" t="n">
        <f t="array" ref="D31">INDEX('5층_부하량'!C3:C3000,MATCH(1,("5-DaHall 1-PDU-01"='5층_부하량'!A3:A3000)*(5='5층_부하량'!B3:B3000),0))</f>
        <v>0.0</v>
      </c>
      <c r="E31" s="19"/>
      <c r="F31" s="19"/>
      <c r="G31" s="21"/>
      <c r="H31" s="17" t="s">
        <v>4576</v>
      </c>
      <c r="I31" s="549" t="s">
        <v>4645</v>
      </c>
      <c r="J31" s="65" t="s">
        <v>5661</v>
      </c>
      <c r="K31" s="66"/>
      <c r="L31" s="549" t="s">
        <v>4593</v>
      </c>
      <c r="M31" s="17" t="s">
        <v>4597</v>
      </c>
      <c r="N31" s="2672" cm="1" t="n">
        <f t="array" ref="N31">INDEX('5층_부하량'!C3:C3000,MATCH(1,("5-DaHall 1-PDU-01"='5층_부하량'!A3:A3000)*(59='5층_부하량'!B3:B3000),0))</f>
        <v>0.0</v>
      </c>
      <c r="O31" s="19"/>
      <c r="P31" s="19"/>
      <c r="Q31" s="21"/>
      <c r="R31" s="69" t="s">
        <v>4631</v>
      </c>
      <c r="S31" s="17" t="s">
        <v>4642</v>
      </c>
      <c r="T31" s="603" t="s">
        <v>5664</v>
      </c>
    </row>
    <row r="32" spans="1:20" ht="18" customHeight="1" x14ac:dyDescent="0.15">
      <c r="A32" s="2110" t="s">
        <v>5665</v>
      </c>
      <c r="B32" s="17" t="s">
        <v>4631</v>
      </c>
      <c r="C32" s="18" t="s">
        <v>4575</v>
      </c>
      <c r="D32" s="21"/>
      <c r="E32" s="2672" cm="1" t="n">
        <f t="array" ref="E32">INDEX('5층_부하량'!D3:D3000,MATCH(1,("5-DaHall 1-PDU-01"='5층_부하량'!A3:A3000)*(6='5층_부하량'!B3:B3000),0))</f>
        <v>9.29</v>
      </c>
      <c r="F32" s="21"/>
      <c r="G32" s="21"/>
      <c r="H32" s="17" t="s">
        <v>4576</v>
      </c>
      <c r="I32" s="549" t="s">
        <v>4648</v>
      </c>
      <c r="J32" s="590" t="s">
        <v>5666</v>
      </c>
      <c r="K32" s="639" t="s">
        <v>5667</v>
      </c>
      <c r="L32" s="549" t="s">
        <v>4596</v>
      </c>
      <c r="M32" s="17" t="s">
        <v>4597</v>
      </c>
      <c r="N32" s="21"/>
      <c r="O32" s="2672" cm="1" t="n">
        <f t="array" ref="O32">INDEX('5층_부하량'!D3:D3000,MATCH(1,("5-DaHall 1-PDU-01"='5층_부하량'!A3:A3000)*(60='5층_부하량'!B3:B3000),0))</f>
        <v>0.0</v>
      </c>
      <c r="P32" s="21"/>
      <c r="Q32" s="21"/>
      <c r="R32" s="69" t="s">
        <v>4631</v>
      </c>
      <c r="S32" s="597" t="s">
        <v>4575</v>
      </c>
      <c r="T32" s="603" t="s">
        <v>3661</v>
      </c>
    </row>
    <row r="33" spans="1:20" ht="18" customHeight="1" x14ac:dyDescent="0.15">
      <c r="A33" s="2111" t="s">
        <v>5668</v>
      </c>
      <c r="B33" s="17" t="s">
        <v>4631</v>
      </c>
      <c r="C33" s="18" t="s">
        <v>4575</v>
      </c>
      <c r="D33" s="21"/>
      <c r="E33" s="21"/>
      <c r="F33" s="2672" cm="1" t="n">
        <f t="array" ref="F33">INDEX('5층_부하량'!E3:E3000,MATCH(1,("5-DaHall 1-PDU-01"='5층_부하량'!A3:A3000)*(7='5층_부하량'!B3:B3000),0))</f>
        <v>8.18</v>
      </c>
      <c r="G33" s="21"/>
      <c r="H33" s="17" t="s">
        <v>4597</v>
      </c>
      <c r="I33" s="549" t="s">
        <v>4653</v>
      </c>
      <c r="J33" s="590" t="s">
        <v>5666</v>
      </c>
      <c r="K33" s="594" t="s">
        <v>5669</v>
      </c>
      <c r="L33" s="549" t="s">
        <v>4599</v>
      </c>
      <c r="M33" s="17" t="s">
        <v>4597</v>
      </c>
      <c r="N33" s="21"/>
      <c r="O33" s="21"/>
      <c r="P33" s="2672" cm="1" t="n">
        <f t="array" ref="P33">INDEX('5층_부하량'!E3:E3000,MATCH(1,("5-DaHall 1-PDU-01"='5층_부하량'!A3:A3000)*(61='5층_부하량'!B3:B3000),0))</f>
        <v>0.0</v>
      </c>
      <c r="Q33" s="21"/>
      <c r="R33" s="69" t="s">
        <v>4631</v>
      </c>
      <c r="S33" s="17" t="s">
        <v>4642</v>
      </c>
      <c r="T33" s="604" t="s">
        <v>5670</v>
      </c>
    </row>
    <row r="34" spans="1:20" ht="18" customHeight="1" x14ac:dyDescent="0.15">
      <c r="A34" s="2110" t="s">
        <v>5671</v>
      </c>
      <c r="B34" s="17" t="s">
        <v>4631</v>
      </c>
      <c r="C34" s="18" t="s">
        <v>4575</v>
      </c>
      <c r="D34" s="2672" cm="1" t="n">
        <f t="array" ref="D34">INDEX('5층_부하량'!C3:C3000,MATCH(1,("5-DaHall 1-PDU-01"='5층_부하량'!A3:A3000)*(8='5층_부하량'!B3:B3000),0))</f>
        <v>9.79</v>
      </c>
      <c r="E34" s="19"/>
      <c r="F34" s="19"/>
      <c r="G34" s="21"/>
      <c r="H34" s="17" t="s">
        <v>4597</v>
      </c>
      <c r="I34" s="549" t="s">
        <v>4657</v>
      </c>
      <c r="J34" s="590" t="s">
        <v>5666</v>
      </c>
      <c r="K34" s="594" t="s">
        <v>5669</v>
      </c>
      <c r="L34" s="549" t="s">
        <v>4601</v>
      </c>
      <c r="M34" s="17" t="s">
        <v>4597</v>
      </c>
      <c r="N34" s="2672" cm="1" t="n">
        <f t="array" ref="N34">INDEX('5층_부하량'!C3:C3000,MATCH(1,("5-DaHall 1-PDU-01"='5층_부하량'!A3:A3000)*(62='5층_부하량'!B3:B3000),0))</f>
        <v>0.0</v>
      </c>
      <c r="O34" s="19"/>
      <c r="P34" s="19"/>
      <c r="Q34" s="21"/>
      <c r="R34" s="69" t="s">
        <v>4631</v>
      </c>
      <c r="S34" s="17" t="s">
        <v>4642</v>
      </c>
      <c r="T34" s="604" t="s">
        <v>3736</v>
      </c>
    </row>
    <row r="35" spans="1:20" ht="18" customHeight="1" x14ac:dyDescent="0.15">
      <c r="A35" s="2111" t="s">
        <v>5672</v>
      </c>
      <c r="B35" s="17" t="s">
        <v>4631</v>
      </c>
      <c r="C35" s="18" t="s">
        <v>4575</v>
      </c>
      <c r="D35" s="21"/>
      <c r="E35" s="2672" cm="1" t="n">
        <f t="array" ref="E35">INDEX('5층_부하량'!D3:D3000,MATCH(1,("5-DaHall 1-PDU-01"='5층_부하량'!A3:A3000)*(9='5층_부하량'!B3:B3000),0))</f>
        <v>0.0</v>
      </c>
      <c r="F35" s="21"/>
      <c r="G35" s="21"/>
      <c r="H35" s="17" t="s">
        <v>4597</v>
      </c>
      <c r="I35" s="549" t="s">
        <v>4661</v>
      </c>
      <c r="J35" s="590" t="s">
        <v>5666</v>
      </c>
      <c r="K35" s="594" t="s">
        <v>5669</v>
      </c>
      <c r="L35" s="549" t="s">
        <v>4603</v>
      </c>
      <c r="M35" s="17" t="s">
        <v>4597</v>
      </c>
      <c r="N35" s="21"/>
      <c r="O35" s="2672" cm="1" t="n">
        <f t="array" ref="O35">INDEX('5층_부하량'!D3:D3000,MATCH(1,("5-DaHall 1-PDU-01"='5층_부하량'!A3:A3000)*(63='5층_부하량'!B3:B3000),0))</f>
        <v>0.0</v>
      </c>
      <c r="P35" s="21"/>
      <c r="Q35" s="21"/>
      <c r="R35" s="69" t="s">
        <v>4631</v>
      </c>
      <c r="S35" s="17" t="s">
        <v>4642</v>
      </c>
      <c r="T35" s="604" t="s">
        <v>3741</v>
      </c>
    </row>
    <row r="36" spans="1:20" ht="18" customHeight="1" x14ac:dyDescent="0.15">
      <c r="A36" s="2111" t="s">
        <v>5673</v>
      </c>
      <c r="B36" s="17" t="s">
        <v>4631</v>
      </c>
      <c r="C36" s="18" t="s">
        <v>4575</v>
      </c>
      <c r="D36" s="21"/>
      <c r="E36" s="21"/>
      <c r="F36" s="2672" cm="1" t="n">
        <f t="array" ref="F36">INDEX('5층_부하량'!E3:E3000,MATCH(1,("5-DaHall 1-PDU-01"='5층_부하량'!A3:A3000)*(10='5층_부하량'!B3:B3000),0))</f>
        <v>0.0</v>
      </c>
      <c r="G36" s="21"/>
      <c r="H36" s="17" t="s">
        <v>4597</v>
      </c>
      <c r="I36" s="549" t="s">
        <v>4665</v>
      </c>
      <c r="J36" s="590" t="s">
        <v>5666</v>
      </c>
      <c r="K36" s="594" t="s">
        <v>5669</v>
      </c>
      <c r="L36" s="549" t="s">
        <v>4605</v>
      </c>
      <c r="M36" s="17" t="s">
        <v>4597</v>
      </c>
      <c r="N36" s="21"/>
      <c r="O36" s="21"/>
      <c r="P36" s="2672" cm="1" t="n">
        <f t="array" ref="P36">INDEX('5층_부하량'!E3:E3000,MATCH(1,("5-DaHall 1-PDU-01"='5층_부하량'!A3:A3000)*(64='5층_부하량'!B3:B3000),0))</f>
        <v>0.0</v>
      </c>
      <c r="Q36" s="21"/>
      <c r="R36" s="69" t="s">
        <v>4631</v>
      </c>
      <c r="S36" s="17" t="s">
        <v>4642</v>
      </c>
      <c r="T36" s="604" t="s">
        <v>3746</v>
      </c>
    </row>
    <row r="37" spans="1:20" ht="18" customHeight="1" x14ac:dyDescent="0.15">
      <c r="A37" s="321" t="s">
        <v>3616</v>
      </c>
      <c r="B37" s="17" t="s">
        <v>4631</v>
      </c>
      <c r="C37" s="18" t="s">
        <v>4575</v>
      </c>
      <c r="D37" s="2672" cm="1" t="n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4597</v>
      </c>
      <c r="I37" s="549" t="s">
        <v>4670</v>
      </c>
      <c r="J37" s="637" t="s">
        <v>5674</v>
      </c>
      <c r="K37" s="594" t="s">
        <v>5669</v>
      </c>
      <c r="L37" s="549" t="s">
        <v>4609</v>
      </c>
      <c r="M37" s="17" t="s">
        <v>4597</v>
      </c>
      <c r="N37" s="2672" cm="1" t="n">
        <f t="array" ref="N37">INDEX('5층_부하량'!C3:C3000,MATCH(1,("5-DaHall 1-PDU-01"='5층_부하량'!A3:A3000)*(65='5층_부하량'!B3:B3000),0))</f>
        <v>0.0</v>
      </c>
      <c r="O37" s="21"/>
      <c r="P37" s="21"/>
      <c r="Q37" s="21"/>
      <c r="R37" s="69" t="s">
        <v>4631</v>
      </c>
      <c r="S37" s="17" t="s">
        <v>4642</v>
      </c>
      <c r="T37" s="604" t="s">
        <v>3751</v>
      </c>
    </row>
    <row r="38" spans="1:20" ht="18" customHeight="1" x14ac:dyDescent="0.15">
      <c r="A38" s="321" t="s">
        <v>3622</v>
      </c>
      <c r="B38" s="17" t="s">
        <v>4631</v>
      </c>
      <c r="C38" s="18" t="s">
        <v>4575</v>
      </c>
      <c r="D38" s="21"/>
      <c r="E38" s="2672" cm="1" t="n">
        <f t="array" ref="E38">INDEX('5층_부하량'!D3:D3000,MATCH(1,("5-DaHall 1-PDU-01"='5층_부하량'!A3:A3000)*(12='5층_부하량'!B3:B3000),0))</f>
        <v>1.3900000000000001</v>
      </c>
      <c r="F38" s="21"/>
      <c r="G38" s="21"/>
      <c r="H38" s="17" t="s">
        <v>4597</v>
      </c>
      <c r="I38" s="549" t="s">
        <v>4674</v>
      </c>
      <c r="J38" s="637" t="s">
        <v>5675</v>
      </c>
      <c r="K38" s="594" t="s">
        <v>5669</v>
      </c>
      <c r="L38" s="549" t="s">
        <v>4613</v>
      </c>
      <c r="M38" s="17" t="s">
        <v>4597</v>
      </c>
      <c r="N38" s="21"/>
      <c r="O38" s="2672" cm="1" t="n">
        <f t="array" ref="O38">INDEX('5층_부하량'!D3:D3000,MATCH(1,("5-DaHall 1-PDU-01"='5층_부하량'!A3:A3000)*(66='5층_부하량'!B3:B3000),0))</f>
        <v>0.0</v>
      </c>
      <c r="P38" s="21"/>
      <c r="Q38" s="21"/>
      <c r="R38" s="69" t="s">
        <v>4631</v>
      </c>
      <c r="S38" s="17" t="s">
        <v>4642</v>
      </c>
      <c r="T38" s="604" t="s">
        <v>3756</v>
      </c>
    </row>
    <row r="39" spans="1:20" ht="18" customHeight="1" x14ac:dyDescent="0.15">
      <c r="A39" s="321" t="s">
        <v>3628</v>
      </c>
      <c r="B39" s="17" t="s">
        <v>4631</v>
      </c>
      <c r="C39" s="18" t="s">
        <v>4575</v>
      </c>
      <c r="D39" s="21"/>
      <c r="E39" s="21"/>
      <c r="F39" s="2672" cm="1" t="n">
        <f t="array" ref="F39">INDEX('5층_부하량'!E3:E3000,MATCH(1,("5-DaHall 1-PDU-01"='5층_부하량'!A3:A3000)*(13='5층_부하량'!B3:B3000),0))</f>
        <v>1.48</v>
      </c>
      <c r="G39" s="21"/>
      <c r="H39" s="17" t="s">
        <v>4597</v>
      </c>
      <c r="I39" s="549" t="s">
        <v>4678</v>
      </c>
      <c r="J39" s="637" t="s">
        <v>5676</v>
      </c>
      <c r="K39" s="594" t="s">
        <v>5669</v>
      </c>
      <c r="L39" s="549" t="s">
        <v>4680</v>
      </c>
      <c r="M39" s="17" t="s">
        <v>4597</v>
      </c>
      <c r="N39" s="21"/>
      <c r="O39" s="21"/>
      <c r="P39" s="2672" cm="1" t="n">
        <f t="array" ref="P39">INDEX('5층_부하량'!E3:E3000,MATCH(1,("5-DaHall 1-PDU-01"='5층_부하량'!A3:A3000)*(67='5층_부하량'!B3:B3000),0))</f>
        <v>0.0</v>
      </c>
      <c r="Q39" s="21"/>
      <c r="R39" s="69" t="s">
        <v>4631</v>
      </c>
      <c r="S39" s="17" t="s">
        <v>4642</v>
      </c>
      <c r="T39" s="604" t="s">
        <v>5677</v>
      </c>
    </row>
    <row r="40" spans="1:20" ht="18" customHeight="1" x14ac:dyDescent="0.15">
      <c r="A40" s="321" t="s">
        <v>3634</v>
      </c>
      <c r="B40" s="17" t="s">
        <v>4631</v>
      </c>
      <c r="C40" s="18" t="s">
        <v>4575</v>
      </c>
      <c r="D40" s="2672" cm="1" t="n">
        <f t="array" ref="D40">INDEX('5층_부하량'!C3:C3000,MATCH(1,("5-DaHall 1-PDU-01"='5층_부하량'!A3:A3000)*(14='5층_부하량'!B3:B3000),0))</f>
        <v>0.0</v>
      </c>
      <c r="E40" s="19"/>
      <c r="F40" s="19"/>
      <c r="G40" s="21"/>
      <c r="H40" s="17" t="s">
        <v>4597</v>
      </c>
      <c r="I40" s="549" t="s">
        <v>4683</v>
      </c>
      <c r="J40" s="637" t="s">
        <v>5678</v>
      </c>
      <c r="K40" s="594" t="s">
        <v>5669</v>
      </c>
      <c r="L40" s="549" t="s">
        <v>4685</v>
      </c>
      <c r="M40" s="17" t="s">
        <v>4597</v>
      </c>
      <c r="N40" s="2672" cm="1" t="n">
        <f t="array" ref="N40">INDEX('5층_부하량'!C3:C3000,MATCH(1,("5-DaHall 1-PDU-01"='5층_부하량'!A3:A3000)*(68='5층_부하량'!B3:B3000),0))</f>
        <v>0.0</v>
      </c>
      <c r="O40" s="19"/>
      <c r="P40" s="19"/>
      <c r="Q40" s="21"/>
      <c r="R40" s="69" t="s">
        <v>4631</v>
      </c>
      <c r="S40" s="17" t="s">
        <v>4642</v>
      </c>
      <c r="T40" s="604" t="s">
        <v>3766</v>
      </c>
    </row>
    <row r="41" spans="1:20" ht="18" customHeight="1" x14ac:dyDescent="0.15">
      <c r="A41" s="321" t="s">
        <v>3819</v>
      </c>
      <c r="B41" s="72" t="s">
        <v>4631</v>
      </c>
      <c r="C41" s="17" t="s">
        <v>4642</v>
      </c>
      <c r="D41" s="21"/>
      <c r="E41" s="2672" cm="1" t="n">
        <f t="array" ref="E41">INDEX('5층_부하량'!D3:D3000,MATCH(1,("5-DaHall 1-PDU-01"='5층_부하량'!A3:A3000)*(15='5층_부하량'!B3:B3000),0))</f>
        <v>0.0</v>
      </c>
      <c r="F41" s="21"/>
      <c r="G41" s="74"/>
      <c r="H41" s="72" t="s">
        <v>4597</v>
      </c>
      <c r="I41" s="550" t="s">
        <v>4688</v>
      </c>
      <c r="J41" s="65"/>
      <c r="K41" s="594" t="s">
        <v>5669</v>
      </c>
      <c r="L41" s="550" t="s">
        <v>4689</v>
      </c>
      <c r="M41" s="72" t="s">
        <v>4597</v>
      </c>
      <c r="N41" s="21"/>
      <c r="O41" s="2672" cm="1" t="n">
        <f t="array" ref="O41">INDEX('5층_부하량'!D3:D3000,MATCH(1,("5-DaHall 1-PDU-01"='5층_부하량'!A3:A3000)*(69='5층_부하량'!B3:B3000),0))</f>
        <v>0.0</v>
      </c>
      <c r="P41" s="21"/>
      <c r="Q41" s="74"/>
      <c r="R41" s="75" t="s">
        <v>4631</v>
      </c>
      <c r="S41" s="17" t="s">
        <v>4642</v>
      </c>
      <c r="T41" s="605" t="s">
        <v>3771</v>
      </c>
    </row>
    <row r="42" spans="1:20" ht="18" customHeight="1" x14ac:dyDescent="0.15">
      <c r="A42" s="321" t="s">
        <v>3823</v>
      </c>
      <c r="B42" s="17" t="s">
        <v>4631</v>
      </c>
      <c r="C42" s="17" t="s">
        <v>4642</v>
      </c>
      <c r="D42" s="21"/>
      <c r="E42" s="21"/>
      <c r="F42" s="2672" cm="1" t="n">
        <f t="array" ref="F42">INDEX('5층_부하량'!E3:E3000,MATCH(1,("5-DaHall 1-PDU-01"='5층_부하량'!A3:A3000)*(16='5층_부하량'!B3:B3000),0))</f>
        <v>0.0</v>
      </c>
      <c r="G42" s="21"/>
      <c r="H42" s="17" t="s">
        <v>4597</v>
      </c>
      <c r="I42" s="549" t="s">
        <v>4691</v>
      </c>
      <c r="J42" s="65"/>
      <c r="K42" s="66"/>
      <c r="L42" s="549" t="s">
        <v>4692</v>
      </c>
      <c r="M42" s="17" t="s">
        <v>4597</v>
      </c>
      <c r="N42" s="21"/>
      <c r="O42" s="21"/>
      <c r="P42" s="2672" cm="1" t="n">
        <f t="array" ref="P42">INDEX('5층_부하량'!E3:E3000,MATCH(1,("5-DaHall 1-PDU-01"='5층_부하량'!A3:A3000)*(70='5층_부하량'!B3:B3000),0))</f>
        <v>0.0</v>
      </c>
      <c r="Q42" s="21"/>
      <c r="R42" s="69" t="s">
        <v>4631</v>
      </c>
      <c r="S42" s="17" t="s">
        <v>4642</v>
      </c>
      <c r="T42" s="606" t="s">
        <v>5679</v>
      </c>
    </row>
    <row r="43" spans="1:20" ht="18" customHeight="1" x14ac:dyDescent="0.15">
      <c r="A43" s="2111" t="s">
        <v>5680</v>
      </c>
      <c r="B43" s="17" t="s">
        <v>4631</v>
      </c>
      <c r="C43" s="18" t="s">
        <v>4575</v>
      </c>
      <c r="D43" s="2672" cm="1" t="n">
        <f t="array" ref="D43">INDEX('5층_부하량'!C3:C3000,MATCH(1,("5-DaHall 1-PDU-01"='5층_부하량'!A3:A3000)*(17='5층_부하량'!B3:B3000),0))</f>
        <v>8.84</v>
      </c>
      <c r="E43" s="19"/>
      <c r="F43" s="19"/>
      <c r="G43" s="21"/>
      <c r="H43" s="17" t="s">
        <v>4597</v>
      </c>
      <c r="I43" s="549" t="s">
        <v>4693</v>
      </c>
      <c r="J43" s="590" t="s">
        <v>5666</v>
      </c>
      <c r="K43" s="66"/>
      <c r="L43" s="549" t="s">
        <v>4694</v>
      </c>
      <c r="M43" s="17" t="s">
        <v>4597</v>
      </c>
      <c r="N43" s="2672" cm="1" t="n">
        <f t="array" ref="N43">INDEX('5층_부하량'!C3:C3000,MATCH(1,("5-DaHall 1-PDU-01"='5층_부하량'!A3:A3000)*(71='5층_부하량'!B3:B3000),0))</f>
        <v>0.0</v>
      </c>
      <c r="O43" s="19"/>
      <c r="P43" s="19"/>
      <c r="Q43" s="21"/>
      <c r="R43" s="69" t="s">
        <v>4631</v>
      </c>
      <c r="S43" s="17" t="s">
        <v>4642</v>
      </c>
      <c r="T43" s="606" t="s">
        <v>5681</v>
      </c>
    </row>
    <row r="44" spans="1:20" ht="18" customHeight="1" x14ac:dyDescent="0.15">
      <c r="A44" s="2111" t="s">
        <v>5682</v>
      </c>
      <c r="B44" s="17" t="s">
        <v>4631</v>
      </c>
      <c r="C44" s="18" t="s">
        <v>4575</v>
      </c>
      <c r="D44" s="21"/>
      <c r="E44" s="2672" cm="1" t="n">
        <f t="array" ref="E44">INDEX('5층_부하량'!D3:D3000,MATCH(1,("5-DaHall 1-PDU-01"='5층_부하량'!A3:A3000)*(18='5층_부하량'!B3:B3000),0))</f>
        <v>6.91</v>
      </c>
      <c r="F44" s="21"/>
      <c r="G44" s="21"/>
      <c r="H44" s="17" t="s">
        <v>4597</v>
      </c>
      <c r="I44" s="549" t="s">
        <v>4697</v>
      </c>
      <c r="J44" s="590" t="s">
        <v>5683</v>
      </c>
      <c r="K44" s="66"/>
      <c r="L44" s="549" t="s">
        <v>4698</v>
      </c>
      <c r="M44" s="17" t="s">
        <v>4597</v>
      </c>
      <c r="N44" s="21"/>
      <c r="O44" s="2672" cm="1" t="n">
        <f t="array" ref="O44">INDEX('5층_부하량'!D3:D3000,MATCH(1,("5-DaHall 1-PDU-01"='5층_부하량'!A3:A3000)*(72='5층_부하량'!B3:B3000),0))</f>
        <v>0.0</v>
      </c>
      <c r="P44" s="21"/>
      <c r="Q44" s="21"/>
      <c r="R44" s="69" t="s">
        <v>4631</v>
      </c>
      <c r="S44" s="17" t="s">
        <v>4642</v>
      </c>
      <c r="T44" s="606" t="s">
        <v>5684</v>
      </c>
    </row>
    <row r="45" spans="1:20" ht="18" customHeight="1" x14ac:dyDescent="0.15">
      <c r="A45" s="2111" t="s">
        <v>5685</v>
      </c>
      <c r="B45" s="17" t="s">
        <v>4631</v>
      </c>
      <c r="C45" s="18" t="s">
        <v>4575</v>
      </c>
      <c r="D45" s="21"/>
      <c r="E45" s="19"/>
      <c r="F45" s="2670" cm="1" t="n">
        <f t="array" ref="F45">INDEX('5층_부하량'!E3:E3000,MATCH(1,("5-DaHall 1-PDU-01"='5층_부하량'!A3:A3000)*(19='5층_부하량'!B3:B3000),0))</f>
        <v>7.84</v>
      </c>
      <c r="G45" s="21"/>
      <c r="H45" s="17" t="s">
        <v>4597</v>
      </c>
      <c r="I45" s="549" t="s">
        <v>4701</v>
      </c>
      <c r="J45" s="590" t="s">
        <v>5683</v>
      </c>
      <c r="K45" s="66"/>
      <c r="L45" s="549" t="s">
        <v>4703</v>
      </c>
      <c r="M45" s="17" t="s">
        <v>4597</v>
      </c>
      <c r="N45" s="21"/>
      <c r="O45" s="19"/>
      <c r="P45" s="2670" cm="1" t="n">
        <f t="array" ref="P45">INDEX('5층_부하량'!E3:E3000,MATCH(1,("5-DaHall 1-PDU-01"='5층_부하량'!A3:A3000)*(73='5층_부하량'!B3:B3000),0))</f>
        <v>0.0</v>
      </c>
      <c r="Q45" s="21"/>
      <c r="R45" s="69" t="s">
        <v>4631</v>
      </c>
      <c r="S45" s="17" t="s">
        <v>4642</v>
      </c>
      <c r="T45" s="606" t="s">
        <v>5686</v>
      </c>
    </row>
    <row r="46" spans="1:20" ht="18" customHeight="1" x14ac:dyDescent="0.15">
      <c r="A46" s="2111" t="s">
        <v>5687</v>
      </c>
      <c r="B46" s="17" t="s">
        <v>4631</v>
      </c>
      <c r="C46" s="18" t="s">
        <v>4575</v>
      </c>
      <c r="D46" s="2672" cm="1" t="n">
        <f t="array" ref="D46">INDEX('5층_부하량'!C3:C3000,MATCH(1,("5-DaHall 1-PDU-01"='5층_부하량'!A3:A3000)*(20='5층_부하량'!B3:B3000),0))</f>
        <v>5.99</v>
      </c>
      <c r="E46" s="19"/>
      <c r="F46" s="19"/>
      <c r="G46" s="21"/>
      <c r="H46" s="17" t="s">
        <v>4597</v>
      </c>
      <c r="I46" s="549" t="s">
        <v>4706</v>
      </c>
      <c r="J46" s="590" t="s">
        <v>5683</v>
      </c>
      <c r="K46" s="66"/>
      <c r="L46" s="549" t="s">
        <v>4707</v>
      </c>
      <c r="M46" s="17" t="s">
        <v>4597</v>
      </c>
      <c r="N46" s="2672" cm="1" t="n">
        <f t="array" ref="N46">INDEX('5층_부하량'!C3:C3000,MATCH(1,("5-DaHall 1-PDU-01"='5층_부하량'!A3:A3000)*(74='5층_부하량'!B3:B3000),0))</f>
        <v>0.0</v>
      </c>
      <c r="O46" s="19"/>
      <c r="P46" s="19"/>
      <c r="Q46" s="21"/>
      <c r="R46" s="69" t="s">
        <v>4631</v>
      </c>
      <c r="S46" s="17" t="s">
        <v>4642</v>
      </c>
      <c r="T46" s="606" t="s">
        <v>5688</v>
      </c>
    </row>
    <row r="47" spans="1:20" ht="18" customHeight="1" x14ac:dyDescent="0.15">
      <c r="A47" s="2111" t="s">
        <v>5689</v>
      </c>
      <c r="B47" s="17" t="s">
        <v>4631</v>
      </c>
      <c r="C47" s="18" t="s">
        <v>4575</v>
      </c>
      <c r="D47" s="21"/>
      <c r="E47" s="2672" cm="1" t="n">
        <f t="array" ref="E47">INDEX('5층_부하량'!D3:D3000,MATCH(1,("5-DaHall 1-PDU-01"='5층_부하량'!A3:A3000)*(21='5층_부하량'!B3:B3000),0))</f>
        <v>8.6</v>
      </c>
      <c r="F47" s="19"/>
      <c r="G47" s="21"/>
      <c r="H47" s="17" t="s">
        <v>4597</v>
      </c>
      <c r="I47" s="549" t="s">
        <v>4710</v>
      </c>
      <c r="J47" s="590" t="s">
        <v>5683</v>
      </c>
      <c r="K47" s="594" t="s">
        <v>4637</v>
      </c>
      <c r="L47" s="1444" t="s">
        <v>4711</v>
      </c>
      <c r="M47" s="17" t="s">
        <v>4597</v>
      </c>
      <c r="N47" s="21"/>
      <c r="O47" s="2672" cm="1" t="n">
        <f t="array" ref="O47">INDEX('5층_부하량'!D3:D3000,MATCH(1,("5-DaHall 1-PDU-01"='5층_부하량'!A3:A3000)*(75='5층_부하량'!B3:B3000),0))</f>
        <v>0.0</v>
      </c>
      <c r="P47" s="19"/>
      <c r="Q47" s="21"/>
      <c r="R47" s="1445" t="s">
        <v>565</v>
      </c>
      <c r="S47" s="17" t="s">
        <v>4642</v>
      </c>
      <c r="T47" s="604"/>
    </row>
    <row r="48" spans="1:20" ht="18" customHeight="1" x14ac:dyDescent="0.15">
      <c r="A48" s="321" t="s">
        <v>3595</v>
      </c>
      <c r="B48" s="17" t="s">
        <v>4631</v>
      </c>
      <c r="C48" s="2112" t="s">
        <v>3381</v>
      </c>
      <c r="D48" s="21"/>
      <c r="E48" s="19"/>
      <c r="F48" s="2672" cm="1" t="n">
        <f t="array" ref="F48">INDEX('5층_부하량'!E3:E3000,MATCH(1,("5-DaHall 1-PDU-01"='5층_부하량'!A3:A3000)*(22='5층_부하량'!B3:B3000),0))</f>
        <v>0.0</v>
      </c>
      <c r="G48" s="21"/>
      <c r="H48" s="17" t="s">
        <v>4597</v>
      </c>
      <c r="I48" s="549" t="s">
        <v>5055</v>
      </c>
      <c r="J48" s="65" t="s">
        <v>5661</v>
      </c>
      <c r="K48" s="595" t="s">
        <v>5690</v>
      </c>
      <c r="L48" s="549" t="s">
        <v>4843</v>
      </c>
      <c r="M48" s="17" t="s">
        <v>4597</v>
      </c>
      <c r="N48" s="21"/>
      <c r="O48" s="19"/>
      <c r="P48" s="2672" cm="1" t="n">
        <f t="array" ref="P48">INDEX('5층_부하량'!E3:E3000,MATCH(1,("5-DaHall 1-PDU-01"='5층_부하량'!A3:A3000)*(76='5층_부하량'!B3:B3000),0))</f>
        <v>0.0</v>
      </c>
      <c r="Q48" s="21"/>
      <c r="R48" s="69" t="s">
        <v>4631</v>
      </c>
      <c r="S48" s="17" t="s">
        <v>4642</v>
      </c>
      <c r="T48" s="604" t="s">
        <v>5691</v>
      </c>
    </row>
    <row r="49" spans="1:20" ht="18" customHeight="1" x14ac:dyDescent="0.15">
      <c r="A49" s="321" t="s">
        <v>3600</v>
      </c>
      <c r="B49" s="17" t="s">
        <v>4631</v>
      </c>
      <c r="C49" s="2112" t="s">
        <v>3381</v>
      </c>
      <c r="D49" s="2672" cm="1" t="n">
        <f t="array" ref="D49">INDEX('5층_부하량'!C3:C3000,MATCH(1,("5-DaHall 1-PDU-01"='5층_부하량'!A3:A3000)*(23='5층_부하량'!B3:B3000),0))</f>
        <v>0.0</v>
      </c>
      <c r="E49" s="19"/>
      <c r="F49" s="19"/>
      <c r="G49" s="21"/>
      <c r="H49" s="17" t="s">
        <v>4597</v>
      </c>
      <c r="I49" s="549" t="s">
        <v>4845</v>
      </c>
      <c r="J49" s="65" t="s">
        <v>5661</v>
      </c>
      <c r="K49" s="595" t="s">
        <v>5690</v>
      </c>
      <c r="L49" s="549" t="s">
        <v>4846</v>
      </c>
      <c r="M49" s="17" t="s">
        <v>4597</v>
      </c>
      <c r="N49" s="2672" cm="1" t="n">
        <f t="array" ref="N49">INDEX('5층_부하량'!C3:C3000,MATCH(1,("5-DaHall 1-PDU-01"='5층_부하량'!A3:A3000)*(77='5층_부하량'!B3:B3000),0))</f>
        <v>0.0</v>
      </c>
      <c r="O49" s="19"/>
      <c r="P49" s="19"/>
      <c r="Q49" s="21"/>
      <c r="R49" s="69" t="s">
        <v>4631</v>
      </c>
      <c r="S49" s="17" t="s">
        <v>4642</v>
      </c>
      <c r="T49" s="604" t="s">
        <v>3642</v>
      </c>
    </row>
    <row r="50" spans="1:20" ht="18" customHeight="1" x14ac:dyDescent="0.15">
      <c r="A50" s="321" t="s">
        <v>3605</v>
      </c>
      <c r="B50" s="17" t="s">
        <v>4631</v>
      </c>
      <c r="C50" s="2112" t="s">
        <v>3381</v>
      </c>
      <c r="D50" s="21"/>
      <c r="E50" s="2672" cm="1" t="n">
        <f t="array" ref="E50">INDEX('5층_부하량'!D3:D3000,MATCH(1,("5-DaHall 1-PDU-01"='5층_부하량'!A3:A3000)*(24='5층_부하량'!B3:B3000),0))</f>
        <v>0.0</v>
      </c>
      <c r="F50" s="21"/>
      <c r="G50" s="21"/>
      <c r="H50" s="17" t="s">
        <v>4597</v>
      </c>
      <c r="I50" s="549" t="s">
        <v>4847</v>
      </c>
      <c r="J50" s="65" t="s">
        <v>5661</v>
      </c>
      <c r="K50" s="595" t="s">
        <v>5690</v>
      </c>
      <c r="L50" s="1444" t="s">
        <v>4848</v>
      </c>
      <c r="M50" s="17" t="s">
        <v>4597</v>
      </c>
      <c r="N50" s="21"/>
      <c r="O50" s="2672" cm="1" t="n">
        <f t="array" ref="O50">INDEX('5층_부하량'!D3:D3000,MATCH(1,("5-DaHall 1-PDU-01"='5층_부하량'!A3:A3000)*(78='5층_부하량'!B3:B3000),0))</f>
        <v>0.35</v>
      </c>
      <c r="P50" s="21"/>
      <c r="Q50" s="21"/>
      <c r="R50" s="69" t="s">
        <v>4631</v>
      </c>
      <c r="S50" s="597" t="s">
        <v>4575</v>
      </c>
      <c r="T50" s="604" t="s">
        <v>3177</v>
      </c>
    </row>
    <row r="51" spans="1:20" ht="18" customHeight="1" x14ac:dyDescent="0.15">
      <c r="A51" s="321" t="s">
        <v>3610</v>
      </c>
      <c r="B51" s="17" t="s">
        <v>4631</v>
      </c>
      <c r="C51" s="2112" t="s">
        <v>3381</v>
      </c>
      <c r="D51" s="21"/>
      <c r="E51" s="21"/>
      <c r="F51" s="2672" cm="1" t="n">
        <f t="array" ref="F51">INDEX('5층_부하량'!E3:E3000,MATCH(1,("5-DaHall 1-PDU-01"='5층_부하량'!A3:A3000)*(25='5층_부하량'!B3:B3000),0))</f>
        <v>0.0</v>
      </c>
      <c r="G51" s="21"/>
      <c r="H51" s="17" t="s">
        <v>4597</v>
      </c>
      <c r="I51" s="549" t="s">
        <v>4849</v>
      </c>
      <c r="J51" s="65" t="s">
        <v>5661</v>
      </c>
      <c r="K51" s="596" t="s">
        <v>5692</v>
      </c>
      <c r="L51" s="549" t="s">
        <v>4850</v>
      </c>
      <c r="M51" s="17" t="s">
        <v>4597</v>
      </c>
      <c r="N51" s="21"/>
      <c r="O51" s="21"/>
      <c r="P51" s="2672" cm="1" t="n">
        <f t="array" ref="P51">INDEX('5층_부하량'!E3:E3000,MATCH(1,("5-DaHall 1-PDU-01"='5층_부하량'!A3:A3000)*(79='5층_부하량'!B3:B3000),0))</f>
        <v>1.72</v>
      </c>
      <c r="Q51" s="21"/>
      <c r="R51" s="69" t="s">
        <v>4631</v>
      </c>
      <c r="S51" s="597" t="s">
        <v>4575</v>
      </c>
      <c r="T51" s="70" t="s">
        <v>5693</v>
      </c>
    </row>
    <row r="52" spans="1:20" ht="18" customHeight="1" thickBot="1" x14ac:dyDescent="0.2">
      <c r="A52" s="600" t="s">
        <v>5694</v>
      </c>
      <c r="B52" s="35" t="s">
        <v>4631</v>
      </c>
      <c r="C52" s="35" t="s">
        <v>4642</v>
      </c>
      <c r="D52" s="2671" cm="1" t="n">
        <f t="array" ref="D52">INDEX('5층_부하량'!C3:C3000,MATCH(1,("5-DaHall 1-PDU-01"='5층_부하량'!A3:A3000)*(26='5층_부하량'!B3:B3000),0))</f>
        <v>0.0</v>
      </c>
      <c r="E52" s="36"/>
      <c r="F52" s="36"/>
      <c r="G52" s="36"/>
      <c r="H52" s="35" t="s">
        <v>4597</v>
      </c>
      <c r="I52" s="551" t="s">
        <v>4851</v>
      </c>
      <c r="J52" s="76"/>
      <c r="K52" s="77" t="s">
        <v>5695</v>
      </c>
      <c r="L52" s="551" t="s">
        <v>4852</v>
      </c>
      <c r="M52" s="35" t="s">
        <v>4597</v>
      </c>
      <c r="N52" s="2671" cm="1" t="n">
        <f t="array" ref="N52">INDEX('5층_부하량'!C3:C3000,MATCH(1,("5-DaHall 1-PDU-01"='5층_부하량'!A3:A3000)*(80='5층_부하량'!B3:B3000),0))</f>
        <v>0.0</v>
      </c>
      <c r="O52" s="36"/>
      <c r="P52" s="36"/>
      <c r="Q52" s="36"/>
      <c r="R52" s="78" t="s">
        <v>4631</v>
      </c>
      <c r="S52" s="598" t="s">
        <v>4575</v>
      </c>
      <c r="T52" s="79" t="s">
        <v>5696</v>
      </c>
    </row>
    <row r="53" spans="1:20" ht="18" customHeight="1" thickTop="1" thickBot="1" x14ac:dyDescent="0.2">
      <c r="M53" s="80" t="s">
        <v>5645</v>
      </c>
      <c r="N53" s="33" t="n">
        <f>SUM(D27:D52,N27:N52)</f>
        <v>25.65</v>
      </c>
      <c r="O53" s="33" t="n">
        <f>SUM(E27:E52,O27:O52)</f>
        <v>27.119999999999997</v>
      </c>
      <c r="P53" s="33" t="n">
        <f>SUM(F27:F52,P27:P52)</f>
        <v>21.47</v>
      </c>
    </row>
    <row r="54" spans="1:20" ht="18" customHeight="1" thickTop="1" thickBot="1" x14ac:dyDescent="0.2">
      <c r="A54" s="2" t="s">
        <v>6946</v>
      </c>
      <c r="C54" s="3660" t="s">
        <v>5697</v>
      </c>
      <c r="D54" s="3660"/>
      <c r="E54" s="3660"/>
      <c r="F54" s="3660"/>
      <c r="G54" s="53"/>
      <c r="H54" s="124"/>
      <c r="I54" s="124"/>
      <c r="J54" s="3661" t="s">
        <v>5653</v>
      </c>
      <c r="K54" s="3667"/>
      <c r="L54" s="124"/>
      <c r="M54" s="124"/>
      <c r="N54" s="53"/>
      <c r="O54" s="53"/>
      <c r="P54" s="53"/>
      <c r="Q54" s="53"/>
      <c r="R54" s="53"/>
      <c r="S54" s="53"/>
    </row>
    <row r="55" spans="1:20" ht="18" customHeight="1" thickTop="1" thickBot="1" x14ac:dyDescent="0.2">
      <c r="A55" s="3"/>
      <c r="D55" s="54"/>
      <c r="E55" s="54"/>
      <c r="F55" s="54"/>
      <c r="G55" s="54"/>
      <c r="H55" s="4"/>
      <c r="I55" s="4"/>
      <c r="K55" s="56"/>
      <c r="L55" s="565"/>
      <c r="M55" s="1371" t="s">
        <v>4562</v>
      </c>
      <c r="N55" s="1368">
        <v>34.6</v>
      </c>
      <c r="O55" s="1369">
        <v>35.200000000000003</v>
      </c>
      <c r="P55" s="1370">
        <v>26.3</v>
      </c>
      <c r="Q55" s="508" t="s">
        <v>4563</v>
      </c>
      <c r="R55" s="133"/>
      <c r="S55" s="128"/>
      <c r="T55" s="528"/>
    </row>
    <row r="56" spans="1:20" ht="18" customHeight="1" thickTop="1" thickBot="1" x14ac:dyDescent="0.2">
      <c r="A56" s="5" t="s">
        <v>4564</v>
      </c>
      <c r="B56" s="6" t="s">
        <v>4565</v>
      </c>
      <c r="C56" s="7" t="s">
        <v>4566</v>
      </c>
      <c r="D56" s="6" t="s">
        <v>4567</v>
      </c>
      <c r="E56" s="6" t="s">
        <v>4568</v>
      </c>
      <c r="F56" s="6" t="s">
        <v>4569</v>
      </c>
      <c r="G56" s="6" t="s">
        <v>4570</v>
      </c>
      <c r="H56" s="8" t="s">
        <v>4571</v>
      </c>
      <c r="I56" s="547"/>
      <c r="J56" s="58" t="s">
        <v>4572</v>
      </c>
      <c r="K56" s="59" t="s">
        <v>4572</v>
      </c>
      <c r="L56" s="566"/>
      <c r="M56" s="8" t="s">
        <v>4571</v>
      </c>
      <c r="N56" s="6" t="s">
        <v>4567</v>
      </c>
      <c r="O56" s="6" t="s">
        <v>4568</v>
      </c>
      <c r="P56" s="6" t="s">
        <v>4569</v>
      </c>
      <c r="Q56" s="6" t="s">
        <v>4570</v>
      </c>
      <c r="R56" s="6" t="s">
        <v>4565</v>
      </c>
      <c r="S56" s="7" t="s">
        <v>4566</v>
      </c>
      <c r="T56" s="60" t="s">
        <v>4564</v>
      </c>
    </row>
    <row r="57" spans="1:20" ht="18" customHeight="1" thickTop="1" x14ac:dyDescent="0.15">
      <c r="A57" s="10"/>
      <c r="B57" s="11" t="s">
        <v>4590</v>
      </c>
      <c r="C57" s="13" t="s">
        <v>4723</v>
      </c>
      <c r="D57" s="2669" cm="1" t="n">
        <f t="array" ref="D57">INDEX('5층_부하량'!C3:C3000,MATCH(1,("5-DaHall 1-PDU-02"='5층_부하량'!A3:A3000)*(1='5층_부하량'!B3:B3000),0))</f>
        <v>0.0</v>
      </c>
      <c r="E57" s="2669" cm="1" t="n">
        <f t="array" ref="E57">INDEX('5층_부하량'!D3:D3000,MATCH(1,("5-DaHall 1-PDU-02"='5층_부하량'!A3:A3000)*(1='5층_부하량'!B3:B3000),0))</f>
        <v>0.0</v>
      </c>
      <c r="F57" s="2669" cm="1" t="n">
        <f t="array" ref="F57">INDEX('5층_부하량'!E3:E3000,MATCH(1,("5-DaHall 1-PDU-02"='5층_부하량'!A3:A3000)*(1='5층_부하량'!B3:B3000),0))</f>
        <v>0.0</v>
      </c>
      <c r="G57" s="15"/>
      <c r="H57" s="11" t="s">
        <v>5654</v>
      </c>
      <c r="I57" s="1443" t="s">
        <v>5655</v>
      </c>
      <c r="J57" s="61"/>
      <c r="K57" s="62"/>
      <c r="L57" s="567" t="s">
        <v>5656</v>
      </c>
      <c r="M57" s="11" t="s">
        <v>5654</v>
      </c>
      <c r="N57" s="2669" cm="1" t="n">
        <f t="array" ref="N57">INDEX('5층_부하량'!C3:C3000,MATCH(1,("5-DaHall 1-PDU-02"='5층_부하량'!A3:A3000)*(55='5층_부하량'!B3:B3000),0))</f>
        <v>0.0</v>
      </c>
      <c r="O57" s="2669" cm="1" t="n">
        <f t="array" ref="O57">INDEX('5층_부하량'!D3:D3000,MATCH(1,("5-DaHall 1-PDU-02"='5층_부하량'!A3:A3000)*(55='5층_부하량'!B3:B3000),0))</f>
        <v>0.66</v>
      </c>
      <c r="P57" s="2669" cm="1" t="n">
        <f t="array" ref="P57">INDEX('5층_부하량'!E3:E3000,MATCH(1,("5-DaHall 1-PDU-02"='5층_부하량'!A3:A3000)*(55='5층_부하량'!B3:B3000),0))</f>
        <v>0.73</v>
      </c>
      <c r="Q57" s="348"/>
      <c r="R57" s="63" t="s">
        <v>4631</v>
      </c>
      <c r="S57" s="12" t="s">
        <v>4575</v>
      </c>
      <c r="T57" s="98" t="s">
        <v>5698</v>
      </c>
    </row>
    <row r="58" spans="1:20" ht="18" customHeight="1" x14ac:dyDescent="0.15">
      <c r="A58" s="16" t="s">
        <v>3522</v>
      </c>
      <c r="B58" s="17" t="s">
        <v>4631</v>
      </c>
      <c r="C58" s="2112" t="s">
        <v>3381</v>
      </c>
      <c r="D58" s="2672" cm="1" t="n">
        <f t="array" ref="D58">INDEX('5층_부하량'!C3:C3000,MATCH(1,("5-DaHall 1-PDU-02"='5층_부하량'!A3:A3000)*(2='5층_부하량'!B3:B3000),0))</f>
        <v>0.0</v>
      </c>
      <c r="E58" s="19"/>
      <c r="F58" s="19"/>
      <c r="G58" s="19"/>
      <c r="H58" s="17" t="s">
        <v>4576</v>
      </c>
      <c r="I58" s="549" t="s">
        <v>4633</v>
      </c>
      <c r="J58" s="65" t="s">
        <v>5661</v>
      </c>
      <c r="K58" s="66"/>
      <c r="L58" s="549" t="s">
        <v>4578</v>
      </c>
      <c r="M58" s="17" t="s">
        <v>4576</v>
      </c>
      <c r="N58" s="2672" cm="1" t="n">
        <f t="array" ref="N58">INDEX('5층_부하량'!C3:C3000,MATCH(1,("5-DaHall 1-PDU-02"='5층_부하량'!A3:A3000)*(56='5층_부하량'!B3:B3000),0))</f>
        <v>0.0</v>
      </c>
      <c r="O58" s="19"/>
      <c r="P58" s="19"/>
      <c r="Q58" s="19"/>
      <c r="R58" s="67" t="s">
        <v>4631</v>
      </c>
      <c r="S58" s="17" t="s">
        <v>4642</v>
      </c>
      <c r="T58" s="603" t="s">
        <v>5699</v>
      </c>
    </row>
    <row r="59" spans="1:20" ht="18" customHeight="1" x14ac:dyDescent="0.15">
      <c r="A59" s="321" t="s">
        <v>2826</v>
      </c>
      <c r="B59" s="17" t="s">
        <v>4631</v>
      </c>
      <c r="C59" s="2112" t="s">
        <v>3381</v>
      </c>
      <c r="D59" s="21"/>
      <c r="E59" s="2672" cm="1" t="n">
        <f t="array" ref="E59">INDEX('5층_부하량'!D3:D3000,MATCH(1,("5-DaHall 1-PDU-02"='5층_부하량'!A3:A3000)*(3='5층_부하량'!B3:B3000),0))</f>
        <v>0.0</v>
      </c>
      <c r="F59" s="21"/>
      <c r="G59" s="21"/>
      <c r="H59" s="17" t="s">
        <v>4576</v>
      </c>
      <c r="I59" s="549" t="s">
        <v>4638</v>
      </c>
      <c r="J59" s="65" t="s">
        <v>5661</v>
      </c>
      <c r="K59" s="638" t="s">
        <v>5662</v>
      </c>
      <c r="L59" s="549" t="s">
        <v>4583</v>
      </c>
      <c r="M59" s="17" t="s">
        <v>4576</v>
      </c>
      <c r="N59" s="21"/>
      <c r="O59" s="2672" cm="1" t="n">
        <f t="array" ref="O59">INDEX('5층_부하량'!D3:D3000,MATCH(1,("5-DaHall 1-PDU-02"='5층_부하량'!A3:A3000)*(57='5층_부하량'!B3:B3000),0))</f>
        <v>0.0</v>
      </c>
      <c r="P59" s="21"/>
      <c r="Q59" s="21"/>
      <c r="R59" s="69" t="s">
        <v>4631</v>
      </c>
      <c r="S59" s="597" t="s">
        <v>4575</v>
      </c>
      <c r="T59" s="603" t="s">
        <v>3649</v>
      </c>
    </row>
    <row r="60" spans="1:20" ht="18" customHeight="1" x14ac:dyDescent="0.15">
      <c r="A60" s="71" t="s">
        <v>2832</v>
      </c>
      <c r="B60" s="17" t="s">
        <v>4631</v>
      </c>
      <c r="C60" s="2112" t="s">
        <v>3381</v>
      </c>
      <c r="D60" s="21"/>
      <c r="E60" s="21"/>
      <c r="F60" s="2672" cm="1" t="n">
        <f t="array" ref="F60">INDEX('5층_부하량'!E3:E3000,MATCH(1,("5-DaHall 1-PDU-02"='5층_부하량'!A3:A3000)*(4='5층_부하량'!B3:B3000),0))</f>
        <v>0.0</v>
      </c>
      <c r="G60" s="21"/>
      <c r="H60" s="17" t="s">
        <v>4576</v>
      </c>
      <c r="I60" s="549" t="s">
        <v>4641</v>
      </c>
      <c r="J60" s="65" t="s">
        <v>5661</v>
      </c>
      <c r="K60" s="638" t="s">
        <v>5663</v>
      </c>
      <c r="L60" s="549" t="s">
        <v>4588</v>
      </c>
      <c r="M60" s="17" t="s">
        <v>4576</v>
      </c>
      <c r="N60" s="21"/>
      <c r="O60" s="21"/>
      <c r="P60" s="2672" cm="1" t="n">
        <f t="array" ref="P60">INDEX('5층_부하량'!E3:E3000,MATCH(1,("5-DaHall 1-PDU-02"='5층_부하량'!A3:A3000)*(58='5층_부하량'!B3:B3000),0))</f>
        <v>1.24</v>
      </c>
      <c r="Q60" s="21"/>
      <c r="R60" s="69" t="s">
        <v>4631</v>
      </c>
      <c r="S60" s="597" t="s">
        <v>4575</v>
      </c>
      <c r="T60" s="603" t="s">
        <v>3656</v>
      </c>
    </row>
    <row r="61" spans="1:20" ht="18" customHeight="1" x14ac:dyDescent="0.15">
      <c r="A61" s="321" t="s">
        <v>2841</v>
      </c>
      <c r="B61" s="17" t="s">
        <v>4631</v>
      </c>
      <c r="C61" s="2112" t="s">
        <v>3381</v>
      </c>
      <c r="D61" s="2672" cm="1" t="n">
        <f t="array" ref="D61">INDEX('5층_부하량'!C3:C3000,MATCH(1,("5-DaHall 1-PDU-02"='5층_부하량'!A3:A3000)*(5='5층_부하량'!B3:B3000),0))</f>
        <v>0.0</v>
      </c>
      <c r="E61" s="19"/>
      <c r="F61" s="19"/>
      <c r="G61" s="21"/>
      <c r="H61" s="17" t="s">
        <v>4576</v>
      </c>
      <c r="I61" s="549" t="s">
        <v>4645</v>
      </c>
      <c r="J61" s="65" t="s">
        <v>5661</v>
      </c>
      <c r="K61" s="66"/>
      <c r="L61" s="549" t="s">
        <v>4593</v>
      </c>
      <c r="M61" s="17" t="s">
        <v>4597</v>
      </c>
      <c r="N61" s="2672" cm="1" t="n">
        <f t="array" ref="N61">INDEX('5층_부하량'!C3:C3000,MATCH(1,("5-DaHall 1-PDU-02"='5층_부하량'!A3:A3000)*(59='5층_부하량'!B3:B3000),0))</f>
        <v>0.0</v>
      </c>
      <c r="O61" s="19"/>
      <c r="P61" s="19"/>
      <c r="Q61" s="21"/>
      <c r="R61" s="69" t="s">
        <v>4631</v>
      </c>
      <c r="S61" s="17" t="s">
        <v>4642</v>
      </c>
      <c r="T61" s="603" t="s">
        <v>5700</v>
      </c>
    </row>
    <row r="62" spans="1:20" ht="18" customHeight="1" x14ac:dyDescent="0.15">
      <c r="A62" s="2110" t="s">
        <v>5701</v>
      </c>
      <c r="B62" s="17" t="s">
        <v>4631</v>
      </c>
      <c r="C62" s="18" t="s">
        <v>4575</v>
      </c>
      <c r="D62" s="21"/>
      <c r="E62" s="2672" cm="1" t="n">
        <f t="array" ref="E62">INDEX('5층_부하량'!D3:D3000,MATCH(1,("5-DaHall 1-PDU-02"='5층_부하량'!A3:A3000)*(6='5층_부하량'!B3:B3000),0))</f>
        <v>7.6899999999999995</v>
      </c>
      <c r="F62" s="21"/>
      <c r="G62" s="21"/>
      <c r="H62" s="17" t="s">
        <v>4576</v>
      </c>
      <c r="I62" s="549" t="s">
        <v>4648</v>
      </c>
      <c r="J62" s="590" t="s">
        <v>5666</v>
      </c>
      <c r="K62" s="640" t="s">
        <v>5702</v>
      </c>
      <c r="L62" s="549" t="s">
        <v>4596</v>
      </c>
      <c r="M62" s="17" t="s">
        <v>4597</v>
      </c>
      <c r="N62" s="21"/>
      <c r="O62" s="2672" cm="1" t="n">
        <f t="array" ref="O62">INDEX('5층_부하량'!D3:D3000,MATCH(1,("5-DaHall 1-PDU-02"='5층_부하량'!A3:A3000)*(60='5층_부하량'!B3:B3000),0))</f>
        <v>0.0</v>
      </c>
      <c r="P62" s="21"/>
      <c r="Q62" s="21"/>
      <c r="R62" s="69" t="s">
        <v>4631</v>
      </c>
      <c r="S62" s="597" t="s">
        <v>4575</v>
      </c>
      <c r="T62" s="603" t="s">
        <v>3664</v>
      </c>
    </row>
    <row r="63" spans="1:20" ht="18" customHeight="1" x14ac:dyDescent="0.15">
      <c r="A63" s="2111" t="s">
        <v>5703</v>
      </c>
      <c r="B63" s="17" t="s">
        <v>4631</v>
      </c>
      <c r="C63" s="18" t="s">
        <v>4575</v>
      </c>
      <c r="D63" s="21"/>
      <c r="E63" s="21"/>
      <c r="F63" s="2672" cm="1" t="n">
        <f t="array" ref="F63">INDEX('5층_부하량'!E3:E3000,MATCH(1,("5-DaHall 1-PDU-02"='5층_부하량'!A3:A3000)*(7='5층_부하량'!B3:B3000),0))</f>
        <v>9.17</v>
      </c>
      <c r="G63" s="21"/>
      <c r="H63" s="17" t="s">
        <v>4597</v>
      </c>
      <c r="I63" s="549" t="s">
        <v>4653</v>
      </c>
      <c r="J63" s="590" t="s">
        <v>5666</v>
      </c>
      <c r="K63" s="594"/>
      <c r="L63" s="549" t="s">
        <v>4599</v>
      </c>
      <c r="M63" s="17" t="s">
        <v>4597</v>
      </c>
      <c r="N63" s="21"/>
      <c r="O63" s="21"/>
      <c r="P63" s="2672" cm="1" t="n">
        <f t="array" ref="P63">INDEX('5층_부하량'!E3:E3000,MATCH(1,("5-DaHall 1-PDU-02"='5층_부하량'!A3:A3000)*(61='5층_부하량'!B3:B3000),0))</f>
        <v>0.0</v>
      </c>
      <c r="Q63" s="21"/>
      <c r="R63" s="69" t="s">
        <v>4631</v>
      </c>
      <c r="S63" s="17" t="s">
        <v>4642</v>
      </c>
      <c r="T63" s="604" t="s">
        <v>5704</v>
      </c>
    </row>
    <row r="64" spans="1:20" ht="18" customHeight="1" x14ac:dyDescent="0.15">
      <c r="A64" s="2110" t="s">
        <v>5705</v>
      </c>
      <c r="B64" s="17" t="s">
        <v>4631</v>
      </c>
      <c r="C64" s="18" t="s">
        <v>4575</v>
      </c>
      <c r="D64" s="2672" cm="1" t="n">
        <f t="array" ref="D64">INDEX('5층_부하량'!C3:C3000,MATCH(1,("5-DaHall 1-PDU-02"='5층_부하량'!A3:A3000)*(8='5층_부하량'!B3:B3000),0))</f>
        <v>8.23</v>
      </c>
      <c r="E64" s="19"/>
      <c r="F64" s="19"/>
      <c r="G64" s="21"/>
      <c r="H64" s="17" t="s">
        <v>4597</v>
      </c>
      <c r="I64" s="549" t="s">
        <v>4657</v>
      </c>
      <c r="J64" s="590" t="s">
        <v>5666</v>
      </c>
      <c r="K64" s="594"/>
      <c r="L64" s="549" t="s">
        <v>4601</v>
      </c>
      <c r="M64" s="17" t="s">
        <v>4597</v>
      </c>
      <c r="N64" s="2672" cm="1" t="n">
        <f t="array" ref="N64">INDEX('5층_부하량'!C3:C3000,MATCH(1,("5-DaHall 1-PDU-02"='5층_부하량'!A3:A3000)*(62='5층_부하량'!B3:B3000),0))</f>
        <v>0.0</v>
      </c>
      <c r="O64" s="19"/>
      <c r="P64" s="19"/>
      <c r="Q64" s="21"/>
      <c r="R64" s="69" t="s">
        <v>4631</v>
      </c>
      <c r="S64" s="597" t="s">
        <v>4575</v>
      </c>
      <c r="T64" s="604" t="s">
        <v>3737</v>
      </c>
    </row>
    <row r="65" spans="1:20" ht="18" customHeight="1" x14ac:dyDescent="0.15">
      <c r="A65" s="2111" t="s">
        <v>5706</v>
      </c>
      <c r="B65" s="17" t="s">
        <v>4631</v>
      </c>
      <c r="C65" s="18" t="s">
        <v>4575</v>
      </c>
      <c r="D65" s="21"/>
      <c r="E65" s="2672" cm="1" t="n">
        <f t="array" ref="E65">INDEX('5층_부하량'!D3:D3000,MATCH(1,("5-DaHall 1-PDU-02"='5층_부하량'!A3:A3000)*(9='5층_부하량'!B3:B3000),0))</f>
        <v>0.0</v>
      </c>
      <c r="F65" s="21"/>
      <c r="G65" s="21"/>
      <c r="H65" s="17" t="s">
        <v>4597</v>
      </c>
      <c r="I65" s="549" t="s">
        <v>4661</v>
      </c>
      <c r="J65" s="590" t="s">
        <v>5666</v>
      </c>
      <c r="K65" s="594"/>
      <c r="L65" s="549" t="s">
        <v>4603</v>
      </c>
      <c r="M65" s="17" t="s">
        <v>4597</v>
      </c>
      <c r="N65" s="21"/>
      <c r="O65" s="2672" cm="1" t="n">
        <f t="array" ref="O65">INDEX('5층_부하량'!D3:D3000,MATCH(1,("5-DaHall 1-PDU-02"='5층_부하량'!A3:A3000)*(63='5층_부하량'!B3:B3000),0))</f>
        <v>0.0</v>
      </c>
      <c r="P65" s="21"/>
      <c r="Q65" s="21"/>
      <c r="R65" s="69" t="s">
        <v>4631</v>
      </c>
      <c r="S65" s="597" t="s">
        <v>4575</v>
      </c>
      <c r="T65" s="604" t="s">
        <v>3742</v>
      </c>
    </row>
    <row r="66" spans="1:20" ht="18" customHeight="1" x14ac:dyDescent="0.15">
      <c r="A66" s="2111" t="s">
        <v>5707</v>
      </c>
      <c r="B66" s="17" t="s">
        <v>4631</v>
      </c>
      <c r="C66" s="18" t="s">
        <v>4575</v>
      </c>
      <c r="D66" s="21"/>
      <c r="E66" s="21"/>
      <c r="F66" s="2672" cm="1" t="n">
        <f t="array" ref="F66">INDEX('5층_부하량'!E3:E3000,MATCH(1,("5-DaHall 1-PDU-02"='5층_부하량'!A3:A3000)*(10='5층_부하량'!B3:B3000),0))</f>
        <v>0.0</v>
      </c>
      <c r="G66" s="21"/>
      <c r="H66" s="17" t="s">
        <v>4597</v>
      </c>
      <c r="I66" s="549" t="s">
        <v>4665</v>
      </c>
      <c r="J66" s="590" t="s">
        <v>5666</v>
      </c>
      <c r="K66" s="594"/>
      <c r="L66" s="549" t="s">
        <v>4605</v>
      </c>
      <c r="M66" s="17" t="s">
        <v>4597</v>
      </c>
      <c r="N66" s="21"/>
      <c r="O66" s="21"/>
      <c r="P66" s="2672" cm="1" t="n">
        <f t="array" ref="P66">INDEX('5층_부하량'!E3:E3000,MATCH(1,("5-DaHall 1-PDU-02"='5층_부하량'!A3:A3000)*(64='5층_부하량'!B3:B3000),0))</f>
        <v>0.0</v>
      </c>
      <c r="Q66" s="21"/>
      <c r="R66" s="69" t="s">
        <v>4631</v>
      </c>
      <c r="S66" s="597" t="s">
        <v>4575</v>
      </c>
      <c r="T66" s="604" t="s">
        <v>3747</v>
      </c>
    </row>
    <row r="67" spans="1:20" ht="18" customHeight="1" x14ac:dyDescent="0.15">
      <c r="A67" s="321" t="s">
        <v>3617</v>
      </c>
      <c r="B67" s="17" t="s">
        <v>4631</v>
      </c>
      <c r="C67" s="18" t="s">
        <v>4575</v>
      </c>
      <c r="D67" s="2672" cm="1" t="n">
        <f t="array" ref="D67">INDEX('5층_부하량'!C3:C3000,MATCH(1,("5-DaHall 1-PDU-02"='5층_부하량'!A3:A3000)*(11='5층_부하량'!B3:B3000),0))</f>
        <v>0.0</v>
      </c>
      <c r="E67" s="21"/>
      <c r="F67" s="21"/>
      <c r="G67" s="21"/>
      <c r="H67" s="17" t="s">
        <v>4597</v>
      </c>
      <c r="I67" s="549" t="s">
        <v>4670</v>
      </c>
      <c r="J67" s="637" t="s">
        <v>5674</v>
      </c>
      <c r="K67" s="594"/>
      <c r="L67" s="549" t="s">
        <v>4609</v>
      </c>
      <c r="M67" s="17" t="s">
        <v>4597</v>
      </c>
      <c r="N67" s="2672" cm="1" t="n">
        <f t="array" ref="N67">INDEX('5층_부하량'!C3:C3000,MATCH(1,("5-DaHall 1-PDU-02"='5층_부하량'!A3:A3000)*(65='5층_부하량'!B3:B3000),0))</f>
        <v>0.0</v>
      </c>
      <c r="O67" s="21"/>
      <c r="P67" s="21"/>
      <c r="Q67" s="21"/>
      <c r="R67" s="69" t="s">
        <v>4631</v>
      </c>
      <c r="S67" s="597" t="s">
        <v>4575</v>
      </c>
      <c r="T67" s="604" t="s">
        <v>3752</v>
      </c>
    </row>
    <row r="68" spans="1:20" ht="18" customHeight="1" x14ac:dyDescent="0.15">
      <c r="A68" s="321" t="s">
        <v>3623</v>
      </c>
      <c r="B68" s="17" t="s">
        <v>4631</v>
      </c>
      <c r="C68" s="18" t="s">
        <v>4575</v>
      </c>
      <c r="D68" s="21"/>
      <c r="E68" s="2672" cm="1" t="n">
        <f t="array" ref="E68">INDEX('5층_부하량'!D3:D3000,MATCH(1,("5-DaHall 1-PDU-02"='5층_부하량'!A3:A3000)*(12='5층_부하량'!B3:B3000),0))</f>
        <v>1.53</v>
      </c>
      <c r="F68" s="21"/>
      <c r="G68" s="21"/>
      <c r="H68" s="17" t="s">
        <v>4597</v>
      </c>
      <c r="I68" s="549" t="s">
        <v>4674</v>
      </c>
      <c r="J68" s="637" t="s">
        <v>5675</v>
      </c>
      <c r="K68" s="594"/>
      <c r="L68" s="549" t="s">
        <v>4613</v>
      </c>
      <c r="M68" s="17" t="s">
        <v>4597</v>
      </c>
      <c r="N68" s="21"/>
      <c r="O68" s="2672" cm="1" t="n">
        <f t="array" ref="O68">INDEX('5층_부하량'!D3:D3000,MATCH(1,("5-DaHall 1-PDU-02"='5층_부하량'!A3:A3000)*(66='5층_부하량'!B3:B3000),0))</f>
        <v>0.0</v>
      </c>
      <c r="P68" s="21"/>
      <c r="Q68" s="21"/>
      <c r="R68" s="69" t="s">
        <v>4631</v>
      </c>
      <c r="S68" s="597" t="s">
        <v>4575</v>
      </c>
      <c r="T68" s="604" t="s">
        <v>3757</v>
      </c>
    </row>
    <row r="69" spans="1:20" ht="18" customHeight="1" x14ac:dyDescent="0.15">
      <c r="A69" s="321" t="s">
        <v>3629</v>
      </c>
      <c r="B69" s="17" t="s">
        <v>4631</v>
      </c>
      <c r="C69" s="18" t="s">
        <v>4575</v>
      </c>
      <c r="D69" s="21"/>
      <c r="E69" s="21"/>
      <c r="F69" s="2672" cm="1" t="n">
        <f t="array" ref="F69">INDEX('5층_부하량'!E3:E3000,MATCH(1,("5-DaHall 1-PDU-02"='5층_부하량'!A3:A3000)*(13='5층_부하량'!B3:B3000),0))</f>
        <v>1.26</v>
      </c>
      <c r="G69" s="21"/>
      <c r="H69" s="17" t="s">
        <v>4597</v>
      </c>
      <c r="I69" s="549" t="s">
        <v>4678</v>
      </c>
      <c r="J69" s="637" t="s">
        <v>5676</v>
      </c>
      <c r="K69" s="594"/>
      <c r="L69" s="549" t="s">
        <v>4680</v>
      </c>
      <c r="M69" s="17" t="s">
        <v>4597</v>
      </c>
      <c r="N69" s="21"/>
      <c r="O69" s="21"/>
      <c r="P69" s="2672" cm="1" t="n">
        <f t="array" ref="P69">INDEX('5층_부하량'!E3:E3000,MATCH(1,("5-DaHall 1-PDU-02"='5층_부하량'!A3:A3000)*(67='5층_부하량'!B3:B3000),0))</f>
        <v>0.0</v>
      </c>
      <c r="Q69" s="21"/>
      <c r="R69" s="69" t="s">
        <v>4631</v>
      </c>
      <c r="S69" s="597" t="s">
        <v>4575</v>
      </c>
      <c r="T69" s="604" t="s">
        <v>5708</v>
      </c>
    </row>
    <row r="70" spans="1:20" ht="18" customHeight="1" x14ac:dyDescent="0.15">
      <c r="A70" s="321" t="s">
        <v>3635</v>
      </c>
      <c r="B70" s="17" t="s">
        <v>4631</v>
      </c>
      <c r="C70" s="18" t="s">
        <v>4575</v>
      </c>
      <c r="D70" s="2672" cm="1" t="n">
        <f t="array" ref="D70">INDEX('5층_부하량'!C3:C3000,MATCH(1,("5-DaHall 1-PDU-02"='5층_부하량'!A3:A3000)*(14='5층_부하량'!B3:B3000),0))</f>
        <v>0.0</v>
      </c>
      <c r="E70" s="19"/>
      <c r="F70" s="19"/>
      <c r="G70" s="21"/>
      <c r="H70" s="17" t="s">
        <v>4597</v>
      </c>
      <c r="I70" s="549" t="s">
        <v>4683</v>
      </c>
      <c r="J70" s="637" t="s">
        <v>5678</v>
      </c>
      <c r="K70" s="594"/>
      <c r="L70" s="549" t="s">
        <v>4685</v>
      </c>
      <c r="M70" s="17" t="s">
        <v>4597</v>
      </c>
      <c r="N70" s="2672" cm="1" t="n">
        <f t="array" ref="N70">INDEX('5층_부하량'!C3:C3000,MATCH(1,("5-DaHall 1-PDU-02"='5층_부하량'!A3:A3000)*(68='5층_부하량'!B3:B3000),0))</f>
        <v>0.0</v>
      </c>
      <c r="O70" s="19"/>
      <c r="P70" s="19"/>
      <c r="Q70" s="21"/>
      <c r="R70" s="69" t="s">
        <v>4631</v>
      </c>
      <c r="S70" s="597" t="s">
        <v>4575</v>
      </c>
      <c r="T70" s="604" t="s">
        <v>3767</v>
      </c>
    </row>
    <row r="71" spans="1:20" ht="18" customHeight="1" x14ac:dyDescent="0.15">
      <c r="A71" s="321" t="s">
        <v>3820</v>
      </c>
      <c r="B71" s="72" t="s">
        <v>4631</v>
      </c>
      <c r="C71" s="17" t="s">
        <v>4642</v>
      </c>
      <c r="D71" s="21"/>
      <c r="E71" s="2672" cm="1" t="n">
        <f t="array" ref="E71">INDEX('5층_부하량'!D3:D3000,MATCH(1,("5-DaHall 1-PDU-02"='5층_부하량'!A3:A3000)*(15='5층_부하량'!B3:B3000),0))</f>
        <v>0.0</v>
      </c>
      <c r="F71" s="21"/>
      <c r="G71" s="74"/>
      <c r="H71" s="72" t="s">
        <v>4597</v>
      </c>
      <c r="I71" s="550" t="s">
        <v>4688</v>
      </c>
      <c r="J71" s="65"/>
      <c r="K71" s="594"/>
      <c r="L71" s="550" t="s">
        <v>4689</v>
      </c>
      <c r="M71" s="72" t="s">
        <v>4597</v>
      </c>
      <c r="N71" s="21"/>
      <c r="O71" s="2672" cm="1" t="n">
        <f t="array" ref="O71">INDEX('5층_부하량'!D3:D3000,MATCH(1,("5-DaHall 1-PDU-02"='5층_부하량'!A3:A3000)*(69='5층_부하량'!B3:B3000),0))</f>
        <v>0.0</v>
      </c>
      <c r="P71" s="21"/>
      <c r="Q71" s="74"/>
      <c r="R71" s="75" t="s">
        <v>4631</v>
      </c>
      <c r="S71" s="597" t="s">
        <v>4575</v>
      </c>
      <c r="T71" s="605" t="s">
        <v>3772</v>
      </c>
    </row>
    <row r="72" spans="1:20" ht="18" customHeight="1" x14ac:dyDescent="0.15">
      <c r="A72" s="321" t="s">
        <v>3824</v>
      </c>
      <c r="B72" s="17" t="s">
        <v>4631</v>
      </c>
      <c r="C72" s="17" t="s">
        <v>4642</v>
      </c>
      <c r="D72" s="21"/>
      <c r="E72" s="21"/>
      <c r="F72" s="2672" cm="1" t="n">
        <f t="array" ref="F72">INDEX('5층_부하량'!E3:E3000,MATCH(1,("5-DaHall 1-PDU-02"='5층_부하량'!A3:A3000)*(16='5층_부하량'!B3:B3000),0))</f>
        <v>0.0</v>
      </c>
      <c r="G72" s="21"/>
      <c r="H72" s="17" t="s">
        <v>4597</v>
      </c>
      <c r="I72" s="549" t="s">
        <v>4691</v>
      </c>
      <c r="J72" s="65"/>
      <c r="K72" s="66"/>
      <c r="L72" s="549" t="s">
        <v>4692</v>
      </c>
      <c r="M72" s="17" t="s">
        <v>4597</v>
      </c>
      <c r="N72" s="21"/>
      <c r="O72" s="21"/>
      <c r="P72" s="2672" cm="1" t="n">
        <f t="array" ref="P72">INDEX('5층_부하량'!E3:E3000,MATCH(1,("5-DaHall 1-PDU-02"='5층_부하량'!A3:A3000)*(70='5층_부하량'!B3:B3000),0))</f>
        <v>0.0</v>
      </c>
      <c r="Q72" s="21"/>
      <c r="R72" s="69" t="s">
        <v>4631</v>
      </c>
      <c r="S72" s="597" t="s">
        <v>4575</v>
      </c>
      <c r="T72" s="606" t="s">
        <v>5709</v>
      </c>
    </row>
    <row r="73" spans="1:20" ht="18" customHeight="1" x14ac:dyDescent="0.15">
      <c r="A73" s="2111" t="s">
        <v>5680</v>
      </c>
      <c r="B73" s="17" t="s">
        <v>4631</v>
      </c>
      <c r="C73" s="18" t="s">
        <v>4575</v>
      </c>
      <c r="D73" s="2672" cm="1" t="n">
        <f t="array" ref="D73">INDEX('5층_부하량'!C3:C3000,MATCH(1,("5-DaHall 1-PDU-02"='5층_부하량'!A3:A3000)*(17='5층_부하량'!B3:B3000),0))</f>
        <v>9.82</v>
      </c>
      <c r="E73" s="19"/>
      <c r="F73" s="19"/>
      <c r="G73" s="21"/>
      <c r="H73" s="17" t="s">
        <v>4597</v>
      </c>
      <c r="I73" s="549" t="s">
        <v>4693</v>
      </c>
      <c r="J73" s="590" t="s">
        <v>5666</v>
      </c>
      <c r="K73" s="66"/>
      <c r="L73" s="549" t="s">
        <v>4694</v>
      </c>
      <c r="M73" s="17" t="s">
        <v>4597</v>
      </c>
      <c r="N73" s="2672" cm="1" t="n">
        <f t="array" ref="N73">INDEX('5층_부하량'!C3:C3000,MATCH(1,("5-DaHall 1-PDU-02"='5층_부하량'!A3:A3000)*(71='5층_부하량'!B3:B3000),0))</f>
        <v>0.0</v>
      </c>
      <c r="O73" s="19"/>
      <c r="P73" s="19"/>
      <c r="Q73" s="21"/>
      <c r="R73" s="69" t="s">
        <v>4631</v>
      </c>
      <c r="S73" s="597" t="s">
        <v>4575</v>
      </c>
      <c r="T73" s="606" t="s">
        <v>5710</v>
      </c>
    </row>
    <row r="74" spans="1:20" ht="18" customHeight="1" x14ac:dyDescent="0.15">
      <c r="A74" s="2111" t="s">
        <v>5711</v>
      </c>
      <c r="B74" s="17" t="s">
        <v>4631</v>
      </c>
      <c r="C74" s="18" t="s">
        <v>4575</v>
      </c>
      <c r="D74" s="21"/>
      <c r="E74" s="2672" cm="1" t="n">
        <f t="array" ref="E74">INDEX('5층_부하량'!D3:D3000,MATCH(1,("5-DaHall 1-PDU-02"='5층_부하량'!A3:A3000)*(18='5층_부하량'!B3:B3000),0))</f>
        <v>8.12</v>
      </c>
      <c r="F74" s="21"/>
      <c r="G74" s="21"/>
      <c r="H74" s="17" t="s">
        <v>4597</v>
      </c>
      <c r="I74" s="549" t="s">
        <v>4697</v>
      </c>
      <c r="J74" s="590" t="s">
        <v>5666</v>
      </c>
      <c r="K74" s="66"/>
      <c r="L74" s="549" t="s">
        <v>4698</v>
      </c>
      <c r="M74" s="17" t="s">
        <v>4597</v>
      </c>
      <c r="N74" s="21"/>
      <c r="O74" s="2672" cm="1" t="n">
        <f t="array" ref="O74">INDEX('5층_부하량'!D3:D3000,MATCH(1,("5-DaHall 1-PDU-02"='5층_부하량'!A3:A3000)*(72='5층_부하량'!B3:B3000),0))</f>
        <v>0.0</v>
      </c>
      <c r="P74" s="21"/>
      <c r="Q74" s="21"/>
      <c r="R74" s="69" t="s">
        <v>4631</v>
      </c>
      <c r="S74" s="597" t="s">
        <v>4575</v>
      </c>
      <c r="T74" s="606" t="s">
        <v>5712</v>
      </c>
    </row>
    <row r="75" spans="1:20" ht="18" customHeight="1" x14ac:dyDescent="0.15">
      <c r="A75" s="2111" t="s">
        <v>5713</v>
      </c>
      <c r="B75" s="17" t="s">
        <v>4631</v>
      </c>
      <c r="C75" s="18" t="s">
        <v>4575</v>
      </c>
      <c r="D75" s="21"/>
      <c r="E75" s="19"/>
      <c r="F75" s="2670" cm="1" t="n">
        <f t="array" ref="F75">INDEX('5층_부하량'!E3:E3000,MATCH(1,("5-DaHall 1-PDU-02"='5층_부하량'!A3:A3000)*(19='5층_부하량'!B3:B3000),0))</f>
        <v>6.21</v>
      </c>
      <c r="G75" s="21"/>
      <c r="H75" s="17" t="s">
        <v>4597</v>
      </c>
      <c r="I75" s="549" t="s">
        <v>4701</v>
      </c>
      <c r="J75" s="590" t="s">
        <v>5666</v>
      </c>
      <c r="K75" s="66"/>
      <c r="L75" s="549" t="s">
        <v>4703</v>
      </c>
      <c r="M75" s="17" t="s">
        <v>4597</v>
      </c>
      <c r="N75" s="21"/>
      <c r="O75" s="19"/>
      <c r="P75" s="2670" cm="1" t="n">
        <f t="array" ref="P75">INDEX('5층_부하량'!E3:E3000,MATCH(1,("5-DaHall 1-PDU-02"='5층_부하량'!A3:A3000)*(73='5층_부하량'!B3:B3000),0))</f>
        <v>0.0</v>
      </c>
      <c r="Q75" s="21"/>
      <c r="R75" s="69" t="s">
        <v>4631</v>
      </c>
      <c r="S75" s="597" t="s">
        <v>4575</v>
      </c>
      <c r="T75" s="606" t="s">
        <v>5714</v>
      </c>
    </row>
    <row r="76" spans="1:20" ht="18" customHeight="1" x14ac:dyDescent="0.15">
      <c r="A76" s="2111" t="s">
        <v>5715</v>
      </c>
      <c r="B76" s="17" t="s">
        <v>4631</v>
      </c>
      <c r="C76" s="18" t="s">
        <v>4575</v>
      </c>
      <c r="D76" s="2672" cm="1" t="n">
        <f t="array" ref="D76">INDEX('5층_부하량'!C3:C3000,MATCH(1,("5-DaHall 1-PDU-02"='5층_부하량'!A3:A3000)*(20='5층_부하량'!B3:B3000),0))</f>
        <v>6.9</v>
      </c>
      <c r="E76" s="19"/>
      <c r="F76" s="19"/>
      <c r="G76" s="21"/>
      <c r="H76" s="17" t="s">
        <v>4597</v>
      </c>
      <c r="I76" s="549" t="s">
        <v>4706</v>
      </c>
      <c r="J76" s="590" t="s">
        <v>5666</v>
      </c>
      <c r="K76" s="66"/>
      <c r="L76" s="549" t="s">
        <v>4707</v>
      </c>
      <c r="M76" s="17" t="s">
        <v>4597</v>
      </c>
      <c r="N76" s="2672" cm="1" t="n">
        <f t="array" ref="N76">INDEX('5층_부하량'!C3:C3000,MATCH(1,("5-DaHall 1-PDU-02"='5층_부하량'!A3:A3000)*(74='5층_부하량'!B3:B3000),0))</f>
        <v>0.0</v>
      </c>
      <c r="O76" s="19"/>
      <c r="P76" s="19"/>
      <c r="Q76" s="21"/>
      <c r="R76" s="69" t="s">
        <v>4631</v>
      </c>
      <c r="S76" s="597" t="s">
        <v>4575</v>
      </c>
      <c r="T76" s="606" t="s">
        <v>5716</v>
      </c>
    </row>
    <row r="77" spans="1:20" ht="18" customHeight="1" x14ac:dyDescent="0.15">
      <c r="A77" s="2111" t="s">
        <v>5717</v>
      </c>
      <c r="B77" s="17" t="s">
        <v>4631</v>
      </c>
      <c r="C77" s="18" t="s">
        <v>4575</v>
      </c>
      <c r="D77" s="21"/>
      <c r="E77" s="2672" cm="1" t="n">
        <f t="array" ref="E77">INDEX('5층_부하량'!D3:D3000,MATCH(1,("5-DaHall 1-PDU-02"='5층_부하량'!A3:A3000)*(21='5층_부하량'!B3:B3000),0))</f>
        <v>7.23</v>
      </c>
      <c r="F77" s="19"/>
      <c r="G77" s="21"/>
      <c r="H77" s="17" t="s">
        <v>4597</v>
      </c>
      <c r="I77" s="549" t="s">
        <v>4710</v>
      </c>
      <c r="J77" s="590" t="s">
        <v>5666</v>
      </c>
      <c r="K77" s="66"/>
      <c r="L77" s="549" t="s">
        <v>4711</v>
      </c>
      <c r="M77" s="17" t="s">
        <v>4597</v>
      </c>
      <c r="N77" s="21"/>
      <c r="O77" s="2672" cm="1" t="n">
        <f t="array" ref="O77">INDEX('5층_부하량'!D3:D3000,MATCH(1,("5-DaHall 1-PDU-02"='5층_부하량'!A3:A3000)*(75='5층_부하량'!B3:B3000),0))</f>
        <v>0.0</v>
      </c>
      <c r="P77" s="19"/>
      <c r="Q77" s="21"/>
      <c r="R77" s="69" t="s">
        <v>4631</v>
      </c>
      <c r="S77" s="17" t="s">
        <v>4642</v>
      </c>
      <c r="T77" s="606" t="s">
        <v>5718</v>
      </c>
    </row>
    <row r="78" spans="1:20" ht="18" customHeight="1" x14ac:dyDescent="0.15">
      <c r="A78" s="321" t="s">
        <v>3596</v>
      </c>
      <c r="B78" s="17" t="s">
        <v>4631</v>
      </c>
      <c r="C78" s="2112" t="s">
        <v>3381</v>
      </c>
      <c r="D78" s="21"/>
      <c r="E78" s="19"/>
      <c r="F78" s="2672" cm="1" t="n">
        <f t="array" ref="F78">INDEX('5층_부하량'!E3:E3000,MATCH(1,("5-DaHall 1-PDU-02"='5층_부하량'!A3:A3000)*(22='5층_부하량'!B3:B3000),0))</f>
        <v>0.0</v>
      </c>
      <c r="G78" s="21"/>
      <c r="H78" s="17" t="s">
        <v>4597</v>
      </c>
      <c r="I78" s="549" t="s">
        <v>5055</v>
      </c>
      <c r="J78" s="65" t="s">
        <v>5661</v>
      </c>
      <c r="K78" s="594" t="s">
        <v>4637</v>
      </c>
      <c r="L78" s="549" t="s">
        <v>4843</v>
      </c>
      <c r="M78" s="17" t="s">
        <v>4597</v>
      </c>
      <c r="N78" s="21"/>
      <c r="O78" s="19"/>
      <c r="P78" s="2672" cm="1" t="n">
        <f t="array" ref="P78">INDEX('5층_부하량'!E3:E3000,MATCH(1,("5-DaHall 1-PDU-02"='5층_부하량'!A3:A3000)*(76='5층_부하량'!B3:B3000),0))</f>
        <v>0.0</v>
      </c>
      <c r="Q78" s="21"/>
      <c r="R78" s="69" t="s">
        <v>4631</v>
      </c>
      <c r="S78" s="17" t="s">
        <v>4642</v>
      </c>
      <c r="T78" s="604" t="s">
        <v>5719</v>
      </c>
    </row>
    <row r="79" spans="1:20" ht="18" customHeight="1" x14ac:dyDescent="0.15">
      <c r="A79" s="321" t="s">
        <v>3601</v>
      </c>
      <c r="B79" s="17" t="s">
        <v>4631</v>
      </c>
      <c r="C79" s="2112" t="s">
        <v>3381</v>
      </c>
      <c r="D79" s="2672" cm="1" t="n">
        <f t="array" ref="D79">INDEX('5층_부하량'!C3:C3000,MATCH(1,("5-DaHall 1-PDU-02"='5층_부하량'!A3:A3000)*(23='5층_부하량'!B3:B3000),0))</f>
        <v>0.0</v>
      </c>
      <c r="E79" s="19"/>
      <c r="F79" s="19"/>
      <c r="G79" s="21"/>
      <c r="H79" s="17" t="s">
        <v>4597</v>
      </c>
      <c r="I79" s="549" t="s">
        <v>4845</v>
      </c>
      <c r="J79" s="65" t="s">
        <v>5661</v>
      </c>
      <c r="K79" s="594"/>
      <c r="L79" s="549" t="s">
        <v>4846</v>
      </c>
      <c r="M79" s="17" t="s">
        <v>4597</v>
      </c>
      <c r="N79" s="2672" cm="1" t="n">
        <f t="array" ref="N79">INDEX('5층_부하량'!C3:C3000,MATCH(1,("5-DaHall 1-PDU-02"='5층_부하량'!A3:A3000)*(77='5층_부하량'!B3:B3000),0))</f>
        <v>0.0</v>
      </c>
      <c r="O79" s="19"/>
      <c r="P79" s="19"/>
      <c r="Q79" s="21"/>
      <c r="R79" s="69" t="s">
        <v>4631</v>
      </c>
      <c r="S79" s="17" t="s">
        <v>4642</v>
      </c>
      <c r="T79" s="604" t="s">
        <v>3643</v>
      </c>
    </row>
    <row r="80" spans="1:20" ht="18" customHeight="1" x14ac:dyDescent="0.15">
      <c r="A80" s="321" t="s">
        <v>3606</v>
      </c>
      <c r="B80" s="17" t="s">
        <v>4631</v>
      </c>
      <c r="C80" s="2112" t="s">
        <v>3381</v>
      </c>
      <c r="D80" s="21"/>
      <c r="E80" s="2672" cm="1" t="n">
        <f t="array" ref="E80">INDEX('5층_부하량'!D3:D3000,MATCH(1,("5-DaHall 1-PDU-02"='5층_부하량'!A3:A3000)*(24='5층_부하량'!B3:B3000),0))</f>
        <v>0.0</v>
      </c>
      <c r="F80" s="21"/>
      <c r="G80" s="21"/>
      <c r="H80" s="17" t="s">
        <v>4597</v>
      </c>
      <c r="I80" s="549" t="s">
        <v>4847</v>
      </c>
      <c r="J80" s="65" t="s">
        <v>5661</v>
      </c>
      <c r="K80" s="595" t="s">
        <v>5690</v>
      </c>
      <c r="L80" s="549" t="s">
        <v>4848</v>
      </c>
      <c r="M80" s="17" t="s">
        <v>4597</v>
      </c>
      <c r="N80" s="21"/>
      <c r="O80" s="2672" cm="1" t="n">
        <f t="array" ref="O80">INDEX('5층_부하량'!D3:D3000,MATCH(1,("5-DaHall 1-PDU-02"='5층_부하량'!A3:A3000)*(78='5층_부하량'!B3:B3000),0))</f>
        <v>0.38</v>
      </c>
      <c r="P80" s="21"/>
      <c r="Q80" s="21"/>
      <c r="R80" s="69" t="s">
        <v>4631</v>
      </c>
      <c r="S80" s="597" t="s">
        <v>4575</v>
      </c>
      <c r="T80" s="604" t="s">
        <v>3178</v>
      </c>
    </row>
    <row r="81" spans="1:20" ht="18" customHeight="1" x14ac:dyDescent="0.15">
      <c r="A81" s="321" t="s">
        <v>3611</v>
      </c>
      <c r="B81" s="17" t="s">
        <v>4631</v>
      </c>
      <c r="C81" s="2112" t="s">
        <v>3381</v>
      </c>
      <c r="D81" s="21"/>
      <c r="E81" s="21"/>
      <c r="F81" s="2672" cm="1" t="n">
        <f t="array" ref="F81">INDEX('5층_부하량'!E3:E3000,MATCH(1,("5-DaHall 1-PDU-02"='5층_부하량'!A3:A3000)*(25='5층_부하량'!B3:B3000),0))</f>
        <v>0.0</v>
      </c>
      <c r="G81" s="21"/>
      <c r="H81" s="17" t="s">
        <v>4597</v>
      </c>
      <c r="I81" s="549" t="s">
        <v>4849</v>
      </c>
      <c r="J81" s="65" t="s">
        <v>5661</v>
      </c>
      <c r="K81" s="596" t="s">
        <v>5692</v>
      </c>
      <c r="L81" s="549" t="s">
        <v>4850</v>
      </c>
      <c r="M81" s="17" t="s">
        <v>4597</v>
      </c>
      <c r="N81" s="21"/>
      <c r="O81" s="21"/>
      <c r="P81" s="2672" cm="1" t="n">
        <f t="array" ref="P81">INDEX('5층_부하량'!E3:E3000,MATCH(1,("5-DaHall 1-PDU-02"='5층_부하량'!A3:A3000)*(79='5층_부하량'!B3:B3000),0))</f>
        <v>1.09</v>
      </c>
      <c r="Q81" s="21"/>
      <c r="R81" s="69" t="s">
        <v>4631</v>
      </c>
      <c r="S81" s="597" t="s">
        <v>4575</v>
      </c>
      <c r="T81" s="70" t="s">
        <v>5720</v>
      </c>
    </row>
    <row r="82" spans="1:20" ht="18" customHeight="1" thickBot="1" x14ac:dyDescent="0.2">
      <c r="A82" s="600" t="s">
        <v>5694</v>
      </c>
      <c r="B82" s="35" t="s">
        <v>4631</v>
      </c>
      <c r="C82" s="35" t="s">
        <v>4642</v>
      </c>
      <c r="D82" s="2671" cm="1" t="n">
        <f t="array" ref="D82">INDEX('5층_부하량'!C3:C3000,MATCH(1,("5-DaHall 1-PDU-02"='5층_부하량'!A3:A3000)*(26='5층_부하량'!B3:B3000),0))</f>
        <v>0.0</v>
      </c>
      <c r="E82" s="36"/>
      <c r="F82" s="36"/>
      <c r="G82" s="36"/>
      <c r="H82" s="35" t="s">
        <v>4597</v>
      </c>
      <c r="I82" s="551" t="s">
        <v>4851</v>
      </c>
      <c r="J82" s="76"/>
      <c r="K82" s="77" t="s">
        <v>5695</v>
      </c>
      <c r="L82" s="551" t="s">
        <v>4852</v>
      </c>
      <c r="M82" s="35" t="s">
        <v>4597</v>
      </c>
      <c r="N82" s="2671" cm="1" t="n">
        <f t="array" ref="N82">INDEX('5층_부하량'!C3:C3000,MATCH(1,("5-DaHall 1-PDU-02"='5층_부하량'!A3:A3000)*(80='5층_부하량'!B3:B3000),0))</f>
        <v>0.0</v>
      </c>
      <c r="O82" s="36"/>
      <c r="P82" s="36"/>
      <c r="Q82" s="36"/>
      <c r="R82" s="78" t="s">
        <v>4631</v>
      </c>
      <c r="S82" s="598" t="s">
        <v>4575</v>
      </c>
      <c r="T82" s="79" t="s">
        <v>5721</v>
      </c>
    </row>
    <row r="83" spans="1:20" ht="18" customHeight="1" thickTop="1" thickBot="1" x14ac:dyDescent="0.2">
      <c r="M83" s="80" t="s">
        <v>5645</v>
      </c>
      <c r="N83" s="33" t="n">
        <f>SUM(D57:D82,N57:N82)</f>
        <v>24.950000000000003</v>
      </c>
      <c r="O83" s="33" t="n">
        <f>SUM(E57:E82,O57:O82)</f>
        <v>25.609999999999996</v>
      </c>
      <c r="P83" s="33" t="n">
        <f>SUM(F57:F82,P57:P82)</f>
        <v>19.7</v>
      </c>
    </row>
    <row r="84" spans="1:20" ht="18" customHeight="1" thickTop="1" thickBot="1" x14ac:dyDescent="0.2">
      <c r="A84" s="2" t="s">
        <v>6947</v>
      </c>
      <c r="C84" s="3660" t="s">
        <v>5722</v>
      </c>
      <c r="D84" s="3660"/>
      <c r="E84" s="3660"/>
      <c r="F84" s="3660"/>
      <c r="G84" s="53"/>
      <c r="H84" s="124"/>
      <c r="I84" s="124"/>
      <c r="J84" s="3661" t="s">
        <v>5653</v>
      </c>
      <c r="K84" s="3667"/>
      <c r="L84" s="124"/>
      <c r="M84" s="124"/>
      <c r="N84" s="53"/>
      <c r="O84" s="53"/>
      <c r="P84" s="53"/>
      <c r="Q84" s="53"/>
      <c r="R84" s="53"/>
      <c r="S84" s="53"/>
    </row>
    <row r="85" spans="1:20" ht="18" customHeight="1" thickTop="1" thickBot="1" x14ac:dyDescent="0.2">
      <c r="A85" s="3"/>
      <c r="D85" s="54"/>
      <c r="E85" s="54"/>
      <c r="F85" s="54"/>
      <c r="G85" s="54"/>
      <c r="H85" s="4"/>
      <c r="I85" s="4"/>
      <c r="K85" s="56"/>
      <c r="L85" s="565"/>
      <c r="M85" s="1371" t="s">
        <v>4562</v>
      </c>
      <c r="N85" s="1368">
        <v>26.8</v>
      </c>
      <c r="O85" s="1369">
        <v>15.9</v>
      </c>
      <c r="P85" s="1370">
        <v>18</v>
      </c>
      <c r="Q85" s="508" t="s">
        <v>4563</v>
      </c>
      <c r="R85" s="133"/>
      <c r="S85" s="128"/>
      <c r="T85" s="528"/>
    </row>
    <row r="86" spans="1:20" ht="18" customHeight="1" thickTop="1" thickBot="1" x14ac:dyDescent="0.2">
      <c r="A86" s="5" t="s">
        <v>4564</v>
      </c>
      <c r="B86" s="6" t="s">
        <v>4565</v>
      </c>
      <c r="C86" s="7" t="s">
        <v>4566</v>
      </c>
      <c r="D86" s="6" t="s">
        <v>4567</v>
      </c>
      <c r="E86" s="6" t="s">
        <v>4568</v>
      </c>
      <c r="F86" s="6" t="s">
        <v>4569</v>
      </c>
      <c r="G86" s="6" t="s">
        <v>4570</v>
      </c>
      <c r="H86" s="8" t="s">
        <v>4571</v>
      </c>
      <c r="I86" s="547"/>
      <c r="J86" s="58" t="s">
        <v>4572</v>
      </c>
      <c r="K86" s="59" t="s">
        <v>4572</v>
      </c>
      <c r="L86" s="566"/>
      <c r="M86" s="8" t="s">
        <v>4571</v>
      </c>
      <c r="N86" s="6" t="s">
        <v>4567</v>
      </c>
      <c r="O86" s="6" t="s">
        <v>4568</v>
      </c>
      <c r="P86" s="6" t="s">
        <v>4569</v>
      </c>
      <c r="Q86" s="6" t="s">
        <v>4570</v>
      </c>
      <c r="R86" s="6" t="s">
        <v>4565</v>
      </c>
      <c r="S86" s="7" t="s">
        <v>4566</v>
      </c>
      <c r="T86" s="60" t="s">
        <v>4564</v>
      </c>
    </row>
    <row r="87" spans="1:20" ht="18" customHeight="1" thickTop="1" x14ac:dyDescent="0.15">
      <c r="A87" s="10"/>
      <c r="B87" s="11" t="s">
        <v>4590</v>
      </c>
      <c r="C87" s="13" t="s">
        <v>4723</v>
      </c>
      <c r="D87" s="2669" cm="1" t="n">
        <f t="array" ref="D87">INDEX('5층_부하량'!C3:C3000,MATCH(1,("5-DaHall 1-PDU-03"='5층_부하량'!A3:A3000)*(1='5층_부하량'!B3:B3000),0))</f>
        <v>0.0</v>
      </c>
      <c r="E87" s="2669" cm="1" t="n">
        <f t="array" ref="E87">INDEX('5층_부하량'!D3:D3000,MATCH(1,("5-DaHall 1-PDU-03"='5층_부하량'!A3:A3000)*(1='5층_부하량'!B3:B3000),0))</f>
        <v>0.0</v>
      </c>
      <c r="F87" s="2669" cm="1" t="n">
        <f t="array" ref="F87">INDEX('5층_부하량'!E3:E3000,MATCH(1,("5-DaHall 1-PDU-03"='5층_부하량'!A3:A3000)*(1='5층_부하량'!B3:B3000),0))</f>
        <v>0.0</v>
      </c>
      <c r="G87" s="15"/>
      <c r="H87" s="11" t="s">
        <v>5654</v>
      </c>
      <c r="I87" s="564" t="s">
        <v>5655</v>
      </c>
      <c r="J87" s="61"/>
      <c r="K87" s="62"/>
      <c r="L87" s="567" t="s">
        <v>5656</v>
      </c>
      <c r="M87" s="11" t="s">
        <v>5654</v>
      </c>
      <c r="N87" s="2669" cm="1" t="n">
        <f t="array" ref="N87">INDEX('5층_부하량'!C3:C3000,MATCH(1,("5-DaHall 1-PDU-03"='5층_부하량'!A3:A3000)*(55='5층_부하량'!B3:B3000),0))</f>
        <v>0.0</v>
      </c>
      <c r="O87" s="2669" cm="1" t="n">
        <f t="array" ref="O87">INDEX('5층_부하량'!D3:D3000,MATCH(1,("5-DaHall 1-PDU-03"='5층_부하량'!A3:A3000)*(55='5층_부하량'!B3:B3000),0))</f>
        <v>0.0</v>
      </c>
      <c r="P87" s="2669" cm="1" t="n">
        <f t="array" ref="P87">INDEX('5층_부하량'!E3:E3000,MATCH(1,("5-DaHall 1-PDU-03"='5층_부하량'!A3:A3000)*(55='5층_부하량'!B3:B3000),0))</f>
        <v>0.0</v>
      </c>
      <c r="Q87" s="15"/>
      <c r="R87" s="63" t="s">
        <v>4940</v>
      </c>
      <c r="S87" s="11" t="s">
        <v>4584</v>
      </c>
      <c r="T87" s="64"/>
    </row>
    <row r="88" spans="1:20" ht="18" customHeight="1" x14ac:dyDescent="0.15">
      <c r="A88" s="601" t="s">
        <v>5723</v>
      </c>
      <c r="B88" s="17" t="s">
        <v>4631</v>
      </c>
      <c r="C88" s="18" t="s">
        <v>4575</v>
      </c>
      <c r="D88" s="2672" cm="1" t="n">
        <f t="array" ref="D88">INDEX('5층_부하량'!C3:C3000,MATCH(1,("5-DaHall 1-PDU-03"='5층_부하량'!A3:A3000)*(2='5층_부하량'!B3:B3000),0))</f>
        <v>0.0</v>
      </c>
      <c r="E88" s="19"/>
      <c r="F88" s="19"/>
      <c r="G88" s="19"/>
      <c r="H88" s="17" t="s">
        <v>4576</v>
      </c>
      <c r="I88" s="549" t="s">
        <v>4633</v>
      </c>
      <c r="J88" s="592"/>
      <c r="K88" s="2249" t="s">
        <v>3187</v>
      </c>
      <c r="L88" s="549" t="s">
        <v>4578</v>
      </c>
      <c r="M88" s="17" t="s">
        <v>4576</v>
      </c>
      <c r="N88" s="2672" cm="1" t="n">
        <f t="array" ref="N88">INDEX('5층_부하량'!C3:C3000,MATCH(1,("5-DaHall 1-PDU-03"='5층_부하량'!A3:A3000)*(56='5층_부하량'!B3:B3000),0))</f>
        <v>0.0</v>
      </c>
      <c r="O88" s="19"/>
      <c r="P88" s="19"/>
      <c r="Q88" s="19"/>
      <c r="R88" s="17" t="s">
        <v>4579</v>
      </c>
      <c r="S88" s="17" t="s">
        <v>4723</v>
      </c>
      <c r="T88" s="606" t="s">
        <v>5724</v>
      </c>
    </row>
    <row r="89" spans="1:20" ht="18" customHeight="1" x14ac:dyDescent="0.15">
      <c r="A89" s="601" t="s">
        <v>5725</v>
      </c>
      <c r="B89" s="17" t="s">
        <v>4631</v>
      </c>
      <c r="C89" s="18" t="s">
        <v>4575</v>
      </c>
      <c r="D89" s="21"/>
      <c r="E89" s="2672" cm="1" t="n">
        <f t="array" ref="E89">INDEX('5층_부하량'!D3:D3000,MATCH(1,("5-DaHall 1-PDU-03"='5층_부하량'!A3:A3000)*(3='5층_부하량'!B3:B3000),0))</f>
        <v>0.0</v>
      </c>
      <c r="F89" s="21"/>
      <c r="G89" s="21"/>
      <c r="H89" s="17" t="s">
        <v>4576</v>
      </c>
      <c r="I89" s="549" t="s">
        <v>4638</v>
      </c>
      <c r="J89" s="592"/>
      <c r="K89" s="2249" t="s">
        <v>3187</v>
      </c>
      <c r="L89" s="549" t="s">
        <v>4583</v>
      </c>
      <c r="M89" s="17" t="s">
        <v>4576</v>
      </c>
      <c r="N89" s="21"/>
      <c r="O89" s="2672" cm="1" t="n">
        <f t="array" ref="O89">INDEX('5층_부하량'!D3:D3000,MATCH(1,("5-DaHall 1-PDU-03"='5층_부하량'!A3:A3000)*(57='5층_부하량'!B3:B3000),0))</f>
        <v>0.0</v>
      </c>
      <c r="P89" s="21"/>
      <c r="Q89" s="21"/>
      <c r="R89" s="17" t="s">
        <v>4579</v>
      </c>
      <c r="S89" s="17" t="s">
        <v>4723</v>
      </c>
      <c r="T89" s="606" t="s">
        <v>5726</v>
      </c>
    </row>
    <row r="90" spans="1:20" ht="18" customHeight="1" x14ac:dyDescent="0.15">
      <c r="A90" s="601" t="s">
        <v>5727</v>
      </c>
      <c r="B90" s="17" t="s">
        <v>4631</v>
      </c>
      <c r="C90" s="18" t="s">
        <v>4575</v>
      </c>
      <c r="D90" s="21"/>
      <c r="E90" s="21"/>
      <c r="F90" s="2672" cm="1" t="n">
        <f t="array" ref="F90">INDEX('5층_부하량'!E3:E3000,MATCH(1,("5-DaHall 1-PDU-03"='5층_부하량'!A3:A3000)*(4='5층_부하량'!B3:B3000),0))</f>
        <v>0.0</v>
      </c>
      <c r="G90" s="21"/>
      <c r="H90" s="17" t="s">
        <v>4576</v>
      </c>
      <c r="I90" s="549" t="s">
        <v>4641</v>
      </c>
      <c r="J90" s="592"/>
      <c r="K90" s="2249" t="s">
        <v>3187</v>
      </c>
      <c r="L90" s="549" t="s">
        <v>4588</v>
      </c>
      <c r="M90" s="17" t="s">
        <v>4576</v>
      </c>
      <c r="N90" s="21"/>
      <c r="O90" s="21"/>
      <c r="P90" s="2672" cm="1" t="n">
        <f t="array" ref="P90">INDEX('5층_부하량'!E3:E3000,MATCH(1,("5-DaHall 1-PDU-03"='5층_부하량'!A3:A3000)*(58='5층_부하량'!B3:B3000),0))</f>
        <v>0.53</v>
      </c>
      <c r="Q90" s="21"/>
      <c r="R90" s="17" t="s">
        <v>4579</v>
      </c>
      <c r="S90" s="18" t="s">
        <v>4575</v>
      </c>
      <c r="T90" s="606" t="s">
        <v>5728</v>
      </c>
    </row>
    <row r="91" spans="1:20" ht="18" customHeight="1" x14ac:dyDescent="0.15">
      <c r="A91" s="601" t="s">
        <v>5729</v>
      </c>
      <c r="B91" s="17" t="s">
        <v>4631</v>
      </c>
      <c r="C91" s="18" t="s">
        <v>4575</v>
      </c>
      <c r="D91" s="2672" cm="1" t="n">
        <f t="array" ref="D91">INDEX('5층_부하량'!C3:C3000,MATCH(1,("5-DaHall 1-PDU-03"='5층_부하량'!A3:A3000)*(5='5층_부하량'!B3:B3000),0))</f>
        <v>0.0</v>
      </c>
      <c r="E91" s="19"/>
      <c r="F91" s="19"/>
      <c r="G91" s="21"/>
      <c r="H91" s="17" t="s">
        <v>4576</v>
      </c>
      <c r="I91" s="549" t="s">
        <v>4645</v>
      </c>
      <c r="J91" s="592"/>
      <c r="K91" s="2249" t="s">
        <v>3187</v>
      </c>
      <c r="L91" s="549" t="s">
        <v>4593</v>
      </c>
      <c r="M91" s="17" t="s">
        <v>4597</v>
      </c>
      <c r="N91" s="2672" cm="1" t="n">
        <f t="array" ref="N91">INDEX('5층_부하량'!C3:C3000,MATCH(1,("5-DaHall 1-PDU-03"='5층_부하량'!A3:A3000)*(59='5층_부하량'!B3:B3000),0))</f>
        <v>1.26</v>
      </c>
      <c r="O91" s="19"/>
      <c r="P91" s="19"/>
      <c r="Q91" s="21"/>
      <c r="R91" s="17" t="s">
        <v>4579</v>
      </c>
      <c r="S91" s="18" t="s">
        <v>4575</v>
      </c>
      <c r="T91" s="606" t="s">
        <v>5730</v>
      </c>
    </row>
    <row r="92" spans="1:20" ht="18" customHeight="1" x14ac:dyDescent="0.15">
      <c r="A92" s="601" t="s">
        <v>5731</v>
      </c>
      <c r="B92" s="17" t="s">
        <v>4631</v>
      </c>
      <c r="C92" s="18" t="s">
        <v>4575</v>
      </c>
      <c r="D92" s="21"/>
      <c r="E92" s="2672" cm="1" t="n">
        <f t="array" ref="E92">INDEX('5층_부하량'!D3:D3000,MATCH(1,("5-DaHall 1-PDU-03"='5층_부하량'!A3:A3000)*(6='5층_부하량'!B3:B3000),0))</f>
        <v>0.0</v>
      </c>
      <c r="F92" s="21"/>
      <c r="G92" s="21"/>
      <c r="H92" s="17" t="s">
        <v>4576</v>
      </c>
      <c r="I92" s="549" t="s">
        <v>4648</v>
      </c>
      <c r="J92" s="592"/>
      <c r="K92" s="2249" t="s">
        <v>3187</v>
      </c>
      <c r="L92" s="549" t="s">
        <v>4596</v>
      </c>
      <c r="M92" s="17" t="s">
        <v>4597</v>
      </c>
      <c r="N92" s="21"/>
      <c r="O92" s="2672" cm="1" t="n">
        <f t="array" ref="O92">INDEX('5층_부하량'!D3:D3000,MATCH(1,("5-DaHall 1-PDU-03"='5층_부하량'!A3:A3000)*(60='5층_부하량'!B3:B3000),0))</f>
        <v>2.04</v>
      </c>
      <c r="P92" s="21"/>
      <c r="Q92" s="21"/>
      <c r="R92" s="17" t="s">
        <v>4579</v>
      </c>
      <c r="S92" s="18" t="s">
        <v>4575</v>
      </c>
      <c r="T92" s="606" t="s">
        <v>5732</v>
      </c>
    </row>
    <row r="93" spans="1:20" ht="18" customHeight="1" x14ac:dyDescent="0.15">
      <c r="A93" s="601" t="s">
        <v>5733</v>
      </c>
      <c r="B93" s="17" t="s">
        <v>4631</v>
      </c>
      <c r="C93" s="18" t="s">
        <v>4575</v>
      </c>
      <c r="D93" s="21"/>
      <c r="E93" s="21"/>
      <c r="F93" s="2672" cm="1" t="n">
        <f t="array" ref="F93">INDEX('5층_부하량'!E3:E3000,MATCH(1,("5-DaHall 1-PDU-03"='5층_부하량'!A3:A3000)*(7='5층_부하량'!B3:B3000),0))</f>
        <v>0.0</v>
      </c>
      <c r="G93" s="21"/>
      <c r="H93" s="17" t="s">
        <v>4597</v>
      </c>
      <c r="I93" s="549" t="s">
        <v>4653</v>
      </c>
      <c r="J93" s="592"/>
      <c r="K93" s="2249" t="s">
        <v>3187</v>
      </c>
      <c r="L93" s="549" t="s">
        <v>4599</v>
      </c>
      <c r="M93" s="17" t="s">
        <v>4597</v>
      </c>
      <c r="N93" s="21"/>
      <c r="O93" s="21"/>
      <c r="P93" s="2672" cm="1" t="n">
        <f t="array" ref="P93">INDEX('5층_부하량'!E3:E3000,MATCH(1,("5-DaHall 1-PDU-03"='5층_부하량'!A3:A3000)*(61='5층_부하량'!B3:B3000),0))</f>
        <v>1.74</v>
      </c>
      <c r="Q93" s="21"/>
      <c r="R93" s="17" t="s">
        <v>4579</v>
      </c>
      <c r="S93" s="18" t="s">
        <v>4575</v>
      </c>
      <c r="T93" s="606" t="s">
        <v>5734</v>
      </c>
    </row>
    <row r="94" spans="1:20" ht="18" customHeight="1" x14ac:dyDescent="0.15">
      <c r="A94" s="601" t="s">
        <v>5735</v>
      </c>
      <c r="B94" s="17" t="s">
        <v>4631</v>
      </c>
      <c r="C94" s="18" t="s">
        <v>4575</v>
      </c>
      <c r="D94" s="2672" cm="1" t="n">
        <f t="array" ref="D94">INDEX('5층_부하량'!C3:C3000,MATCH(1,("5-DaHall 1-PDU-03"='5층_부하량'!A3:A3000)*(8='5층_부하량'!B3:B3000),0))</f>
        <v>0.0</v>
      </c>
      <c r="E94" s="19"/>
      <c r="F94" s="19"/>
      <c r="G94" s="21"/>
      <c r="H94" s="17" t="s">
        <v>4597</v>
      </c>
      <c r="I94" s="549" t="s">
        <v>4657</v>
      </c>
      <c r="J94" s="592"/>
      <c r="K94" s="2249" t="s">
        <v>3187</v>
      </c>
      <c r="L94" s="549" t="s">
        <v>4601</v>
      </c>
      <c r="M94" s="17" t="s">
        <v>4597</v>
      </c>
      <c r="N94" s="2672" cm="1" t="n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4579</v>
      </c>
      <c r="S94" s="18" t="s">
        <v>4575</v>
      </c>
      <c r="T94" s="606" t="s">
        <v>5736</v>
      </c>
    </row>
    <row r="95" spans="1:20" ht="18" customHeight="1" x14ac:dyDescent="0.15">
      <c r="A95" s="601" t="s">
        <v>5737</v>
      </c>
      <c r="B95" s="17" t="s">
        <v>4631</v>
      </c>
      <c r="C95" s="18" t="s">
        <v>4575</v>
      </c>
      <c r="D95" s="21"/>
      <c r="E95" s="2672" cm="1" t="n">
        <f t="array" ref="E95">INDEX('5층_부하량'!D3:D3000,MATCH(1,("5-DaHall 1-PDU-03"='5층_부하량'!A3:A3000)*(9='5층_부하량'!B3:B3000),0))</f>
        <v>0.0</v>
      </c>
      <c r="F95" s="21"/>
      <c r="G95" s="21"/>
      <c r="H95" s="17" t="s">
        <v>4597</v>
      </c>
      <c r="I95" s="549" t="s">
        <v>4661</v>
      </c>
      <c r="J95" s="592"/>
      <c r="K95" s="2249" t="s">
        <v>3187</v>
      </c>
      <c r="L95" s="549" t="s">
        <v>4603</v>
      </c>
      <c r="M95" s="17" t="s">
        <v>4597</v>
      </c>
      <c r="N95" s="21"/>
      <c r="O95" s="2672" cm="1" t="n">
        <f t="array" ref="O95">INDEX('5층_부하량'!D3:D3000,MATCH(1,("5-DaHall 1-PDU-03"='5층_부하량'!A3:A3000)*(63='5층_부하량'!B3:B3000),0))</f>
        <v>3.69</v>
      </c>
      <c r="P95" s="21"/>
      <c r="Q95" s="21"/>
      <c r="R95" s="17" t="s">
        <v>4579</v>
      </c>
      <c r="S95" s="18" t="s">
        <v>4575</v>
      </c>
      <c r="T95" s="606" t="s">
        <v>5738</v>
      </c>
    </row>
    <row r="96" spans="1:20" ht="18" customHeight="1" x14ac:dyDescent="0.15">
      <c r="A96" s="601" t="s">
        <v>5739</v>
      </c>
      <c r="B96" s="17" t="s">
        <v>4631</v>
      </c>
      <c r="C96" s="18" t="s">
        <v>4652</v>
      </c>
      <c r="D96" s="21"/>
      <c r="E96" s="21"/>
      <c r="F96" s="2672" cm="1" t="n">
        <f t="array" ref="F96">INDEX('5층_부하량'!E3:E3000,MATCH(1,("5-DaHall 1-PDU-03"='5층_부하량'!A3:A3000)*(10='5층_부하량'!B3:B3000),0))</f>
        <v>0.0</v>
      </c>
      <c r="G96" s="21"/>
      <c r="H96" s="17" t="s">
        <v>4597</v>
      </c>
      <c r="I96" s="549" t="s">
        <v>4665</v>
      </c>
      <c r="J96" s="592"/>
      <c r="K96" s="2249" t="s">
        <v>3187</v>
      </c>
      <c r="L96" s="549" t="s">
        <v>4605</v>
      </c>
      <c r="M96" s="17" t="s">
        <v>4597</v>
      </c>
      <c r="N96" s="21"/>
      <c r="O96" s="21"/>
      <c r="P96" s="2672" cm="1" t="n">
        <f t="array" ref="P96">INDEX('5층_부하량'!E3:E3000,MATCH(1,("5-DaHall 1-PDU-03"='5층_부하량'!A3:A3000)*(64='5층_부하량'!B3:B3000),0))</f>
        <v>0.84</v>
      </c>
      <c r="Q96" s="21"/>
      <c r="R96" s="17" t="s">
        <v>4579</v>
      </c>
      <c r="S96" s="18" t="s">
        <v>4575</v>
      </c>
      <c r="T96" s="606" t="s">
        <v>5740</v>
      </c>
    </row>
    <row r="97" spans="1:20" ht="18" customHeight="1" x14ac:dyDescent="0.15">
      <c r="A97" s="602" t="s">
        <v>5741</v>
      </c>
      <c r="B97" s="17" t="s">
        <v>565</v>
      </c>
      <c r="C97" s="17" t="s">
        <v>4723</v>
      </c>
      <c r="D97" s="2672" cm="1" t="n">
        <f t="array" ref="D97">INDEX('5층_부하량'!C3:C3000,MATCH(1,("5-DaHall 1-PDU-03"='5층_부하량'!A3:A3000)*(11='5층_부하량'!B3:B3000),0))</f>
        <v>0.0</v>
      </c>
      <c r="E97" s="21"/>
      <c r="F97" s="21"/>
      <c r="G97" s="21"/>
      <c r="H97" s="17" t="s">
        <v>4597</v>
      </c>
      <c r="I97" s="549" t="s">
        <v>4670</v>
      </c>
      <c r="J97" s="591" t="s">
        <v>4637</v>
      </c>
      <c r="K97" s="2249" t="s">
        <v>3187</v>
      </c>
      <c r="L97" s="549" t="s">
        <v>4609</v>
      </c>
      <c r="M97" s="17" t="s">
        <v>4597</v>
      </c>
      <c r="N97" s="2672" cm="1" t="n">
        <f t="array" ref="N97">INDEX('5층_부하량'!C3:C3000,MATCH(1,("5-DaHall 1-PDU-03"='5층_부하량'!A3:A3000)*(65='5층_부하량'!B3:B3000),0))</f>
        <v>2.24</v>
      </c>
      <c r="O97" s="21"/>
      <c r="P97" s="21"/>
      <c r="Q97" s="21"/>
      <c r="R97" s="17" t="s">
        <v>4579</v>
      </c>
      <c r="S97" s="18" t="s">
        <v>4575</v>
      </c>
      <c r="T97" s="606" t="s">
        <v>5742</v>
      </c>
    </row>
    <row r="98" spans="1:20" ht="18" customHeight="1" x14ac:dyDescent="0.15">
      <c r="A98" s="321" t="s">
        <v>5743</v>
      </c>
      <c r="B98" s="17" t="s">
        <v>4631</v>
      </c>
      <c r="C98" s="17" t="s">
        <v>4723</v>
      </c>
      <c r="D98" s="21"/>
      <c r="E98" s="2672" cm="1" t="n">
        <f t="array" ref="E98">INDEX('5층_부하량'!D3:D3000,MATCH(1,("5-DaHall 1-PDU-03"='5층_부하량'!A3:A3000)*(12='5층_부하량'!B3:B3000),0))</f>
        <v>0.0</v>
      </c>
      <c r="F98" s="21"/>
      <c r="G98" s="21"/>
      <c r="H98" s="17" t="s">
        <v>4597</v>
      </c>
      <c r="I98" s="549" t="s">
        <v>4674</v>
      </c>
      <c r="J98" s="593" t="s">
        <v>5744</v>
      </c>
      <c r="K98" s="2249" t="s">
        <v>3187</v>
      </c>
      <c r="L98" s="549" t="s">
        <v>4613</v>
      </c>
      <c r="M98" s="17" t="s">
        <v>4597</v>
      </c>
      <c r="N98" s="21"/>
      <c r="O98" s="2672" cm="1" t="n">
        <f t="array" ref="O98">INDEX('5층_부하량'!D3:D3000,MATCH(1,("5-DaHall 1-PDU-03"='5층_부하량'!A3:A3000)*(66='5층_부하량'!B3:B3000),0))</f>
        <v>2.81</v>
      </c>
      <c r="P98" s="21"/>
      <c r="Q98" s="21"/>
      <c r="R98" s="17" t="s">
        <v>4579</v>
      </c>
      <c r="S98" s="18" t="s">
        <v>4575</v>
      </c>
      <c r="T98" s="606" t="s">
        <v>5745</v>
      </c>
    </row>
    <row r="99" spans="1:20" ht="18" customHeight="1" x14ac:dyDescent="0.15">
      <c r="A99" s="321" t="s">
        <v>3692</v>
      </c>
      <c r="B99" s="17" t="s">
        <v>4631</v>
      </c>
      <c r="C99" s="18" t="s">
        <v>4575</v>
      </c>
      <c r="D99" s="21"/>
      <c r="E99" s="21"/>
      <c r="F99" s="2672" cm="1" t="n">
        <f t="array" ref="F99">INDEX('5층_부하량'!E3:E3000,MATCH(1,("5-DaHall 1-PDU-03"='5층_부하량'!A3:A3000)*(13='5층_부하량'!B3:B3000),0))</f>
        <v>0.0</v>
      </c>
      <c r="G99" s="21"/>
      <c r="H99" s="17" t="s">
        <v>4597</v>
      </c>
      <c r="I99" s="549" t="s">
        <v>4678</v>
      </c>
      <c r="J99" s="593" t="s">
        <v>5744</v>
      </c>
      <c r="K99" s="2249" t="s">
        <v>3187</v>
      </c>
      <c r="L99" s="549" t="s">
        <v>4680</v>
      </c>
      <c r="M99" s="17" t="s">
        <v>4597</v>
      </c>
      <c r="N99" s="21"/>
      <c r="O99" s="21"/>
      <c r="P99" s="2672" cm="1" t="n">
        <f t="array" ref="P99">INDEX('5층_부하량'!E3:E3000,MATCH(1,("5-DaHall 1-PDU-03"='5층_부하량'!A3:A3000)*(67='5층_부하량'!B3:B3000),0))</f>
        <v>0.0</v>
      </c>
      <c r="Q99" s="21"/>
      <c r="R99" s="17" t="s">
        <v>5746</v>
      </c>
      <c r="S99" s="17" t="s">
        <v>4723</v>
      </c>
      <c r="T99" s="606" t="s">
        <v>5747</v>
      </c>
    </row>
    <row r="100" spans="1:20" ht="18" customHeight="1" x14ac:dyDescent="0.15">
      <c r="A100" s="321" t="s">
        <v>3697</v>
      </c>
      <c r="B100" s="17" t="s">
        <v>4631</v>
      </c>
      <c r="C100" s="18" t="s">
        <v>4575</v>
      </c>
      <c r="D100" s="2672" cm="1" t="n">
        <f t="array" ref="D100">INDEX('5층_부하량'!C3:C3000,MATCH(1,("5-DaHall 1-PDU-03"='5층_부하량'!A3:A3000)*(14='5층_부하량'!B3:B3000),0))</f>
        <v>0.0</v>
      </c>
      <c r="E100" s="19"/>
      <c r="F100" s="19"/>
      <c r="G100" s="21"/>
      <c r="H100" s="17" t="s">
        <v>4597</v>
      </c>
      <c r="I100" s="549" t="s">
        <v>4683</v>
      </c>
      <c r="J100" s="593" t="s">
        <v>5744</v>
      </c>
      <c r="K100" s="2249" t="s">
        <v>3187</v>
      </c>
      <c r="L100" s="549" t="s">
        <v>4685</v>
      </c>
      <c r="M100" s="17" t="s">
        <v>4597</v>
      </c>
      <c r="N100" s="2672" cm="1" t="n">
        <f t="array" ref="N100">INDEX('5층_부하량'!C3:C3000,MATCH(1,("5-DaHall 1-PDU-03"='5층_부하량'!A3:A3000)*(68='5층_부하량'!B3:B3000),0))</f>
        <v>0.0</v>
      </c>
      <c r="O100" s="19"/>
      <c r="P100" s="19"/>
      <c r="Q100" s="21"/>
      <c r="R100" s="17" t="s">
        <v>5746</v>
      </c>
      <c r="S100" s="17" t="s">
        <v>4723</v>
      </c>
      <c r="T100" s="606" t="s">
        <v>5748</v>
      </c>
    </row>
    <row r="101" spans="1:20" ht="18" customHeight="1" x14ac:dyDescent="0.15">
      <c r="A101" s="71" t="s">
        <v>3702</v>
      </c>
      <c r="B101" s="72" t="s">
        <v>4631</v>
      </c>
      <c r="C101" s="73" t="s">
        <v>4575</v>
      </c>
      <c r="D101" s="21"/>
      <c r="E101" s="2672" cm="1" t="n">
        <f t="array" ref="E101">INDEX('5층_부하량'!D3:D3000,MATCH(1,("5-DaHall 1-PDU-03"='5층_부하량'!A3:A3000)*(15='5층_부하량'!B3:B3000),0))</f>
        <v>0.0</v>
      </c>
      <c r="F101" s="21"/>
      <c r="G101" s="74"/>
      <c r="H101" s="72" t="s">
        <v>4597</v>
      </c>
      <c r="I101" s="550" t="s">
        <v>4688</v>
      </c>
      <c r="J101" s="593" t="s">
        <v>5744</v>
      </c>
      <c r="K101" s="2249" t="s">
        <v>3187</v>
      </c>
      <c r="L101" s="550" t="s">
        <v>4689</v>
      </c>
      <c r="M101" s="72" t="s">
        <v>4597</v>
      </c>
      <c r="N101" s="21"/>
      <c r="O101" s="2672" cm="1" t="n">
        <f t="array" ref="O101">INDEX('5층_부하량'!D3:D3000,MATCH(1,("5-DaHall 1-PDU-03"='5층_부하량'!A3:A3000)*(69='5층_부하량'!B3:B3000),0))</f>
        <v>0.0</v>
      </c>
      <c r="P101" s="21"/>
      <c r="Q101" s="74"/>
      <c r="R101" s="17" t="s">
        <v>5746</v>
      </c>
      <c r="S101" s="17" t="s">
        <v>4723</v>
      </c>
      <c r="T101" s="606" t="s">
        <v>5749</v>
      </c>
    </row>
    <row r="102" spans="1:20" ht="18" customHeight="1" x14ac:dyDescent="0.15">
      <c r="A102" s="602" t="s">
        <v>3707</v>
      </c>
      <c r="B102" s="17" t="s">
        <v>4631</v>
      </c>
      <c r="C102" s="18" t="s">
        <v>4575</v>
      </c>
      <c r="D102" s="21"/>
      <c r="E102" s="21"/>
      <c r="F102" s="2672" cm="1" t="n">
        <f t="array" ref="F102">INDEX('5층_부하량'!E3:E3000,MATCH(1,("5-DaHall 1-PDU-03"='5층_부하량'!A3:A3000)*(16='5층_부하량'!B3:B3000),0))</f>
        <v>0.0</v>
      </c>
      <c r="G102" s="21"/>
      <c r="H102" s="17" t="s">
        <v>4597</v>
      </c>
      <c r="I102" s="549" t="s">
        <v>4691</v>
      </c>
      <c r="J102" s="591"/>
      <c r="K102" s="2249" t="s">
        <v>3187</v>
      </c>
      <c r="L102" s="549" t="s">
        <v>4692</v>
      </c>
      <c r="M102" s="17" t="s">
        <v>4597</v>
      </c>
      <c r="N102" s="21"/>
      <c r="O102" s="21"/>
      <c r="P102" s="2672" cm="1" t="n">
        <f t="array" ref="P102">INDEX('5층_부하량'!E3:E3000,MATCH(1,("5-DaHall 1-PDU-03"='5층_부하량'!A3:A3000)*(70='5층_부하량'!B3:B3000),0))</f>
        <v>0.0</v>
      </c>
      <c r="Q102" s="21"/>
      <c r="R102" s="17" t="s">
        <v>5746</v>
      </c>
      <c r="S102" s="17" t="s">
        <v>4723</v>
      </c>
      <c r="T102" s="606" t="s">
        <v>5750</v>
      </c>
    </row>
    <row r="103" spans="1:20" ht="18" customHeight="1" x14ac:dyDescent="0.15">
      <c r="A103" s="601" t="s">
        <v>5751</v>
      </c>
      <c r="B103" s="17" t="s">
        <v>565</v>
      </c>
      <c r="C103" s="17" t="s">
        <v>4723</v>
      </c>
      <c r="D103" s="2672" cm="1" t="n">
        <f t="array" ref="D103">INDEX('5층_부하량'!C3:C3000,MATCH(1,("5-DaHall 1-PDU-03"='5층_부하량'!A3:A3000)*(17='5층_부하량'!B3:B3000),0))</f>
        <v>0.0</v>
      </c>
      <c r="E103" s="19"/>
      <c r="F103" s="19"/>
      <c r="G103" s="21"/>
      <c r="H103" s="17" t="s">
        <v>4597</v>
      </c>
      <c r="I103" s="549" t="s">
        <v>4693</v>
      </c>
      <c r="J103" s="591"/>
      <c r="K103" s="2249" t="s">
        <v>3187</v>
      </c>
      <c r="L103" s="549" t="s">
        <v>4694</v>
      </c>
      <c r="M103" s="17" t="s">
        <v>4597</v>
      </c>
      <c r="N103" s="2672" cm="1" t="n">
        <f t="array" ref="N103">INDEX('5층_부하량'!C3:C3000,MATCH(1,("5-DaHall 1-PDU-03"='5층_부하량'!A3:A3000)*(71='5층_부하량'!B3:B3000),0))</f>
        <v>2.41</v>
      </c>
      <c r="O103" s="19"/>
      <c r="P103" s="19"/>
      <c r="Q103" s="21"/>
      <c r="R103" s="17" t="s">
        <v>5746</v>
      </c>
      <c r="S103" s="18" t="s">
        <v>4575</v>
      </c>
      <c r="T103" s="606" t="s">
        <v>5752</v>
      </c>
    </row>
    <row r="104" spans="1:20" ht="18" customHeight="1" x14ac:dyDescent="0.15">
      <c r="A104" s="601" t="s">
        <v>5753</v>
      </c>
      <c r="B104" s="17" t="s">
        <v>565</v>
      </c>
      <c r="C104" s="17" t="s">
        <v>4723</v>
      </c>
      <c r="D104" s="21"/>
      <c r="E104" s="2672" cm="1" t="n">
        <f t="array" ref="E104">INDEX('5층_부하량'!D3:D3000,MATCH(1,("5-DaHall 1-PDU-03"='5층_부하량'!A3:A3000)*(18='5층_부하량'!B3:B3000),0))</f>
        <v>0.0</v>
      </c>
      <c r="F104" s="21"/>
      <c r="G104" s="21"/>
      <c r="H104" s="17" t="s">
        <v>4597</v>
      </c>
      <c r="I104" s="549" t="s">
        <v>4697</v>
      </c>
      <c r="J104" s="591"/>
      <c r="K104" s="2249" t="s">
        <v>3187</v>
      </c>
      <c r="L104" s="549" t="s">
        <v>4698</v>
      </c>
      <c r="M104" s="17" t="s">
        <v>4597</v>
      </c>
      <c r="N104" s="21"/>
      <c r="O104" s="2672" cm="1" t="n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5746</v>
      </c>
      <c r="S104" s="18" t="s">
        <v>4575</v>
      </c>
      <c r="T104" s="606" t="s">
        <v>5754</v>
      </c>
    </row>
    <row r="105" spans="1:20" ht="18" customHeight="1" x14ac:dyDescent="0.15">
      <c r="A105" s="601" t="s">
        <v>5755</v>
      </c>
      <c r="B105" s="17" t="s">
        <v>565</v>
      </c>
      <c r="C105" s="17" t="s">
        <v>4723</v>
      </c>
      <c r="D105" s="21"/>
      <c r="E105" s="19"/>
      <c r="F105" s="2670" cm="1" t="n">
        <f t="array" ref="F105">INDEX('5층_부하량'!E3:E3000,MATCH(1,("5-DaHall 1-PDU-03"='5층_부하량'!A3:A3000)*(19='5층_부하량'!B3:B3000),0))</f>
        <v>0.0</v>
      </c>
      <c r="G105" s="21"/>
      <c r="H105" s="17" t="s">
        <v>4597</v>
      </c>
      <c r="I105" s="549" t="s">
        <v>4701</v>
      </c>
      <c r="J105" s="592"/>
      <c r="K105" s="2249" t="s">
        <v>3187</v>
      </c>
      <c r="L105" s="549" t="s">
        <v>4703</v>
      </c>
      <c r="M105" s="17" t="s">
        <v>4597</v>
      </c>
      <c r="N105" s="21"/>
      <c r="O105" s="19"/>
      <c r="P105" s="2670" cm="1" t="n">
        <f t="array" ref="P105">INDEX('5층_부하량'!E3:E3000,MATCH(1,("5-DaHall 1-PDU-03"='5층_부하량'!A3:A3000)*(73='5층_부하량'!B3:B3000),0))</f>
        <v>2.16</v>
      </c>
      <c r="Q105" s="21"/>
      <c r="R105" s="17" t="s">
        <v>5746</v>
      </c>
      <c r="S105" s="18" t="s">
        <v>4575</v>
      </c>
      <c r="T105" s="606" t="s">
        <v>5756</v>
      </c>
    </row>
    <row r="106" spans="1:20" ht="18" customHeight="1" x14ac:dyDescent="0.15">
      <c r="A106" s="601" t="s">
        <v>5757</v>
      </c>
      <c r="B106" s="72" t="s">
        <v>4631</v>
      </c>
      <c r="C106" s="73" t="s">
        <v>4575</v>
      </c>
      <c r="D106" s="2672" cm="1" t="n">
        <f t="array" ref="D106">INDEX('5층_부하량'!C3:C3000,MATCH(1,("5-DaHall 1-PDU-03"='5층_부하량'!A3:A3000)*(20='5층_부하량'!B3:B3000),0))</f>
        <v>2.59</v>
      </c>
      <c r="E106" s="19"/>
      <c r="F106" s="19"/>
      <c r="G106" s="21"/>
      <c r="H106" s="17" t="s">
        <v>4597</v>
      </c>
      <c r="I106" s="549" t="s">
        <v>4706</v>
      </c>
      <c r="J106" s="2247" t="s">
        <v>3190</v>
      </c>
      <c r="K106" s="2249" t="s">
        <v>3187</v>
      </c>
      <c r="L106" s="549" t="s">
        <v>4707</v>
      </c>
      <c r="M106" s="17" t="s">
        <v>4597</v>
      </c>
      <c r="N106" s="2672" cm="1" t="n">
        <f t="array" ref="N106">INDEX('5층_부하량'!C3:C3000,MATCH(1,("5-DaHall 1-PDU-03"='5층_부하량'!A3:A3000)*(74='5층_부하량'!B3:B3000),0))</f>
        <v>2.31</v>
      </c>
      <c r="O106" s="19"/>
      <c r="P106" s="19"/>
      <c r="Q106" s="21"/>
      <c r="R106" s="17" t="s">
        <v>5746</v>
      </c>
      <c r="S106" s="18" t="s">
        <v>4575</v>
      </c>
      <c r="T106" s="606" t="s">
        <v>5758</v>
      </c>
    </row>
    <row r="107" spans="1:20" ht="18" customHeight="1" x14ac:dyDescent="0.15">
      <c r="A107" s="601" t="s">
        <v>5759</v>
      </c>
      <c r="B107" s="17" t="s">
        <v>4631</v>
      </c>
      <c r="C107" s="18" t="s">
        <v>4575</v>
      </c>
      <c r="D107" s="21"/>
      <c r="E107" s="2672" cm="1" t="n">
        <f t="array" ref="E107">INDEX('5층_부하량'!D3:D3000,MATCH(1,("5-DaHall 1-PDU-03"='5층_부하량'!A3:A3000)*(21='5층_부하량'!B3:B3000),0))</f>
        <v>0.0</v>
      </c>
      <c r="F107" s="19"/>
      <c r="G107" s="21"/>
      <c r="H107" s="17" t="s">
        <v>4597</v>
      </c>
      <c r="I107" s="549" t="s">
        <v>4710</v>
      </c>
      <c r="J107" s="2247" t="s">
        <v>3190</v>
      </c>
      <c r="K107" s="2249" t="s">
        <v>3187</v>
      </c>
      <c r="L107" s="549" t="s">
        <v>4711</v>
      </c>
      <c r="M107" s="17" t="s">
        <v>4597</v>
      </c>
      <c r="N107" s="21"/>
      <c r="O107" s="2672" cm="1" t="n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5746</v>
      </c>
      <c r="S107" s="18" t="s">
        <v>4575</v>
      </c>
      <c r="T107" s="606" t="s">
        <v>5760</v>
      </c>
    </row>
    <row r="108" spans="1:20" ht="18" customHeight="1" x14ac:dyDescent="0.15">
      <c r="A108" s="2196" t="s">
        <v>5761</v>
      </c>
      <c r="B108" s="17" t="s">
        <v>5762</v>
      </c>
      <c r="C108" s="17" t="s">
        <v>4723</v>
      </c>
      <c r="D108" s="21"/>
      <c r="E108" s="19"/>
      <c r="F108" s="2672" cm="1" t="n">
        <f t="array" ref="F108">INDEX('5층_부하량'!E3:E3000,MATCH(1,("5-DaHall 1-PDU-03"='5층_부하량'!A3:A3000)*(22='5층_부하량'!B3:B3000),0))</f>
        <v>0.0</v>
      </c>
      <c r="G108" s="21"/>
      <c r="H108" s="17" t="s">
        <v>4597</v>
      </c>
      <c r="I108" s="549" t="s">
        <v>5055</v>
      </c>
      <c r="J108" s="2247" t="s">
        <v>3190</v>
      </c>
      <c r="K108" s="2249" t="s">
        <v>3187</v>
      </c>
      <c r="L108" s="549" t="s">
        <v>4843</v>
      </c>
      <c r="M108" s="17" t="s">
        <v>4597</v>
      </c>
      <c r="N108" s="21"/>
      <c r="O108" s="19"/>
      <c r="P108" s="2672" cm="1" t="n">
        <f t="array" ref="P108">INDEX('5층_부하량'!E3:E3000,MATCH(1,("5-DaHall 1-PDU-03"='5층_부하량'!A3:A3000)*(76='5층_부하량'!B3:B3000),0))</f>
        <v>1.77</v>
      </c>
      <c r="Q108" s="21"/>
      <c r="R108" s="17" t="s">
        <v>5746</v>
      </c>
      <c r="S108" s="18" t="s">
        <v>4575</v>
      </c>
      <c r="T108" s="606" t="s">
        <v>5763</v>
      </c>
    </row>
    <row r="109" spans="1:20" ht="18" customHeight="1" x14ac:dyDescent="0.15">
      <c r="A109" s="2196" t="s">
        <v>5764</v>
      </c>
      <c r="B109" s="72" t="s">
        <v>4631</v>
      </c>
      <c r="C109" s="73" t="s">
        <v>4575</v>
      </c>
      <c r="D109" s="2672" cm="1" t="n">
        <f t="array" ref="D109">INDEX('5층_부하량'!C3:C3000,MATCH(1,("5-DaHall 1-PDU-03"='5층_부하량'!A3:A3000)*(23='5층_부하량'!B3:B3000),0))</f>
        <v>2.17</v>
      </c>
      <c r="E109" s="19"/>
      <c r="F109" s="19"/>
      <c r="G109" s="21"/>
      <c r="H109" s="17" t="s">
        <v>4597</v>
      </c>
      <c r="I109" s="549" t="s">
        <v>4845</v>
      </c>
      <c r="J109" s="2247" t="s">
        <v>3190</v>
      </c>
      <c r="K109" s="2249" t="s">
        <v>3187</v>
      </c>
      <c r="L109" s="549" t="s">
        <v>4846</v>
      </c>
      <c r="M109" s="17" t="s">
        <v>4597</v>
      </c>
      <c r="N109" s="2672" cm="1" t="n">
        <f t="array" ref="N109">INDEX('5층_부하량'!C3:C3000,MATCH(1,("5-DaHall 1-PDU-03"='5층_부하량'!A3:A3000)*(77='5층_부하량'!B3:B3000),0))</f>
        <v>2.85</v>
      </c>
      <c r="O109" s="19"/>
      <c r="P109" s="19"/>
      <c r="Q109" s="21"/>
      <c r="R109" s="17" t="s">
        <v>5746</v>
      </c>
      <c r="S109" s="18" t="s">
        <v>4575</v>
      </c>
      <c r="T109" s="606" t="s">
        <v>5765</v>
      </c>
    </row>
    <row r="110" spans="1:20" ht="18" customHeight="1" x14ac:dyDescent="0.15">
      <c r="A110" s="2196" t="s">
        <v>5766</v>
      </c>
      <c r="B110" s="17" t="s">
        <v>4631</v>
      </c>
      <c r="C110" s="18" t="s">
        <v>4575</v>
      </c>
      <c r="D110" s="21"/>
      <c r="E110" s="2672" cm="1" t="n">
        <f t="array" ref="E110">INDEX('5층_부하량'!D3:D3000,MATCH(1,("5-DaHall 1-PDU-03"='5층_부하량'!A3:A3000)*(24='5층_부하량'!B3:B3000),0))</f>
        <v>0.0</v>
      </c>
      <c r="F110" s="21"/>
      <c r="G110" s="21"/>
      <c r="H110" s="17" t="s">
        <v>4597</v>
      </c>
      <c r="I110" s="549" t="s">
        <v>4847</v>
      </c>
      <c r="J110" s="2247" t="s">
        <v>3190</v>
      </c>
      <c r="K110" s="2249" t="s">
        <v>3187</v>
      </c>
      <c r="L110" s="549" t="s">
        <v>4848</v>
      </c>
      <c r="M110" s="17" t="s">
        <v>4597</v>
      </c>
      <c r="N110" s="21"/>
      <c r="O110" s="2672" cm="1" t="n">
        <f t="array" ref="O110">INDEX('5층_부하량'!D3:D3000,MATCH(1,("5-DaHall 1-PDU-03"='5층_부하량'!A3:A3000)*(78='5층_부하량'!B3:B3000),0))</f>
        <v>2.83</v>
      </c>
      <c r="P110" s="21"/>
      <c r="Q110" s="21"/>
      <c r="R110" s="17" t="s">
        <v>5746</v>
      </c>
      <c r="S110" s="18" t="s">
        <v>4575</v>
      </c>
      <c r="T110" s="606" t="s">
        <v>5767</v>
      </c>
    </row>
    <row r="111" spans="1:20" ht="18" customHeight="1" x14ac:dyDescent="0.15">
      <c r="A111" s="601" t="s">
        <v>5768</v>
      </c>
      <c r="B111" s="17" t="s">
        <v>5762</v>
      </c>
      <c r="C111" s="18" t="s">
        <v>4575</v>
      </c>
      <c r="D111" s="21"/>
      <c r="E111" s="21"/>
      <c r="F111" s="2672" cm="1" t="n">
        <f t="array" ref="F111">INDEX('5층_부하량'!E3:E3000,MATCH(1,("5-DaHall 1-PDU-03"='5층_부하량'!A3:A3000)*(25='5층_부하량'!B3:B3000),0))</f>
        <v>3.58</v>
      </c>
      <c r="G111" s="21"/>
      <c r="H111" s="17" t="s">
        <v>4597</v>
      </c>
      <c r="I111" s="549" t="s">
        <v>4849</v>
      </c>
      <c r="J111" s="2247" t="s">
        <v>3190</v>
      </c>
      <c r="K111" s="2249" t="s">
        <v>3187</v>
      </c>
      <c r="L111" s="549" t="s">
        <v>4850</v>
      </c>
      <c r="M111" s="17" t="s">
        <v>4597</v>
      </c>
      <c r="N111" s="21"/>
      <c r="O111" s="21"/>
      <c r="P111" s="2672" cm="1" t="n">
        <f t="array" ref="P111">INDEX('5층_부하량'!E3:E3000,MATCH(1,("5-DaHall 1-PDU-03"='5층_부하량'!A3:A3000)*(79='5층_부하량'!B3:B3000),0))</f>
        <v>3.42</v>
      </c>
      <c r="Q111" s="21"/>
      <c r="R111" s="17" t="s">
        <v>5746</v>
      </c>
      <c r="S111" s="18" t="s">
        <v>4575</v>
      </c>
      <c r="T111" s="606" t="s">
        <v>5769</v>
      </c>
    </row>
    <row r="112" spans="1:20" ht="18" customHeight="1" thickBot="1" x14ac:dyDescent="0.2">
      <c r="A112" s="600" t="s">
        <v>5770</v>
      </c>
      <c r="B112" s="35" t="s">
        <v>5762</v>
      </c>
      <c r="C112" s="39" t="s">
        <v>4575</v>
      </c>
      <c r="D112" s="2671" cm="1" t="n">
        <f t="array" ref="D112">INDEX('5층_부하량'!C3:C3000,MATCH(1,("5-DaHall 1-PDU-03"='5층_부하량'!A3:A3000)*(26='5층_부하량'!B3:B3000),0))</f>
        <v>5.58</v>
      </c>
      <c r="E112" s="36"/>
      <c r="F112" s="36"/>
      <c r="G112" s="36"/>
      <c r="H112" s="35" t="s">
        <v>4597</v>
      </c>
      <c r="I112" s="551" t="s">
        <v>4851</v>
      </c>
      <c r="J112" s="2248" t="s">
        <v>3190</v>
      </c>
      <c r="K112" s="2250" t="s">
        <v>3187</v>
      </c>
      <c r="L112" s="551" t="s">
        <v>4852</v>
      </c>
      <c r="M112" s="35" t="s">
        <v>4597</v>
      </c>
      <c r="N112" s="2671" cm="1" t="n">
        <f t="array" ref="N112">INDEX('5층_부하량'!C3:C3000,MATCH(1,("5-DaHall 1-PDU-03"='5층_부하량'!A3:A3000)*(80='5층_부하량'!B3:B3000),0))</f>
        <v>3.81</v>
      </c>
      <c r="O112" s="36"/>
      <c r="P112" s="36"/>
      <c r="Q112" s="36"/>
      <c r="R112" s="35" t="s">
        <v>5746</v>
      </c>
      <c r="S112" s="39" t="s">
        <v>4575</v>
      </c>
      <c r="T112" s="2251" t="s">
        <v>5771</v>
      </c>
    </row>
    <row r="113" spans="1:20" ht="18" customHeight="1" thickTop="1" thickBot="1" x14ac:dyDescent="0.2">
      <c r="M113" s="80" t="s">
        <v>5645</v>
      </c>
      <c r="N113" s="33" t="n">
        <f>SUM(D87:D112,N87:N112)</f>
        <v>25.56</v>
      </c>
      <c r="O113" s="33" t="n">
        <f>SUM(E87:E112,O87:O112)</f>
        <v>14.860000000000001</v>
      </c>
      <c r="P113" s="33" t="n">
        <f>SUM(F87:F112,P87:P112)</f>
        <v>14.040000000000001</v>
      </c>
    </row>
    <row r="114" spans="1:20" ht="18" customHeight="1" thickTop="1" thickBot="1" x14ac:dyDescent="0.2">
      <c r="A114" s="2" t="s">
        <v>6948</v>
      </c>
      <c r="C114" s="3660" t="s">
        <v>5772</v>
      </c>
      <c r="D114" s="3660"/>
      <c r="E114" s="3660"/>
      <c r="F114" s="3660"/>
      <c r="G114" s="53"/>
      <c r="H114" s="124"/>
      <c r="I114" s="124"/>
      <c r="J114" s="3661" t="s">
        <v>5653</v>
      </c>
      <c r="K114" s="3667"/>
      <c r="L114" s="124"/>
      <c r="M114" s="124"/>
      <c r="N114" s="53"/>
      <c r="O114" s="53"/>
      <c r="P114" s="53"/>
      <c r="Q114" s="53"/>
      <c r="R114" s="53"/>
      <c r="S114" s="53"/>
    </row>
    <row r="115" spans="1:20" ht="18" customHeight="1" thickTop="1" thickBot="1" x14ac:dyDescent="0.2">
      <c r="A115" s="3"/>
      <c r="D115" s="54"/>
      <c r="E115" s="54"/>
      <c r="F115" s="54"/>
      <c r="G115" s="54"/>
      <c r="H115" s="4"/>
      <c r="I115" s="4"/>
      <c r="K115" s="56"/>
      <c r="L115" s="565"/>
      <c r="M115" s="1371" t="s">
        <v>4562</v>
      </c>
      <c r="N115" s="1368">
        <v>25.1</v>
      </c>
      <c r="O115" s="1369">
        <v>15.5</v>
      </c>
      <c r="P115" s="1370">
        <v>18.2</v>
      </c>
      <c r="Q115" s="508" t="s">
        <v>4563</v>
      </c>
      <c r="R115" s="133"/>
      <c r="S115" s="128"/>
      <c r="T115" s="528"/>
    </row>
    <row r="116" spans="1:20" ht="18" customHeight="1" thickTop="1" thickBot="1" x14ac:dyDescent="0.2">
      <c r="A116" s="5" t="s">
        <v>4564</v>
      </c>
      <c r="B116" s="6" t="s">
        <v>4565</v>
      </c>
      <c r="C116" s="7" t="s">
        <v>4566</v>
      </c>
      <c r="D116" s="6" t="s">
        <v>4567</v>
      </c>
      <c r="E116" s="6" t="s">
        <v>4568</v>
      </c>
      <c r="F116" s="6" t="s">
        <v>4569</v>
      </c>
      <c r="G116" s="6" t="s">
        <v>4570</v>
      </c>
      <c r="H116" s="8" t="s">
        <v>4571</v>
      </c>
      <c r="I116" s="547"/>
      <c r="J116" s="58" t="s">
        <v>4572</v>
      </c>
      <c r="K116" s="59" t="s">
        <v>4572</v>
      </c>
      <c r="L116" s="566"/>
      <c r="M116" s="8" t="s">
        <v>4571</v>
      </c>
      <c r="N116" s="6" t="s">
        <v>4567</v>
      </c>
      <c r="O116" s="6" t="s">
        <v>4568</v>
      </c>
      <c r="P116" s="6" t="s">
        <v>4569</v>
      </c>
      <c r="Q116" s="6" t="s">
        <v>4570</v>
      </c>
      <c r="R116" s="6" t="s">
        <v>4565</v>
      </c>
      <c r="S116" s="7" t="s">
        <v>4566</v>
      </c>
      <c r="T116" s="60" t="s">
        <v>4564</v>
      </c>
    </row>
    <row r="117" spans="1:20" ht="18" customHeight="1" thickTop="1" x14ac:dyDescent="0.15">
      <c r="A117" s="10"/>
      <c r="B117" s="11" t="s">
        <v>4631</v>
      </c>
      <c r="C117" s="17" t="s">
        <v>4642</v>
      </c>
      <c r="D117" s="2669" cm="1" t="n">
        <f t="array" ref="D117">INDEX('5층_부하량'!C3:C3000,MATCH(1,("5-DaHall 1-PDU-04"='5층_부하량'!A3:A3000)*(1='5층_부하량'!B3:B3000),0))</f>
        <v>0.0</v>
      </c>
      <c r="E117" s="2669" cm="1" t="n">
        <f t="array" ref="E117">INDEX('5층_부하량'!D3:D3000,MATCH(1,("5-DaHall 1-PDU-04"='5층_부하량'!A3:A3000)*(1='5층_부하량'!B3:B3000),0))</f>
        <v>0.0</v>
      </c>
      <c r="F117" s="2669" cm="1" t="n">
        <f t="array" ref="F117">INDEX('5층_부하량'!E3:E3000,MATCH(1,("5-DaHall 1-PDU-04"='5층_부하량'!A3:A3000)*(1='5층_부하량'!B3:B3000),0))</f>
        <v>0.0</v>
      </c>
      <c r="G117" s="15"/>
      <c r="H117" s="11" t="s">
        <v>5654</v>
      </c>
      <c r="I117" s="1443" t="s">
        <v>5655</v>
      </c>
      <c r="J117" s="61"/>
      <c r="K117" s="62"/>
      <c r="L117" s="1446" t="s">
        <v>5656</v>
      </c>
      <c r="M117" s="11" t="s">
        <v>5654</v>
      </c>
      <c r="N117" s="2669" cm="1" t="n">
        <f t="array" ref="N117">INDEX('5층_부하량'!C3:C3000,MATCH(1,("5-DaHall 1-PDU-04"='5층_부하량'!A3:A3000)*(55='5층_부하량'!B3:B3000),0))</f>
        <v>0.0</v>
      </c>
      <c r="O117" s="2669" cm="1" t="n">
        <f t="array" ref="O117">INDEX('5층_부하량'!D3:D3000,MATCH(1,("5-DaHall 1-PDU-04"='5층_부하량'!A3:A3000)*(55='5층_부하량'!B3:B3000),0))</f>
        <v>0.0</v>
      </c>
      <c r="P117" s="2669" cm="1" t="n">
        <f t="array" ref="P117">INDEX('5층_부하량'!E3:E3000,MATCH(1,("5-DaHall 1-PDU-04"='5층_부하량'!A3:A3000)*(55='5층_부하량'!B3:B3000),0))</f>
        <v>0.0</v>
      </c>
      <c r="Q117" s="15"/>
      <c r="R117" s="63" t="s">
        <v>4579</v>
      </c>
      <c r="S117" s="17" t="s">
        <v>4584</v>
      </c>
      <c r="T117" s="64"/>
    </row>
    <row r="118" spans="1:20" ht="18" customHeight="1" x14ac:dyDescent="0.15">
      <c r="A118" s="601" t="s">
        <v>5773</v>
      </c>
      <c r="B118" s="17" t="s">
        <v>4631</v>
      </c>
      <c r="C118" s="18" t="s">
        <v>4652</v>
      </c>
      <c r="D118" s="2672" cm="1" t="n">
        <f t="array" ref="D118">INDEX('5층_부하량'!C3:C3000,MATCH(1,("5-DaHall 1-PDU-04"='5층_부하량'!A3:A3000)*(2='5층_부하량'!B3:B3000),0))</f>
        <v>0.0</v>
      </c>
      <c r="E118" s="19"/>
      <c r="F118" s="19"/>
      <c r="G118" s="19"/>
      <c r="H118" s="17" t="s">
        <v>4576</v>
      </c>
      <c r="I118" s="549" t="s">
        <v>4633</v>
      </c>
      <c r="J118" s="592" t="s">
        <v>5774</v>
      </c>
      <c r="K118" s="2249" t="s">
        <v>3187</v>
      </c>
      <c r="L118" s="549" t="s">
        <v>4578</v>
      </c>
      <c r="M118" s="17" t="s">
        <v>4576</v>
      </c>
      <c r="N118" s="2672" cm="1" t="n">
        <f t="array" ref="N118">INDEX('5층_부하량'!C3:C3000,MATCH(1,("5-DaHall 1-PDU-04"='5층_부하량'!A3:A3000)*(56='5층_부하량'!B3:B3000),0))</f>
        <v>0.0</v>
      </c>
      <c r="O118" s="19"/>
      <c r="P118" s="19"/>
      <c r="Q118" s="19"/>
      <c r="R118" s="17" t="s">
        <v>4579</v>
      </c>
      <c r="S118" s="17" t="s">
        <v>4584</v>
      </c>
      <c r="T118" s="606" t="s">
        <v>5724</v>
      </c>
    </row>
    <row r="119" spans="1:20" ht="18" customHeight="1" x14ac:dyDescent="0.15">
      <c r="A119" s="601" t="s">
        <v>5775</v>
      </c>
      <c r="B119" s="17" t="s">
        <v>4631</v>
      </c>
      <c r="C119" s="18" t="s">
        <v>4575</v>
      </c>
      <c r="D119" s="21"/>
      <c r="E119" s="2672" cm="1" t="n">
        <f t="array" ref="E119">INDEX('5층_부하량'!D3:D3000,MATCH(1,("5-DaHall 1-PDU-04"='5층_부하량'!A3:A3000)*(3='5층_부하량'!B3:B3000),0))</f>
        <v>0.0</v>
      </c>
      <c r="F119" s="21"/>
      <c r="G119" s="21"/>
      <c r="H119" s="17" t="s">
        <v>4576</v>
      </c>
      <c r="I119" s="549" t="s">
        <v>4638</v>
      </c>
      <c r="J119" s="592" t="s">
        <v>5774</v>
      </c>
      <c r="K119" s="2249" t="s">
        <v>3187</v>
      </c>
      <c r="L119" s="549" t="s">
        <v>4583</v>
      </c>
      <c r="M119" s="17" t="s">
        <v>4576</v>
      </c>
      <c r="N119" s="21"/>
      <c r="O119" s="2672" cm="1" t="n">
        <f t="array" ref="O119">INDEX('5층_부하량'!D3:D3000,MATCH(1,("5-DaHall 1-PDU-04"='5층_부하량'!A3:A3000)*(57='5층_부하량'!B3:B3000),0))</f>
        <v>0.0</v>
      </c>
      <c r="P119" s="21"/>
      <c r="Q119" s="21"/>
      <c r="R119" s="17" t="s">
        <v>4579</v>
      </c>
      <c r="S119" s="17" t="s">
        <v>4584</v>
      </c>
      <c r="T119" s="606" t="s">
        <v>5726</v>
      </c>
    </row>
    <row r="120" spans="1:20" ht="18" customHeight="1" x14ac:dyDescent="0.15">
      <c r="A120" s="601" t="s">
        <v>5727</v>
      </c>
      <c r="B120" s="17" t="s">
        <v>4631</v>
      </c>
      <c r="C120" s="18" t="s">
        <v>4575</v>
      </c>
      <c r="D120" s="21"/>
      <c r="E120" s="21"/>
      <c r="F120" s="2672" cm="1" t="n">
        <f t="array" ref="F120">INDEX('5층_부하량'!E3:E3000,MATCH(1,("5-DaHall 1-PDU-04"='5층_부하량'!A3:A3000)*(4='5층_부하량'!B3:B3000),0))</f>
        <v>0.0</v>
      </c>
      <c r="G120" s="21"/>
      <c r="H120" s="17" t="s">
        <v>4576</v>
      </c>
      <c r="I120" s="549" t="s">
        <v>4641</v>
      </c>
      <c r="J120" s="592" t="s">
        <v>5774</v>
      </c>
      <c r="K120" s="2249" t="s">
        <v>3187</v>
      </c>
      <c r="L120" s="549" t="s">
        <v>4588</v>
      </c>
      <c r="M120" s="17" t="s">
        <v>4576</v>
      </c>
      <c r="N120" s="21"/>
      <c r="O120" s="21"/>
      <c r="P120" s="2672" cm="1" t="n">
        <f t="array" ref="P120">INDEX('5층_부하량'!E3:E3000,MATCH(1,("5-DaHall 1-PDU-04"='5층_부하량'!A3:A3000)*(58='5층_부하량'!B3:B3000),0))</f>
        <v>0.53</v>
      </c>
      <c r="Q120" s="21"/>
      <c r="R120" s="17" t="s">
        <v>4579</v>
      </c>
      <c r="S120" s="18" t="s">
        <v>4575</v>
      </c>
      <c r="T120" s="606" t="s">
        <v>5728</v>
      </c>
    </row>
    <row r="121" spans="1:20" ht="18" customHeight="1" x14ac:dyDescent="0.15">
      <c r="A121" s="601" t="s">
        <v>5729</v>
      </c>
      <c r="B121" s="17" t="s">
        <v>4631</v>
      </c>
      <c r="C121" s="18" t="s">
        <v>4575</v>
      </c>
      <c r="D121" s="2672" cm="1" t="n">
        <f t="array" ref="D121">INDEX('5층_부하량'!C3:C3000,MATCH(1,("5-DaHall 1-PDU-04"='5층_부하량'!A3:A3000)*(5='5층_부하량'!B3:B3000),0))</f>
        <v>0.0</v>
      </c>
      <c r="E121" s="19"/>
      <c r="F121" s="19"/>
      <c r="G121" s="21"/>
      <c r="H121" s="17" t="s">
        <v>4576</v>
      </c>
      <c r="I121" s="549" t="s">
        <v>4645</v>
      </c>
      <c r="J121" s="592" t="s">
        <v>5774</v>
      </c>
      <c r="K121" s="2249" t="s">
        <v>3187</v>
      </c>
      <c r="L121" s="549" t="s">
        <v>4593</v>
      </c>
      <c r="M121" s="17" t="s">
        <v>4597</v>
      </c>
      <c r="N121" s="2672" cm="1" t="n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4579</v>
      </c>
      <c r="S121" s="18" t="s">
        <v>4575</v>
      </c>
      <c r="T121" s="606" t="s">
        <v>5730</v>
      </c>
    </row>
    <row r="122" spans="1:20" ht="18" customHeight="1" x14ac:dyDescent="0.15">
      <c r="A122" s="601" t="s">
        <v>5731</v>
      </c>
      <c r="B122" s="17" t="s">
        <v>4631</v>
      </c>
      <c r="C122" s="18" t="s">
        <v>4575</v>
      </c>
      <c r="D122" s="21"/>
      <c r="E122" s="2672" cm="1" t="n">
        <f t="array" ref="E122">INDEX('5층_부하량'!D3:D3000,MATCH(1,("5-DaHall 1-PDU-04"='5층_부하량'!A3:A3000)*(6='5층_부하량'!B3:B3000),0))</f>
        <v>0.0</v>
      </c>
      <c r="F122" s="21"/>
      <c r="G122" s="21"/>
      <c r="H122" s="17" t="s">
        <v>4576</v>
      </c>
      <c r="I122" s="549" t="s">
        <v>4648</v>
      </c>
      <c r="J122" s="592" t="s">
        <v>5774</v>
      </c>
      <c r="K122" s="2249" t="s">
        <v>3187</v>
      </c>
      <c r="L122" s="549" t="s">
        <v>4596</v>
      </c>
      <c r="M122" s="17" t="s">
        <v>4597</v>
      </c>
      <c r="N122" s="21"/>
      <c r="O122" s="2672" cm="1" t="n">
        <f t="array" ref="O122">INDEX('5층_부하량'!D3:D3000,MATCH(1,("5-DaHall 1-PDU-04"='5층_부하량'!A3:A3000)*(60='5층_부하량'!B3:B3000),0))</f>
        <v>1.98</v>
      </c>
      <c r="P122" s="21"/>
      <c r="Q122" s="21"/>
      <c r="R122" s="17" t="s">
        <v>4579</v>
      </c>
      <c r="S122" s="18" t="s">
        <v>4575</v>
      </c>
      <c r="T122" s="606" t="s">
        <v>5732</v>
      </c>
    </row>
    <row r="123" spans="1:20" ht="18" customHeight="1" x14ac:dyDescent="0.15">
      <c r="A123" s="601" t="s">
        <v>5733</v>
      </c>
      <c r="B123" s="17" t="s">
        <v>4631</v>
      </c>
      <c r="C123" s="18" t="s">
        <v>4575</v>
      </c>
      <c r="D123" s="21"/>
      <c r="E123" s="21"/>
      <c r="F123" s="2672" cm="1" t="n">
        <f t="array" ref="F123">INDEX('5층_부하량'!E3:E3000,MATCH(1,("5-DaHall 1-PDU-04"='5층_부하량'!A3:A3000)*(7='5층_부하량'!B3:B3000),0))</f>
        <v>0.0</v>
      </c>
      <c r="G123" s="21"/>
      <c r="H123" s="17" t="s">
        <v>4597</v>
      </c>
      <c r="I123" s="549" t="s">
        <v>4653</v>
      </c>
      <c r="J123" s="592" t="s">
        <v>5774</v>
      </c>
      <c r="K123" s="2249" t="s">
        <v>3187</v>
      </c>
      <c r="L123" s="549" t="s">
        <v>4599</v>
      </c>
      <c r="M123" s="17" t="s">
        <v>4597</v>
      </c>
      <c r="N123" s="21"/>
      <c r="O123" s="21"/>
      <c r="P123" s="2672" cm="1" t="n">
        <f t="array" ref="P123">INDEX('5층_부하량'!E3:E3000,MATCH(1,("5-DaHall 1-PDU-04"='5층_부하량'!A3:A3000)*(61='5층_부하량'!B3:B3000),0))</f>
        <v>1.78</v>
      </c>
      <c r="Q123" s="21"/>
      <c r="R123" s="17" t="s">
        <v>4579</v>
      </c>
      <c r="S123" s="18" t="s">
        <v>4575</v>
      </c>
      <c r="T123" s="606" t="s">
        <v>5734</v>
      </c>
    </row>
    <row r="124" spans="1:20" ht="18" customHeight="1" x14ac:dyDescent="0.15">
      <c r="A124" s="601" t="s">
        <v>5735</v>
      </c>
      <c r="B124" s="17" t="s">
        <v>4631</v>
      </c>
      <c r="C124" s="18" t="s">
        <v>4575</v>
      </c>
      <c r="D124" s="2672" cm="1" t="n">
        <f t="array" ref="D124">INDEX('5층_부하량'!C3:C3000,MATCH(1,("5-DaHall 1-PDU-04"='5층_부하량'!A3:A3000)*(8='5층_부하량'!B3:B3000),0))</f>
        <v>0.0</v>
      </c>
      <c r="E124" s="19"/>
      <c r="F124" s="19"/>
      <c r="G124" s="21"/>
      <c r="H124" s="17" t="s">
        <v>4597</v>
      </c>
      <c r="I124" s="549" t="s">
        <v>4657</v>
      </c>
      <c r="J124" s="592" t="s">
        <v>5774</v>
      </c>
      <c r="K124" s="2249" t="s">
        <v>3187</v>
      </c>
      <c r="L124" s="549" t="s">
        <v>4601</v>
      </c>
      <c r="M124" s="17" t="s">
        <v>4597</v>
      </c>
      <c r="N124" s="2672" cm="1" t="n">
        <f t="array" ref="N124">INDEX('5층_부하량'!C3:C3000,MATCH(1,("5-DaHall 1-PDU-04"='5층_부하량'!A3:A3000)*(62='5층_부하량'!B3:B3000),0))</f>
        <v>0.4</v>
      </c>
      <c r="O124" s="19"/>
      <c r="P124" s="19"/>
      <c r="Q124" s="21"/>
      <c r="R124" s="17" t="s">
        <v>4579</v>
      </c>
      <c r="S124" s="18" t="s">
        <v>4575</v>
      </c>
      <c r="T124" s="606" t="s">
        <v>5736</v>
      </c>
    </row>
    <row r="125" spans="1:20" ht="18" customHeight="1" x14ac:dyDescent="0.15">
      <c r="A125" s="601" t="s">
        <v>5737</v>
      </c>
      <c r="B125" s="17" t="s">
        <v>4631</v>
      </c>
      <c r="C125" s="18" t="s">
        <v>4575</v>
      </c>
      <c r="D125" s="21"/>
      <c r="E125" s="2672" cm="1" t="n">
        <f t="array" ref="E125">INDEX('5층_부하량'!D3:D3000,MATCH(1,("5-DaHall 1-PDU-04"='5층_부하량'!A3:A3000)*(9='5층_부하량'!B3:B3000),0))</f>
        <v>0.0</v>
      </c>
      <c r="F125" s="21"/>
      <c r="G125" s="21"/>
      <c r="H125" s="17" t="s">
        <v>4597</v>
      </c>
      <c r="I125" s="549" t="s">
        <v>4661</v>
      </c>
      <c r="J125" s="592" t="s">
        <v>5774</v>
      </c>
      <c r="K125" s="2249" t="s">
        <v>3187</v>
      </c>
      <c r="L125" s="549" t="s">
        <v>4603</v>
      </c>
      <c r="M125" s="17" t="s">
        <v>4597</v>
      </c>
      <c r="N125" s="21"/>
      <c r="O125" s="2672" cm="1" t="n">
        <f t="array" ref="O125">INDEX('5층_부하량'!D3:D3000,MATCH(1,("5-DaHall 1-PDU-04"='5층_부하량'!A3:A3000)*(63='5층_부하량'!B3:B3000),0))</f>
        <v>3.7199999999999998</v>
      </c>
      <c r="P125" s="21"/>
      <c r="Q125" s="21"/>
      <c r="R125" s="17" t="s">
        <v>4579</v>
      </c>
      <c r="S125" s="18" t="s">
        <v>4575</v>
      </c>
      <c r="T125" s="606" t="s">
        <v>5738</v>
      </c>
    </row>
    <row r="126" spans="1:20" ht="18" customHeight="1" x14ac:dyDescent="0.15">
      <c r="A126" s="601" t="s">
        <v>5739</v>
      </c>
      <c r="B126" s="17" t="s">
        <v>4631</v>
      </c>
      <c r="C126" s="18" t="s">
        <v>4575</v>
      </c>
      <c r="D126" s="21"/>
      <c r="E126" s="21"/>
      <c r="F126" s="2672" cm="1" t="n">
        <f t="array" ref="F126">INDEX('5층_부하량'!E3:E3000,MATCH(1,("5-DaHall 1-PDU-04"='5층_부하량'!A3:A3000)*(10='5층_부하량'!B3:B3000),0))</f>
        <v>0.0</v>
      </c>
      <c r="G126" s="21"/>
      <c r="H126" s="17" t="s">
        <v>4597</v>
      </c>
      <c r="I126" s="549" t="s">
        <v>4665</v>
      </c>
      <c r="J126" s="592" t="s">
        <v>5774</v>
      </c>
      <c r="K126" s="2249" t="s">
        <v>3187</v>
      </c>
      <c r="L126" s="549" t="s">
        <v>4605</v>
      </c>
      <c r="M126" s="17" t="s">
        <v>4597</v>
      </c>
      <c r="N126" s="21"/>
      <c r="O126" s="21"/>
      <c r="P126" s="2672" cm="1" t="n">
        <f t="array" ref="P126">INDEX('5층_부하량'!E3:E3000,MATCH(1,("5-DaHall 1-PDU-04"='5층_부하량'!A3:A3000)*(64='5층_부하량'!B3:B3000),0))</f>
        <v>0.85</v>
      </c>
      <c r="Q126" s="21"/>
      <c r="R126" s="17" t="s">
        <v>4579</v>
      </c>
      <c r="S126" s="18" t="s">
        <v>4575</v>
      </c>
      <c r="T126" s="606" t="s">
        <v>5740</v>
      </c>
    </row>
    <row r="127" spans="1:20" ht="18" customHeight="1" x14ac:dyDescent="0.15">
      <c r="A127" s="602" t="s">
        <v>5776</v>
      </c>
      <c r="B127" s="17" t="s">
        <v>4631</v>
      </c>
      <c r="C127" s="17" t="s">
        <v>4723</v>
      </c>
      <c r="D127" s="2672" cm="1" t="n">
        <f t="array" ref="D127">INDEX('5층_부하량'!C3:C3000,MATCH(1,("5-DaHall 1-PDU-04"='5층_부하량'!A3:A3000)*(11='5층_부하량'!B3:B3000),0))</f>
        <v>0.0</v>
      </c>
      <c r="E127" s="21"/>
      <c r="F127" s="21"/>
      <c r="G127" s="21"/>
      <c r="H127" s="17" t="s">
        <v>4597</v>
      </c>
      <c r="I127" s="1444" t="s">
        <v>4670</v>
      </c>
      <c r="J127" s="591" t="s">
        <v>4637</v>
      </c>
      <c r="K127" s="2249" t="s">
        <v>3187</v>
      </c>
      <c r="L127" s="549" t="s">
        <v>4609</v>
      </c>
      <c r="M127" s="17" t="s">
        <v>4597</v>
      </c>
      <c r="N127" s="2672" cm="1" t="n">
        <f t="array" ref="N127">INDEX('5층_부하량'!C3:C3000,MATCH(1,("5-DaHall 1-PDU-04"='5층_부하량'!A3:A3000)*(65='5층_부하량'!B3:B3000),0))</f>
        <v>1.3599999999999999</v>
      </c>
      <c r="O127" s="21"/>
      <c r="P127" s="21"/>
      <c r="Q127" s="21"/>
      <c r="R127" s="17" t="s">
        <v>4579</v>
      </c>
      <c r="S127" s="18" t="s">
        <v>4575</v>
      </c>
      <c r="T127" s="606" t="s">
        <v>5742</v>
      </c>
    </row>
    <row r="128" spans="1:20" ht="18" customHeight="1" x14ac:dyDescent="0.15">
      <c r="A128" s="321" t="s">
        <v>5777</v>
      </c>
      <c r="B128" s="17" t="s">
        <v>4631</v>
      </c>
      <c r="C128" s="17" t="s">
        <v>4723</v>
      </c>
      <c r="D128" s="21"/>
      <c r="E128" s="2672" cm="1" t="n">
        <f t="array" ref="E128">INDEX('5층_부하량'!D3:D3000,MATCH(1,("5-DaHall 1-PDU-04"='5층_부하량'!A3:A3000)*(12='5층_부하량'!B3:B3000),0))</f>
        <v>0.0</v>
      </c>
      <c r="F128" s="21"/>
      <c r="G128" s="21"/>
      <c r="H128" s="17" t="s">
        <v>4597</v>
      </c>
      <c r="I128" s="549" t="s">
        <v>4674</v>
      </c>
      <c r="J128" s="593" t="s">
        <v>5744</v>
      </c>
      <c r="K128" s="2249" t="s">
        <v>3187</v>
      </c>
      <c r="L128" s="549" t="s">
        <v>4613</v>
      </c>
      <c r="M128" s="17" t="s">
        <v>4597</v>
      </c>
      <c r="N128" s="21"/>
      <c r="O128" s="2672" cm="1" t="n">
        <f t="array" ref="O128">INDEX('5층_부하량'!D3:D3000,MATCH(1,("5-DaHall 1-PDU-04"='5층_부하량'!A3:A3000)*(66='5층_부하량'!B3:B3000),0))</f>
        <v>4.42</v>
      </c>
      <c r="P128" s="21"/>
      <c r="Q128" s="21"/>
      <c r="R128" s="17" t="s">
        <v>4579</v>
      </c>
      <c r="S128" s="18" t="s">
        <v>4575</v>
      </c>
      <c r="T128" s="606" t="s">
        <v>5745</v>
      </c>
    </row>
    <row r="129" spans="1:20" ht="18" customHeight="1" x14ac:dyDescent="0.15">
      <c r="A129" s="321" t="s">
        <v>3693</v>
      </c>
      <c r="B129" s="17" t="s">
        <v>4631</v>
      </c>
      <c r="C129" s="18" t="s">
        <v>4575</v>
      </c>
      <c r="D129" s="21"/>
      <c r="E129" s="21"/>
      <c r="F129" s="2672" cm="1" t="n">
        <f t="array" ref="F129">INDEX('5층_부하량'!E3:E3000,MATCH(1,("5-DaHall 1-PDU-04"='5층_부하량'!A3:A3000)*(13='5층_부하량'!B3:B3000),0))</f>
        <v>0.0</v>
      </c>
      <c r="G129" s="21"/>
      <c r="H129" s="17" t="s">
        <v>4597</v>
      </c>
      <c r="I129" s="549" t="s">
        <v>4678</v>
      </c>
      <c r="J129" s="593" t="s">
        <v>5744</v>
      </c>
      <c r="K129" s="2249" t="s">
        <v>3187</v>
      </c>
      <c r="L129" s="549" t="s">
        <v>4680</v>
      </c>
      <c r="M129" s="17" t="s">
        <v>4597</v>
      </c>
      <c r="N129" s="21"/>
      <c r="O129" s="21"/>
      <c r="P129" s="2672" cm="1" t="n">
        <f t="array" ref="P129">INDEX('5층_부하량'!E3:E3000,MATCH(1,("5-DaHall 1-PDU-04"='5층_부하량'!A3:A3000)*(67='5층_부하량'!B3:B3000),0))</f>
        <v>0.0</v>
      </c>
      <c r="Q129" s="21"/>
      <c r="R129" s="17" t="s">
        <v>5746</v>
      </c>
      <c r="S129" s="17" t="s">
        <v>4642</v>
      </c>
      <c r="T129" s="606" t="s">
        <v>5747</v>
      </c>
    </row>
    <row r="130" spans="1:20" ht="18" customHeight="1" x14ac:dyDescent="0.15">
      <c r="A130" s="321" t="s">
        <v>3698</v>
      </c>
      <c r="B130" s="17" t="s">
        <v>4631</v>
      </c>
      <c r="C130" s="18" t="s">
        <v>4575</v>
      </c>
      <c r="D130" s="2672" cm="1" t="n">
        <f t="array" ref="D130">INDEX('5층_부하량'!C3:C3000,MATCH(1,("5-DaHall 1-PDU-04"='5층_부하량'!A3:A3000)*(14='5층_부하량'!B3:B3000),0))</f>
        <v>0.0</v>
      </c>
      <c r="E130" s="19"/>
      <c r="F130" s="19"/>
      <c r="G130" s="21"/>
      <c r="H130" s="17" t="s">
        <v>4597</v>
      </c>
      <c r="I130" s="549" t="s">
        <v>4683</v>
      </c>
      <c r="J130" s="593" t="s">
        <v>5744</v>
      </c>
      <c r="K130" s="2249" t="s">
        <v>3187</v>
      </c>
      <c r="L130" s="549" t="s">
        <v>4685</v>
      </c>
      <c r="M130" s="17" t="s">
        <v>4597</v>
      </c>
      <c r="N130" s="2672" cm="1" t="n">
        <f t="array" ref="N130">INDEX('5층_부하량'!C3:C3000,MATCH(1,("5-DaHall 1-PDU-04"='5층_부하량'!A3:A3000)*(68='5층_부하량'!B3:B3000),0))</f>
        <v>0.0</v>
      </c>
      <c r="O130" s="19"/>
      <c r="P130" s="19"/>
      <c r="Q130" s="21"/>
      <c r="R130" s="17" t="s">
        <v>5746</v>
      </c>
      <c r="S130" s="17" t="s">
        <v>4642</v>
      </c>
      <c r="T130" s="606" t="s">
        <v>5748</v>
      </c>
    </row>
    <row r="131" spans="1:20" ht="18" customHeight="1" x14ac:dyDescent="0.15">
      <c r="A131" s="71" t="s">
        <v>3703</v>
      </c>
      <c r="B131" s="72" t="s">
        <v>4631</v>
      </c>
      <c r="C131" s="73" t="s">
        <v>4575</v>
      </c>
      <c r="D131" s="21"/>
      <c r="E131" s="2672" cm="1" t="n">
        <f t="array" ref="E131">INDEX('5층_부하량'!D3:D3000,MATCH(1,("5-DaHall 1-PDU-04"='5층_부하량'!A3:A3000)*(15='5층_부하량'!B3:B3000),0))</f>
        <v>0.0</v>
      </c>
      <c r="F131" s="21"/>
      <c r="G131" s="74"/>
      <c r="H131" s="72" t="s">
        <v>4597</v>
      </c>
      <c r="I131" s="550" t="s">
        <v>4688</v>
      </c>
      <c r="J131" s="593" t="s">
        <v>5744</v>
      </c>
      <c r="K131" s="2249" t="s">
        <v>3187</v>
      </c>
      <c r="L131" s="550" t="s">
        <v>4689</v>
      </c>
      <c r="M131" s="72" t="s">
        <v>4597</v>
      </c>
      <c r="N131" s="21"/>
      <c r="O131" s="2672" cm="1" t="n">
        <f t="array" ref="O131">INDEX('5층_부하량'!D3:D3000,MATCH(1,("5-DaHall 1-PDU-04"='5층_부하량'!A3:A3000)*(69='5층_부하량'!B3:B3000),0))</f>
        <v>0.0</v>
      </c>
      <c r="P131" s="21"/>
      <c r="Q131" s="74"/>
      <c r="R131" s="17" t="s">
        <v>5746</v>
      </c>
      <c r="S131" s="17" t="s">
        <v>4642</v>
      </c>
      <c r="T131" s="606" t="s">
        <v>5749</v>
      </c>
    </row>
    <row r="132" spans="1:20" ht="18" customHeight="1" x14ac:dyDescent="0.15">
      <c r="A132" s="602" t="s">
        <v>3708</v>
      </c>
      <c r="B132" s="17" t="s">
        <v>4631</v>
      </c>
      <c r="C132" s="18" t="s">
        <v>4575</v>
      </c>
      <c r="D132" s="21"/>
      <c r="E132" s="21"/>
      <c r="F132" s="2672" cm="1" t="n">
        <f t="array" ref="F132">INDEX('5층_부하량'!E3:E3000,MATCH(1,("5-DaHall 1-PDU-04"='5층_부하량'!A3:A3000)*(16='5층_부하량'!B3:B3000),0))</f>
        <v>0.0</v>
      </c>
      <c r="G132" s="21"/>
      <c r="H132" s="17" t="s">
        <v>4597</v>
      </c>
      <c r="I132" s="549" t="s">
        <v>4691</v>
      </c>
      <c r="J132" s="591" t="s">
        <v>5778</v>
      </c>
      <c r="K132" s="2249" t="s">
        <v>3187</v>
      </c>
      <c r="L132" s="549" t="s">
        <v>4692</v>
      </c>
      <c r="M132" s="17" t="s">
        <v>4597</v>
      </c>
      <c r="N132" s="21"/>
      <c r="O132" s="21"/>
      <c r="P132" s="2672" cm="1" t="n">
        <f t="array" ref="P132">INDEX('5층_부하량'!E3:E3000,MATCH(1,("5-DaHall 1-PDU-04"='5층_부하량'!A3:A3000)*(70='5층_부하량'!B3:B3000),0))</f>
        <v>0.0</v>
      </c>
      <c r="Q132" s="21"/>
      <c r="R132" s="17" t="s">
        <v>5746</v>
      </c>
      <c r="S132" s="17" t="s">
        <v>4642</v>
      </c>
      <c r="T132" s="606" t="s">
        <v>5750</v>
      </c>
    </row>
    <row r="133" spans="1:20" ht="18" customHeight="1" x14ac:dyDescent="0.15">
      <c r="A133" s="2196"/>
      <c r="B133" s="1448" t="s">
        <v>4590</v>
      </c>
      <c r="C133" s="17" t="s">
        <v>4723</v>
      </c>
      <c r="D133" s="2672" cm="1" t="n">
        <f t="array" ref="D133">INDEX('5층_부하량'!C3:C3000,MATCH(1,("5-DaHall 1-PDU-04"='5층_부하량'!A3:A3000)*(17='5층_부하량'!B3:B3000),0))</f>
        <v>0.0</v>
      </c>
      <c r="E133" s="19"/>
      <c r="F133" s="19"/>
      <c r="G133" s="21"/>
      <c r="H133" s="17" t="s">
        <v>4597</v>
      </c>
      <c r="I133" s="549" t="s">
        <v>4693</v>
      </c>
      <c r="J133" s="591" t="s">
        <v>5778</v>
      </c>
      <c r="K133" s="2249" t="s">
        <v>3187</v>
      </c>
      <c r="L133" s="1444" t="s">
        <v>4694</v>
      </c>
      <c r="M133" s="17" t="s">
        <v>4597</v>
      </c>
      <c r="N133" s="2672" cm="1" t="n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5746</v>
      </c>
      <c r="S133" s="18" t="s">
        <v>4575</v>
      </c>
      <c r="T133" s="606" t="s">
        <v>5752</v>
      </c>
    </row>
    <row r="134" spans="1:20" ht="18" customHeight="1" x14ac:dyDescent="0.15">
      <c r="A134" s="2196"/>
      <c r="B134" s="1448" t="s">
        <v>4590</v>
      </c>
      <c r="C134" s="17" t="s">
        <v>4723</v>
      </c>
      <c r="D134" s="21"/>
      <c r="E134" s="2672" cm="1" t="n">
        <f t="array" ref="E134">INDEX('5층_부하량'!D3:D3000,MATCH(1,("5-DaHall 1-PDU-04"='5층_부하량'!A3:A3000)*(18='5층_부하량'!B3:B3000),0))</f>
        <v>0.0</v>
      </c>
      <c r="F134" s="21"/>
      <c r="G134" s="21"/>
      <c r="H134" s="17" t="s">
        <v>4597</v>
      </c>
      <c r="I134" s="549" t="s">
        <v>4697</v>
      </c>
      <c r="J134" s="591" t="s">
        <v>5778</v>
      </c>
      <c r="K134" s="2249" t="s">
        <v>3187</v>
      </c>
      <c r="L134" s="1444" t="s">
        <v>4698</v>
      </c>
      <c r="M134" s="17" t="s">
        <v>4597</v>
      </c>
      <c r="N134" s="21"/>
      <c r="O134" s="2672" cm="1" t="n">
        <f t="array" ref="O134">INDEX('5층_부하량'!D3:D3000,MATCH(1,("5-DaHall 1-PDU-04"='5층_부하량'!A3:A3000)*(72='5층_부하량'!B3:B3000),0))</f>
        <v>0.28</v>
      </c>
      <c r="P134" s="21"/>
      <c r="Q134" s="21"/>
      <c r="R134" s="17" t="s">
        <v>5746</v>
      </c>
      <c r="S134" s="18" t="s">
        <v>4575</v>
      </c>
      <c r="T134" s="606" t="s">
        <v>5754</v>
      </c>
    </row>
    <row r="135" spans="1:20" ht="18" customHeight="1" x14ac:dyDescent="0.15">
      <c r="A135" s="2196"/>
      <c r="B135" s="1448" t="s">
        <v>4590</v>
      </c>
      <c r="C135" s="17" t="s">
        <v>4723</v>
      </c>
      <c r="D135" s="21"/>
      <c r="E135" s="19"/>
      <c r="F135" s="2670" cm="1" t="n">
        <f t="array" ref="F135">INDEX('5층_부하량'!E3:E3000,MATCH(1,("5-DaHall 1-PDU-04"='5층_부하량'!A3:A3000)*(19='5층_부하량'!B3:B3000),0))</f>
        <v>0.0</v>
      </c>
      <c r="G135" s="21"/>
      <c r="H135" s="17" t="s">
        <v>4597</v>
      </c>
      <c r="I135" s="549" t="s">
        <v>4701</v>
      </c>
      <c r="J135" s="592" t="s">
        <v>5779</v>
      </c>
      <c r="K135" s="2249" t="s">
        <v>3187</v>
      </c>
      <c r="L135" s="1444" t="s">
        <v>4703</v>
      </c>
      <c r="M135" s="17" t="s">
        <v>4597</v>
      </c>
      <c r="N135" s="21"/>
      <c r="O135" s="19"/>
      <c r="P135" s="2670" cm="1" t="n">
        <f t="array" ref="P135">INDEX('5층_부하량'!E3:E3000,MATCH(1,("5-DaHall 1-PDU-04"='5층_부하량'!A3:A3000)*(73='5층_부하량'!B3:B3000),0))</f>
        <v>2.27</v>
      </c>
      <c r="Q135" s="21"/>
      <c r="R135" s="17" t="s">
        <v>5746</v>
      </c>
      <c r="S135" s="18" t="s">
        <v>4575</v>
      </c>
      <c r="T135" s="606" t="s">
        <v>5756</v>
      </c>
    </row>
    <row r="136" spans="1:20" ht="18" customHeight="1" x14ac:dyDescent="0.15">
      <c r="A136" s="601" t="s">
        <v>5757</v>
      </c>
      <c r="B136" s="72" t="s">
        <v>4631</v>
      </c>
      <c r="C136" s="73" t="s">
        <v>4575</v>
      </c>
      <c r="D136" s="2672" cm="1" t="n">
        <f t="array" ref="D136">INDEX('5층_부하량'!C3:C3000,MATCH(1,("5-DaHall 1-PDU-04"='5층_부하량'!A3:A3000)*(20='5층_부하량'!B3:B3000),0))</f>
        <v>3.22</v>
      </c>
      <c r="E136" s="19"/>
      <c r="F136" s="19"/>
      <c r="G136" s="21"/>
      <c r="H136" s="17" t="s">
        <v>4597</v>
      </c>
      <c r="I136" s="549" t="s">
        <v>4706</v>
      </c>
      <c r="J136" s="2247" t="s">
        <v>3190</v>
      </c>
      <c r="K136" s="2249" t="s">
        <v>3187</v>
      </c>
      <c r="L136" s="1444" t="s">
        <v>4707</v>
      </c>
      <c r="M136" s="17" t="s">
        <v>4597</v>
      </c>
      <c r="N136" s="2672" cm="1" t="n">
        <f t="array" ref="N136">INDEX('5층_부하량'!C3:C3000,MATCH(1,("5-DaHall 1-PDU-04"='5층_부하량'!A3:A3000)*(74='5층_부하량'!B3:B3000),0))</f>
        <v>2.4699999999999998</v>
      </c>
      <c r="O136" s="19"/>
      <c r="P136" s="19"/>
      <c r="Q136" s="21"/>
      <c r="R136" s="17" t="s">
        <v>5746</v>
      </c>
      <c r="S136" s="18" t="s">
        <v>4575</v>
      </c>
      <c r="T136" s="606" t="s">
        <v>5758</v>
      </c>
    </row>
    <row r="137" spans="1:20" ht="18" customHeight="1" x14ac:dyDescent="0.15">
      <c r="A137" s="601" t="s">
        <v>5759</v>
      </c>
      <c r="B137" s="17" t="s">
        <v>4631</v>
      </c>
      <c r="C137" s="18" t="s">
        <v>4575</v>
      </c>
      <c r="D137" s="21"/>
      <c r="E137" s="2672" cm="1" t="n">
        <f t="array" ref="E137">INDEX('5층_부하량'!D3:D3000,MATCH(1,("5-DaHall 1-PDU-04"='5층_부하량'!A3:A3000)*(21='5층_부하량'!B3:B3000),0))</f>
        <v>0.0</v>
      </c>
      <c r="F137" s="19"/>
      <c r="G137" s="21"/>
      <c r="H137" s="17" t="s">
        <v>4597</v>
      </c>
      <c r="I137" s="549" t="s">
        <v>4710</v>
      </c>
      <c r="J137" s="2247" t="s">
        <v>3190</v>
      </c>
      <c r="K137" s="2249" t="s">
        <v>3187</v>
      </c>
      <c r="L137" s="1444" t="s">
        <v>4711</v>
      </c>
      <c r="M137" s="17" t="s">
        <v>4597</v>
      </c>
      <c r="N137" s="21"/>
      <c r="O137" s="2672" cm="1" t="n">
        <f t="array" ref="O137">INDEX('5층_부하량'!D3:D3000,MATCH(1,("5-DaHall 1-PDU-04"='5층_부하량'!A3:A3000)*(75='5층_부하량'!B3:B3000),0))</f>
        <v>1.44</v>
      </c>
      <c r="P137" s="19"/>
      <c r="Q137" s="21"/>
      <c r="R137" s="17" t="s">
        <v>5746</v>
      </c>
      <c r="S137" s="18" t="s">
        <v>4575</v>
      </c>
      <c r="T137" s="606" t="s">
        <v>5760</v>
      </c>
    </row>
    <row r="138" spans="1:20" ht="18" customHeight="1" x14ac:dyDescent="0.15">
      <c r="A138" s="2196" t="s">
        <v>5761</v>
      </c>
      <c r="B138" s="17" t="s">
        <v>5762</v>
      </c>
      <c r="C138" s="17" t="s">
        <v>4723</v>
      </c>
      <c r="D138" s="21"/>
      <c r="E138" s="19"/>
      <c r="F138" s="2672" cm="1" t="n">
        <f t="array" ref="F138">INDEX('5층_부하량'!E3:E3000,MATCH(1,("5-DaHall 1-PDU-04"='5층_부하량'!A3:A3000)*(22='5층_부하량'!B3:B3000),0))</f>
        <v>0.0</v>
      </c>
      <c r="G138" s="21"/>
      <c r="H138" s="17" t="s">
        <v>4597</v>
      </c>
      <c r="I138" s="549" t="s">
        <v>5055</v>
      </c>
      <c r="J138" s="2247" t="s">
        <v>3190</v>
      </c>
      <c r="K138" s="2249" t="s">
        <v>3187</v>
      </c>
      <c r="L138" s="1444" t="s">
        <v>4843</v>
      </c>
      <c r="M138" s="17" t="s">
        <v>4597</v>
      </c>
      <c r="N138" s="21"/>
      <c r="O138" s="19"/>
      <c r="P138" s="2672" cm="1" t="n">
        <f t="array" ref="P138">INDEX('5층_부하량'!E3:E3000,MATCH(1,("5-DaHall 1-PDU-04"='5층_부하량'!A3:A3000)*(76='5층_부하량'!B3:B3000),0))</f>
        <v>1.5699999999999998</v>
      </c>
      <c r="Q138" s="21"/>
      <c r="R138" s="17" t="s">
        <v>5746</v>
      </c>
      <c r="S138" s="18" t="s">
        <v>4575</v>
      </c>
      <c r="T138" s="606" t="s">
        <v>5763</v>
      </c>
    </row>
    <row r="139" spans="1:20" ht="18" customHeight="1" x14ac:dyDescent="0.15">
      <c r="A139" s="2196" t="s">
        <v>5764</v>
      </c>
      <c r="B139" s="72" t="s">
        <v>4631</v>
      </c>
      <c r="C139" s="73" t="s">
        <v>4575</v>
      </c>
      <c r="D139" s="2672" cm="1" t="n">
        <f t="array" ref="D139">INDEX('5층_부하량'!C3:C3000,MATCH(1,("5-DaHall 1-PDU-04"='5층_부하량'!A3:A3000)*(23='5층_부하량'!B3:B3000),0))</f>
        <v>2.22</v>
      </c>
      <c r="E139" s="19"/>
      <c r="F139" s="19"/>
      <c r="G139" s="21"/>
      <c r="H139" s="17" t="s">
        <v>4597</v>
      </c>
      <c r="I139" s="549" t="s">
        <v>4845</v>
      </c>
      <c r="J139" s="2247" t="s">
        <v>3190</v>
      </c>
      <c r="K139" s="2249" t="s">
        <v>3187</v>
      </c>
      <c r="L139" s="1444" t="s">
        <v>4846</v>
      </c>
      <c r="M139" s="17" t="s">
        <v>4597</v>
      </c>
      <c r="N139" s="2672" cm="1" t="n">
        <f t="array" ref="N139">INDEX('5층_부하량'!C3:C3000,MATCH(1,("5-DaHall 1-PDU-04"='5층_부하량'!A3:A3000)*(77='5층_부하량'!B3:B3000),0))</f>
        <v>2.26</v>
      </c>
      <c r="O139" s="19"/>
      <c r="P139" s="19"/>
      <c r="Q139" s="21"/>
      <c r="R139" s="17" t="s">
        <v>5746</v>
      </c>
      <c r="S139" s="18" t="s">
        <v>4575</v>
      </c>
      <c r="T139" s="606" t="s">
        <v>5765</v>
      </c>
    </row>
    <row r="140" spans="1:20" ht="18" customHeight="1" x14ac:dyDescent="0.15">
      <c r="A140" s="2196" t="s">
        <v>5766</v>
      </c>
      <c r="B140" s="17" t="s">
        <v>4631</v>
      </c>
      <c r="C140" s="18" t="s">
        <v>4575</v>
      </c>
      <c r="D140" s="21"/>
      <c r="E140" s="2672" cm="1" t="n">
        <f t="array" ref="E140">INDEX('5층_부하량'!D3:D3000,MATCH(1,("5-DaHall 1-PDU-04"='5층_부하량'!A3:A3000)*(24='5층_부하량'!B3:B3000),0))</f>
        <v>0.0</v>
      </c>
      <c r="F140" s="21"/>
      <c r="G140" s="21"/>
      <c r="H140" s="17" t="s">
        <v>4597</v>
      </c>
      <c r="I140" s="549" t="s">
        <v>4847</v>
      </c>
      <c r="J140" s="2247" t="s">
        <v>3190</v>
      </c>
      <c r="K140" s="2249" t="s">
        <v>3187</v>
      </c>
      <c r="L140" s="1444" t="s">
        <v>4848</v>
      </c>
      <c r="M140" s="17" t="s">
        <v>4597</v>
      </c>
      <c r="N140" s="21"/>
      <c r="O140" s="2672" cm="1" t="n">
        <f t="array" ref="O140">INDEX('5층_부하량'!D3:D3000,MATCH(1,("5-DaHall 1-PDU-04"='5층_부하량'!A3:A3000)*(78='5층_부하량'!B3:B3000),0))</f>
        <v>2.29</v>
      </c>
      <c r="P140" s="21"/>
      <c r="Q140" s="21"/>
      <c r="R140" s="17" t="s">
        <v>5746</v>
      </c>
      <c r="S140" s="18" t="s">
        <v>4575</v>
      </c>
      <c r="T140" s="606" t="s">
        <v>5767</v>
      </c>
    </row>
    <row r="141" spans="1:20" ht="18" customHeight="1" x14ac:dyDescent="0.15">
      <c r="A141" s="2196" t="s">
        <v>5780</v>
      </c>
      <c r="B141" s="17" t="s">
        <v>5762</v>
      </c>
      <c r="C141" s="18" t="s">
        <v>4575</v>
      </c>
      <c r="D141" s="21"/>
      <c r="E141" s="21"/>
      <c r="F141" s="2672" cm="1" t="n">
        <f t="array" ref="F141">INDEX('5층_부하량'!E3:E3000,MATCH(1,("5-DaHall 1-PDU-04"='5층_부하량'!A3:A3000)*(25='5층_부하량'!B3:B3000),0))</f>
        <v>3.94</v>
      </c>
      <c r="G141" s="21"/>
      <c r="H141" s="17" t="s">
        <v>4597</v>
      </c>
      <c r="I141" s="549" t="s">
        <v>4849</v>
      </c>
      <c r="J141" s="2247" t="s">
        <v>3190</v>
      </c>
      <c r="K141" s="2249" t="s">
        <v>3187</v>
      </c>
      <c r="L141" s="1444" t="s">
        <v>4850</v>
      </c>
      <c r="M141" s="17" t="s">
        <v>4597</v>
      </c>
      <c r="N141" s="21"/>
      <c r="O141" s="21"/>
      <c r="P141" s="2672" cm="1" t="n">
        <f t="array" ref="P141">INDEX('5층_부하량'!E3:E3000,MATCH(1,("5-DaHall 1-PDU-04"='5층_부하량'!A3:A3000)*(79='5층_부하량'!B3:B3000),0))</f>
        <v>2.93</v>
      </c>
      <c r="Q141" s="21"/>
      <c r="R141" s="17" t="s">
        <v>5746</v>
      </c>
      <c r="S141" s="18" t="s">
        <v>4575</v>
      </c>
      <c r="T141" s="606" t="s">
        <v>5769</v>
      </c>
    </row>
    <row r="142" spans="1:20" ht="18" customHeight="1" thickBot="1" x14ac:dyDescent="0.2">
      <c r="A142" s="2197" t="s">
        <v>5781</v>
      </c>
      <c r="B142" s="35" t="s">
        <v>5762</v>
      </c>
      <c r="C142" s="39" t="s">
        <v>4575</v>
      </c>
      <c r="D142" s="2671" cm="1" t="n">
        <f t="array" ref="D142">INDEX('5층_부하량'!C3:C3000,MATCH(1,("5-DaHall 1-PDU-04"='5층_부하량'!A3:A3000)*(26='5층_부하량'!B3:B3000),0))</f>
        <v>5.3</v>
      </c>
      <c r="E142" s="36"/>
      <c r="F142" s="36"/>
      <c r="G142" s="36"/>
      <c r="H142" s="35" t="s">
        <v>4597</v>
      </c>
      <c r="I142" s="1447" t="s">
        <v>4851</v>
      </c>
      <c r="J142" s="2248" t="s">
        <v>3190</v>
      </c>
      <c r="K142" s="2250" t="s">
        <v>3187</v>
      </c>
      <c r="L142" s="1447" t="s">
        <v>4852</v>
      </c>
      <c r="M142" s="35" t="s">
        <v>4597</v>
      </c>
      <c r="N142" s="2671" cm="1" t="n">
        <f t="array" ref="N142">INDEX('5층_부하량'!C3:C3000,MATCH(1,("5-DaHall 1-PDU-04"='5층_부하량'!A3:A3000)*(80='5층_부하량'!B3:B3000),0))</f>
        <v>3.63</v>
      </c>
      <c r="O142" s="36"/>
      <c r="P142" s="36"/>
      <c r="Q142" s="36"/>
      <c r="R142" s="35" t="s">
        <v>5746</v>
      </c>
      <c r="S142" s="39" t="s">
        <v>4575</v>
      </c>
      <c r="T142" s="2251" t="s">
        <v>5771</v>
      </c>
    </row>
    <row r="143" spans="1:20" ht="18" customHeight="1" thickTop="1" thickBot="1" x14ac:dyDescent="0.2">
      <c r="M143" s="80" t="s">
        <v>5645</v>
      </c>
      <c r="N143" s="33" t="n">
        <f>SUM(D117:D142,N117:N142)</f>
        <v>22.69</v>
      </c>
      <c r="O143" s="33" t="n">
        <f>SUM(E117:E142,O117:O142)</f>
        <v>14.129999999999999</v>
      </c>
      <c r="P143" s="33" t="n">
        <f>SUM(F117:F142,P117:P142)</f>
        <v>13.87</v>
      </c>
    </row>
    <row r="144" spans="1:20" ht="18" customHeight="1" thickTop="1" thickBot="1" x14ac:dyDescent="0.2">
      <c r="A144" s="2" t="s">
        <v>5782</v>
      </c>
      <c r="C144" s="3660" t="s">
        <v>5783</v>
      </c>
      <c r="D144" s="3660"/>
      <c r="E144" s="3660"/>
      <c r="F144" s="53"/>
      <c r="G144" s="53"/>
      <c r="H144" s="124"/>
      <c r="I144" s="124"/>
      <c r="J144" s="3661" t="s">
        <v>5784</v>
      </c>
      <c r="K144" s="3667"/>
      <c r="L144" s="124"/>
      <c r="M144" s="86" t="s">
        <v>5785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2">
      <c r="A145" s="3"/>
      <c r="D145" s="54"/>
      <c r="E145" s="54"/>
      <c r="F145" s="54"/>
      <c r="G145" s="54"/>
      <c r="H145" s="4"/>
      <c r="I145" s="4"/>
      <c r="K145" s="56"/>
      <c r="L145" s="565"/>
      <c r="M145" s="1371" t="s">
        <v>4562</v>
      </c>
      <c r="N145" s="1368"/>
      <c r="O145" s="1369"/>
      <c r="P145" s="1370"/>
      <c r="Q145" s="508" t="s">
        <v>4563</v>
      </c>
      <c r="R145" s="133"/>
      <c r="S145" s="128"/>
      <c r="T145" s="528"/>
    </row>
    <row r="146" spans="1:20" ht="18" customHeight="1" thickTop="1" thickBot="1" x14ac:dyDescent="0.2">
      <c r="A146" s="5" t="s">
        <v>4564</v>
      </c>
      <c r="B146" s="6" t="s">
        <v>4565</v>
      </c>
      <c r="C146" s="7" t="s">
        <v>4566</v>
      </c>
      <c r="D146" s="6" t="s">
        <v>4567</v>
      </c>
      <c r="E146" s="6" t="s">
        <v>4568</v>
      </c>
      <c r="F146" s="6" t="s">
        <v>4569</v>
      </c>
      <c r="G146" s="6" t="s">
        <v>4570</v>
      </c>
      <c r="H146" s="8" t="s">
        <v>4571</v>
      </c>
      <c r="I146" s="547"/>
      <c r="J146" s="58" t="s">
        <v>4572</v>
      </c>
      <c r="K146" s="59" t="s">
        <v>4572</v>
      </c>
      <c r="L146" s="566"/>
      <c r="M146" s="8" t="s">
        <v>4571</v>
      </c>
      <c r="N146" s="6" t="s">
        <v>4567</v>
      </c>
      <c r="O146" s="6" t="s">
        <v>4568</v>
      </c>
      <c r="P146" s="6" t="s">
        <v>4569</v>
      </c>
      <c r="Q146" s="6" t="s">
        <v>4570</v>
      </c>
      <c r="R146" s="6" t="s">
        <v>4565</v>
      </c>
      <c r="S146" s="7" t="s">
        <v>4566</v>
      </c>
      <c r="T146" s="60" t="s">
        <v>4564</v>
      </c>
    </row>
    <row r="147" spans="1:20" ht="18" customHeight="1" thickTop="1" x14ac:dyDescent="0.15">
      <c r="A147" s="10"/>
      <c r="B147" s="11" t="s">
        <v>4590</v>
      </c>
      <c r="C147" s="13" t="s">
        <v>4723</v>
      </c>
      <c r="D147" s="15"/>
      <c r="E147" s="15"/>
      <c r="F147" s="15"/>
      <c r="G147" s="15"/>
      <c r="H147" s="13" t="s">
        <v>5786</v>
      </c>
      <c r="I147" s="1177" t="s">
        <v>5787</v>
      </c>
      <c r="J147" s="61"/>
      <c r="K147" s="62"/>
      <c r="L147" s="567" t="s">
        <v>5788</v>
      </c>
      <c r="M147" s="11" t="s">
        <v>5786</v>
      </c>
      <c r="N147" s="15"/>
      <c r="O147" s="15"/>
      <c r="P147" s="15"/>
      <c r="Q147" s="15"/>
      <c r="R147" s="63" t="s">
        <v>4590</v>
      </c>
      <c r="S147" s="11" t="s">
        <v>4642</v>
      </c>
      <c r="T147" s="64"/>
    </row>
    <row r="148" spans="1:20" ht="18" customHeight="1" x14ac:dyDescent="0.15">
      <c r="A148" s="16" t="s">
        <v>5789</v>
      </c>
      <c r="B148" s="17" t="s">
        <v>4631</v>
      </c>
      <c r="C148" s="2475" t="s">
        <v>4723</v>
      </c>
      <c r="D148" s="19"/>
      <c r="E148" s="19"/>
      <c r="F148" s="19"/>
      <c r="G148" s="19"/>
      <c r="H148" s="17" t="s">
        <v>5790</v>
      </c>
      <c r="I148" s="549" t="s">
        <v>4638</v>
      </c>
      <c r="J148" s="65" t="s">
        <v>5661</v>
      </c>
      <c r="K148" s="66" t="s">
        <v>4961</v>
      </c>
      <c r="L148" s="549" t="s">
        <v>4583</v>
      </c>
      <c r="M148" s="17" t="s">
        <v>5786</v>
      </c>
      <c r="N148" s="19"/>
      <c r="O148" s="19"/>
      <c r="P148" s="19"/>
      <c r="Q148" s="19"/>
      <c r="R148" s="67" t="s">
        <v>4631</v>
      </c>
      <c r="S148" s="2476" t="s">
        <v>4723</v>
      </c>
      <c r="T148" s="68" t="s">
        <v>5791</v>
      </c>
    </row>
    <row r="149" spans="1:20" ht="18" customHeight="1" x14ac:dyDescent="0.15">
      <c r="A149" s="321" t="s">
        <v>5792</v>
      </c>
      <c r="B149" s="17" t="s">
        <v>4631</v>
      </c>
      <c r="C149" s="2475" t="s">
        <v>4723</v>
      </c>
      <c r="D149" s="21"/>
      <c r="E149" s="21"/>
      <c r="F149" s="21"/>
      <c r="G149" s="21"/>
      <c r="H149" s="17" t="s">
        <v>5786</v>
      </c>
      <c r="I149" s="549" t="s">
        <v>4641</v>
      </c>
      <c r="J149" s="65" t="s">
        <v>5661</v>
      </c>
      <c r="K149" s="66" t="s">
        <v>4961</v>
      </c>
      <c r="L149" s="549" t="s">
        <v>4588</v>
      </c>
      <c r="M149" s="17" t="s">
        <v>5786</v>
      </c>
      <c r="N149" s="21"/>
      <c r="O149" s="21"/>
      <c r="P149" s="21"/>
      <c r="Q149" s="21"/>
      <c r="R149" s="69" t="s">
        <v>4631</v>
      </c>
      <c r="S149" s="2476" t="s">
        <v>4723</v>
      </c>
      <c r="T149" s="70" t="s">
        <v>5793</v>
      </c>
    </row>
    <row r="150" spans="1:20" ht="18" customHeight="1" x14ac:dyDescent="0.15">
      <c r="A150" s="16" t="s">
        <v>5794</v>
      </c>
      <c r="B150" s="17" t="s">
        <v>4631</v>
      </c>
      <c r="C150" s="2476" t="s">
        <v>4723</v>
      </c>
      <c r="D150" s="21"/>
      <c r="E150" s="21"/>
      <c r="F150" s="21"/>
      <c r="G150" s="21"/>
      <c r="H150" s="17" t="s">
        <v>5795</v>
      </c>
      <c r="I150" s="549" t="s">
        <v>4645</v>
      </c>
      <c r="J150" s="65" t="s">
        <v>4961</v>
      </c>
      <c r="K150" s="66" t="s">
        <v>4961</v>
      </c>
      <c r="L150" s="549" t="s">
        <v>4593</v>
      </c>
      <c r="M150" s="17" t="s">
        <v>5795</v>
      </c>
      <c r="N150" s="21"/>
      <c r="O150" s="21"/>
      <c r="P150" s="21"/>
      <c r="Q150" s="21"/>
      <c r="R150" s="69" t="s">
        <v>4631</v>
      </c>
      <c r="S150" s="2476" t="s">
        <v>4723</v>
      </c>
      <c r="T150" s="68" t="s">
        <v>5796</v>
      </c>
    </row>
    <row r="151" spans="1:20" ht="18" customHeight="1" x14ac:dyDescent="0.15">
      <c r="A151" s="321" t="s">
        <v>5797</v>
      </c>
      <c r="B151" s="17" t="s">
        <v>4631</v>
      </c>
      <c r="C151" s="2476" t="s">
        <v>4723</v>
      </c>
      <c r="D151" s="21"/>
      <c r="E151" s="21"/>
      <c r="F151" s="21"/>
      <c r="G151" s="21"/>
      <c r="H151" s="17" t="s">
        <v>5795</v>
      </c>
      <c r="I151" s="549" t="s">
        <v>4648</v>
      </c>
      <c r="J151" s="65" t="s">
        <v>5798</v>
      </c>
      <c r="K151" s="66" t="s">
        <v>4961</v>
      </c>
      <c r="L151" s="549" t="s">
        <v>4596</v>
      </c>
      <c r="M151" s="17" t="s">
        <v>5795</v>
      </c>
      <c r="N151" s="21"/>
      <c r="O151" s="21"/>
      <c r="P151" s="21"/>
      <c r="Q151" s="21"/>
      <c r="R151" s="69" t="s">
        <v>4631</v>
      </c>
      <c r="S151" s="2476" t="s">
        <v>4723</v>
      </c>
      <c r="T151" s="70" t="s">
        <v>5799</v>
      </c>
    </row>
    <row r="152" spans="1:20" ht="18" customHeight="1" thickBot="1" x14ac:dyDescent="0.2">
      <c r="A152" s="87" t="s">
        <v>5800</v>
      </c>
      <c r="B152" s="88" t="s">
        <v>4631</v>
      </c>
      <c r="C152" s="2477" t="s">
        <v>4723</v>
      </c>
      <c r="D152" s="90"/>
      <c r="E152" s="90"/>
      <c r="F152" s="90"/>
      <c r="G152" s="90"/>
      <c r="H152" s="88" t="s">
        <v>5795</v>
      </c>
      <c r="I152" s="553" t="s">
        <v>4653</v>
      </c>
      <c r="J152" s="91" t="s">
        <v>5661</v>
      </c>
      <c r="K152" s="92" t="s">
        <v>4961</v>
      </c>
      <c r="L152" s="553" t="s">
        <v>4599</v>
      </c>
      <c r="M152" s="88" t="s">
        <v>5801</v>
      </c>
      <c r="N152" s="90"/>
      <c r="O152" s="90"/>
      <c r="P152" s="90"/>
      <c r="Q152" s="90"/>
      <c r="R152" s="93" t="s">
        <v>4631</v>
      </c>
      <c r="S152" s="2480" t="s">
        <v>4723</v>
      </c>
      <c r="T152" s="94" t="s">
        <v>5802</v>
      </c>
    </row>
    <row r="153" spans="1:20" ht="18" customHeight="1" thickTop="1" x14ac:dyDescent="0.15">
      <c r="A153" s="71" t="s">
        <v>5803</v>
      </c>
      <c r="B153" s="72" t="s">
        <v>4631</v>
      </c>
      <c r="C153" s="2478" t="s">
        <v>4723</v>
      </c>
      <c r="D153" s="74"/>
      <c r="E153" s="74"/>
      <c r="F153" s="74"/>
      <c r="G153" s="74"/>
      <c r="H153" s="72" t="s">
        <v>5801</v>
      </c>
      <c r="I153" s="550" t="s">
        <v>4657</v>
      </c>
      <c r="J153" s="95" t="s">
        <v>4961</v>
      </c>
      <c r="K153" s="96" t="s">
        <v>4961</v>
      </c>
      <c r="L153" s="550" t="s">
        <v>4601</v>
      </c>
      <c r="M153" s="72" t="s">
        <v>5801</v>
      </c>
      <c r="N153" s="74"/>
      <c r="O153" s="74"/>
      <c r="P153" s="74"/>
      <c r="Q153" s="74"/>
      <c r="R153" s="75" t="s">
        <v>4631</v>
      </c>
      <c r="S153" s="2478" t="s">
        <v>4723</v>
      </c>
      <c r="T153" s="68" t="s">
        <v>5804</v>
      </c>
    </row>
    <row r="154" spans="1:20" ht="18" customHeight="1" x14ac:dyDescent="0.15">
      <c r="A154" s="16" t="s">
        <v>5805</v>
      </c>
      <c r="B154" s="17" t="s">
        <v>4631</v>
      </c>
      <c r="C154" s="2476" t="s">
        <v>4723</v>
      </c>
      <c r="D154" s="21"/>
      <c r="E154" s="21"/>
      <c r="F154" s="21"/>
      <c r="G154" s="21"/>
      <c r="H154" s="17" t="s">
        <v>5801</v>
      </c>
      <c r="I154" s="549" t="s">
        <v>4661</v>
      </c>
      <c r="J154" s="65" t="s">
        <v>4961</v>
      </c>
      <c r="K154" s="66" t="s">
        <v>4961</v>
      </c>
      <c r="L154" s="549" t="s">
        <v>4603</v>
      </c>
      <c r="M154" s="17" t="s">
        <v>5801</v>
      </c>
      <c r="N154" s="21"/>
      <c r="O154" s="21"/>
      <c r="P154" s="21"/>
      <c r="Q154" s="21"/>
      <c r="R154" s="69" t="s">
        <v>4631</v>
      </c>
      <c r="S154" s="2476" t="s">
        <v>4723</v>
      </c>
      <c r="T154" s="70" t="s">
        <v>5806</v>
      </c>
    </row>
    <row r="155" spans="1:20" ht="18" customHeight="1" x14ac:dyDescent="0.15">
      <c r="A155" s="321" t="s">
        <v>5807</v>
      </c>
      <c r="B155" s="17" t="s">
        <v>4631</v>
      </c>
      <c r="C155" s="2476" t="s">
        <v>4723</v>
      </c>
      <c r="D155" s="21"/>
      <c r="E155" s="21"/>
      <c r="F155" s="21"/>
      <c r="G155" s="21"/>
      <c r="H155" s="17" t="s">
        <v>5801</v>
      </c>
      <c r="I155" s="549" t="s">
        <v>4665</v>
      </c>
      <c r="J155" s="65" t="s">
        <v>5808</v>
      </c>
      <c r="K155" s="66" t="s">
        <v>4961</v>
      </c>
      <c r="L155" s="549" t="s">
        <v>4605</v>
      </c>
      <c r="M155" s="17" t="s">
        <v>5801</v>
      </c>
      <c r="N155" s="21"/>
      <c r="O155" s="21"/>
      <c r="P155" s="21"/>
      <c r="Q155" s="21"/>
      <c r="R155" s="69" t="s">
        <v>4631</v>
      </c>
      <c r="S155" s="2476" t="s">
        <v>4723</v>
      </c>
      <c r="T155" s="70" t="s">
        <v>5809</v>
      </c>
    </row>
    <row r="156" spans="1:20" ht="18" customHeight="1" x14ac:dyDescent="0.15">
      <c r="A156" s="16" t="s">
        <v>5810</v>
      </c>
      <c r="B156" s="17" t="s">
        <v>4631</v>
      </c>
      <c r="C156" s="2476" t="s">
        <v>4723</v>
      </c>
      <c r="D156" s="21"/>
      <c r="E156" s="21"/>
      <c r="F156" s="21"/>
      <c r="G156" s="21"/>
      <c r="H156" s="17" t="s">
        <v>5811</v>
      </c>
      <c r="I156" s="549" t="s">
        <v>4670</v>
      </c>
      <c r="J156" s="65" t="s">
        <v>4961</v>
      </c>
      <c r="K156" s="66" t="s">
        <v>4961</v>
      </c>
      <c r="L156" s="549" t="s">
        <v>4609</v>
      </c>
      <c r="M156" s="17" t="s">
        <v>5811</v>
      </c>
      <c r="N156" s="21"/>
      <c r="O156" s="21"/>
      <c r="P156" s="21"/>
      <c r="Q156" s="21"/>
      <c r="R156" s="69" t="s">
        <v>4631</v>
      </c>
      <c r="S156" s="2476" t="s">
        <v>4723</v>
      </c>
      <c r="T156" s="70" t="s">
        <v>5812</v>
      </c>
    </row>
    <row r="157" spans="1:20" ht="18" customHeight="1" x14ac:dyDescent="0.15">
      <c r="A157" s="321" t="s">
        <v>5813</v>
      </c>
      <c r="B157" s="17" t="s">
        <v>4631</v>
      </c>
      <c r="C157" s="2476" t="s">
        <v>4723</v>
      </c>
      <c r="D157" s="21"/>
      <c r="E157" s="21"/>
      <c r="F157" s="21"/>
      <c r="G157" s="21"/>
      <c r="H157" s="17" t="s">
        <v>5811</v>
      </c>
      <c r="I157" s="549" t="s">
        <v>4674</v>
      </c>
      <c r="J157" s="65" t="s">
        <v>4961</v>
      </c>
      <c r="K157" s="66" t="s">
        <v>4961</v>
      </c>
      <c r="L157" s="549" t="s">
        <v>4613</v>
      </c>
      <c r="M157" s="17" t="s">
        <v>5811</v>
      </c>
      <c r="N157" s="21"/>
      <c r="O157" s="21"/>
      <c r="P157" s="21"/>
      <c r="Q157" s="21"/>
      <c r="R157" s="69" t="s">
        <v>4631</v>
      </c>
      <c r="S157" s="2476" t="s">
        <v>4723</v>
      </c>
      <c r="T157" s="82" t="s">
        <v>5814</v>
      </c>
    </row>
    <row r="158" spans="1:20" ht="18" customHeight="1" x14ac:dyDescent="0.15">
      <c r="A158" s="321" t="s">
        <v>5815</v>
      </c>
      <c r="B158" s="17" t="s">
        <v>4631</v>
      </c>
      <c r="C158" s="2476" t="s">
        <v>4723</v>
      </c>
      <c r="D158" s="21"/>
      <c r="E158" s="21"/>
      <c r="F158" s="21"/>
      <c r="G158" s="21"/>
      <c r="H158" s="17" t="s">
        <v>5811</v>
      </c>
      <c r="I158" s="549" t="s">
        <v>4678</v>
      </c>
      <c r="J158" s="65" t="s">
        <v>4961</v>
      </c>
      <c r="K158" s="66" t="s">
        <v>4961</v>
      </c>
      <c r="L158" s="549" t="s">
        <v>4680</v>
      </c>
      <c r="M158" s="17" t="s">
        <v>5811</v>
      </c>
      <c r="N158" s="21"/>
      <c r="O158" s="21"/>
      <c r="P158" s="21"/>
      <c r="Q158" s="21"/>
      <c r="R158" s="69" t="s">
        <v>4590</v>
      </c>
      <c r="S158" s="17" t="s">
        <v>4642</v>
      </c>
      <c r="T158" s="70"/>
    </row>
    <row r="159" spans="1:20" ht="18" customHeight="1" thickBot="1" x14ac:dyDescent="0.2">
      <c r="A159" s="38" t="s">
        <v>5816</v>
      </c>
      <c r="B159" s="35" t="s">
        <v>4631</v>
      </c>
      <c r="C159" s="2479" t="s">
        <v>4723</v>
      </c>
      <c r="D159" s="36"/>
      <c r="E159" s="36"/>
      <c r="F159" s="36"/>
      <c r="G159" s="36"/>
      <c r="H159" s="35" t="s">
        <v>5811</v>
      </c>
      <c r="I159" s="551" t="s">
        <v>4683</v>
      </c>
      <c r="J159" s="76" t="s">
        <v>4961</v>
      </c>
      <c r="K159" s="77" t="s">
        <v>4961</v>
      </c>
      <c r="L159" s="551" t="s">
        <v>4685</v>
      </c>
      <c r="M159" s="35" t="s">
        <v>5811</v>
      </c>
      <c r="N159" s="36"/>
      <c r="O159" s="36"/>
      <c r="P159" s="36"/>
      <c r="Q159" s="36"/>
      <c r="R159" s="78" t="s">
        <v>4590</v>
      </c>
      <c r="S159" s="35" t="s">
        <v>4642</v>
      </c>
      <c r="T159" s="79"/>
    </row>
    <row r="160" spans="1:20" ht="18" customHeight="1" thickTop="1" thickBot="1" x14ac:dyDescent="0.2">
      <c r="M160" s="80" t="s">
        <v>5645</v>
      </c>
      <c r="N160" s="33" t="n">
        <f>SUM(D147:D159,N147:N159)</f>
        <v>0.0</v>
      </c>
      <c r="O160" s="33" t="n">
        <f>SUM(E147:E159,O147:O159)</f>
        <v>0.0</v>
      </c>
      <c r="P160" s="33" t="n">
        <f>SUM(F147:F159,P147:P159)</f>
        <v>0.0</v>
      </c>
    </row>
    <row r="161" spans="1:20" ht="18" customHeight="1" thickTop="1" thickBot="1" x14ac:dyDescent="0.2">
      <c r="A161" s="2" t="s">
        <v>6949</v>
      </c>
      <c r="C161" s="3660" t="s">
        <v>5817</v>
      </c>
      <c r="D161" s="3660"/>
      <c r="E161" s="3660"/>
      <c r="F161" s="3660"/>
      <c r="G161" s="53"/>
      <c r="H161" s="124"/>
      <c r="I161" s="124"/>
      <c r="J161" s="3661" t="s">
        <v>5653</v>
      </c>
      <c r="K161" s="3667"/>
      <c r="L161" s="124"/>
      <c r="M161" s="124"/>
      <c r="N161" s="53"/>
      <c r="O161" s="53"/>
      <c r="P161" s="53"/>
      <c r="Q161" s="53"/>
      <c r="R161" s="53"/>
      <c r="S161" s="53"/>
    </row>
    <row r="162" spans="1:20" ht="18" customHeight="1" thickTop="1" thickBot="1" x14ac:dyDescent="0.2">
      <c r="A162" s="3"/>
      <c r="D162" s="54"/>
      <c r="E162" s="54"/>
      <c r="F162" s="54"/>
      <c r="G162" s="54"/>
      <c r="H162" s="4"/>
      <c r="I162" s="4"/>
      <c r="K162" s="56"/>
      <c r="L162" s="565"/>
      <c r="M162" s="1371" t="s">
        <v>4562</v>
      </c>
      <c r="N162" s="1368"/>
      <c r="O162" s="1369"/>
      <c r="P162" s="1370"/>
      <c r="Q162" s="508" t="s">
        <v>4563</v>
      </c>
      <c r="R162" s="133"/>
      <c r="S162" s="128"/>
      <c r="T162" s="528"/>
    </row>
    <row r="163" spans="1:20" ht="18" customHeight="1" thickTop="1" thickBot="1" x14ac:dyDescent="0.2">
      <c r="A163" s="5" t="s">
        <v>4564</v>
      </c>
      <c r="B163" s="6" t="s">
        <v>4565</v>
      </c>
      <c r="C163" s="7" t="s">
        <v>4566</v>
      </c>
      <c r="D163" s="6" t="s">
        <v>4567</v>
      </c>
      <c r="E163" s="6" t="s">
        <v>4568</v>
      </c>
      <c r="F163" s="6" t="s">
        <v>4569</v>
      </c>
      <c r="G163" s="6" t="s">
        <v>4570</v>
      </c>
      <c r="H163" s="8" t="s">
        <v>4571</v>
      </c>
      <c r="I163" s="547"/>
      <c r="J163" s="58" t="s">
        <v>4572</v>
      </c>
      <c r="K163" s="59" t="s">
        <v>4572</v>
      </c>
      <c r="L163" s="566"/>
      <c r="M163" s="8" t="s">
        <v>4571</v>
      </c>
      <c r="N163" s="6" t="s">
        <v>4567</v>
      </c>
      <c r="O163" s="6" t="s">
        <v>4568</v>
      </c>
      <c r="P163" s="6" t="s">
        <v>4569</v>
      </c>
      <c r="Q163" s="6" t="s">
        <v>4570</v>
      </c>
      <c r="R163" s="6" t="s">
        <v>4565</v>
      </c>
      <c r="S163" s="7" t="s">
        <v>4566</v>
      </c>
      <c r="T163" s="60" t="s">
        <v>4564</v>
      </c>
    </row>
    <row r="164" spans="1:20" ht="18" customHeight="1" thickTop="1" x14ac:dyDescent="0.15">
      <c r="A164" s="10"/>
      <c r="B164" s="11" t="s">
        <v>565</v>
      </c>
      <c r="C164" s="13" t="s">
        <v>4723</v>
      </c>
      <c r="D164" s="15"/>
      <c r="E164" s="15"/>
      <c r="F164" s="2669" cm="1" t="n">
        <f t="array" ref="F164">INDEX('5층_부하량'!E3:E3000,MATCH(1,("5-DaHall 1-PDU-05"='5층_부하량'!A3:A3000)*(1='5층_부하량'!B3:B3000),0))</f>
        <v>0.0</v>
      </c>
      <c r="G164" s="15"/>
      <c r="H164" s="11" t="s">
        <v>4576</v>
      </c>
      <c r="I164" s="548" t="s">
        <v>4633</v>
      </c>
      <c r="J164" s="302"/>
      <c r="K164" s="62"/>
      <c r="L164" s="548" t="s">
        <v>4578</v>
      </c>
      <c r="M164" s="11" t="s">
        <v>4576</v>
      </c>
      <c r="N164" s="15"/>
      <c r="O164" s="15"/>
      <c r="P164" s="2669" cm="1" t="n">
        <f t="array" ref="P164">INDEX('5층_부하량'!E3:E3000,MATCH(1,("5-DaHall 1-PDU-05"='5층_부하량'!A3:A3000)*(2='5층_부하량'!B3:B3000),0))</f>
        <v>0.0</v>
      </c>
      <c r="Q164" s="15"/>
      <c r="R164" s="69" t="s">
        <v>4590</v>
      </c>
      <c r="S164" s="17" t="s">
        <v>4642</v>
      </c>
      <c r="T164" s="98"/>
    </row>
    <row r="165" spans="1:20" ht="18" customHeight="1" x14ac:dyDescent="0.15">
      <c r="A165" s="16"/>
      <c r="B165" s="17" t="s">
        <v>565</v>
      </c>
      <c r="C165" s="17" t="s">
        <v>4723</v>
      </c>
      <c r="D165" s="2672" cm="1" t="n">
        <f t="array" ref="D165">INDEX('5층_부하량'!C3:C3000,MATCH(1,("5-DaHall 1-PDU-05"='5층_부하량'!A3:A3000)*(3='5층_부하량'!B3:B3000),0))</f>
        <v>0.0</v>
      </c>
      <c r="E165" s="19"/>
      <c r="F165" s="19"/>
      <c r="G165" s="19"/>
      <c r="H165" s="17" t="s">
        <v>4576</v>
      </c>
      <c r="I165" s="549" t="s">
        <v>4638</v>
      </c>
      <c r="J165" s="303"/>
      <c r="K165" s="66"/>
      <c r="L165" s="549" t="s">
        <v>4583</v>
      </c>
      <c r="M165" s="17" t="s">
        <v>4576</v>
      </c>
      <c r="N165" s="2672" cm="1" t="n">
        <f t="array" ref="N165">INDEX('5층_부하량'!C3:C3000,MATCH(1,("5-DaHall 1-PDU-05"='5층_부하량'!A3:A3000)*(4='5층_부하량'!B3:B3000),0))</f>
        <v>0.0</v>
      </c>
      <c r="O165" s="19"/>
      <c r="P165" s="19"/>
      <c r="Q165" s="19"/>
      <c r="R165" s="69" t="s">
        <v>4590</v>
      </c>
      <c r="S165" s="17" t="s">
        <v>4642</v>
      </c>
      <c r="T165" s="68"/>
    </row>
    <row r="166" spans="1:20" ht="18" customHeight="1" x14ac:dyDescent="0.15">
      <c r="A166" s="321"/>
      <c r="B166" s="17" t="s">
        <v>565</v>
      </c>
      <c r="C166" s="17" t="s">
        <v>4723</v>
      </c>
      <c r="D166" s="21"/>
      <c r="E166" s="2672" cm="1" t="n">
        <f t="array" ref="E166">INDEX('5층_부하량'!D3:D3000,MATCH(1,("5-DaHall 1-PDU-05"='5층_부하량'!A3:A3000)*(5='5층_부하량'!B3:B3000),0))</f>
        <v>0.0</v>
      </c>
      <c r="F166" s="21"/>
      <c r="G166" s="21"/>
      <c r="H166" s="17" t="s">
        <v>4576</v>
      </c>
      <c r="I166" s="549" t="s">
        <v>4641</v>
      </c>
      <c r="J166" s="303"/>
      <c r="K166" s="66"/>
      <c r="L166" s="549" t="s">
        <v>4588</v>
      </c>
      <c r="M166" s="17" t="s">
        <v>4576</v>
      </c>
      <c r="N166" s="21"/>
      <c r="O166" s="2672" cm="1" t="n">
        <f t="array" ref="O166">INDEX('5층_부하량'!D3:D3000,MATCH(1,("5-DaHall 1-PDU-05"='5층_부하량'!A3:A3000)*(6='5층_부하량'!B3:B3000),0))</f>
        <v>0.0</v>
      </c>
      <c r="P166" s="21"/>
      <c r="Q166" s="21"/>
      <c r="R166" s="69" t="s">
        <v>4590</v>
      </c>
      <c r="S166" s="17" t="s">
        <v>4642</v>
      </c>
      <c r="T166" s="70"/>
    </row>
    <row r="167" spans="1:20" ht="18" customHeight="1" x14ac:dyDescent="0.15">
      <c r="A167" s="16"/>
      <c r="B167" s="17" t="s">
        <v>565</v>
      </c>
      <c r="C167" s="17" t="s">
        <v>4723</v>
      </c>
      <c r="D167" s="21"/>
      <c r="E167" s="21"/>
      <c r="F167" s="2672" cm="1" t="n">
        <f t="array" ref="F167">INDEX('5층_부하량'!E3:E3000,MATCH(1,("5-DaHall 1-PDU-05"='5층_부하량'!A3:A3000)*(7='5층_부하량'!B3:B3000),0))</f>
        <v>0.0</v>
      </c>
      <c r="G167" s="21"/>
      <c r="H167" s="17" t="s">
        <v>4576</v>
      </c>
      <c r="I167" s="549" t="s">
        <v>4645</v>
      </c>
      <c r="J167" s="303"/>
      <c r="K167" s="66"/>
      <c r="L167" s="549" t="s">
        <v>4593</v>
      </c>
      <c r="M167" s="17" t="s">
        <v>4576</v>
      </c>
      <c r="N167" s="21"/>
      <c r="O167" s="21"/>
      <c r="P167" s="2672" cm="1" t="n">
        <f t="array" ref="P167">INDEX('5층_부하량'!E3:E3000,MATCH(1,("5-DaHall 1-PDU-05"='5층_부하량'!A3:A3000)*(8='5층_부하량'!B3:B3000),0))</f>
        <v>0.0</v>
      </c>
      <c r="Q167" s="21"/>
      <c r="R167" s="69" t="s">
        <v>4590</v>
      </c>
      <c r="S167" s="17" t="s">
        <v>4642</v>
      </c>
      <c r="T167" s="68"/>
    </row>
    <row r="168" spans="1:20" ht="18" customHeight="1" x14ac:dyDescent="0.15">
      <c r="A168" s="16"/>
      <c r="B168" s="17" t="s">
        <v>565</v>
      </c>
      <c r="C168" s="17" t="s">
        <v>4723</v>
      </c>
      <c r="D168" s="2672" cm="1" t="n">
        <f t="array" ref="D168">INDEX('5층_부하량'!C3:C3000,MATCH(1,("5-DaHall 1-PDU-05"='5층_부하량'!A3:A3000)*(9='5층_부하량'!B3:B3000),0))</f>
        <v>0.0</v>
      </c>
      <c r="E168" s="21"/>
      <c r="F168" s="21"/>
      <c r="G168" s="21"/>
      <c r="H168" s="17" t="s">
        <v>4576</v>
      </c>
      <c r="I168" s="549" t="s">
        <v>4648</v>
      </c>
      <c r="J168" s="303"/>
      <c r="K168" s="66"/>
      <c r="L168" s="549" t="s">
        <v>4596</v>
      </c>
      <c r="M168" s="17" t="s">
        <v>4597</v>
      </c>
      <c r="N168" s="2672" cm="1" t="n">
        <f t="array" ref="N168">INDEX('5층_부하량'!C3:C3000,MATCH(1,("5-DaHall 1-PDU-05"='5층_부하량'!A3:A3000)*(10='5층_부하량'!B3:B3000),0))</f>
        <v>0.0</v>
      </c>
      <c r="O168" s="21"/>
      <c r="P168" s="21"/>
      <c r="Q168" s="21"/>
      <c r="R168" s="69" t="s">
        <v>4590</v>
      </c>
      <c r="S168" s="17" t="s">
        <v>4642</v>
      </c>
      <c r="T168" s="70"/>
    </row>
    <row r="169" spans="1:20" ht="18" customHeight="1" x14ac:dyDescent="0.15">
      <c r="A169" s="321"/>
      <c r="B169" s="17" t="s">
        <v>565</v>
      </c>
      <c r="C169" s="17" t="s">
        <v>4723</v>
      </c>
      <c r="D169" s="21"/>
      <c r="E169" s="2672" cm="1" t="n">
        <f t="array" ref="E169">INDEX('5층_부하량'!D3:D3000,MATCH(1,("5-DaHall 1-PDU-05"='5층_부하량'!A3:A3000)*(11='5층_부하량'!B3:B3000),0))</f>
        <v>0.0</v>
      </c>
      <c r="F169" s="21"/>
      <c r="G169" s="21"/>
      <c r="H169" s="17" t="s">
        <v>4576</v>
      </c>
      <c r="I169" s="549" t="s">
        <v>4653</v>
      </c>
      <c r="J169" s="303"/>
      <c r="K169" s="66"/>
      <c r="L169" s="549" t="s">
        <v>4599</v>
      </c>
      <c r="M169" s="17" t="s">
        <v>4597</v>
      </c>
      <c r="N169" s="21"/>
      <c r="O169" s="2672" cm="1" t="n">
        <f t="array" ref="O169">INDEX('5층_부하량'!D3:D3000,MATCH(1,("5-DaHall 1-PDU-05"='5층_부하량'!A3:A3000)*(12='5층_부하량'!B3:B3000),0))</f>
        <v>0.0</v>
      </c>
      <c r="P169" s="21"/>
      <c r="Q169" s="21"/>
      <c r="R169" s="69" t="s">
        <v>4590</v>
      </c>
      <c r="S169" s="17" t="s">
        <v>4642</v>
      </c>
      <c r="T169" s="68"/>
    </row>
    <row r="170" spans="1:20" ht="18" customHeight="1" x14ac:dyDescent="0.15">
      <c r="A170" s="16"/>
      <c r="B170" s="17" t="s">
        <v>4590</v>
      </c>
      <c r="C170" s="17" t="s">
        <v>4642</v>
      </c>
      <c r="D170" s="21"/>
      <c r="E170" s="21"/>
      <c r="F170" s="2672" cm="1" t="n">
        <f t="array" ref="F170">INDEX('5층_부하량'!E3:E3000,MATCH(1,("5-DaHall 1-PDU-05"='5층_부하량'!A3:A3000)*(13='5층_부하량'!B3:B3000),0))</f>
        <v>0.0</v>
      </c>
      <c r="G170" s="21"/>
      <c r="H170" s="17" t="s">
        <v>4597</v>
      </c>
      <c r="I170" s="549" t="s">
        <v>4657</v>
      </c>
      <c r="J170" s="303"/>
      <c r="K170" s="66"/>
      <c r="L170" s="549" t="s">
        <v>4601</v>
      </c>
      <c r="M170" s="17" t="s">
        <v>4597</v>
      </c>
      <c r="N170" s="21"/>
      <c r="O170" s="21"/>
      <c r="P170" s="2672" cm="1" t="n">
        <f t="array" ref="P170">INDEX('5층_부하량'!E3:E3000,MATCH(1,("5-DaHall 1-PDU-05"='5층_부하량'!A3:A3000)*(14='5층_부하량'!B3:B3000),0))</f>
        <v>0.0</v>
      </c>
      <c r="Q170" s="21"/>
      <c r="R170" s="69" t="s">
        <v>4590</v>
      </c>
      <c r="S170" s="17" t="s">
        <v>4642</v>
      </c>
      <c r="T170" s="70"/>
    </row>
    <row r="171" spans="1:20" ht="18" customHeight="1" x14ac:dyDescent="0.15">
      <c r="A171" s="321"/>
      <c r="B171" s="17" t="s">
        <v>565</v>
      </c>
      <c r="C171" s="17" t="s">
        <v>4723</v>
      </c>
      <c r="D171" s="2672" cm="1" t="n">
        <f t="array" ref="D171">INDEX('5층_부하량'!C3:C3000,MATCH(1,("5-DaHall 1-PDU-05"='5층_부하량'!A3:A3000)*(15='5층_부하량'!B3:B3000),0))</f>
        <v>0.0</v>
      </c>
      <c r="E171" s="19"/>
      <c r="F171" s="19"/>
      <c r="G171" s="21"/>
      <c r="H171" s="17" t="s">
        <v>4597</v>
      </c>
      <c r="I171" s="549" t="s">
        <v>4661</v>
      </c>
      <c r="J171" s="303"/>
      <c r="K171" s="66"/>
      <c r="L171" s="549" t="s">
        <v>4603</v>
      </c>
      <c r="M171" s="17" t="s">
        <v>4597</v>
      </c>
      <c r="N171" s="2672" cm="1" t="n">
        <f t="array" ref="N171">INDEX('5층_부하량'!C3:C3000,MATCH(1,("5-DaHall 1-PDU-05"='5층_부하량'!A3:A3000)*(16='5층_부하량'!B3:B3000),0))</f>
        <v>0.0</v>
      </c>
      <c r="O171" s="19"/>
      <c r="P171" s="19"/>
      <c r="Q171" s="21"/>
      <c r="R171" s="69" t="s">
        <v>4590</v>
      </c>
      <c r="S171" s="17" t="s">
        <v>4642</v>
      </c>
      <c r="T171" s="68"/>
    </row>
    <row r="172" spans="1:20" ht="18" customHeight="1" x14ac:dyDescent="0.15">
      <c r="A172" s="16"/>
      <c r="B172" s="17" t="s">
        <v>565</v>
      </c>
      <c r="C172" s="17" t="s">
        <v>4723</v>
      </c>
      <c r="D172" s="21"/>
      <c r="E172" s="2672" cm="1" t="n">
        <f t="array" ref="E172">INDEX('5층_부하량'!D3:D3000,MATCH(1,("5-DaHall 1-PDU-05"='5층_부하량'!A3:A3000)*(17='5층_부하량'!B3:B3000),0))</f>
        <v>0.0</v>
      </c>
      <c r="F172" s="21"/>
      <c r="G172" s="21"/>
      <c r="H172" s="17" t="s">
        <v>4597</v>
      </c>
      <c r="I172" s="549" t="s">
        <v>4665</v>
      </c>
      <c r="J172" s="303"/>
      <c r="K172" s="66"/>
      <c r="L172" s="549" t="s">
        <v>4605</v>
      </c>
      <c r="M172" s="17" t="s">
        <v>4597</v>
      </c>
      <c r="N172" s="21"/>
      <c r="O172" s="2672" cm="1" t="n">
        <f t="array" ref="O172">INDEX('5층_부하량'!D3:D3000,MATCH(1,("5-DaHall 1-PDU-05"='5층_부하량'!A3:A3000)*(18='5층_부하량'!B3:B3000),0))</f>
        <v>0.0</v>
      </c>
      <c r="P172" s="21"/>
      <c r="Q172" s="21"/>
      <c r="R172" s="69" t="s">
        <v>4590</v>
      </c>
      <c r="S172" s="17" t="s">
        <v>4642</v>
      </c>
      <c r="T172" s="70"/>
    </row>
    <row r="173" spans="1:20" ht="18" customHeight="1" x14ac:dyDescent="0.15">
      <c r="A173" s="321"/>
      <c r="B173" s="17" t="s">
        <v>565</v>
      </c>
      <c r="C173" s="17" t="s">
        <v>4723</v>
      </c>
      <c r="D173" s="21"/>
      <c r="E173" s="21"/>
      <c r="F173" s="2672" cm="1" t="n">
        <f t="array" ref="F173">INDEX('5층_부하량'!E3:E3000,MATCH(1,("5-DaHall 1-PDU-05"='5층_부하량'!A3:A3000)*(19='5층_부하량'!B3:B3000),0))</f>
        <v>0.0</v>
      </c>
      <c r="G173" s="21"/>
      <c r="H173" s="17" t="s">
        <v>4597</v>
      </c>
      <c r="I173" s="549" t="s">
        <v>4670</v>
      </c>
      <c r="J173" s="303"/>
      <c r="K173" s="66"/>
      <c r="L173" s="549" t="s">
        <v>4609</v>
      </c>
      <c r="M173" s="17" t="s">
        <v>4597</v>
      </c>
      <c r="N173" s="21"/>
      <c r="O173" s="21"/>
      <c r="P173" s="2672" cm="1" t="n">
        <f t="array" ref="P173">INDEX('5층_부하량'!E3:E3000,MATCH(1,("5-DaHall 1-PDU-05"='5층_부하량'!A3:A3000)*(20='5층_부하량'!B3:B3000),0))</f>
        <v>0.0</v>
      </c>
      <c r="Q173" s="21"/>
      <c r="R173" s="69" t="s">
        <v>4590</v>
      </c>
      <c r="S173" s="17" t="s">
        <v>4642</v>
      </c>
      <c r="T173" s="70"/>
    </row>
    <row r="174" spans="1:20" ht="18" customHeight="1" x14ac:dyDescent="0.15">
      <c r="A174" s="16"/>
      <c r="B174" s="17" t="s">
        <v>565</v>
      </c>
      <c r="C174" s="17" t="s">
        <v>4723</v>
      </c>
      <c r="D174" s="2672" cm="1" t="n">
        <f t="array" ref="D174">INDEX('5층_부하량'!C3:C3000,MATCH(1,("5-DaHall 1-PDU-05"='5층_부하량'!A3:A3000)*(21='5층_부하량'!B3:B3000),0))</f>
        <v>0.0</v>
      </c>
      <c r="E174" s="19"/>
      <c r="F174" s="19"/>
      <c r="G174" s="21"/>
      <c r="H174" s="17" t="s">
        <v>4597</v>
      </c>
      <c r="I174" s="549" t="s">
        <v>4674</v>
      </c>
      <c r="J174" s="303"/>
      <c r="K174" s="66"/>
      <c r="L174" s="549" t="s">
        <v>4613</v>
      </c>
      <c r="M174" s="17" t="s">
        <v>4597</v>
      </c>
      <c r="N174" s="2672" cm="1" t="n">
        <f t="array" ref="N174">INDEX('5층_부하량'!C3:C3000,MATCH(1,("5-DaHall 1-PDU-05"='5층_부하량'!A3:A3000)*(22='5층_부하량'!B3:B3000),0))</f>
        <v>0.0</v>
      </c>
      <c r="O174" s="19"/>
      <c r="P174" s="19"/>
      <c r="Q174" s="21"/>
      <c r="R174" s="69" t="s">
        <v>4631</v>
      </c>
      <c r="S174" s="17" t="s">
        <v>4642</v>
      </c>
      <c r="T174" s="70" t="s">
        <v>5818</v>
      </c>
    </row>
    <row r="175" spans="1:20" ht="18" customHeight="1" x14ac:dyDescent="0.15">
      <c r="A175" s="321"/>
      <c r="B175" s="17" t="s">
        <v>565</v>
      </c>
      <c r="C175" s="17" t="s">
        <v>4723</v>
      </c>
      <c r="D175" s="21"/>
      <c r="E175" s="2672" cm="1" t="n">
        <f t="array" ref="E175">INDEX('5층_부하량'!D3:D3000,MATCH(1,("5-DaHall 1-PDU-05"='5층_부하량'!A3:A3000)*(23='5층_부하량'!B3:B3000),0))</f>
        <v>0.0</v>
      </c>
      <c r="F175" s="21"/>
      <c r="G175" s="21"/>
      <c r="H175" s="17" t="s">
        <v>4597</v>
      </c>
      <c r="I175" s="549" t="s">
        <v>4678</v>
      </c>
      <c r="J175" s="303"/>
      <c r="K175" s="66"/>
      <c r="L175" s="549" t="s">
        <v>4680</v>
      </c>
      <c r="M175" s="17" t="s">
        <v>4597</v>
      </c>
      <c r="N175" s="21"/>
      <c r="O175" s="2672" cm="1" t="n">
        <f t="array" ref="O175">INDEX('5층_부하량'!D3:D3000,MATCH(1,("5-DaHall 1-PDU-05"='5층_부하량'!A3:A3000)*(24='5층_부하량'!B3:B3000),0))</f>
        <v>0.0</v>
      </c>
      <c r="P175" s="21"/>
      <c r="Q175" s="21"/>
      <c r="R175" s="69" t="s">
        <v>4631</v>
      </c>
      <c r="S175" s="17" t="s">
        <v>4642</v>
      </c>
      <c r="T175" s="70" t="s">
        <v>5819</v>
      </c>
    </row>
    <row r="176" spans="1:20" ht="18" customHeight="1" x14ac:dyDescent="0.15">
      <c r="A176" s="321"/>
      <c r="B176" s="17" t="s">
        <v>565</v>
      </c>
      <c r="C176" s="17" t="s">
        <v>4723</v>
      </c>
      <c r="D176" s="21"/>
      <c r="E176" s="21"/>
      <c r="F176" s="2672" cm="1" t="n">
        <f t="array" ref="F176">INDEX('5층_부하량'!E3:E3000,MATCH(1,("5-DaHall 1-PDU-05"='5층_부하량'!A3:A3000)*(25='5층_부하량'!B3:B3000),0))</f>
        <v>0.0</v>
      </c>
      <c r="G176" s="21"/>
      <c r="H176" s="17" t="s">
        <v>4597</v>
      </c>
      <c r="I176" s="549" t="s">
        <v>4683</v>
      </c>
      <c r="J176" s="303"/>
      <c r="K176" s="66"/>
      <c r="L176" s="549" t="s">
        <v>4685</v>
      </c>
      <c r="M176" s="17" t="s">
        <v>4597</v>
      </c>
      <c r="N176" s="21"/>
      <c r="O176" s="21"/>
      <c r="P176" s="2672" cm="1" t="n">
        <f t="array" ref="P176">INDEX('5층_부하량'!E3:E3000,MATCH(1,("5-DaHall 1-PDU-05"='5층_부하량'!A3:A3000)*(26='5층_부하량'!B3:B3000),0))</f>
        <v>0.0</v>
      </c>
      <c r="Q176" s="21"/>
      <c r="R176" s="69" t="s">
        <v>4631</v>
      </c>
      <c r="S176" s="17" t="s">
        <v>4642</v>
      </c>
      <c r="T176" s="70" t="s">
        <v>5820</v>
      </c>
    </row>
    <row r="177" spans="1:20" ht="18" customHeight="1" x14ac:dyDescent="0.15">
      <c r="A177" s="16"/>
      <c r="B177" s="17" t="s">
        <v>565</v>
      </c>
      <c r="C177" s="17" t="s">
        <v>4723</v>
      </c>
      <c r="D177" s="2672" cm="1" t="n">
        <f t="array" ref="D177">INDEX('5층_부하량'!C3:C3000,MATCH(1,("5-DaHall 1-PDU-05"='5층_부하량'!A3:A3000)*(27='5층_부하량'!B3:B3000),0))</f>
        <v>0.0</v>
      </c>
      <c r="E177" s="19"/>
      <c r="F177" s="19"/>
      <c r="G177" s="21"/>
      <c r="H177" s="17" t="s">
        <v>4597</v>
      </c>
      <c r="I177" s="549" t="s">
        <v>4688</v>
      </c>
      <c r="J177" s="303"/>
      <c r="K177" s="66"/>
      <c r="L177" s="549" t="s">
        <v>4689</v>
      </c>
      <c r="M177" s="17" t="s">
        <v>4597</v>
      </c>
      <c r="N177" s="2672" cm="1" t="n">
        <f t="array" ref="N177">INDEX('5층_부하량'!C3:C3000,MATCH(1,("5-DaHall 1-PDU-05"='5층_부하량'!A3:A3000)*(28='5층_부하량'!B3:B3000),0))</f>
        <v>0.0</v>
      </c>
      <c r="O177" s="19"/>
      <c r="P177" s="19"/>
      <c r="Q177" s="21"/>
      <c r="R177" s="69" t="s">
        <v>4631</v>
      </c>
      <c r="S177" s="17" t="s">
        <v>4642</v>
      </c>
      <c r="T177" s="70" t="s">
        <v>5821</v>
      </c>
    </row>
    <row r="178" spans="1:20" ht="18" customHeight="1" x14ac:dyDescent="0.15">
      <c r="A178" s="321"/>
      <c r="B178" s="72" t="s">
        <v>565</v>
      </c>
      <c r="C178" s="72" t="s">
        <v>4723</v>
      </c>
      <c r="D178" s="21"/>
      <c r="E178" s="2672" cm="1" t="n">
        <f t="array" ref="E178">INDEX('5층_부하량'!D3:D3000,MATCH(1,("5-DaHall 1-PDU-05"='5층_부하량'!A3:A3000)*(29='5층_부하량'!B3:B3000),0))</f>
        <v>0.0</v>
      </c>
      <c r="F178" s="21"/>
      <c r="G178" s="74"/>
      <c r="H178" s="72" t="s">
        <v>4597</v>
      </c>
      <c r="I178" s="550" t="s">
        <v>4691</v>
      </c>
      <c r="J178" s="303"/>
      <c r="K178" s="96"/>
      <c r="L178" s="550" t="s">
        <v>4692</v>
      </c>
      <c r="M178" s="72" t="s">
        <v>4597</v>
      </c>
      <c r="N178" s="21"/>
      <c r="O178" s="2672" cm="1" t="n">
        <f t="array" ref="O178">INDEX('5층_부하량'!D3:D3000,MATCH(1,("5-DaHall 1-PDU-05"='5층_부하량'!A3:A3000)*(30='5층_부하량'!B3:B3000),0))</f>
        <v>0.0</v>
      </c>
      <c r="P178" s="21"/>
      <c r="Q178" s="74"/>
      <c r="R178" s="75" t="s">
        <v>4631</v>
      </c>
      <c r="S178" s="17" t="s">
        <v>4642</v>
      </c>
      <c r="T178" s="70" t="s">
        <v>5822</v>
      </c>
    </row>
    <row r="179" spans="1:20" ht="18" customHeight="1" x14ac:dyDescent="0.15">
      <c r="A179" s="16"/>
      <c r="B179" s="17" t="s">
        <v>565</v>
      </c>
      <c r="C179" s="17" t="s">
        <v>4723</v>
      </c>
      <c r="D179" s="21"/>
      <c r="E179" s="21"/>
      <c r="F179" s="2672" cm="1" t="n">
        <f t="array" ref="F179">INDEX('5층_부하량'!E3:E3000,MATCH(1,("5-DaHall 1-PDU-05"='5층_부하량'!A3:A3000)*(31='5층_부하량'!B3:B3000),0))</f>
        <v>0.0</v>
      </c>
      <c r="G179" s="21"/>
      <c r="H179" s="17" t="s">
        <v>4597</v>
      </c>
      <c r="I179" s="549" t="s">
        <v>4693</v>
      </c>
      <c r="J179" s="303"/>
      <c r="K179" s="66"/>
      <c r="L179" s="549" t="s">
        <v>4694</v>
      </c>
      <c r="M179" s="17" t="s">
        <v>4597</v>
      </c>
      <c r="N179" s="21"/>
      <c r="O179" s="21"/>
      <c r="P179" s="2672" cm="1" t="n">
        <f t="array" ref="P179">INDEX('5층_부하량'!E3:E3000,MATCH(1,("5-DaHall 1-PDU-05"='5층_부하량'!A3:A3000)*(32='5층_부하량'!B3:B3000),0))</f>
        <v>0.0</v>
      </c>
      <c r="Q179" s="21"/>
      <c r="R179" s="75" t="s">
        <v>4631</v>
      </c>
      <c r="S179" s="17" t="s">
        <v>4642</v>
      </c>
      <c r="T179" s="70" t="s">
        <v>5823</v>
      </c>
    </row>
    <row r="180" spans="1:20" ht="18" customHeight="1" x14ac:dyDescent="0.15">
      <c r="A180" s="321"/>
      <c r="B180" s="17" t="s">
        <v>565</v>
      </c>
      <c r="C180" s="17" t="s">
        <v>4723</v>
      </c>
      <c r="D180" s="2672" cm="1" t="n">
        <f t="array" ref="D180">INDEX('5층_부하량'!C3:C3000,MATCH(1,("5-DaHall 1-PDU-05"='5층_부하량'!A3:A3000)*(33='5층_부하량'!B3:B3000),0))</f>
        <v>0.0</v>
      </c>
      <c r="E180" s="19"/>
      <c r="F180" s="19"/>
      <c r="G180" s="21"/>
      <c r="H180" s="17" t="s">
        <v>4597</v>
      </c>
      <c r="I180" s="549" t="s">
        <v>4697</v>
      </c>
      <c r="J180" s="303"/>
      <c r="K180" s="66"/>
      <c r="L180" s="549" t="s">
        <v>4698</v>
      </c>
      <c r="M180" s="17" t="s">
        <v>4597</v>
      </c>
      <c r="N180" s="2672" cm="1" t="n">
        <f t="array" ref="N180">INDEX('5층_부하량'!C3:C3000,MATCH(1,("5-DaHall 1-PDU-05"='5층_부하량'!A3:A3000)*(34='5층_부하량'!B3:B3000),0))</f>
        <v>0.0</v>
      </c>
      <c r="O180" s="19"/>
      <c r="P180" s="19"/>
      <c r="Q180" s="21"/>
      <c r="R180" s="75" t="s">
        <v>4631</v>
      </c>
      <c r="S180" s="17" t="s">
        <v>4642</v>
      </c>
      <c r="T180" s="70" t="s">
        <v>3509</v>
      </c>
    </row>
    <row r="181" spans="1:20" ht="18" customHeight="1" x14ac:dyDescent="0.15">
      <c r="A181" s="16"/>
      <c r="B181" s="17" t="s">
        <v>565</v>
      </c>
      <c r="C181" s="17" t="s">
        <v>4723</v>
      </c>
      <c r="D181" s="21"/>
      <c r="E181" s="2672" cm="1" t="n">
        <f t="array" ref="E181">INDEX('5층_부하량'!D3:D3000,MATCH(1,("5-DaHall 1-PDU-05"='5층_부하량'!A3:A3000)*(35='5층_부하량'!B3:B3000),0))</f>
        <v>0.0</v>
      </c>
      <c r="F181" s="21"/>
      <c r="G181" s="21"/>
      <c r="H181" s="72" t="s">
        <v>4597</v>
      </c>
      <c r="I181" s="550" t="s">
        <v>4701</v>
      </c>
      <c r="J181" s="303"/>
      <c r="K181" s="66"/>
      <c r="L181" s="550" t="s">
        <v>4703</v>
      </c>
      <c r="M181" s="72" t="s">
        <v>4597</v>
      </c>
      <c r="N181" s="21"/>
      <c r="O181" s="2672" cm="1" t="n">
        <f t="array" ref="O181">INDEX('5층_부하량'!D3:D3000,MATCH(1,("5-DaHall 1-PDU-05"='5층_부하량'!A3:A3000)*(36='5층_부하량'!B3:B3000),0))</f>
        <v>0.0</v>
      </c>
      <c r="P181" s="21"/>
      <c r="Q181" s="21"/>
      <c r="R181" s="75" t="s">
        <v>4631</v>
      </c>
      <c r="S181" s="17" t="s">
        <v>4642</v>
      </c>
      <c r="T181" s="70" t="s">
        <v>3515</v>
      </c>
    </row>
    <row r="182" spans="1:20" ht="18" customHeight="1" x14ac:dyDescent="0.15">
      <c r="A182" s="321"/>
      <c r="B182" s="17" t="s">
        <v>565</v>
      </c>
      <c r="C182" s="17" t="s">
        <v>4723</v>
      </c>
      <c r="D182" s="21"/>
      <c r="E182" s="21"/>
      <c r="F182" s="2672" cm="1" t="n">
        <f t="array" ref="F182">INDEX('5층_부하량'!E3:E3000,MATCH(1,("5-DaHall 1-PDU-05"='5층_부하량'!A3:A3000)*(37='5층_부하량'!B3:B3000),0))</f>
        <v>0.0</v>
      </c>
      <c r="G182" s="21"/>
      <c r="H182" s="17" t="s">
        <v>4597</v>
      </c>
      <c r="I182" s="549" t="s">
        <v>4706</v>
      </c>
      <c r="J182" s="65"/>
      <c r="K182" s="66"/>
      <c r="L182" s="549" t="s">
        <v>4707</v>
      </c>
      <c r="M182" s="17" t="s">
        <v>4597</v>
      </c>
      <c r="N182" s="21"/>
      <c r="O182" s="21"/>
      <c r="P182" s="2672" cm="1" t="n">
        <f t="array" ref="P182">INDEX('5층_부하량'!E3:E3000,MATCH(1,("5-DaHall 1-PDU-05"='5층_부하량'!A3:A3000)*(38='5층_부하량'!B3:B3000),0))</f>
        <v>0.0</v>
      </c>
      <c r="Q182" s="21"/>
      <c r="R182" s="69" t="s">
        <v>4590</v>
      </c>
      <c r="S182" s="17" t="s">
        <v>4642</v>
      </c>
      <c r="T182" s="70"/>
    </row>
    <row r="183" spans="1:20" ht="18" customHeight="1" x14ac:dyDescent="0.15">
      <c r="A183" s="321"/>
      <c r="B183" s="17" t="s">
        <v>565</v>
      </c>
      <c r="C183" s="17" t="s">
        <v>4723</v>
      </c>
      <c r="D183" s="2672" cm="1" t="n">
        <f t="array" ref="D183">INDEX('5층_부하량'!C3:C3000,MATCH(1,("5-DaHall 1-PDU-05"='5층_부하량'!A3:A3000)*(39='5층_부하량'!B3:B3000),0))</f>
        <v>0.0</v>
      </c>
      <c r="E183" s="19"/>
      <c r="F183" s="19"/>
      <c r="G183" s="21"/>
      <c r="H183" s="17" t="s">
        <v>4597</v>
      </c>
      <c r="I183" s="549" t="s">
        <v>4710</v>
      </c>
      <c r="J183" s="65"/>
      <c r="K183" s="66"/>
      <c r="L183" s="549" t="s">
        <v>4711</v>
      </c>
      <c r="M183" s="17" t="s">
        <v>4597</v>
      </c>
      <c r="N183" s="2672" cm="1" t="n">
        <f t="array" ref="N183">INDEX('5층_부하량'!C3:C3000,MATCH(1,("5-DaHall 1-PDU-05"='5층_부하량'!A3:A3000)*(40='5층_부하량'!B3:B3000),0))</f>
        <v>0.0</v>
      </c>
      <c r="O183" s="19"/>
      <c r="P183" s="19"/>
      <c r="Q183" s="21"/>
      <c r="R183" s="69" t="s">
        <v>4590</v>
      </c>
      <c r="S183" s="17" t="s">
        <v>4642</v>
      </c>
      <c r="T183" s="70"/>
    </row>
    <row r="184" spans="1:20" ht="18" customHeight="1" x14ac:dyDescent="0.15">
      <c r="A184" s="321"/>
      <c r="B184" s="17" t="s">
        <v>565</v>
      </c>
      <c r="C184" s="17" t="s">
        <v>4723</v>
      </c>
      <c r="D184" s="21"/>
      <c r="E184" s="2672" cm="1" t="n">
        <f t="array" ref="E184">INDEX('5층_부하량'!D3:D3000,MATCH(1,("5-DaHall 1-PDU-05"='5층_부하량'!A3:A3000)*(41='5층_부하량'!B3:B3000),0))</f>
        <v>0.0</v>
      </c>
      <c r="F184" s="21"/>
      <c r="G184" s="21"/>
      <c r="H184" s="17" t="s">
        <v>4597</v>
      </c>
      <c r="I184" s="549" t="s">
        <v>5055</v>
      </c>
      <c r="J184" s="65"/>
      <c r="K184" s="66"/>
      <c r="L184" s="549" t="s">
        <v>4843</v>
      </c>
      <c r="M184" s="17" t="s">
        <v>4597</v>
      </c>
      <c r="N184" s="21"/>
      <c r="O184" s="2672" cm="1" t="n">
        <f t="array" ref="O184">INDEX('5층_부하량'!D3:D3000,MATCH(1,("5-DaHall 1-PDU-05"='5층_부하량'!A3:A3000)*(42='5층_부하량'!B3:B3000),0))</f>
        <v>0.0</v>
      </c>
      <c r="P184" s="21"/>
      <c r="Q184" s="21"/>
      <c r="R184" s="69" t="s">
        <v>4590</v>
      </c>
      <c r="S184" s="17" t="s">
        <v>4642</v>
      </c>
      <c r="T184" s="70"/>
    </row>
    <row r="185" spans="1:20" ht="18" customHeight="1" x14ac:dyDescent="0.15">
      <c r="A185" s="99"/>
      <c r="B185" s="17" t="s">
        <v>565</v>
      </c>
      <c r="C185" s="17" t="s">
        <v>4723</v>
      </c>
      <c r="D185" s="21"/>
      <c r="E185" s="21"/>
      <c r="F185" s="2672" cm="1" t="n">
        <f t="array" ref="F185">INDEX('5층_부하량'!E3:E3000,MATCH(1,("5-DaHall 1-PDU-05"='5층_부하량'!A3:A3000)*(43='5층_부하량'!B3:B3000),0))</f>
        <v>0.0</v>
      </c>
      <c r="G185" s="21"/>
      <c r="H185" s="17" t="s">
        <v>4597</v>
      </c>
      <c r="I185" s="549" t="s">
        <v>4845</v>
      </c>
      <c r="J185" s="65"/>
      <c r="K185" s="66"/>
      <c r="L185" s="549" t="s">
        <v>4846</v>
      </c>
      <c r="M185" s="17" t="s">
        <v>4597</v>
      </c>
      <c r="N185" s="21"/>
      <c r="O185" s="21"/>
      <c r="P185" s="2672" cm="1" t="n">
        <f t="array" ref="P185">INDEX('5층_부하량'!E3:E3000,MATCH(1,("5-DaHall 1-PDU-05"='5층_부하량'!A3:A3000)*(44='5층_부하량'!B3:B3000),0))</f>
        <v>0.0</v>
      </c>
      <c r="Q185" s="21"/>
      <c r="R185" s="69" t="s">
        <v>4590</v>
      </c>
      <c r="S185" s="17" t="s">
        <v>4642</v>
      </c>
      <c r="T185" s="70"/>
    </row>
    <row r="186" spans="1:20" ht="18" customHeight="1" x14ac:dyDescent="0.15">
      <c r="A186" s="321"/>
      <c r="B186" s="17" t="s">
        <v>565</v>
      </c>
      <c r="C186" s="17" t="s">
        <v>4723</v>
      </c>
      <c r="D186" s="2672" cm="1" t="n">
        <f t="array" ref="D186">INDEX('5층_부하량'!C3:C3000,MATCH(1,("5-DaHall 1-PDU-05"='5층_부하량'!A3:A3000)*(45='5층_부하량'!B3:B3000),0))</f>
        <v>0.0</v>
      </c>
      <c r="E186" s="19"/>
      <c r="F186" s="19"/>
      <c r="G186" s="21"/>
      <c r="H186" s="17" t="s">
        <v>4597</v>
      </c>
      <c r="I186" s="549" t="s">
        <v>4847</v>
      </c>
      <c r="J186" s="65"/>
      <c r="K186" s="66"/>
      <c r="L186" s="549" t="s">
        <v>4848</v>
      </c>
      <c r="M186" s="17" t="s">
        <v>4597</v>
      </c>
      <c r="N186" s="2672" cm="1" t="n">
        <f t="array" ref="N186">INDEX('5층_부하량'!C3:C3000,MATCH(1,("5-DaHall 1-PDU-05"='5층_부하량'!A3:A3000)*(46='5층_부하량'!B3:B3000),0))</f>
        <v>0.0</v>
      </c>
      <c r="O186" s="19"/>
      <c r="P186" s="19"/>
      <c r="Q186" s="21"/>
      <c r="R186" s="69" t="s">
        <v>4590</v>
      </c>
      <c r="S186" s="17" t="s">
        <v>4642</v>
      </c>
      <c r="T186" s="70"/>
    </row>
    <row r="187" spans="1:20" ht="18" customHeight="1" x14ac:dyDescent="0.15">
      <c r="A187" s="321"/>
      <c r="B187" s="17" t="s">
        <v>565</v>
      </c>
      <c r="C187" s="17" t="s">
        <v>4723</v>
      </c>
      <c r="D187" s="21"/>
      <c r="E187" s="2672" cm="1" t="n">
        <f t="array" ref="E187">INDEX('5층_부하량'!D3:D3000,MATCH(1,("5-DaHall 1-PDU-05"='5층_부하량'!A3:A3000)*(47='5층_부하량'!B3:B3000),0))</f>
        <v>0.0</v>
      </c>
      <c r="F187" s="21"/>
      <c r="G187" s="21"/>
      <c r="H187" s="17" t="s">
        <v>4597</v>
      </c>
      <c r="I187" s="549" t="s">
        <v>4849</v>
      </c>
      <c r="J187" s="65"/>
      <c r="K187" s="66"/>
      <c r="L187" s="549" t="s">
        <v>4850</v>
      </c>
      <c r="M187" s="17" t="s">
        <v>4597</v>
      </c>
      <c r="N187" s="21"/>
      <c r="O187" s="2672" cm="1" t="n">
        <f t="array" ref="O187">INDEX('5층_부하량'!D3:D3000,MATCH(1,("5-DaHall 1-PDU-05"='5층_부하량'!A3:A3000)*(48='5층_부하량'!B3:B3000),0))</f>
        <v>0.0</v>
      </c>
      <c r="P187" s="21"/>
      <c r="Q187" s="21"/>
      <c r="R187" s="69" t="s">
        <v>4590</v>
      </c>
      <c r="S187" s="17" t="s">
        <v>4642</v>
      </c>
      <c r="T187" s="70"/>
    </row>
    <row r="188" spans="1:20" ht="18" customHeight="1" x14ac:dyDescent="0.15">
      <c r="A188" s="321"/>
      <c r="B188" s="23" t="s">
        <v>565</v>
      </c>
      <c r="C188" s="17" t="s">
        <v>4723</v>
      </c>
      <c r="D188" s="21"/>
      <c r="E188" s="21"/>
      <c r="F188" s="2672" cm="1" t="n">
        <f t="array" ref="F188">INDEX('5층_부하량'!E3:E3000,MATCH(1,("5-DaHall 1-PDU-05"='5층_부하량'!A3:A3000)*(49='5층_부하량'!B3:B3000),0))</f>
        <v>0.0</v>
      </c>
      <c r="G188" s="21"/>
      <c r="H188" s="17" t="s">
        <v>4597</v>
      </c>
      <c r="I188" s="549" t="s">
        <v>4851</v>
      </c>
      <c r="J188" s="65"/>
      <c r="K188" s="66"/>
      <c r="L188" s="549" t="s">
        <v>4852</v>
      </c>
      <c r="M188" s="17" t="s">
        <v>4597</v>
      </c>
      <c r="N188" s="21"/>
      <c r="O188" s="21"/>
      <c r="P188" s="2672" cm="1" t="n">
        <f t="array" ref="P188">INDEX('5층_부하량'!E3:E3000,MATCH(1,("5-DaHall 1-PDU-05"='5층_부하량'!A3:A3000)*(50='5층_부하량'!B3:B3000),0))</f>
        <v>0.0</v>
      </c>
      <c r="Q188" s="21"/>
      <c r="R188" s="69" t="s">
        <v>4590</v>
      </c>
      <c r="S188" s="17" t="s">
        <v>4642</v>
      </c>
      <c r="T188" s="70"/>
    </row>
    <row r="189" spans="1:20" ht="18" customHeight="1" x14ac:dyDescent="0.15">
      <c r="A189" s="321"/>
      <c r="B189" s="17" t="s">
        <v>565</v>
      </c>
      <c r="C189" s="17" t="s">
        <v>4723</v>
      </c>
      <c r="D189" s="2672" cm="1" t="n">
        <f t="array" ref="D189">INDEX('5층_부하량'!C3:C3000,MATCH(1,("5-DaHall 1-PDU-05"='5층_부하량'!A3:A3000)*(51='5층_부하량'!B3:B3000),0))</f>
        <v>0.0</v>
      </c>
      <c r="E189" s="21"/>
      <c r="F189" s="21"/>
      <c r="G189" s="21"/>
      <c r="H189" s="17" t="s">
        <v>4597</v>
      </c>
      <c r="I189" s="549" t="s">
        <v>4791</v>
      </c>
      <c r="J189" s="65"/>
      <c r="K189" s="66"/>
      <c r="L189" s="549" t="s">
        <v>4793</v>
      </c>
      <c r="M189" s="17" t="s">
        <v>4597</v>
      </c>
      <c r="N189" s="2672" cm="1" t="n">
        <f t="array" ref="N189">INDEX('5층_부하량'!C3:C3000,MATCH(1,("5-DaHall 1-PDU-05"='5층_부하량'!A3:A3000)*(52='5층_부하량'!B3:B3000),0))</f>
        <v>0.0</v>
      </c>
      <c r="O189" s="21"/>
      <c r="P189" s="21"/>
      <c r="Q189" s="21"/>
      <c r="R189" s="69" t="s">
        <v>4590</v>
      </c>
      <c r="S189" s="17" t="s">
        <v>4642</v>
      </c>
      <c r="T189" s="70"/>
    </row>
    <row r="190" spans="1:20" ht="18" customHeight="1" thickBot="1" x14ac:dyDescent="0.2">
      <c r="A190" s="38"/>
      <c r="B190" s="29" t="s">
        <v>565</v>
      </c>
      <c r="C190" s="35" t="s">
        <v>4723</v>
      </c>
      <c r="D190" s="30"/>
      <c r="E190" s="2674" cm="1" t="n">
        <f t="array" ref="E190">INDEX('5층_부하량'!D3:D3000,MATCH(1,("5-DaHall 1-PDU-05"='5층_부하량'!A3:A3000)*(53='5층_부하량'!B3:B3000),0))</f>
        <v>0.0</v>
      </c>
      <c r="F190" s="30"/>
      <c r="G190" s="36"/>
      <c r="H190" s="35" t="s">
        <v>4597</v>
      </c>
      <c r="I190" s="551" t="s">
        <v>4796</v>
      </c>
      <c r="J190" s="76"/>
      <c r="K190" s="77"/>
      <c r="L190" s="551" t="s">
        <v>4797</v>
      </c>
      <c r="M190" s="35" t="s">
        <v>4597</v>
      </c>
      <c r="N190" s="30"/>
      <c r="O190" s="2674" cm="1" t="n">
        <f t="array" ref="O190">INDEX('5층_부하량'!D3:D3000,MATCH(1,("5-DaHall 1-PDU-05"='5층_부하량'!A3:A3000)*(54='5층_부하량'!B3:B3000),0))</f>
        <v>0.0</v>
      </c>
      <c r="P190" s="30"/>
      <c r="Q190" s="36"/>
      <c r="R190" s="78" t="s">
        <v>4590</v>
      </c>
      <c r="S190" s="35" t="s">
        <v>4642</v>
      </c>
      <c r="T190" s="79"/>
    </row>
    <row r="191" spans="1:20" ht="18" customHeight="1" thickTop="1" thickBot="1" x14ac:dyDescent="0.2">
      <c r="M191" s="80" t="s">
        <v>5645</v>
      </c>
      <c r="N191" s="33" t="n">
        <f>SUM(D164:D190,N164:N190)</f>
        <v>0.0</v>
      </c>
      <c r="O191" s="33" t="n">
        <f>SUM(E164:E190,O164:O190)</f>
        <v>0.0</v>
      </c>
      <c r="P191" s="33" t="n">
        <f>SUM(F164:F190,P164:P190)</f>
        <v>0.0</v>
      </c>
    </row>
    <row r="192" spans="1:20" ht="20.25" thickTop="1" thickBot="1" x14ac:dyDescent="0.2">
      <c r="A192" s="2" t="s">
        <v>6950</v>
      </c>
      <c r="C192" s="3660" t="s">
        <v>5824</v>
      </c>
      <c r="D192" s="3660"/>
      <c r="E192" s="3660"/>
      <c r="F192" s="3660"/>
      <c r="G192" s="53"/>
      <c r="H192" s="124"/>
      <c r="I192" s="124"/>
      <c r="J192" s="3661" t="s">
        <v>5653</v>
      </c>
      <c r="K192" s="3667"/>
      <c r="L192" s="124"/>
      <c r="M192" s="124"/>
      <c r="N192" s="53"/>
      <c r="O192" s="53"/>
      <c r="P192" s="53"/>
      <c r="Q192" s="53"/>
      <c r="R192" s="53"/>
      <c r="S192" s="53"/>
    </row>
    <row r="193" spans="1:20" ht="15" thickTop="1" thickBot="1" x14ac:dyDescent="0.2">
      <c r="A193" s="3"/>
      <c r="D193" s="54"/>
      <c r="E193" s="54"/>
      <c r="F193" s="54"/>
      <c r="G193" s="54"/>
      <c r="H193" s="4"/>
      <c r="I193" s="4"/>
      <c r="K193" s="56"/>
      <c r="L193" s="565"/>
      <c r="M193" s="1371" t="s">
        <v>4562</v>
      </c>
      <c r="N193" s="1368"/>
      <c r="O193" s="1369"/>
      <c r="P193" s="1370"/>
      <c r="Q193" s="508" t="s">
        <v>4563</v>
      </c>
      <c r="R193" s="133"/>
      <c r="S193" s="128"/>
      <c r="T193" s="528"/>
    </row>
    <row r="194" spans="1:20" ht="15" thickTop="1" thickBot="1" x14ac:dyDescent="0.2">
      <c r="A194" s="5" t="s">
        <v>4564</v>
      </c>
      <c r="B194" s="6" t="s">
        <v>4565</v>
      </c>
      <c r="C194" s="7" t="s">
        <v>4566</v>
      </c>
      <c r="D194" s="6" t="s">
        <v>4567</v>
      </c>
      <c r="E194" s="6" t="s">
        <v>4568</v>
      </c>
      <c r="F194" s="6" t="s">
        <v>4569</v>
      </c>
      <c r="G194" s="6" t="s">
        <v>4570</v>
      </c>
      <c r="H194" s="8" t="s">
        <v>4571</v>
      </c>
      <c r="I194" s="547"/>
      <c r="J194" s="58" t="s">
        <v>4572</v>
      </c>
      <c r="K194" s="59" t="s">
        <v>4572</v>
      </c>
      <c r="L194" s="566"/>
      <c r="M194" s="8" t="s">
        <v>4571</v>
      </c>
      <c r="N194" s="6" t="s">
        <v>4567</v>
      </c>
      <c r="O194" s="6" t="s">
        <v>4568</v>
      </c>
      <c r="P194" s="6" t="s">
        <v>4569</v>
      </c>
      <c r="Q194" s="6" t="s">
        <v>4570</v>
      </c>
      <c r="R194" s="6" t="s">
        <v>4565</v>
      </c>
      <c r="S194" s="7" t="s">
        <v>4566</v>
      </c>
      <c r="T194" s="60" t="s">
        <v>4564</v>
      </c>
    </row>
    <row r="195" spans="1:20" ht="14.25" thickTop="1" x14ac:dyDescent="0.15">
      <c r="A195" s="10"/>
      <c r="B195" s="11" t="s">
        <v>565</v>
      </c>
      <c r="C195" s="13" t="s">
        <v>4723</v>
      </c>
      <c r="D195" s="15"/>
      <c r="E195" s="15"/>
      <c r="F195" s="2669" cm="1" t="n">
        <f t="array" ref="F195">INDEX('5층_부하량'!E3:E3000,MATCH(1,("5-DaHall 1-PDU-06"='5층_부하량'!A3:A3000)*(1='5층_부하량'!B3:B3000),0))</f>
        <v>0.0</v>
      </c>
      <c r="G195" s="15"/>
      <c r="H195" s="11" t="s">
        <v>4576</v>
      </c>
      <c r="I195" s="548" t="s">
        <v>4633</v>
      </c>
      <c r="J195" s="302"/>
      <c r="K195" s="62"/>
      <c r="L195" s="548" t="s">
        <v>4578</v>
      </c>
      <c r="M195" s="11" t="s">
        <v>4576</v>
      </c>
      <c r="N195" s="15"/>
      <c r="O195" s="15"/>
      <c r="P195" s="2669" cm="1" t="n">
        <f t="array" ref="P195">INDEX('5층_부하량'!E3:E3000,MATCH(1,("5-DaHall 1-PDU-06"='5층_부하량'!A3:A3000)*(2='5층_부하량'!B3:B3000),0))</f>
        <v>0.0</v>
      </c>
      <c r="Q195" s="15"/>
      <c r="R195" s="17" t="s">
        <v>565</v>
      </c>
      <c r="S195" s="17" t="s">
        <v>4723</v>
      </c>
      <c r="T195" s="98"/>
    </row>
    <row r="196" spans="1:20" x14ac:dyDescent="0.15">
      <c r="A196" s="16"/>
      <c r="B196" s="17" t="s">
        <v>565</v>
      </c>
      <c r="C196" s="17" t="s">
        <v>4723</v>
      </c>
      <c r="D196" s="2672" cm="1" t="n">
        <f t="array" ref="D196">INDEX('5층_부하량'!C3:C3000,MATCH(1,("5-DaHall 1-PDU-06"='5층_부하량'!A3:A3000)*(3='5층_부하량'!B3:B3000),0))</f>
        <v>0.0</v>
      </c>
      <c r="E196" s="19"/>
      <c r="F196" s="19"/>
      <c r="G196" s="19"/>
      <c r="H196" s="17" t="s">
        <v>4576</v>
      </c>
      <c r="I196" s="549" t="s">
        <v>4638</v>
      </c>
      <c r="J196" s="303"/>
      <c r="K196" s="66"/>
      <c r="L196" s="549" t="s">
        <v>4583</v>
      </c>
      <c r="M196" s="17" t="s">
        <v>4576</v>
      </c>
      <c r="N196" s="2672" cm="1" t="n">
        <f t="array" ref="N196">INDEX('5층_부하량'!C3:C3000,MATCH(1,("5-DaHall 1-PDU-06"='5층_부하량'!A3:A3000)*(4='5층_부하량'!B3:B3000),0))</f>
        <v>0.0</v>
      </c>
      <c r="O196" s="19"/>
      <c r="P196" s="19"/>
      <c r="Q196" s="19"/>
      <c r="R196" s="17" t="s">
        <v>565</v>
      </c>
      <c r="S196" s="17" t="s">
        <v>4723</v>
      </c>
      <c r="T196" s="68"/>
    </row>
    <row r="197" spans="1:20" x14ac:dyDescent="0.15">
      <c r="A197" s="321"/>
      <c r="B197" s="17" t="s">
        <v>565</v>
      </c>
      <c r="C197" s="17" t="s">
        <v>4723</v>
      </c>
      <c r="D197" s="21"/>
      <c r="E197" s="2672" cm="1" t="n">
        <f t="array" ref="E197">INDEX('5층_부하량'!D3:D3000,MATCH(1,("5-DaHall 1-PDU-06"='5층_부하량'!A3:A3000)*(5='5층_부하량'!B3:B3000),0))</f>
        <v>0.0</v>
      </c>
      <c r="F197" s="21"/>
      <c r="G197" s="21"/>
      <c r="H197" s="17" t="s">
        <v>4576</v>
      </c>
      <c r="I197" s="549" t="s">
        <v>4641</v>
      </c>
      <c r="J197" s="303"/>
      <c r="K197" s="66"/>
      <c r="L197" s="549" t="s">
        <v>4588</v>
      </c>
      <c r="M197" s="17" t="s">
        <v>4576</v>
      </c>
      <c r="N197" s="21"/>
      <c r="O197" s="2672" cm="1" t="n">
        <f t="array" ref="O197">INDEX('5층_부하량'!D3:D3000,MATCH(1,("5-DaHall 1-PDU-06"='5층_부하량'!A3:A3000)*(6='5층_부하량'!B3:B3000),0))</f>
        <v>0.0</v>
      </c>
      <c r="P197" s="21"/>
      <c r="Q197" s="21"/>
      <c r="R197" s="17" t="s">
        <v>565</v>
      </c>
      <c r="S197" s="17" t="s">
        <v>4723</v>
      </c>
      <c r="T197" s="70"/>
    </row>
    <row r="198" spans="1:20" x14ac:dyDescent="0.15">
      <c r="A198" s="16"/>
      <c r="B198" s="17" t="s">
        <v>565</v>
      </c>
      <c r="C198" s="17" t="s">
        <v>4723</v>
      </c>
      <c r="D198" s="21"/>
      <c r="E198" s="21"/>
      <c r="F198" s="2672" cm="1" t="n">
        <f t="array" ref="F198">INDEX('5층_부하량'!E3:E3000,MATCH(1,("5-DaHall 1-PDU-06"='5층_부하량'!A3:A3000)*(7='5층_부하량'!B3:B3000),0))</f>
        <v>0.0</v>
      </c>
      <c r="G198" s="21"/>
      <c r="H198" s="17" t="s">
        <v>4576</v>
      </c>
      <c r="I198" s="549" t="s">
        <v>4645</v>
      </c>
      <c r="J198" s="303"/>
      <c r="K198" s="66"/>
      <c r="L198" s="549" t="s">
        <v>4593</v>
      </c>
      <c r="M198" s="17" t="s">
        <v>4576</v>
      </c>
      <c r="N198" s="21"/>
      <c r="O198" s="21"/>
      <c r="P198" s="2672" cm="1" t="n">
        <f t="array" ref="P198">INDEX('5층_부하량'!E3:E3000,MATCH(1,("5-DaHall 1-PDU-06"='5층_부하량'!A3:A3000)*(8='5층_부하량'!B3:B3000),0))</f>
        <v>0.0</v>
      </c>
      <c r="Q198" s="21"/>
      <c r="R198" s="17" t="s">
        <v>565</v>
      </c>
      <c r="S198" s="17" t="s">
        <v>4723</v>
      </c>
      <c r="T198" s="68"/>
    </row>
    <row r="199" spans="1:20" x14ac:dyDescent="0.15">
      <c r="A199" s="321"/>
      <c r="B199" s="17" t="s">
        <v>565</v>
      </c>
      <c r="C199" s="17" t="s">
        <v>4723</v>
      </c>
      <c r="D199" s="2672" cm="1" t="n">
        <f t="array" ref="D199">INDEX('5층_부하량'!C3:C3000,MATCH(1,("5-DaHall 1-PDU-06"='5층_부하량'!A3:A3000)*(9='5층_부하량'!B3:B3000),0))</f>
        <v>0.0</v>
      </c>
      <c r="E199" s="21"/>
      <c r="F199" s="21"/>
      <c r="G199" s="21"/>
      <c r="H199" s="17" t="s">
        <v>4576</v>
      </c>
      <c r="I199" s="549" t="s">
        <v>4648</v>
      </c>
      <c r="J199" s="303"/>
      <c r="K199" s="66"/>
      <c r="L199" s="549" t="s">
        <v>4596</v>
      </c>
      <c r="M199" s="17" t="s">
        <v>4597</v>
      </c>
      <c r="N199" s="2672" cm="1" t="n">
        <f t="array" ref="N199">INDEX('5층_부하량'!C3:C3000,MATCH(1,("5-DaHall 1-PDU-06"='5층_부하량'!A3:A3000)*(10='5층_부하량'!B3:B3000),0))</f>
        <v>0.0</v>
      </c>
      <c r="O199" s="21"/>
      <c r="P199" s="21"/>
      <c r="Q199" s="21"/>
      <c r="R199" s="17" t="s">
        <v>565</v>
      </c>
      <c r="S199" s="17" t="s">
        <v>4723</v>
      </c>
      <c r="T199" s="70"/>
    </row>
    <row r="200" spans="1:20" x14ac:dyDescent="0.15">
      <c r="A200" s="16"/>
      <c r="B200" s="17" t="s">
        <v>565</v>
      </c>
      <c r="C200" s="17" t="s">
        <v>4723</v>
      </c>
      <c r="D200" s="21"/>
      <c r="E200" s="2672" cm="1" t="n">
        <f t="array" ref="E200">INDEX('5층_부하량'!D3:D3000,MATCH(1,("5-DaHall 1-PDU-06"='5층_부하량'!A3:A3000)*(11='5층_부하량'!B3:B3000),0))</f>
        <v>0.0</v>
      </c>
      <c r="F200" s="21"/>
      <c r="G200" s="21"/>
      <c r="H200" s="17" t="s">
        <v>4576</v>
      </c>
      <c r="I200" s="549" t="s">
        <v>4653</v>
      </c>
      <c r="J200" s="303"/>
      <c r="K200" s="66"/>
      <c r="L200" s="549" t="s">
        <v>4599</v>
      </c>
      <c r="M200" s="17" t="s">
        <v>4597</v>
      </c>
      <c r="N200" s="21"/>
      <c r="O200" s="2672" cm="1" t="n">
        <f t="array" ref="O200">INDEX('5층_부하량'!D3:D3000,MATCH(1,("5-DaHall 1-PDU-06"='5층_부하량'!A3:A3000)*(12='5층_부하량'!B3:B3000),0))</f>
        <v>0.0</v>
      </c>
      <c r="P200" s="21"/>
      <c r="Q200" s="21"/>
      <c r="R200" s="17" t="s">
        <v>565</v>
      </c>
      <c r="S200" s="17" t="s">
        <v>4723</v>
      </c>
      <c r="T200" s="68"/>
    </row>
    <row r="201" spans="1:20" x14ac:dyDescent="0.15">
      <c r="A201" s="107"/>
      <c r="B201" s="17" t="s">
        <v>4590</v>
      </c>
      <c r="C201" s="17" t="s">
        <v>4642</v>
      </c>
      <c r="D201" s="21"/>
      <c r="E201" s="21"/>
      <c r="F201" s="2672" cm="1" t="n">
        <f t="array" ref="F201">INDEX('5층_부하량'!E3:E3000,MATCH(1,("5-DaHall 1-PDU-06"='5층_부하량'!A3:A3000)*(13='5층_부하량'!B3:B3000),0))</f>
        <v>0.0</v>
      </c>
      <c r="G201" s="21"/>
      <c r="H201" s="17" t="s">
        <v>4597</v>
      </c>
      <c r="I201" s="549" t="s">
        <v>4657</v>
      </c>
      <c r="J201" s="65"/>
      <c r="K201" s="66"/>
      <c r="L201" s="549" t="s">
        <v>4601</v>
      </c>
      <c r="M201" s="17" t="s">
        <v>4597</v>
      </c>
      <c r="N201" s="21"/>
      <c r="O201" s="21"/>
      <c r="P201" s="2672" cm="1" t="n">
        <f t="array" ref="P201">INDEX('5층_부하량'!E3:E3000,MATCH(1,("5-DaHall 1-PDU-06"='5층_부하량'!A3:A3000)*(14='5층_부하량'!B3:B3000),0))</f>
        <v>0.0</v>
      </c>
      <c r="Q201" s="21"/>
      <c r="R201" s="17" t="s">
        <v>565</v>
      </c>
      <c r="S201" s="17" t="s">
        <v>4723</v>
      </c>
      <c r="T201" s="82"/>
    </row>
    <row r="202" spans="1:20" x14ac:dyDescent="0.15">
      <c r="A202" s="321"/>
      <c r="B202" s="17" t="s">
        <v>565</v>
      </c>
      <c r="C202" s="17" t="s">
        <v>4723</v>
      </c>
      <c r="D202" s="2672" cm="1" t="n">
        <f t="array" ref="D202">INDEX('5층_부하량'!C3:C3000,MATCH(1,("5-DaHall 1-PDU-06"='5층_부하량'!A3:A3000)*(15='5층_부하량'!B3:B3000),0))</f>
        <v>0.0</v>
      </c>
      <c r="E202" s="19"/>
      <c r="F202" s="19"/>
      <c r="G202" s="21"/>
      <c r="H202" s="17" t="s">
        <v>4597</v>
      </c>
      <c r="I202" s="549" t="s">
        <v>4661</v>
      </c>
      <c r="J202" s="65"/>
      <c r="K202" s="66"/>
      <c r="L202" s="549" t="s">
        <v>4603</v>
      </c>
      <c r="M202" s="17" t="s">
        <v>4597</v>
      </c>
      <c r="N202" s="2672" cm="1" t="n">
        <f t="array" ref="N202">INDEX('5층_부하량'!C3:C3000,MATCH(1,("5-DaHall 1-PDU-06"='5층_부하량'!A3:A3000)*(16='5층_부하량'!B3:B3000),0))</f>
        <v>0.0</v>
      </c>
      <c r="O202" s="19"/>
      <c r="P202" s="19"/>
      <c r="Q202" s="21"/>
      <c r="R202" s="17" t="s">
        <v>565</v>
      </c>
      <c r="S202" s="17" t="s">
        <v>4723</v>
      </c>
      <c r="T202" s="70"/>
    </row>
    <row r="203" spans="1:20" x14ac:dyDescent="0.15">
      <c r="A203" s="16"/>
      <c r="B203" s="17" t="s">
        <v>565</v>
      </c>
      <c r="C203" s="17" t="s">
        <v>4723</v>
      </c>
      <c r="D203" s="21"/>
      <c r="E203" s="2672" cm="1" t="n">
        <f t="array" ref="E203">INDEX('5층_부하량'!D3:D3000,MATCH(1,("5-DaHall 1-PDU-06"='5층_부하량'!A3:A3000)*(17='5층_부하량'!B3:B3000),0))</f>
        <v>0.0</v>
      </c>
      <c r="F203" s="21"/>
      <c r="G203" s="21"/>
      <c r="H203" s="17" t="s">
        <v>4597</v>
      </c>
      <c r="I203" s="549" t="s">
        <v>4665</v>
      </c>
      <c r="J203" s="65"/>
      <c r="K203" s="66"/>
      <c r="L203" s="549" t="s">
        <v>4605</v>
      </c>
      <c r="M203" s="17" t="s">
        <v>4597</v>
      </c>
      <c r="N203" s="21"/>
      <c r="O203" s="2672" cm="1" t="n">
        <f t="array" ref="O203">INDEX('5층_부하량'!D3:D3000,MATCH(1,("5-DaHall 1-PDU-06"='5층_부하량'!A3:A3000)*(18='5층_부하량'!B3:B3000),0))</f>
        <v>0.0</v>
      </c>
      <c r="P203" s="21"/>
      <c r="Q203" s="21"/>
      <c r="R203" s="17" t="s">
        <v>565</v>
      </c>
      <c r="S203" s="17" t="s">
        <v>4723</v>
      </c>
      <c r="T203" s="68"/>
    </row>
    <row r="204" spans="1:20" x14ac:dyDescent="0.15">
      <c r="A204" s="321"/>
      <c r="B204" s="17" t="s">
        <v>565</v>
      </c>
      <c r="C204" s="17" t="s">
        <v>4723</v>
      </c>
      <c r="D204" s="21"/>
      <c r="E204" s="21"/>
      <c r="F204" s="2672" cm="1" t="n">
        <f t="array" ref="F204">INDEX('5층_부하량'!E3:E3000,MATCH(1,("5-DaHall 1-PDU-06"='5층_부하량'!A3:A3000)*(19='5층_부하량'!B3:B3000),0))</f>
        <v>0.0</v>
      </c>
      <c r="G204" s="21"/>
      <c r="H204" s="17" t="s">
        <v>4597</v>
      </c>
      <c r="I204" s="549" t="s">
        <v>4670</v>
      </c>
      <c r="J204" s="65"/>
      <c r="K204" s="66"/>
      <c r="L204" s="549" t="s">
        <v>4609</v>
      </c>
      <c r="M204" s="17" t="s">
        <v>4597</v>
      </c>
      <c r="N204" s="21"/>
      <c r="O204" s="21"/>
      <c r="P204" s="2672" cm="1" t="n">
        <f t="array" ref="P204">INDEX('5층_부하량'!E3:E3000,MATCH(1,("5-DaHall 1-PDU-06"='5층_부하량'!A3:A3000)*(20='5층_부하량'!B3:B3000),0))</f>
        <v>0.0</v>
      </c>
      <c r="Q204" s="21"/>
      <c r="R204" s="17" t="s">
        <v>565</v>
      </c>
      <c r="S204" s="17" t="s">
        <v>4723</v>
      </c>
      <c r="T204" s="70"/>
    </row>
    <row r="205" spans="1:20" x14ac:dyDescent="0.15">
      <c r="A205" s="16"/>
      <c r="B205" s="17" t="s">
        <v>565</v>
      </c>
      <c r="C205" s="17" t="s">
        <v>4723</v>
      </c>
      <c r="D205" s="2672" cm="1" t="n">
        <f t="array" ref="D205">INDEX('5층_부하량'!C3:C3000,MATCH(1,("5-DaHall 1-PDU-06"='5층_부하량'!A3:A3000)*(21='5층_부하량'!B3:B3000),0))</f>
        <v>0.0</v>
      </c>
      <c r="E205" s="19"/>
      <c r="F205" s="19"/>
      <c r="G205" s="21"/>
      <c r="H205" s="17" t="s">
        <v>4597</v>
      </c>
      <c r="I205" s="549" t="s">
        <v>4674</v>
      </c>
      <c r="J205" s="65"/>
      <c r="K205" s="66"/>
      <c r="L205" s="549" t="s">
        <v>4613</v>
      </c>
      <c r="M205" s="17" t="s">
        <v>4597</v>
      </c>
      <c r="N205" s="2672" cm="1" t="n">
        <f t="array" ref="N205">INDEX('5층_부하량'!C3:C3000,MATCH(1,("5-DaHall 1-PDU-06"='5층_부하량'!A3:A3000)*(22='5층_부하량'!B3:B3000),0))</f>
        <v>0.0</v>
      </c>
      <c r="O205" s="19"/>
      <c r="P205" s="19"/>
      <c r="Q205" s="21"/>
      <c r="R205" s="69" t="s">
        <v>4631</v>
      </c>
      <c r="S205" s="17" t="s">
        <v>4723</v>
      </c>
      <c r="T205" s="70" t="s">
        <v>3480</v>
      </c>
    </row>
    <row r="206" spans="1:20" x14ac:dyDescent="0.15">
      <c r="A206" s="321"/>
      <c r="B206" s="17" t="s">
        <v>565</v>
      </c>
      <c r="C206" s="17" t="s">
        <v>4723</v>
      </c>
      <c r="D206" s="21"/>
      <c r="E206" s="2672" cm="1" t="n">
        <f t="array" ref="E206">INDEX('5층_부하량'!D3:D3000,MATCH(1,("5-DaHall 1-PDU-06"='5층_부하량'!A3:A3000)*(23='5층_부하량'!B3:B3000),0))</f>
        <v>0.0</v>
      </c>
      <c r="F206" s="21"/>
      <c r="G206" s="21"/>
      <c r="H206" s="17" t="s">
        <v>4597</v>
      </c>
      <c r="I206" s="549" t="s">
        <v>4678</v>
      </c>
      <c r="J206" s="65"/>
      <c r="K206" s="66"/>
      <c r="L206" s="549" t="s">
        <v>4680</v>
      </c>
      <c r="M206" s="17" t="s">
        <v>4597</v>
      </c>
      <c r="N206" s="21"/>
      <c r="O206" s="2672" cm="1" t="n">
        <f t="array" ref="O206">INDEX('5층_부하량'!D3:D3000,MATCH(1,("5-DaHall 1-PDU-06"='5층_부하량'!A3:A3000)*(24='5층_부하량'!B3:B3000),0))</f>
        <v>0.0</v>
      </c>
      <c r="P206" s="21"/>
      <c r="Q206" s="21"/>
      <c r="R206" s="69" t="s">
        <v>4631</v>
      </c>
      <c r="S206" s="17" t="s">
        <v>4723</v>
      </c>
      <c r="T206" s="70" t="s">
        <v>3486</v>
      </c>
    </row>
    <row r="207" spans="1:20" x14ac:dyDescent="0.15">
      <c r="A207" s="16"/>
      <c r="B207" s="17" t="s">
        <v>565</v>
      </c>
      <c r="C207" s="17" t="s">
        <v>4723</v>
      </c>
      <c r="D207" s="21"/>
      <c r="E207" s="21"/>
      <c r="F207" s="2672" cm="1" t="n">
        <f t="array" ref="F207">INDEX('5층_부하량'!E3:E3000,MATCH(1,("5-DaHall 1-PDU-06"='5층_부하량'!A3:A3000)*(25='5층_부하량'!B3:B3000),0))</f>
        <v>0.0</v>
      </c>
      <c r="G207" s="21"/>
      <c r="H207" s="17" t="s">
        <v>4597</v>
      </c>
      <c r="I207" s="549" t="s">
        <v>4683</v>
      </c>
      <c r="J207" s="65"/>
      <c r="K207" s="66"/>
      <c r="L207" s="549" t="s">
        <v>4685</v>
      </c>
      <c r="M207" s="17" t="s">
        <v>4597</v>
      </c>
      <c r="N207" s="21"/>
      <c r="O207" s="21"/>
      <c r="P207" s="2672" cm="1" t="n">
        <f t="array" ref="P207">INDEX('5층_부하량'!E3:E3000,MATCH(1,("5-DaHall 1-PDU-06"='5층_부하량'!A3:A3000)*(26='5층_부하량'!B3:B3000),0))</f>
        <v>0.0</v>
      </c>
      <c r="Q207" s="21"/>
      <c r="R207" s="69" t="s">
        <v>4631</v>
      </c>
      <c r="S207" s="17" t="s">
        <v>4723</v>
      </c>
      <c r="T207" s="70" t="s">
        <v>3492</v>
      </c>
    </row>
    <row r="208" spans="1:20" x14ac:dyDescent="0.15">
      <c r="A208" s="107"/>
      <c r="B208" s="17" t="s">
        <v>565</v>
      </c>
      <c r="C208" s="17" t="s">
        <v>4723</v>
      </c>
      <c r="D208" s="2672" cm="1" t="n">
        <f t="array" ref="D208">INDEX('5층_부하량'!C3:C3000,MATCH(1,("5-DaHall 1-PDU-06"='5층_부하량'!A3:A3000)*(27='5층_부하량'!B3:B3000),0))</f>
        <v>0.0</v>
      </c>
      <c r="E208" s="19"/>
      <c r="F208" s="19"/>
      <c r="G208" s="21"/>
      <c r="H208" s="17" t="s">
        <v>4597</v>
      </c>
      <c r="I208" s="549" t="s">
        <v>4688</v>
      </c>
      <c r="J208" s="65"/>
      <c r="K208" s="66"/>
      <c r="L208" s="549" t="s">
        <v>4689</v>
      </c>
      <c r="M208" s="17" t="s">
        <v>4597</v>
      </c>
      <c r="N208" s="2672" cm="1" t="n">
        <f t="array" ref="N208">INDEX('5층_부하량'!C3:C3000,MATCH(1,("5-DaHall 1-PDU-06"='5층_부하량'!A3:A3000)*(28='5층_부하량'!B3:B3000),0))</f>
        <v>0.0</v>
      </c>
      <c r="O208" s="19"/>
      <c r="P208" s="19"/>
      <c r="Q208" s="21"/>
      <c r="R208" s="69" t="s">
        <v>4631</v>
      </c>
      <c r="S208" s="17" t="s">
        <v>4723</v>
      </c>
      <c r="T208" s="70" t="s">
        <v>3498</v>
      </c>
    </row>
    <row r="209" spans="1:20" x14ac:dyDescent="0.15">
      <c r="A209" s="2154"/>
      <c r="B209" s="72" t="s">
        <v>565</v>
      </c>
      <c r="C209" s="72" t="s">
        <v>4723</v>
      </c>
      <c r="D209" s="21"/>
      <c r="E209" s="2672" cm="1" t="n">
        <f t="array" ref="E209">INDEX('5층_부하량'!D3:D3000,MATCH(1,("5-DaHall 1-PDU-06"='5층_부하량'!A3:A3000)*(29='5층_부하량'!B3:B3000),0))</f>
        <v>0.0</v>
      </c>
      <c r="F209" s="21"/>
      <c r="G209" s="74"/>
      <c r="H209" s="72" t="s">
        <v>4597</v>
      </c>
      <c r="I209" s="550" t="s">
        <v>4691</v>
      </c>
      <c r="J209" s="65"/>
      <c r="K209" s="96"/>
      <c r="L209" s="550" t="s">
        <v>4692</v>
      </c>
      <c r="M209" s="72" t="s">
        <v>4597</v>
      </c>
      <c r="N209" s="21"/>
      <c r="O209" s="2672" cm="1" t="n">
        <f t="array" ref="O209">INDEX('5층_부하량'!D3:D3000,MATCH(1,("5-DaHall 1-PDU-06"='5층_부하량'!A3:A3000)*(30='5층_부하량'!B3:B3000),0))</f>
        <v>0.0</v>
      </c>
      <c r="P209" s="21"/>
      <c r="Q209" s="74"/>
      <c r="R209" s="75" t="s">
        <v>4631</v>
      </c>
      <c r="S209" s="17" t="s">
        <v>4723</v>
      </c>
      <c r="T209" s="70" t="s">
        <v>3504</v>
      </c>
    </row>
    <row r="210" spans="1:20" x14ac:dyDescent="0.15">
      <c r="A210" s="107"/>
      <c r="B210" s="17" t="s">
        <v>565</v>
      </c>
      <c r="C210" s="17" t="s">
        <v>4723</v>
      </c>
      <c r="D210" s="21"/>
      <c r="E210" s="21"/>
      <c r="F210" s="2672" cm="1" t="n">
        <f t="array" ref="F210">INDEX('5층_부하량'!E3:E3000,MATCH(1,("5-DaHall 1-PDU-06"='5층_부하량'!A3:A3000)*(31='5층_부하량'!B3:B3000),0))</f>
        <v>0.0</v>
      </c>
      <c r="G210" s="21"/>
      <c r="H210" s="17" t="s">
        <v>4597</v>
      </c>
      <c r="I210" s="549" t="s">
        <v>4693</v>
      </c>
      <c r="J210" s="65"/>
      <c r="K210" s="66"/>
      <c r="L210" s="549" t="s">
        <v>4694</v>
      </c>
      <c r="M210" s="17" t="s">
        <v>4597</v>
      </c>
      <c r="N210" s="21"/>
      <c r="O210" s="21"/>
      <c r="P210" s="2672" cm="1" t="n">
        <f t="array" ref="P210">INDEX('5층_부하량'!E3:E3000,MATCH(1,("5-DaHall 1-PDU-06"='5층_부하량'!A3:A3000)*(32='5층_부하량'!B3:B3000),0))</f>
        <v>0.0</v>
      </c>
      <c r="Q210" s="21"/>
      <c r="R210" s="75" t="s">
        <v>4631</v>
      </c>
      <c r="S210" s="17" t="s">
        <v>4723</v>
      </c>
      <c r="T210" s="82" t="s">
        <v>5825</v>
      </c>
    </row>
    <row r="211" spans="1:20" x14ac:dyDescent="0.15">
      <c r="A211" s="107"/>
      <c r="B211" s="17" t="s">
        <v>565</v>
      </c>
      <c r="C211" s="17" t="s">
        <v>4723</v>
      </c>
      <c r="D211" s="2672" cm="1" t="n">
        <f t="array" ref="D211">INDEX('5층_부하량'!C3:C3000,MATCH(1,("5-DaHall 1-PDU-06"='5층_부하량'!A3:A3000)*(33='5층_부하량'!B3:B3000),0))</f>
        <v>0.0</v>
      </c>
      <c r="E211" s="19"/>
      <c r="F211" s="19"/>
      <c r="G211" s="21"/>
      <c r="H211" s="17" t="s">
        <v>4597</v>
      </c>
      <c r="I211" s="549" t="s">
        <v>4697</v>
      </c>
      <c r="J211" s="65"/>
      <c r="K211" s="66"/>
      <c r="L211" s="549" t="s">
        <v>4698</v>
      </c>
      <c r="M211" s="17" t="s">
        <v>4597</v>
      </c>
      <c r="N211" s="2672" cm="1" t="n">
        <f t="array" ref="N211">INDEX('5층_부하량'!C3:C3000,MATCH(1,("5-DaHall 1-PDU-06"='5층_부하량'!A3:A3000)*(34='5층_부하량'!B3:B3000),0))</f>
        <v>0.0</v>
      </c>
      <c r="O211" s="19"/>
      <c r="P211" s="19"/>
      <c r="Q211" s="21"/>
      <c r="R211" s="75" t="s">
        <v>4631</v>
      </c>
      <c r="S211" s="17" t="s">
        <v>4723</v>
      </c>
      <c r="T211" s="70" t="s">
        <v>3510</v>
      </c>
    </row>
    <row r="212" spans="1:20" x14ac:dyDescent="0.15">
      <c r="A212" s="2154"/>
      <c r="B212" s="17" t="s">
        <v>565</v>
      </c>
      <c r="C212" s="17" t="s">
        <v>4723</v>
      </c>
      <c r="D212" s="21"/>
      <c r="E212" s="2672" cm="1" t="n">
        <f t="array" ref="E212">INDEX('5층_부하량'!D3:D3000,MATCH(1,("5-DaHall 1-PDU-06"='5층_부하량'!A3:A3000)*(35='5층_부하량'!B3:B3000),0))</f>
        <v>0.0</v>
      </c>
      <c r="F212" s="21"/>
      <c r="G212" s="21"/>
      <c r="H212" s="17" t="s">
        <v>4597</v>
      </c>
      <c r="I212" s="549" t="s">
        <v>4701</v>
      </c>
      <c r="J212" s="65"/>
      <c r="K212" s="66"/>
      <c r="L212" s="549" t="s">
        <v>4703</v>
      </c>
      <c r="M212" s="17" t="s">
        <v>4597</v>
      </c>
      <c r="N212" s="21"/>
      <c r="O212" s="2672" cm="1" t="n">
        <f t="array" ref="O212">INDEX('5층_부하량'!D3:D3000,MATCH(1,("5-DaHall 1-PDU-06"='5층_부하량'!A3:A3000)*(36='5층_부하량'!B3:B3000),0))</f>
        <v>0.0</v>
      </c>
      <c r="P212" s="21"/>
      <c r="Q212" s="21"/>
      <c r="R212" s="75" t="s">
        <v>4631</v>
      </c>
      <c r="S212" s="17" t="s">
        <v>4723</v>
      </c>
      <c r="T212" s="70" t="s">
        <v>3516</v>
      </c>
    </row>
    <row r="213" spans="1:20" x14ac:dyDescent="0.15">
      <c r="A213" s="107"/>
      <c r="B213" s="17" t="s">
        <v>565</v>
      </c>
      <c r="C213" s="17" t="s">
        <v>4723</v>
      </c>
      <c r="D213" s="21"/>
      <c r="E213" s="21"/>
      <c r="F213" s="2672" cm="1" t="n">
        <f t="array" ref="F213">INDEX('5층_부하량'!E3:E3000,MATCH(1,("5-DaHall 1-PDU-06"='5층_부하량'!A3:A3000)*(37='5층_부하량'!B3:B3000),0))</f>
        <v>0.0</v>
      </c>
      <c r="G213" s="21"/>
      <c r="H213" s="17" t="s">
        <v>4597</v>
      </c>
      <c r="I213" s="549" t="s">
        <v>4706</v>
      </c>
      <c r="J213" s="65"/>
      <c r="K213" s="66"/>
      <c r="L213" s="549" t="s">
        <v>4707</v>
      </c>
      <c r="M213" s="17" t="s">
        <v>4597</v>
      </c>
      <c r="N213" s="21"/>
      <c r="O213" s="21"/>
      <c r="P213" s="2672" cm="1" t="n">
        <f t="array" ref="P213">INDEX('5층_부하량'!E3:E3000,MATCH(1,("5-DaHall 1-PDU-06"='5층_부하량'!A3:A3000)*(38='5층_부하량'!B3:B3000),0))</f>
        <v>0.0</v>
      </c>
      <c r="Q213" s="21"/>
      <c r="R213" s="69" t="s">
        <v>4590</v>
      </c>
      <c r="S213" s="17" t="s">
        <v>4642</v>
      </c>
      <c r="T213" s="70"/>
    </row>
    <row r="214" spans="1:20" x14ac:dyDescent="0.15">
      <c r="A214" s="107"/>
      <c r="B214" s="17" t="s">
        <v>565</v>
      </c>
      <c r="C214" s="17" t="s">
        <v>4723</v>
      </c>
      <c r="D214" s="2672" cm="1" t="n">
        <f t="array" ref="D214">INDEX('5층_부하량'!C3:C3000,MATCH(1,("5-DaHall 1-PDU-06"='5층_부하량'!A3:A3000)*(39='5층_부하량'!B3:B3000),0))</f>
        <v>0.0</v>
      </c>
      <c r="E214" s="19"/>
      <c r="F214" s="19"/>
      <c r="G214" s="21"/>
      <c r="H214" s="17" t="s">
        <v>4597</v>
      </c>
      <c r="I214" s="549" t="s">
        <v>4710</v>
      </c>
      <c r="J214" s="65"/>
      <c r="K214" s="66"/>
      <c r="L214" s="549" t="s">
        <v>4711</v>
      </c>
      <c r="M214" s="17" t="s">
        <v>4597</v>
      </c>
      <c r="N214" s="2672" cm="1" t="n">
        <f t="array" ref="N214">INDEX('5층_부하량'!C3:C3000,MATCH(1,("5-DaHall 1-PDU-06"='5층_부하량'!A3:A3000)*(40='5층_부하량'!B3:B3000),0))</f>
        <v>0.0</v>
      </c>
      <c r="O214" s="19"/>
      <c r="P214" s="19"/>
      <c r="Q214" s="21"/>
      <c r="R214" s="69" t="s">
        <v>4590</v>
      </c>
      <c r="S214" s="17" t="s">
        <v>4642</v>
      </c>
      <c r="T214" s="70"/>
    </row>
    <row r="215" spans="1:20" x14ac:dyDescent="0.15">
      <c r="A215" s="107"/>
      <c r="B215" s="17" t="s">
        <v>565</v>
      </c>
      <c r="C215" s="17" t="s">
        <v>4723</v>
      </c>
      <c r="D215" s="21"/>
      <c r="E215" s="2672" cm="1" t="n">
        <f t="array" ref="E215">INDEX('5층_부하량'!D3:D3000,MATCH(1,("5-DaHall 1-PDU-06"='5층_부하량'!A3:A3000)*(41='5층_부하량'!B3:B3000),0))</f>
        <v>0.0</v>
      </c>
      <c r="F215" s="21"/>
      <c r="G215" s="21"/>
      <c r="H215" s="17" t="s">
        <v>4597</v>
      </c>
      <c r="I215" s="549" t="s">
        <v>5055</v>
      </c>
      <c r="J215" s="65"/>
      <c r="K215" s="66"/>
      <c r="L215" s="549" t="s">
        <v>4843</v>
      </c>
      <c r="M215" s="17" t="s">
        <v>4597</v>
      </c>
      <c r="N215" s="21"/>
      <c r="O215" s="2672" cm="1" t="n">
        <f t="array" ref="O215">INDEX('5층_부하량'!D3:D3000,MATCH(1,("5-DaHall 1-PDU-06"='5층_부하량'!A3:A3000)*(42='5층_부하량'!B3:B3000),0))</f>
        <v>0.0</v>
      </c>
      <c r="P215" s="21"/>
      <c r="Q215" s="21"/>
      <c r="R215" s="69" t="s">
        <v>4590</v>
      </c>
      <c r="S215" s="17" t="s">
        <v>4642</v>
      </c>
      <c r="T215" s="70"/>
    </row>
    <row r="216" spans="1:20" x14ac:dyDescent="0.15">
      <c r="A216" s="321"/>
      <c r="B216" s="17" t="s">
        <v>565</v>
      </c>
      <c r="C216" s="17" t="s">
        <v>4723</v>
      </c>
      <c r="D216" s="21"/>
      <c r="E216" s="21"/>
      <c r="F216" s="2672" cm="1" t="n">
        <f t="array" ref="F216">INDEX('5층_부하량'!E3:E3000,MATCH(1,("5-DaHall 1-PDU-06"='5층_부하량'!A3:A3000)*(43='5층_부하량'!B3:B3000),0))</f>
        <v>0.0</v>
      </c>
      <c r="G216" s="21"/>
      <c r="H216" s="17" t="s">
        <v>4597</v>
      </c>
      <c r="I216" s="549" t="s">
        <v>4845</v>
      </c>
      <c r="J216" s="65"/>
      <c r="K216" s="66"/>
      <c r="L216" s="549" t="s">
        <v>4846</v>
      </c>
      <c r="M216" s="17" t="s">
        <v>4597</v>
      </c>
      <c r="N216" s="21"/>
      <c r="O216" s="21"/>
      <c r="P216" s="2672" cm="1" t="n">
        <f t="array" ref="P216">INDEX('5층_부하량'!E3:E3000,MATCH(1,("5-DaHall 1-PDU-06"='5층_부하량'!A3:A3000)*(44='5층_부하량'!B3:B3000),0))</f>
        <v>0.0</v>
      </c>
      <c r="Q216" s="21"/>
      <c r="R216" s="69" t="s">
        <v>4590</v>
      </c>
      <c r="S216" s="17" t="s">
        <v>4642</v>
      </c>
      <c r="T216" s="70"/>
    </row>
    <row r="217" spans="1:20" x14ac:dyDescent="0.15">
      <c r="A217" s="321"/>
      <c r="B217" s="17" t="s">
        <v>565</v>
      </c>
      <c r="C217" s="17" t="s">
        <v>4723</v>
      </c>
      <c r="D217" s="2672" cm="1" t="n">
        <f t="array" ref="D217">INDEX('5층_부하량'!C3:C3000,MATCH(1,("5-DaHall 1-PDU-06"='5층_부하량'!A3:A3000)*(45='5층_부하량'!B3:B3000),0))</f>
        <v>0.0</v>
      </c>
      <c r="E217" s="19"/>
      <c r="F217" s="19"/>
      <c r="G217" s="21"/>
      <c r="H217" s="17" t="s">
        <v>4597</v>
      </c>
      <c r="I217" s="549" t="s">
        <v>4847</v>
      </c>
      <c r="J217" s="65"/>
      <c r="K217" s="66"/>
      <c r="L217" s="549" t="s">
        <v>4848</v>
      </c>
      <c r="M217" s="17" t="s">
        <v>4597</v>
      </c>
      <c r="N217" s="2672" cm="1" t="n">
        <f t="array" ref="N217">INDEX('5층_부하량'!C3:C3000,MATCH(1,("5-DaHall 1-PDU-06"='5층_부하량'!A3:A3000)*(46='5층_부하량'!B3:B3000),0))</f>
        <v>0.0</v>
      </c>
      <c r="O217" s="19"/>
      <c r="P217" s="19"/>
      <c r="Q217" s="21"/>
      <c r="R217" s="69" t="s">
        <v>4590</v>
      </c>
      <c r="S217" s="17" t="s">
        <v>4642</v>
      </c>
      <c r="T217" s="70"/>
    </row>
    <row r="218" spans="1:20" x14ac:dyDescent="0.15">
      <c r="A218" s="321"/>
      <c r="B218" s="17" t="s">
        <v>565</v>
      </c>
      <c r="C218" s="17" t="s">
        <v>4723</v>
      </c>
      <c r="D218" s="21"/>
      <c r="E218" s="2672" cm="1" t="n">
        <f t="array" ref="E218">INDEX('5층_부하량'!D3:D3000,MATCH(1,("5-DaHall 1-PDU-06"='5층_부하량'!A3:A3000)*(47='5층_부하량'!B3:B3000),0))</f>
        <v>0.0</v>
      </c>
      <c r="F218" s="21"/>
      <c r="G218" s="21"/>
      <c r="H218" s="17" t="s">
        <v>4597</v>
      </c>
      <c r="I218" s="549" t="s">
        <v>4849</v>
      </c>
      <c r="J218" s="65"/>
      <c r="K218" s="66"/>
      <c r="L218" s="549" t="s">
        <v>4850</v>
      </c>
      <c r="M218" s="17" t="s">
        <v>4597</v>
      </c>
      <c r="N218" s="21"/>
      <c r="O218" s="2672" cm="1" t="n">
        <f t="array" ref="O218">INDEX('5층_부하량'!D3:D3000,MATCH(1,("5-DaHall 1-PDU-06"='5층_부하량'!A3:A3000)*(48='5층_부하량'!B3:B3000),0))</f>
        <v>0.0</v>
      </c>
      <c r="P218" s="21"/>
      <c r="Q218" s="21"/>
      <c r="R218" s="69" t="s">
        <v>4590</v>
      </c>
      <c r="S218" s="17" t="s">
        <v>4642</v>
      </c>
      <c r="T218" s="70"/>
    </row>
    <row r="219" spans="1:20" ht="15.75" customHeight="1" x14ac:dyDescent="0.15">
      <c r="A219" s="99"/>
      <c r="B219" s="23" t="s">
        <v>565</v>
      </c>
      <c r="C219" s="17" t="s">
        <v>4723</v>
      </c>
      <c r="D219" s="21"/>
      <c r="E219" s="21"/>
      <c r="F219" s="2672" cm="1" t="n">
        <f t="array" ref="F219">INDEX('5층_부하량'!E3:E3000,MATCH(1,("5-DaHall 1-PDU-06"='5층_부하량'!A3:A3000)*(49='5층_부하량'!B3:B3000),0))</f>
        <v>0.0</v>
      </c>
      <c r="G219" s="25"/>
      <c r="H219" s="23" t="s">
        <v>4597</v>
      </c>
      <c r="I219" s="555" t="s">
        <v>4851</v>
      </c>
      <c r="J219" s="102"/>
      <c r="K219" s="103"/>
      <c r="L219" s="555" t="s">
        <v>4852</v>
      </c>
      <c r="M219" s="23" t="s">
        <v>4597</v>
      </c>
      <c r="N219" s="21"/>
      <c r="O219" s="21"/>
      <c r="P219" s="2672" cm="1" t="n">
        <f t="array" ref="P219">INDEX('5층_부하량'!E3:E3000,MATCH(1,("5-DaHall 1-PDU-06"='5층_부하량'!A3:A3000)*(50='5층_부하량'!B3:B3000),0))</f>
        <v>0.0</v>
      </c>
      <c r="Q219" s="25"/>
      <c r="R219" s="108" t="s">
        <v>4590</v>
      </c>
      <c r="S219" s="23" t="s">
        <v>4642</v>
      </c>
      <c r="T219" s="104"/>
    </row>
    <row r="220" spans="1:20" x14ac:dyDescent="0.15">
      <c r="A220" s="321"/>
      <c r="B220" s="17" t="s">
        <v>565</v>
      </c>
      <c r="C220" s="17" t="s">
        <v>4723</v>
      </c>
      <c r="D220" s="2672" cm="1" t="n">
        <f t="array" ref="D220">INDEX('5층_부하량'!C3:C3000,MATCH(1,("5-DaHall 1-PDU-06"='5층_부하량'!A3:A3000)*(51='5층_부하량'!B3:B3000),0))</f>
        <v>0.0</v>
      </c>
      <c r="E220" s="21"/>
      <c r="F220" s="21"/>
      <c r="G220" s="21"/>
      <c r="H220" s="17" t="s">
        <v>4597</v>
      </c>
      <c r="I220" s="549" t="s">
        <v>4853</v>
      </c>
      <c r="J220" s="65"/>
      <c r="K220" s="66"/>
      <c r="L220" s="549" t="s">
        <v>4854</v>
      </c>
      <c r="M220" s="17" t="s">
        <v>4597</v>
      </c>
      <c r="N220" s="2672" cm="1" t="n">
        <f t="array" ref="N220">INDEX('5층_부하량'!C3:C3000,MATCH(1,("5-DaHall 1-PDU-06"='5층_부하량'!A3:A3000)*(52='5층_부하량'!B3:B3000),0))</f>
        <v>0.0</v>
      </c>
      <c r="O220" s="21"/>
      <c r="P220" s="21"/>
      <c r="Q220" s="21"/>
      <c r="R220" s="69" t="s">
        <v>4590</v>
      </c>
      <c r="S220" s="17" t="s">
        <v>4642</v>
      </c>
      <c r="T220" s="70"/>
    </row>
    <row r="221" spans="1:20" ht="14.25" thickBot="1" x14ac:dyDescent="0.2">
      <c r="A221" s="109"/>
      <c r="B221" s="29" t="s">
        <v>565</v>
      </c>
      <c r="C221" s="35" t="s">
        <v>4723</v>
      </c>
      <c r="D221" s="30"/>
      <c r="E221" s="2674" cm="1" t="n">
        <f t="array" ref="E221">INDEX('5층_부하량'!D3:D3000,MATCH(1,("5-DaHall 1-PDU-06"='5층_부하량'!A3:A3000)*(53='5층_부하량'!B3:B3000),0))</f>
        <v>0.0</v>
      </c>
      <c r="F221" s="30"/>
      <c r="G221" s="30"/>
      <c r="H221" s="29" t="s">
        <v>4597</v>
      </c>
      <c r="I221" s="556" t="s">
        <v>4856</v>
      </c>
      <c r="J221" s="2155"/>
      <c r="K221" s="2156"/>
      <c r="L221" s="556" t="s">
        <v>4857</v>
      </c>
      <c r="M221" s="29" t="s">
        <v>4597</v>
      </c>
      <c r="N221" s="30"/>
      <c r="O221" s="2674" cm="1" t="n">
        <f t="array" ref="O221">INDEX('5층_부하량'!D3:D3000,MATCH(1,("5-DaHall 1-PDU-06"='5층_부하량'!A3:A3000)*(54='5층_부하량'!B3:B3000),0))</f>
        <v>0.0</v>
      </c>
      <c r="P221" s="30"/>
      <c r="Q221" s="30"/>
      <c r="R221" s="110" t="s">
        <v>4590</v>
      </c>
      <c r="S221" s="29" t="s">
        <v>4642</v>
      </c>
      <c r="T221" s="111"/>
    </row>
    <row r="222" spans="1:20" ht="15" thickTop="1" thickBot="1" x14ac:dyDescent="0.2">
      <c r="M222" s="80" t="s">
        <v>5645</v>
      </c>
      <c r="N222" s="33" t="n">
        <f>SUM(D195:D221,N195:N221)</f>
        <v>0.0</v>
      </c>
      <c r="O222" s="33" t="n">
        <f>SUM(E195:E221,O195:O221)</f>
        <v>0.0</v>
      </c>
      <c r="P222" s="33" t="n">
        <f>SUM(F195:F221,P195:P221)</f>
        <v>0.0</v>
      </c>
    </row>
    <row r="223" spans="1:20" ht="20.25" thickTop="1" thickBot="1" x14ac:dyDescent="0.2">
      <c r="A223" s="2" t="s">
        <v>6951</v>
      </c>
      <c r="C223" s="3660" t="s">
        <v>5826</v>
      </c>
      <c r="D223" s="3660"/>
      <c r="E223" s="3660"/>
      <c r="F223" s="3660"/>
      <c r="G223" s="53"/>
      <c r="H223" s="124"/>
      <c r="I223" s="124"/>
      <c r="J223" s="3661" t="s">
        <v>5063</v>
      </c>
      <c r="K223" s="3667"/>
      <c r="L223" s="124"/>
      <c r="M223" s="124"/>
      <c r="N223" s="53"/>
      <c r="O223" s="53"/>
      <c r="P223" s="53"/>
      <c r="Q223" s="53"/>
      <c r="R223" s="53"/>
      <c r="S223" s="53"/>
    </row>
    <row r="224" spans="1:20" ht="15" customHeight="1" thickTop="1" thickBot="1" x14ac:dyDescent="0.2">
      <c r="A224" s="3"/>
      <c r="D224" s="54"/>
      <c r="E224" s="54"/>
      <c r="F224" s="54"/>
      <c r="G224" s="54"/>
      <c r="H224" s="4"/>
      <c r="I224" s="4"/>
      <c r="K224" s="56"/>
      <c r="L224" s="565"/>
      <c r="M224" s="1371" t="s">
        <v>4562</v>
      </c>
      <c r="N224" s="1368">
        <v>8.6</v>
      </c>
      <c r="O224" s="1369">
        <v>1.1000000000000001</v>
      </c>
      <c r="P224" s="1370">
        <v>0.7</v>
      </c>
      <c r="Q224" s="508" t="s">
        <v>4563</v>
      </c>
      <c r="R224" s="133"/>
      <c r="S224" s="128"/>
      <c r="T224" s="528"/>
    </row>
    <row r="225" spans="1:20" ht="15" thickTop="1" thickBot="1" x14ac:dyDescent="0.2">
      <c r="A225" s="5" t="s">
        <v>4564</v>
      </c>
      <c r="B225" s="6" t="s">
        <v>4565</v>
      </c>
      <c r="C225" s="7" t="s">
        <v>4566</v>
      </c>
      <c r="D225" s="6" t="s">
        <v>4567</v>
      </c>
      <c r="E225" s="6" t="s">
        <v>4568</v>
      </c>
      <c r="F225" s="6" t="s">
        <v>4569</v>
      </c>
      <c r="G225" s="6" t="s">
        <v>4570</v>
      </c>
      <c r="H225" s="8" t="s">
        <v>4571</v>
      </c>
      <c r="I225" s="547"/>
      <c r="J225" s="58" t="s">
        <v>4572</v>
      </c>
      <c r="K225" s="59" t="s">
        <v>4572</v>
      </c>
      <c r="L225" s="566"/>
      <c r="M225" s="8" t="s">
        <v>4571</v>
      </c>
      <c r="N225" s="6" t="s">
        <v>4567</v>
      </c>
      <c r="O225" s="6" t="s">
        <v>4568</v>
      </c>
      <c r="P225" s="6" t="s">
        <v>4569</v>
      </c>
      <c r="Q225" s="8" t="s">
        <v>4570</v>
      </c>
      <c r="R225" s="6" t="s">
        <v>4565</v>
      </c>
      <c r="S225" s="7" t="s">
        <v>4566</v>
      </c>
      <c r="T225" s="60" t="s">
        <v>4564</v>
      </c>
    </row>
    <row r="226" spans="1:20" ht="24.75" thickTop="1" x14ac:dyDescent="0.15">
      <c r="A226" s="660" t="s">
        <v>5827</v>
      </c>
      <c r="B226" s="11" t="s">
        <v>4631</v>
      </c>
      <c r="C226" s="18" t="s">
        <v>4575</v>
      </c>
      <c r="D226" s="2669" cm="1" t="n">
        <f t="array" ref="D226">INDEX('5층_부하량'!C3:C3000,MATCH(1,("5-DaHall 1-PDU-07"='5층_부하량'!A3:A3000)*(1='5층_부하량'!B3:B3000),0))</f>
        <v>7.05</v>
      </c>
      <c r="E226" s="15"/>
      <c r="F226" s="15"/>
      <c r="G226" s="15"/>
      <c r="H226" s="13" t="s">
        <v>5786</v>
      </c>
      <c r="I226" s="1214" t="s">
        <v>4633</v>
      </c>
      <c r="J226" s="1021" t="s">
        <v>5828</v>
      </c>
      <c r="K226" s="1022" t="s">
        <v>5829</v>
      </c>
      <c r="L226" s="1210" t="s">
        <v>4578</v>
      </c>
      <c r="M226" s="11" t="s">
        <v>5786</v>
      </c>
      <c r="N226" s="2669" cm="1" t="n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3" t="s">
        <v>4631</v>
      </c>
      <c r="S226" s="97" t="s">
        <v>4575</v>
      </c>
      <c r="T226" s="1063" t="s">
        <v>5830</v>
      </c>
    </row>
    <row r="227" spans="1:20" ht="16.5" x14ac:dyDescent="0.15">
      <c r="A227" s="16" t="s">
        <v>5831</v>
      </c>
      <c r="B227" s="17" t="s">
        <v>4631</v>
      </c>
      <c r="C227" s="18" t="s">
        <v>4575</v>
      </c>
      <c r="D227" s="19"/>
      <c r="E227" s="2670" cm="1" t="n">
        <f t="array" ref="E227">INDEX('5층_부하량'!D3:D3000,MATCH(1,("5-DaHall 1-PDU-07"='5층_부하량'!A3:A3000)*(3='5층_부하량'!B3:B3000),0))</f>
        <v>0.4</v>
      </c>
      <c r="F227" s="19"/>
      <c r="G227" s="19"/>
      <c r="H227" s="17" t="s">
        <v>5790</v>
      </c>
      <c r="I227" s="1207" t="s">
        <v>4638</v>
      </c>
      <c r="J227" s="1023" t="s">
        <v>5828</v>
      </c>
      <c r="K227" s="1024" t="s">
        <v>5832</v>
      </c>
      <c r="L227" s="1207" t="s">
        <v>4583</v>
      </c>
      <c r="M227" s="17" t="s">
        <v>5786</v>
      </c>
      <c r="N227" s="19"/>
      <c r="O227" s="2670" cm="1" t="n">
        <f t="array" ref="O227">INDEX('5층_부하량'!D3:D3000,MATCH(1,("5-DaHall 1-PDU-07"='5층_부하량'!A3:A3000)*(4='5층_부하량'!B3:B3000),0))</f>
        <v>0.0</v>
      </c>
      <c r="P227" s="19"/>
      <c r="Q227" s="19"/>
      <c r="R227" s="67" t="s">
        <v>4631</v>
      </c>
      <c r="S227" s="18" t="s">
        <v>4575</v>
      </c>
      <c r="T227" s="68" t="s">
        <v>5833</v>
      </c>
    </row>
    <row r="228" spans="1:20" ht="36" x14ac:dyDescent="0.15">
      <c r="A228" s="321" t="s">
        <v>5834</v>
      </c>
      <c r="B228" s="17" t="s">
        <v>4631</v>
      </c>
      <c r="C228" s="18" t="s">
        <v>4575</v>
      </c>
      <c r="D228" s="21"/>
      <c r="E228" s="21"/>
      <c r="F228" s="2672" cm="1" t="n">
        <f t="array" ref="F228">INDEX('5층_부하량'!E3:E3000,MATCH(1,("5-DaHall 1-PDU-07"='5층_부하량'!A3:A3000)*(5='5층_부하량'!B3:B3000),0))</f>
        <v>0.0</v>
      </c>
      <c r="G228" s="21"/>
      <c r="H228" s="17" t="s">
        <v>5786</v>
      </c>
      <c r="I228" s="1207" t="s">
        <v>4641</v>
      </c>
      <c r="J228" s="1023" t="s">
        <v>5828</v>
      </c>
      <c r="K228" s="1025" t="s">
        <v>5835</v>
      </c>
      <c r="L228" s="1207" t="s">
        <v>4588</v>
      </c>
      <c r="M228" s="17" t="s">
        <v>5786</v>
      </c>
      <c r="N228" s="21"/>
      <c r="O228" s="21"/>
      <c r="P228" s="2672" cm="1" t="n">
        <f t="array" ref="P228">INDEX('5층_부하량'!E3:E3000,MATCH(1,("5-DaHall 1-PDU-07"='5층_부하량'!A3:A3000)*(6='5층_부하량'!B3:B3000),0))</f>
        <v>0.0</v>
      </c>
      <c r="Q228" s="21"/>
      <c r="R228" s="69" t="s">
        <v>4631</v>
      </c>
      <c r="S228" s="18" t="s">
        <v>4575</v>
      </c>
      <c r="T228" s="70" t="s">
        <v>5836</v>
      </c>
    </row>
    <row r="229" spans="1:20" x14ac:dyDescent="0.15">
      <c r="A229" s="16"/>
      <c r="B229" s="17" t="s">
        <v>4590</v>
      </c>
      <c r="C229" s="17" t="s">
        <v>4642</v>
      </c>
      <c r="D229" s="2672" cm="1" t="n">
        <f t="array" ref="D229">INDEX('5층_부하량'!C3:C3000,MATCH(1,("5-DaHall 1-PDU-07"='5층_부하량'!A3:A3000)*(7='5층_부하량'!B3:B3000),0))</f>
        <v>0.0</v>
      </c>
      <c r="E229" s="21"/>
      <c r="F229" s="21"/>
      <c r="G229" s="21"/>
      <c r="H229" s="17" t="s">
        <v>5795</v>
      </c>
      <c r="I229" s="549" t="s">
        <v>4645</v>
      </c>
      <c r="J229" s="112"/>
      <c r="K229" s="81"/>
      <c r="L229" s="568" t="s">
        <v>4593</v>
      </c>
      <c r="M229" s="17" t="s">
        <v>5795</v>
      </c>
      <c r="N229" s="2672" cm="1" t="n">
        <f t="array" ref="N229">INDEX('5층_부하량'!C3:C3000,MATCH(1,("5-DaHall 1-PDU-07"='5층_부하량'!A3:A3000)*(8='5층_부하량'!B3:B3000),0))</f>
        <v>0.0</v>
      </c>
      <c r="O229" s="21"/>
      <c r="P229" s="21"/>
      <c r="Q229" s="21"/>
      <c r="R229" s="69" t="s">
        <v>4590</v>
      </c>
      <c r="S229" s="17" t="s">
        <v>4642</v>
      </c>
      <c r="T229" s="68"/>
    </row>
    <row r="230" spans="1:20" x14ac:dyDescent="0.15">
      <c r="A230" s="321"/>
      <c r="B230" s="17" t="s">
        <v>4590</v>
      </c>
      <c r="C230" s="17" t="s">
        <v>4642</v>
      </c>
      <c r="D230" s="21"/>
      <c r="E230" s="2672" cm="1" t="n">
        <f t="array" ref="E230">INDEX('5층_부하량'!D3:D3000,MATCH(1,("5-DaHall 1-PDU-07"='5층_부하량'!A3:A3000)*(9='5층_부하량'!B3:B3000),0))</f>
        <v>0.0</v>
      </c>
      <c r="F230" s="21"/>
      <c r="G230" s="21"/>
      <c r="H230" s="17" t="s">
        <v>5801</v>
      </c>
      <c r="I230" s="549" t="s">
        <v>4648</v>
      </c>
      <c r="J230" s="112"/>
      <c r="K230" s="81"/>
      <c r="L230" s="568" t="s">
        <v>4596</v>
      </c>
      <c r="M230" s="17" t="s">
        <v>5801</v>
      </c>
      <c r="N230" s="21"/>
      <c r="O230" s="2672" cm="1" t="n">
        <f t="array" ref="O230">INDEX('5층_부하량'!D3:D3000,MATCH(1,("5-DaHall 1-PDU-07"='5층_부하량'!A3:A3000)*(10='5층_부하량'!B3:B3000),0))</f>
        <v>0.0</v>
      </c>
      <c r="P230" s="21"/>
      <c r="Q230" s="21"/>
      <c r="R230" s="69" t="s">
        <v>4590</v>
      </c>
      <c r="S230" s="17" t="s">
        <v>4642</v>
      </c>
      <c r="T230" s="70"/>
    </row>
    <row r="231" spans="1:20" x14ac:dyDescent="0.15">
      <c r="A231" s="16"/>
      <c r="B231" s="23" t="s">
        <v>4590</v>
      </c>
      <c r="C231" s="17" t="s">
        <v>4642</v>
      </c>
      <c r="D231" s="25"/>
      <c r="E231" s="25"/>
      <c r="F231" s="2673" cm="1" t="n">
        <f t="array" ref="F231">INDEX('5층_부하량'!E3:E3000,MATCH(1,("5-DaHall 1-PDU-07"='5층_부하량'!A3:A3000)*(11='5층_부하량'!B3:B3000),0))</f>
        <v>0.0</v>
      </c>
      <c r="G231" s="25"/>
      <c r="H231" s="23" t="s">
        <v>5801</v>
      </c>
      <c r="I231" s="555" t="s">
        <v>4653</v>
      </c>
      <c r="J231" s="113"/>
      <c r="K231" s="114"/>
      <c r="L231" s="569" t="s">
        <v>4599</v>
      </c>
      <c r="M231" s="23" t="s">
        <v>5801</v>
      </c>
      <c r="N231" s="25"/>
      <c r="O231" s="25"/>
      <c r="P231" s="2673" cm="1" t="n">
        <f t="array" ref="P231">INDEX('5층_부하량'!E3:E3000,MATCH(1,("5-DaHall 1-PDU-07"='5층_부하량'!A3:A3000)*(12='5층_부하량'!B3:B3000),0))</f>
        <v>0.0</v>
      </c>
      <c r="Q231" s="25"/>
      <c r="R231" s="108" t="s">
        <v>4590</v>
      </c>
      <c r="S231" s="23" t="s">
        <v>4642</v>
      </c>
      <c r="T231" s="104"/>
    </row>
    <row r="232" spans="1:20" ht="14.25" thickBot="1" x14ac:dyDescent="0.2">
      <c r="A232" s="87"/>
      <c r="B232" s="88" t="s">
        <v>4590</v>
      </c>
      <c r="C232" s="88" t="s">
        <v>4642</v>
      </c>
      <c r="D232" s="2688" cm="1" t="n">
        <f t="array" ref="D232">INDEX('5층_부하량'!C3:C3000,MATCH(1,("5-DaHall 1-PDU-07"='5층_부하량'!A3:A3000)*(13='5층_부하량'!B3:B3000),0))</f>
        <v>0.0</v>
      </c>
      <c r="E232" s="90"/>
      <c r="F232" s="90"/>
      <c r="G232" s="90"/>
      <c r="H232" s="88" t="s">
        <v>5801</v>
      </c>
      <c r="I232" s="553" t="s">
        <v>4657</v>
      </c>
      <c r="J232" s="115"/>
      <c r="K232" s="116"/>
      <c r="L232" s="570" t="s">
        <v>4601</v>
      </c>
      <c r="M232" s="88" t="s">
        <v>5801</v>
      </c>
      <c r="N232" s="2688" cm="1" t="n">
        <f t="array" ref="N232">INDEX('5층_부하량'!C3:C3000,MATCH(1,("5-DaHall 1-PDU-07"='5층_부하량'!A3:A3000)*(14='5층_부하량'!B3:B3000),0))</f>
        <v>0.0</v>
      </c>
      <c r="O232" s="90"/>
      <c r="P232" s="90"/>
      <c r="Q232" s="90"/>
      <c r="R232" s="93" t="s">
        <v>4590</v>
      </c>
      <c r="S232" s="88" t="s">
        <v>4642</v>
      </c>
      <c r="T232" s="94"/>
    </row>
    <row r="233" spans="1:20" ht="14.25" thickTop="1" x14ac:dyDescent="0.15">
      <c r="A233" s="99"/>
      <c r="B233" s="72" t="s">
        <v>4590</v>
      </c>
      <c r="C233" s="72" t="s">
        <v>4642</v>
      </c>
      <c r="D233" s="74"/>
      <c r="E233" s="2689" cm="1" t="n">
        <f t="array" ref="E233">INDEX('5층_부하량'!D3:D3000,MATCH(1,("5-DaHall 1-PDU-07"='5층_부하량'!A3:A3000)*(15='5층_부하량'!B3:B3000),0))</f>
        <v>0.0</v>
      </c>
      <c r="F233" s="74"/>
      <c r="G233" s="74"/>
      <c r="H233" s="72" t="s">
        <v>5801</v>
      </c>
      <c r="I233" s="550" t="s">
        <v>4661</v>
      </c>
      <c r="J233" s="117"/>
      <c r="K233" s="83"/>
      <c r="L233" s="571" t="s">
        <v>4603</v>
      </c>
      <c r="M233" s="72" t="s">
        <v>5801</v>
      </c>
      <c r="N233" s="74"/>
      <c r="O233" s="2689" cm="1" t="n">
        <f t="array" ref="O233">INDEX('5층_부하량'!D3:D3000,MATCH(1,("5-DaHall 1-PDU-07"='5층_부하량'!A3:A3000)*(16='5층_부하량'!B3:B3000),0))</f>
        <v>0.0</v>
      </c>
      <c r="P233" s="74"/>
      <c r="Q233" s="74"/>
      <c r="R233" s="75" t="s">
        <v>4590</v>
      </c>
      <c r="S233" s="72" t="s">
        <v>4642</v>
      </c>
      <c r="T233" s="68"/>
    </row>
    <row r="234" spans="1:20" x14ac:dyDescent="0.15">
      <c r="A234" s="321"/>
      <c r="B234" s="17" t="s">
        <v>4590</v>
      </c>
      <c r="C234" s="17" t="s">
        <v>4642</v>
      </c>
      <c r="D234" s="21"/>
      <c r="E234" s="21"/>
      <c r="F234" s="2672" cm="1" t="n">
        <f t="array" ref="F234">INDEX('5층_부하량'!E3:E3000,MATCH(1,("5-DaHall 1-PDU-07"='5층_부하량'!A3:A3000)*(17='5층_부하량'!B3:B3000),0))</f>
        <v>0.0</v>
      </c>
      <c r="G234" s="21"/>
      <c r="H234" s="17" t="s">
        <v>5801</v>
      </c>
      <c r="I234" s="549" t="s">
        <v>4665</v>
      </c>
      <c r="J234" s="112"/>
      <c r="K234" s="81"/>
      <c r="L234" s="568" t="s">
        <v>4605</v>
      </c>
      <c r="M234" s="17" t="s">
        <v>5801</v>
      </c>
      <c r="N234" s="21"/>
      <c r="O234" s="21"/>
      <c r="P234" s="2672" cm="1" t="n">
        <f t="array" ref="P234">INDEX('5층_부하량'!E3:E3000,MATCH(1,("5-DaHall 1-PDU-07"='5층_부하량'!A3:A3000)*(18='5층_부하량'!B3:B3000),0))</f>
        <v>0.0</v>
      </c>
      <c r="Q234" s="21"/>
      <c r="R234" s="69" t="s">
        <v>4590</v>
      </c>
      <c r="S234" s="17" t="s">
        <v>4642</v>
      </c>
      <c r="T234" s="70"/>
    </row>
    <row r="235" spans="1:20" x14ac:dyDescent="0.15">
      <c r="A235" s="16"/>
      <c r="B235" s="17" t="s">
        <v>4590</v>
      </c>
      <c r="C235" s="17" t="s">
        <v>4642</v>
      </c>
      <c r="D235" s="2672" cm="1" t="n">
        <f t="array" ref="D235">INDEX('5층_부하량'!C3:C3000,MATCH(1,("5-DaHall 1-PDU-07"='5층_부하량'!A3:A3000)*(19='5층_부하량'!B3:B3000),0))</f>
        <v>0.0</v>
      </c>
      <c r="E235" s="21"/>
      <c r="F235" s="21"/>
      <c r="G235" s="21"/>
      <c r="H235" s="17" t="s">
        <v>5811</v>
      </c>
      <c r="I235" s="549" t="s">
        <v>4670</v>
      </c>
      <c r="J235" s="112"/>
      <c r="K235" s="81"/>
      <c r="L235" s="568" t="s">
        <v>4609</v>
      </c>
      <c r="M235" s="17" t="s">
        <v>5811</v>
      </c>
      <c r="N235" s="2672" cm="1" t="n">
        <f t="array" ref="N235">INDEX('5층_부하량'!C3:C3000,MATCH(1,("5-DaHall 1-PDU-07"='5층_부하량'!A3:A3000)*(20='5층_부하량'!B3:B3000),0))</f>
        <v>0.0</v>
      </c>
      <c r="O235" s="21"/>
      <c r="P235" s="21"/>
      <c r="Q235" s="21"/>
      <c r="R235" s="69" t="s">
        <v>4590</v>
      </c>
      <c r="S235" s="17" t="s">
        <v>4642</v>
      </c>
      <c r="T235" s="70"/>
    </row>
    <row r="236" spans="1:20" x14ac:dyDescent="0.15">
      <c r="A236" s="321"/>
      <c r="B236" s="17" t="s">
        <v>4590</v>
      </c>
      <c r="C236" s="17" t="s">
        <v>4642</v>
      </c>
      <c r="D236" s="21"/>
      <c r="E236" s="2672" cm="1" t="n">
        <f t="array" ref="E236">INDEX('5층_부하량'!D3:D3000,MATCH(1,("5-DaHall 1-PDU-07"='5층_부하량'!A3:A3000)*(21='5층_부하량'!B3:B3000),0))</f>
        <v>0.0</v>
      </c>
      <c r="F236" s="21"/>
      <c r="G236" s="21"/>
      <c r="H236" s="17" t="s">
        <v>5811</v>
      </c>
      <c r="I236" s="549" t="s">
        <v>4674</v>
      </c>
      <c r="J236" s="112"/>
      <c r="K236" s="81"/>
      <c r="L236" s="568" t="s">
        <v>4613</v>
      </c>
      <c r="M236" s="17" t="s">
        <v>5811</v>
      </c>
      <c r="N236" s="21"/>
      <c r="O236" s="2672" cm="1" t="n">
        <f t="array" ref="O236">INDEX('5층_부하량'!D3:D3000,MATCH(1,("5-DaHall 1-PDU-07"='5층_부하량'!A3:A3000)*(22='5층_부하량'!B3:B3000),0))</f>
        <v>0.0</v>
      </c>
      <c r="P236" s="21"/>
      <c r="Q236" s="21"/>
      <c r="R236" s="69" t="s">
        <v>4590</v>
      </c>
      <c r="S236" s="17" t="s">
        <v>4642</v>
      </c>
      <c r="T236" s="82"/>
    </row>
    <row r="237" spans="1:20" x14ac:dyDescent="0.15">
      <c r="A237" s="321"/>
      <c r="B237" s="17" t="s">
        <v>4590</v>
      </c>
      <c r="C237" s="17" t="s">
        <v>4642</v>
      </c>
      <c r="D237" s="21"/>
      <c r="E237" s="21"/>
      <c r="F237" s="2672" cm="1" t="n">
        <f t="array" ref="F237">INDEX('5층_부하량'!E3:E3000,MATCH(1,("5-DaHall 1-PDU-07"='5층_부하량'!A3:A3000)*(23='5층_부하량'!B3:B3000),0))</f>
        <v>0.0</v>
      </c>
      <c r="G237" s="21"/>
      <c r="H237" s="17" t="s">
        <v>5811</v>
      </c>
      <c r="I237" s="549" t="s">
        <v>4678</v>
      </c>
      <c r="J237" s="112"/>
      <c r="K237" s="81"/>
      <c r="L237" s="568" t="s">
        <v>4680</v>
      </c>
      <c r="M237" s="17" t="s">
        <v>5811</v>
      </c>
      <c r="N237" s="21"/>
      <c r="O237" s="21"/>
      <c r="P237" s="2672" cm="1" t="n">
        <f t="array" ref="P237">INDEX('5층_부하량'!E3:E3000,MATCH(1,("5-DaHall 1-PDU-07"='5층_부하량'!A3:A3000)*(24='5층_부하량'!B3:B3000),0))</f>
        <v>0.0</v>
      </c>
      <c r="Q237" s="21"/>
      <c r="R237" s="69" t="s">
        <v>4590</v>
      </c>
      <c r="S237" s="17" t="s">
        <v>4642</v>
      </c>
      <c r="T237" s="70"/>
    </row>
    <row r="238" spans="1:20" x14ac:dyDescent="0.15">
      <c r="A238" s="321"/>
      <c r="B238" s="17" t="s">
        <v>4590</v>
      </c>
      <c r="C238" s="17" t="s">
        <v>4642</v>
      </c>
      <c r="D238" s="2672" cm="1" t="n">
        <f t="array" ref="D238">INDEX('5층_부하량'!C3:C3000,MATCH(1,("5-DaHall 1-PDU-07"='5층_부하량'!A3:A3000)*(25='5층_부하량'!B3:B3000),0))</f>
        <v>0.0</v>
      </c>
      <c r="E238" s="21"/>
      <c r="F238" s="21"/>
      <c r="G238" s="21"/>
      <c r="H238" s="17" t="s">
        <v>5811</v>
      </c>
      <c r="I238" s="549" t="s">
        <v>4683</v>
      </c>
      <c r="J238" s="112"/>
      <c r="K238" s="81"/>
      <c r="L238" s="568" t="s">
        <v>4685</v>
      </c>
      <c r="M238" s="17" t="s">
        <v>5811</v>
      </c>
      <c r="N238" s="2672" cm="1" t="n">
        <f t="array" ref="N238">INDEX('5층_부하량'!C3:C3000,MATCH(1,("5-DaHall 1-PDU-07"='5층_부하량'!A3:A3000)*(26='5층_부하량'!B3:B3000),0))</f>
        <v>0.0</v>
      </c>
      <c r="O238" s="21"/>
      <c r="P238" s="21"/>
      <c r="Q238" s="21"/>
      <c r="R238" s="69" t="s">
        <v>4590</v>
      </c>
      <c r="S238" s="17" t="s">
        <v>4642</v>
      </c>
      <c r="T238" s="70"/>
    </row>
    <row r="239" spans="1:20" x14ac:dyDescent="0.15">
      <c r="A239" s="321"/>
      <c r="B239" s="17" t="s">
        <v>4590</v>
      </c>
      <c r="C239" s="17" t="s">
        <v>4642</v>
      </c>
      <c r="D239" s="21"/>
      <c r="E239" s="2672" cm="1" t="n">
        <f t="array" ref="E239">INDEX('5층_부하량'!D3:D3000,MATCH(1,("5-DaHall 1-PDU-07"='5층_부하량'!A3:A3000)*(27='5층_부하량'!B3:B3000),0))</f>
        <v>0.0</v>
      </c>
      <c r="F239" s="21"/>
      <c r="G239" s="21"/>
      <c r="H239" s="17" t="s">
        <v>5811</v>
      </c>
      <c r="I239" s="549" t="s">
        <v>4688</v>
      </c>
      <c r="J239" s="112"/>
      <c r="K239" s="81"/>
      <c r="L239" s="568" t="s">
        <v>4689</v>
      </c>
      <c r="M239" s="17" t="s">
        <v>5811</v>
      </c>
      <c r="N239" s="21"/>
      <c r="O239" s="2672" cm="1" t="n">
        <f t="array" ref="O239">INDEX('5층_부하량'!D3:D3000,MATCH(1,("5-DaHall 1-PDU-07"='5층_부하량'!A3:A3000)*(28='5층_부하량'!B3:B3000),0))</f>
        <v>0.0</v>
      </c>
      <c r="P239" s="21"/>
      <c r="Q239" s="21"/>
      <c r="R239" s="69" t="s">
        <v>4590</v>
      </c>
      <c r="S239" s="17" t="s">
        <v>4642</v>
      </c>
      <c r="T239" s="70"/>
    </row>
    <row r="240" spans="1:20" x14ac:dyDescent="0.15">
      <c r="A240" s="321"/>
      <c r="B240" s="17" t="s">
        <v>4590</v>
      </c>
      <c r="C240" s="17" t="s">
        <v>4642</v>
      </c>
      <c r="D240" s="21"/>
      <c r="E240" s="21"/>
      <c r="F240" s="2672" cm="1" t="n">
        <f t="array" ref="F240">INDEX('5층_부하량'!E3:E3000,MATCH(1,("5-DaHall 1-PDU-07"='5층_부하량'!A3:A3000)*(29='5층_부하량'!B3:B3000),0))</f>
        <v>0.0</v>
      </c>
      <c r="G240" s="21"/>
      <c r="H240" s="17" t="s">
        <v>5811</v>
      </c>
      <c r="I240" s="549" t="s">
        <v>4691</v>
      </c>
      <c r="J240" s="112"/>
      <c r="K240" s="81"/>
      <c r="L240" s="568" t="s">
        <v>4692</v>
      </c>
      <c r="M240" s="17" t="s">
        <v>5811</v>
      </c>
      <c r="N240" s="21"/>
      <c r="O240" s="21"/>
      <c r="P240" s="2672" cm="1" t="n">
        <f t="array" ref="P240">INDEX('5층_부하량'!E3:E3000,MATCH(1,("5-DaHall 1-PDU-07"='5층_부하량'!A3:A3000)*(30='5층_부하량'!B3:B3000),0))</f>
        <v>0.0</v>
      </c>
      <c r="Q240" s="21"/>
      <c r="R240" s="69" t="s">
        <v>4590</v>
      </c>
      <c r="S240" s="17" t="s">
        <v>4642</v>
      </c>
      <c r="T240" s="70"/>
    </row>
    <row r="241" spans="1:20" x14ac:dyDescent="0.15">
      <c r="A241" s="321"/>
      <c r="B241" s="17" t="s">
        <v>4590</v>
      </c>
      <c r="C241" s="17" t="s">
        <v>4642</v>
      </c>
      <c r="D241" s="2672" cm="1" t="n">
        <f t="array" ref="D241">INDEX('5층_부하량'!C3:C3000,MATCH(1,("5-DaHall 1-PDU-07"='5층_부하량'!A3:A3000)*(31='5층_부하량'!B3:B3000),0))</f>
        <v>0.0</v>
      </c>
      <c r="E241" s="21"/>
      <c r="F241" s="21"/>
      <c r="G241" s="21"/>
      <c r="H241" s="17" t="s">
        <v>5811</v>
      </c>
      <c r="I241" s="549" t="s">
        <v>4693</v>
      </c>
      <c r="J241" s="112"/>
      <c r="K241" s="81"/>
      <c r="L241" s="568" t="s">
        <v>4694</v>
      </c>
      <c r="M241" s="17" t="s">
        <v>5811</v>
      </c>
      <c r="N241" s="2672" cm="1" t="n">
        <f t="array" ref="N241">INDEX('5층_부하량'!C3:C3000,MATCH(1,("5-DaHall 1-PDU-07"='5층_부하량'!A3:A3000)*(32='5층_부하량'!B3:B3000),0))</f>
        <v>0.0</v>
      </c>
      <c r="O241" s="21"/>
      <c r="P241" s="21"/>
      <c r="Q241" s="21"/>
      <c r="R241" s="69" t="s">
        <v>4590</v>
      </c>
      <c r="S241" s="17" t="s">
        <v>4642</v>
      </c>
      <c r="T241" s="70"/>
    </row>
    <row r="242" spans="1:20" x14ac:dyDescent="0.15">
      <c r="A242" s="321"/>
      <c r="B242" s="17" t="s">
        <v>4590</v>
      </c>
      <c r="C242" s="17" t="s">
        <v>4642</v>
      </c>
      <c r="D242" s="21"/>
      <c r="E242" s="2672" cm="1" t="n">
        <f t="array" ref="E242">INDEX('5층_부하량'!D3:D3000,MATCH(1,("5-DaHall 1-PDU-07"='5층_부하량'!A3:A3000)*(33='5층_부하량'!B3:B3000),0))</f>
        <v>0.0</v>
      </c>
      <c r="F242" s="21"/>
      <c r="G242" s="21"/>
      <c r="H242" s="17" t="s">
        <v>5811</v>
      </c>
      <c r="I242" s="549" t="s">
        <v>4697</v>
      </c>
      <c r="J242" s="112"/>
      <c r="K242" s="81"/>
      <c r="L242" s="568" t="s">
        <v>4698</v>
      </c>
      <c r="M242" s="17" t="s">
        <v>5811</v>
      </c>
      <c r="N242" s="21"/>
      <c r="O242" s="2672" cm="1" t="n">
        <f t="array" ref="O242">INDEX('5층_부하량'!D3:D3000,MATCH(1,("5-DaHall 1-PDU-07"='5층_부하량'!A3:A3000)*(34='5층_부하량'!B3:B3000),0))</f>
        <v>0.0</v>
      </c>
      <c r="P242" s="21"/>
      <c r="Q242" s="21"/>
      <c r="R242" s="69" t="s">
        <v>4590</v>
      </c>
      <c r="S242" s="17" t="s">
        <v>4642</v>
      </c>
      <c r="T242" s="70"/>
    </row>
    <row r="243" spans="1:20" ht="14.25" thickBot="1" x14ac:dyDescent="0.2">
      <c r="A243" s="38"/>
      <c r="B243" s="35" t="s">
        <v>4590</v>
      </c>
      <c r="C243" s="35" t="s">
        <v>4642</v>
      </c>
      <c r="D243" s="36"/>
      <c r="E243" s="36"/>
      <c r="F243" s="2671" cm="1" t="n">
        <f t="array" ref="F243">INDEX('5층_부하량'!E3:E3000,MATCH(1,("5-DaHall 1-PDU-07"='5층_부하량'!A3:A3000)*(35='5층_부하량'!B3:B3000),0))</f>
        <v>0.0</v>
      </c>
      <c r="G243" s="36"/>
      <c r="H243" s="35" t="s">
        <v>5811</v>
      </c>
      <c r="I243" s="551" t="s">
        <v>4701</v>
      </c>
      <c r="J243" s="85"/>
      <c r="K243" s="84"/>
      <c r="L243" s="572" t="s">
        <v>4703</v>
      </c>
      <c r="M243" s="35" t="s">
        <v>5811</v>
      </c>
      <c r="N243" s="36"/>
      <c r="O243" s="36"/>
      <c r="P243" s="2671" cm="1" t="n">
        <f t="array" ref="P243">INDEX('5층_부하량'!E3:E3000,MATCH(1,("5-DaHall 1-PDU-07"='5층_부하량'!A3:A3000)*(36='5층_부하량'!B3:B3000),0))</f>
        <v>0.0</v>
      </c>
      <c r="Q243" s="36"/>
      <c r="R243" s="78" t="s">
        <v>4590</v>
      </c>
      <c r="S243" s="35" t="s">
        <v>4642</v>
      </c>
      <c r="T243" s="79"/>
    </row>
    <row r="244" spans="1:20" ht="15" thickTop="1" thickBot="1" x14ac:dyDescent="0.2">
      <c r="M244" s="80" t="s">
        <v>5645</v>
      </c>
      <c r="N244" s="33" t="n">
        <f>SUM(D226:D243,N226:N243)</f>
        <v>8.04</v>
      </c>
      <c r="O244" s="33" t="n">
        <f>SUM(E226:E243,O226:O243)</f>
        <v>0.4</v>
      </c>
      <c r="P244" s="33" t="n">
        <f>SUM(F226:F243,P226:P243)</f>
        <v>0.0</v>
      </c>
    </row>
    <row r="245" spans="1:20" ht="20.25" thickTop="1" thickBot="1" x14ac:dyDescent="0.2">
      <c r="A245" s="2" t="s">
        <v>6952</v>
      </c>
      <c r="C245" s="3660" t="s">
        <v>5837</v>
      </c>
      <c r="D245" s="3660"/>
      <c r="E245" s="3660"/>
      <c r="F245" s="3660"/>
      <c r="G245" s="53"/>
      <c r="H245" s="124"/>
      <c r="I245" s="124"/>
      <c r="J245" s="3661" t="s">
        <v>5063</v>
      </c>
      <c r="K245" s="3667"/>
      <c r="L245" s="124"/>
      <c r="M245" s="118" t="s">
        <v>5838</v>
      </c>
      <c r="N245" s="53"/>
      <c r="O245" s="53"/>
      <c r="P245" s="53"/>
      <c r="Q245" s="53"/>
      <c r="R245" s="53"/>
      <c r="S245" s="53"/>
    </row>
    <row r="246" spans="1:20" ht="15" thickTop="1" thickBot="1" x14ac:dyDescent="0.2">
      <c r="A246" s="3"/>
      <c r="D246" s="54"/>
      <c r="E246" s="54"/>
      <c r="F246" s="54"/>
      <c r="G246" s="54"/>
      <c r="H246" s="4"/>
      <c r="I246" s="4"/>
      <c r="K246" s="56"/>
      <c r="L246" s="565"/>
      <c r="M246" s="1371" t="s">
        <v>4562</v>
      </c>
      <c r="N246" s="1368"/>
      <c r="O246" s="1369"/>
      <c r="P246" s="1370"/>
      <c r="Q246" s="508" t="s">
        <v>4563</v>
      </c>
      <c r="R246" s="133"/>
      <c r="S246" s="128"/>
      <c r="T246" s="528"/>
    </row>
    <row r="247" spans="1:20" ht="15" thickTop="1" thickBot="1" x14ac:dyDescent="0.2">
      <c r="A247" s="5" t="s">
        <v>4564</v>
      </c>
      <c r="B247" s="6" t="s">
        <v>4565</v>
      </c>
      <c r="C247" s="7" t="s">
        <v>4566</v>
      </c>
      <c r="D247" s="6" t="s">
        <v>4567</v>
      </c>
      <c r="E247" s="6" t="s">
        <v>4568</v>
      </c>
      <c r="F247" s="6" t="s">
        <v>4569</v>
      </c>
      <c r="G247" s="6" t="s">
        <v>4570</v>
      </c>
      <c r="H247" s="8" t="s">
        <v>4571</v>
      </c>
      <c r="I247" s="547"/>
      <c r="J247" s="58" t="s">
        <v>4572</v>
      </c>
      <c r="K247" s="59" t="s">
        <v>4572</v>
      </c>
      <c r="L247" s="566"/>
      <c r="M247" s="8" t="s">
        <v>4571</v>
      </c>
      <c r="N247" s="6" t="s">
        <v>4567</v>
      </c>
      <c r="O247" s="6" t="s">
        <v>4568</v>
      </c>
      <c r="P247" s="6" t="s">
        <v>4569</v>
      </c>
      <c r="Q247" s="6" t="s">
        <v>4570</v>
      </c>
      <c r="R247" s="6" t="s">
        <v>4565</v>
      </c>
      <c r="S247" s="7" t="s">
        <v>4566</v>
      </c>
      <c r="T247" s="60" t="s">
        <v>4564</v>
      </c>
    </row>
    <row r="248" spans="1:20" ht="14.25" thickTop="1" x14ac:dyDescent="0.15">
      <c r="A248" s="10"/>
      <c r="B248" s="11" t="s">
        <v>4590</v>
      </c>
      <c r="C248" s="13" t="s">
        <v>4642</v>
      </c>
      <c r="D248" s="2669" t="n">
        <f>IFERROR(INDEX('5층_부하량'!C3:C3000,MATCH(1,("5-DaHall 1-PDU-09"='5층_부하량'!A3:A3000)*(1='5층_부하량'!B3:B3000),0)),0)</f>
        <v>0.0</v>
      </c>
      <c r="E248" s="15"/>
      <c r="F248" s="15"/>
      <c r="G248" s="15"/>
      <c r="H248" s="13" t="s">
        <v>5786</v>
      </c>
      <c r="I248" s="1177" t="s">
        <v>5787</v>
      </c>
      <c r="J248" s="61"/>
      <c r="K248" s="62"/>
      <c r="L248" s="567" t="s">
        <v>5788</v>
      </c>
      <c r="M248" s="11" t="s">
        <v>5786</v>
      </c>
      <c r="N248" s="2669" t="n">
        <f>IFERROR(INDEX('5층_부하량'!C3:C3000,MATCH(1,("5-DaHall 1-PDU-09"='5층_부하량'!A3:A3000)*(2='5층_부하량'!B3:B3000),0)),0)</f>
        <v>0.0</v>
      </c>
      <c r="O248" s="15"/>
      <c r="P248" s="15"/>
      <c r="Q248" s="15"/>
      <c r="R248" s="63" t="s">
        <v>4590</v>
      </c>
      <c r="S248" s="11" t="s">
        <v>4642</v>
      </c>
      <c r="T248" s="98"/>
    </row>
    <row r="249" spans="1:20" x14ac:dyDescent="0.15">
      <c r="A249" s="16"/>
      <c r="B249" s="17" t="s">
        <v>4590</v>
      </c>
      <c r="C249" s="17" t="s">
        <v>4642</v>
      </c>
      <c r="D249" s="19"/>
      <c r="E249" s="2670" t="n">
        <f>IFERROR(INDEX('5층_부하량'!D3:D3000,MATCH(1,("5-DaHall 1-PDU-09"='5층_부하량'!A3:A3000)*(3='5층_부하량'!B3:B3000),0)),0)</f>
        <v>0.0</v>
      </c>
      <c r="F249" s="19"/>
      <c r="G249" s="19"/>
      <c r="H249" s="17" t="s">
        <v>5790</v>
      </c>
      <c r="I249" s="549" t="s">
        <v>4638</v>
      </c>
      <c r="J249" s="65"/>
      <c r="K249" s="66"/>
      <c r="L249" s="549" t="s">
        <v>4583</v>
      </c>
      <c r="M249" s="17" t="s">
        <v>5786</v>
      </c>
      <c r="N249" s="19"/>
      <c r="O249" s="2670" t="n">
        <f>IFERROR(INDEX('5층_부하량'!D3:D3000,MATCH(1,("5-DaHall 1-PDU-09"='5층_부하량'!A3:A3000)*(4='5층_부하량'!B3:B3000),0)),0)</f>
        <v>0.0</v>
      </c>
      <c r="P249" s="19"/>
      <c r="Q249" s="19"/>
      <c r="R249" s="67" t="s">
        <v>4590</v>
      </c>
      <c r="S249" s="17" t="s">
        <v>4642</v>
      </c>
      <c r="T249" s="68"/>
    </row>
    <row r="250" spans="1:20" x14ac:dyDescent="0.15">
      <c r="A250" s="321"/>
      <c r="B250" s="17" t="s">
        <v>4590</v>
      </c>
      <c r="C250" s="17" t="s">
        <v>4642</v>
      </c>
      <c r="D250" s="21"/>
      <c r="E250" s="21"/>
      <c r="F250" s="2672" t="n">
        <f>IFERROR(INDEX('5층_부하량'!E3:E3000,MATCH(1,("5-DaHall 1-PDU-09"='5층_부하량'!A3:A3000)*(5='5층_부하량'!B3:B3000),0)),0)</f>
        <v>0.0</v>
      </c>
      <c r="G250" s="21"/>
      <c r="H250" s="17" t="s">
        <v>5786</v>
      </c>
      <c r="I250" s="549" t="s">
        <v>4641</v>
      </c>
      <c r="J250" s="112"/>
      <c r="K250" s="81"/>
      <c r="L250" s="568" t="s">
        <v>4588</v>
      </c>
      <c r="M250" s="17" t="s">
        <v>5786</v>
      </c>
      <c r="N250" s="21"/>
      <c r="O250" s="21"/>
      <c r="P250" s="2672" t="n">
        <f>IFERROR(INDEX('5층_부하량'!E3:E3000,MATCH(1,("5-DaHall 1-PDU-09"='5층_부하량'!A3:A3000)*(6='5층_부하량'!B3:B3000),0)),0)</f>
        <v>0.0</v>
      </c>
      <c r="Q250" s="21"/>
      <c r="R250" s="69" t="s">
        <v>4590</v>
      </c>
      <c r="S250" s="17" t="s">
        <v>4642</v>
      </c>
      <c r="T250" s="70"/>
    </row>
    <row r="251" spans="1:20" x14ac:dyDescent="0.15">
      <c r="A251" s="16"/>
      <c r="B251" s="17" t="s">
        <v>4590</v>
      </c>
      <c r="C251" s="17" t="s">
        <v>4642</v>
      </c>
      <c r="D251" s="2672" t="n">
        <f>IFERROR(INDEX('5층_부하량'!C3:C3000,MATCH(1,("5-DaHall 1-PDU-09"='5층_부하량'!A3:A3000)*(7='5층_부하량'!B3:B3000),0)),0)</f>
        <v>0.0</v>
      </c>
      <c r="E251" s="21"/>
      <c r="F251" s="21"/>
      <c r="G251" s="21"/>
      <c r="H251" s="17" t="s">
        <v>5795</v>
      </c>
      <c r="I251" s="549" t="s">
        <v>4645</v>
      </c>
      <c r="J251" s="112"/>
      <c r="K251" s="81"/>
      <c r="L251" s="568" t="s">
        <v>4593</v>
      </c>
      <c r="M251" s="17" t="s">
        <v>5795</v>
      </c>
      <c r="N251" s="2672" t="n">
        <f>IFERROR(INDEX('5층_부하량'!C3:C3000,MATCH(1,("5-DaHall 1-PDU-09"='5층_부하량'!A3:A3000)*(8='5층_부하량'!B3:B3000),0)),0)</f>
        <v>0.0</v>
      </c>
      <c r="O251" s="21"/>
      <c r="P251" s="21"/>
      <c r="Q251" s="21"/>
      <c r="R251" s="69" t="s">
        <v>4590</v>
      </c>
      <c r="S251" s="17" t="s">
        <v>4642</v>
      </c>
      <c r="T251" s="68"/>
    </row>
    <row r="252" spans="1:20" x14ac:dyDescent="0.15">
      <c r="A252" s="321"/>
      <c r="B252" s="17" t="s">
        <v>4590</v>
      </c>
      <c r="C252" s="17" t="s">
        <v>4642</v>
      </c>
      <c r="D252" s="21"/>
      <c r="E252" s="2672" t="n">
        <f>IFERROR(INDEX('5층_부하량'!D3:D3000,MATCH(1,("5-DaHall 1-PDU-09"='5층_부하량'!A3:A3000)*(9='5층_부하량'!B3:B3000),0)),0)</f>
        <v>0.0</v>
      </c>
      <c r="F252" s="21"/>
      <c r="G252" s="21"/>
      <c r="H252" s="17" t="s">
        <v>5790</v>
      </c>
      <c r="I252" s="549" t="s">
        <v>4648</v>
      </c>
      <c r="J252" s="112"/>
      <c r="K252" s="81"/>
      <c r="L252" s="568" t="s">
        <v>4596</v>
      </c>
      <c r="M252" s="17" t="s">
        <v>5790</v>
      </c>
      <c r="N252" s="21"/>
      <c r="O252" s="2672" t="n">
        <f>IFERROR(INDEX('5층_부하량'!D3:D3000,MATCH(1,("5-DaHall 1-PDU-09"='5층_부하량'!A3:A3000)*(10='5층_부하량'!B3:B3000),0)),0)</f>
        <v>0.0</v>
      </c>
      <c r="P252" s="21"/>
      <c r="Q252" s="21"/>
      <c r="R252" s="69" t="s">
        <v>4590</v>
      </c>
      <c r="S252" s="17" t="s">
        <v>4642</v>
      </c>
      <c r="T252" s="70"/>
    </row>
    <row r="253" spans="1:20" x14ac:dyDescent="0.15">
      <c r="A253" s="16"/>
      <c r="B253" s="23" t="s">
        <v>4590</v>
      </c>
      <c r="C253" s="17" t="s">
        <v>4642</v>
      </c>
      <c r="D253" s="25"/>
      <c r="E253" s="25"/>
      <c r="F253" s="2673" t="n">
        <f>IFERROR(INDEX('5층_부하량'!E3:E3000,MATCH(1,("5-DaHall 1-PDU-09"='5층_부하량'!A3:A3000)*(11='5층_부하량'!B3:B3000),0)),0)</f>
        <v>0.0</v>
      </c>
      <c r="G253" s="25"/>
      <c r="H253" s="23" t="s">
        <v>5801</v>
      </c>
      <c r="I253" s="555" t="s">
        <v>4653</v>
      </c>
      <c r="J253" s="113"/>
      <c r="K253" s="114"/>
      <c r="L253" s="569" t="s">
        <v>4599</v>
      </c>
      <c r="M253" s="23" t="s">
        <v>5801</v>
      </c>
      <c r="N253" s="25"/>
      <c r="O253" s="25"/>
      <c r="P253" s="2673" t="n">
        <f>IFERROR(INDEX('5층_부하량'!E3:E3000,MATCH(1,("5-DaHall 1-PDU-09"='5층_부하량'!A3:A3000)*(12='5층_부하량'!B3:B3000),0)),0)</f>
        <v>0.0</v>
      </c>
      <c r="Q253" s="25"/>
      <c r="R253" s="108" t="s">
        <v>4590</v>
      </c>
      <c r="S253" s="23" t="s">
        <v>4642</v>
      </c>
      <c r="T253" s="104"/>
    </row>
    <row r="254" spans="1:20" x14ac:dyDescent="0.15">
      <c r="A254" s="16"/>
      <c r="B254" s="23" t="s">
        <v>4590</v>
      </c>
      <c r="C254" s="23" t="s">
        <v>4642</v>
      </c>
      <c r="D254" s="2673" t="n">
        <f>IFERROR(INDEX('5층_부하량'!C3:C3000,MATCH(1,("5-DaHall 1-PDU-09"='5층_부하량'!A3:A3000)*(13='5층_부하량'!B3:B3000),0)),0)</f>
        <v>0.0</v>
      </c>
      <c r="E254" s="25"/>
      <c r="F254" s="25"/>
      <c r="G254" s="25"/>
      <c r="H254" s="23" t="s">
        <v>5801</v>
      </c>
      <c r="I254" s="555" t="s">
        <v>4657</v>
      </c>
      <c r="J254" s="113"/>
      <c r="K254" s="114"/>
      <c r="L254" s="569" t="s">
        <v>4601</v>
      </c>
      <c r="M254" s="23" t="s">
        <v>5801</v>
      </c>
      <c r="N254" s="2673" t="n">
        <f>IFERROR(INDEX('5층_부하량'!C3:C3000,MATCH(1,("5-DaHall 1-PDU-09"='5층_부하량'!A3:A3000)*(14='5층_부하량'!B3:B3000),0)),0)</f>
        <v>0.0</v>
      </c>
      <c r="O254" s="25"/>
      <c r="P254" s="25"/>
      <c r="Q254" s="25"/>
      <c r="R254" s="108" t="s">
        <v>4590</v>
      </c>
      <c r="S254" s="23" t="s">
        <v>4642</v>
      </c>
      <c r="T254" s="104"/>
    </row>
    <row r="255" spans="1:20" ht="14.25" thickBot="1" x14ac:dyDescent="0.2">
      <c r="A255" s="87"/>
      <c r="B255" s="88" t="s">
        <v>4590</v>
      </c>
      <c r="C255" s="88" t="s">
        <v>4642</v>
      </c>
      <c r="D255" s="90"/>
      <c r="E255" s="2688" t="n">
        <f>IFERROR(INDEX('5층_부하량'!D3:D3000,MATCH(1,("5-DaHall 1-PDU-09"='5층_부하량'!A3:A3000)*(15='5층_부하량'!B3:B3000),0)),0)</f>
        <v>0.0</v>
      </c>
      <c r="F255" s="90"/>
      <c r="G255" s="90"/>
      <c r="H255" s="88" t="s">
        <v>5801</v>
      </c>
      <c r="I255" s="553" t="s">
        <v>4661</v>
      </c>
      <c r="J255" s="115"/>
      <c r="K255" s="116"/>
      <c r="L255" s="570" t="s">
        <v>4603</v>
      </c>
      <c r="M255" s="88" t="s">
        <v>5801</v>
      </c>
      <c r="N255" s="90"/>
      <c r="O255" s="2688" t="n">
        <f>IFERROR(INDEX('5층_부하량'!D3:D3000,MATCH(1,("5-DaHall 1-PDU-09"='5층_부하량'!A3:A3000)*(16='5층_부하량'!B3:B3000),0)),0)</f>
        <v>0.0</v>
      </c>
      <c r="P255" s="90"/>
      <c r="Q255" s="90"/>
      <c r="R255" s="93" t="s">
        <v>4590</v>
      </c>
      <c r="S255" s="88" t="s">
        <v>4642</v>
      </c>
      <c r="T255" s="94"/>
    </row>
    <row r="256" spans="1:20" ht="14.25" thickTop="1" x14ac:dyDescent="0.15">
      <c r="A256" s="71"/>
      <c r="B256" s="72" t="s">
        <v>4590</v>
      </c>
      <c r="C256" s="72" t="s">
        <v>4642</v>
      </c>
      <c r="D256" s="74"/>
      <c r="E256" s="74"/>
      <c r="F256" s="2689" t="n">
        <f>IFERROR(INDEX('5층_부하량'!E3:E3000,MATCH(1,("5-DaHall 1-PDU-09"='5층_부하량'!A3:A3000)*(17='5층_부하량'!B3:B3000),0)),0)</f>
        <v>0.0</v>
      </c>
      <c r="G256" s="74"/>
      <c r="H256" s="72" t="s">
        <v>5801</v>
      </c>
      <c r="I256" s="550" t="s">
        <v>4665</v>
      </c>
      <c r="J256" s="117"/>
      <c r="K256" s="83"/>
      <c r="L256" s="571" t="s">
        <v>4605</v>
      </c>
      <c r="M256" s="72" t="s">
        <v>5801</v>
      </c>
      <c r="N256" s="74"/>
      <c r="O256" s="74"/>
      <c r="P256" s="2689" t="n">
        <f>IFERROR(INDEX('5층_부하량'!E3:E3000,MATCH(1,("5-DaHall 1-PDU-09"='5층_부하량'!A3:A3000)*(18='5층_부하량'!B3:B3000),0)),0)</f>
        <v>0.0</v>
      </c>
      <c r="Q256" s="74"/>
      <c r="R256" s="75" t="s">
        <v>4590</v>
      </c>
      <c r="S256" s="72" t="s">
        <v>4642</v>
      </c>
      <c r="T256" s="68"/>
    </row>
    <row r="257" spans="1:20" x14ac:dyDescent="0.15">
      <c r="A257" s="16"/>
      <c r="B257" s="17" t="s">
        <v>4590</v>
      </c>
      <c r="C257" s="17" t="s">
        <v>4642</v>
      </c>
      <c r="D257" s="2672" t="n">
        <f>IFERROR(INDEX('5층_부하량'!C3:C3000,MATCH(1,("5-DaHall 1-PDU-09"='5층_부하량'!A3:A3000)*(19='5층_부하량'!B3:B3000),0)),0)</f>
        <v>0.0</v>
      </c>
      <c r="E257" s="21"/>
      <c r="F257" s="21"/>
      <c r="G257" s="21"/>
      <c r="H257" s="17" t="s">
        <v>5811</v>
      </c>
      <c r="I257" s="549" t="s">
        <v>4670</v>
      </c>
      <c r="J257" s="112"/>
      <c r="K257" s="81"/>
      <c r="L257" s="568" t="s">
        <v>4609</v>
      </c>
      <c r="M257" s="17" t="s">
        <v>5811</v>
      </c>
      <c r="N257" s="2672" t="n">
        <f>IFERROR(INDEX('5층_부하량'!C3:C3000,MATCH(1,("5-DaHall 1-PDU-09"='5층_부하량'!A3:A3000)*(20='5층_부하량'!B3:B3000),0)),0)</f>
        <v>0.0</v>
      </c>
      <c r="O257" s="21"/>
      <c r="P257" s="21"/>
      <c r="Q257" s="21"/>
      <c r="R257" s="69" t="s">
        <v>4590</v>
      </c>
      <c r="S257" s="17" t="s">
        <v>4642</v>
      </c>
      <c r="T257" s="70"/>
    </row>
    <row r="258" spans="1:20" x14ac:dyDescent="0.15">
      <c r="A258" s="321"/>
      <c r="B258" s="17" t="s">
        <v>4590</v>
      </c>
      <c r="C258" s="17" t="s">
        <v>4642</v>
      </c>
      <c r="D258" s="21"/>
      <c r="E258" s="2672" t="n">
        <f>IFERROR(INDEX('5층_부하량'!D3:D3000,MATCH(1,("5-DaHall 1-PDU-09"='5층_부하량'!A3:A3000)*(21='5층_부하량'!B3:B3000),0)),0)</f>
        <v>0.0</v>
      </c>
      <c r="F258" s="21"/>
      <c r="G258" s="21"/>
      <c r="H258" s="17" t="s">
        <v>5811</v>
      </c>
      <c r="I258" s="549" t="s">
        <v>4674</v>
      </c>
      <c r="J258" s="112"/>
      <c r="K258" s="81"/>
      <c r="L258" s="568" t="s">
        <v>4613</v>
      </c>
      <c r="M258" s="17" t="s">
        <v>5811</v>
      </c>
      <c r="N258" s="21"/>
      <c r="O258" s="2672" t="n">
        <f>IFERROR(INDEX('5층_부하량'!D3:D3000,MATCH(1,("5-DaHall 1-PDU-09"='5층_부하량'!A3:A3000)*(22='5층_부하량'!B3:B3000),0)),0)</f>
        <v>0.0</v>
      </c>
      <c r="P258" s="21"/>
      <c r="Q258" s="21"/>
      <c r="R258" s="69" t="s">
        <v>4590</v>
      </c>
      <c r="S258" s="17" t="s">
        <v>4642</v>
      </c>
      <c r="T258" s="82"/>
    </row>
    <row r="259" spans="1:20" x14ac:dyDescent="0.15">
      <c r="A259" s="321"/>
      <c r="B259" s="17" t="s">
        <v>4590</v>
      </c>
      <c r="C259" s="17" t="s">
        <v>4642</v>
      </c>
      <c r="D259" s="21"/>
      <c r="E259" s="21"/>
      <c r="F259" s="2672" t="n">
        <f>IFERROR(INDEX('5층_부하량'!E3:E3000,MATCH(1,("5-DaHall 1-PDU-09"='5층_부하량'!A3:A3000)*(23='5층_부하량'!B3:B3000),0)),0)</f>
        <v>0.0</v>
      </c>
      <c r="G259" s="21"/>
      <c r="H259" s="17" t="s">
        <v>5811</v>
      </c>
      <c r="I259" s="549" t="s">
        <v>4678</v>
      </c>
      <c r="J259" s="112"/>
      <c r="K259" s="81"/>
      <c r="L259" s="568" t="s">
        <v>4680</v>
      </c>
      <c r="M259" s="17" t="s">
        <v>5811</v>
      </c>
      <c r="N259" s="21"/>
      <c r="O259" s="21"/>
      <c r="P259" s="2672" t="n">
        <f>IFERROR(INDEX('5층_부하량'!E3:E3000,MATCH(1,("5-DaHall 1-PDU-09"='5층_부하량'!A3:A3000)*(24='5층_부하량'!B3:B3000),0)),0)</f>
        <v>0.0</v>
      </c>
      <c r="Q259" s="21"/>
      <c r="R259" s="69" t="s">
        <v>4590</v>
      </c>
      <c r="S259" s="17" t="s">
        <v>4642</v>
      </c>
      <c r="T259" s="70"/>
    </row>
    <row r="260" spans="1:20" x14ac:dyDescent="0.15">
      <c r="A260" s="321"/>
      <c r="B260" s="17" t="s">
        <v>4590</v>
      </c>
      <c r="C260" s="17" t="s">
        <v>4642</v>
      </c>
      <c r="D260" s="2672" t="n">
        <f>IFERROR(INDEX('5층_부하량'!C3:C3000,MATCH(1,("5-DaHall 1-PDU-09"='5층_부하량'!A3:A3000)*(25='5층_부하량'!B3:B3000),0)),0)</f>
        <v>0.0</v>
      </c>
      <c r="E260" s="21"/>
      <c r="F260" s="21"/>
      <c r="G260" s="21"/>
      <c r="H260" s="17" t="s">
        <v>5811</v>
      </c>
      <c r="I260" s="549" t="s">
        <v>4683</v>
      </c>
      <c r="J260" s="112"/>
      <c r="K260" s="81"/>
      <c r="L260" s="568" t="s">
        <v>4685</v>
      </c>
      <c r="M260" s="17" t="s">
        <v>5811</v>
      </c>
      <c r="N260" s="2672" t="n">
        <f>IFERROR(INDEX('5층_부하량'!C3:C3000,MATCH(1,("5-DaHall 1-PDU-09"='5층_부하량'!A3:A3000)*(26='5층_부하량'!B3:B3000),0)),0)</f>
        <v>0.0</v>
      </c>
      <c r="O260" s="21"/>
      <c r="P260" s="21"/>
      <c r="Q260" s="21"/>
      <c r="R260" s="69" t="s">
        <v>4590</v>
      </c>
      <c r="S260" s="17" t="s">
        <v>4642</v>
      </c>
      <c r="T260" s="70"/>
    </row>
    <row r="261" spans="1:20" x14ac:dyDescent="0.15">
      <c r="A261" s="321"/>
      <c r="B261" s="17" t="s">
        <v>4590</v>
      </c>
      <c r="C261" s="17" t="s">
        <v>4642</v>
      </c>
      <c r="D261" s="21"/>
      <c r="E261" s="2672" t="n">
        <f>IFERROR(INDEX('5층_부하량'!D3:D3000,MATCH(1,("5-DaHall 1-PDU-09"='5층_부하량'!A3:A3000)*(27='5층_부하량'!B3:B3000),0)),0)</f>
        <v>0.0</v>
      </c>
      <c r="F261" s="21"/>
      <c r="G261" s="21"/>
      <c r="H261" s="17" t="s">
        <v>5811</v>
      </c>
      <c r="I261" s="549" t="s">
        <v>4688</v>
      </c>
      <c r="J261" s="112"/>
      <c r="K261" s="81"/>
      <c r="L261" s="568" t="s">
        <v>4689</v>
      </c>
      <c r="M261" s="17" t="s">
        <v>5811</v>
      </c>
      <c r="N261" s="21"/>
      <c r="O261" s="2672" t="n">
        <f>IFERROR(INDEX('5층_부하량'!D3:D3000,MATCH(1,("5-DaHall 1-PDU-09"='5층_부하량'!A3:A3000)*(28='5층_부하량'!B3:B3000),0)),0)</f>
        <v>0.0</v>
      </c>
      <c r="P261" s="21"/>
      <c r="Q261" s="21"/>
      <c r="R261" s="69" t="s">
        <v>4590</v>
      </c>
      <c r="S261" s="17" t="s">
        <v>4642</v>
      </c>
      <c r="T261" s="70"/>
    </row>
    <row r="262" spans="1:20" x14ac:dyDescent="0.15">
      <c r="A262" s="321"/>
      <c r="B262" s="17" t="s">
        <v>4590</v>
      </c>
      <c r="C262" s="17" t="s">
        <v>4642</v>
      </c>
      <c r="D262" s="21"/>
      <c r="E262" s="21"/>
      <c r="F262" s="2672" t="n">
        <f>IFERROR(INDEX('5층_부하량'!E3:E3000,MATCH(1,("5-DaHall 1-PDU-09"='5층_부하량'!A3:A3000)*(29='5층_부하량'!B3:B3000),0)),0)</f>
        <v>0.0</v>
      </c>
      <c r="G262" s="21"/>
      <c r="H262" s="17" t="s">
        <v>5811</v>
      </c>
      <c r="I262" s="549" t="s">
        <v>4691</v>
      </c>
      <c r="J262" s="112"/>
      <c r="K262" s="81"/>
      <c r="L262" s="568" t="s">
        <v>4692</v>
      </c>
      <c r="M262" s="17" t="s">
        <v>5811</v>
      </c>
      <c r="N262" s="21"/>
      <c r="O262" s="21"/>
      <c r="P262" s="2672" t="n">
        <f>IFERROR(INDEX('5층_부하량'!E3:E3000,MATCH(1,("5-DaHall 1-PDU-09"='5층_부하량'!A3:A3000)*(30='5층_부하량'!B3:B3000),0)),0)</f>
        <v>0.0</v>
      </c>
      <c r="Q262" s="21"/>
      <c r="R262" s="69" t="s">
        <v>4590</v>
      </c>
      <c r="S262" s="17" t="s">
        <v>4642</v>
      </c>
      <c r="T262" s="70"/>
    </row>
    <row r="263" spans="1:20" x14ac:dyDescent="0.15">
      <c r="A263" s="321"/>
      <c r="B263" s="17" t="s">
        <v>4590</v>
      </c>
      <c r="C263" s="17" t="s">
        <v>4642</v>
      </c>
      <c r="D263" s="2672" t="n">
        <f>IFERROR(INDEX('5층_부하량'!C3:C3000,MATCH(1,("5-DaHall 1-PDU-09"='5층_부하량'!A3:A3000)*(31='5층_부하량'!B3:B3000),0)),0)</f>
        <v>0.0</v>
      </c>
      <c r="E263" s="21"/>
      <c r="F263" s="21"/>
      <c r="G263" s="21"/>
      <c r="H263" s="17" t="s">
        <v>5811</v>
      </c>
      <c r="I263" s="549" t="s">
        <v>4693</v>
      </c>
      <c r="J263" s="112"/>
      <c r="K263" s="81"/>
      <c r="L263" s="568" t="s">
        <v>4694</v>
      </c>
      <c r="M263" s="17" t="s">
        <v>5811</v>
      </c>
      <c r="N263" s="2672" t="n">
        <f>IFERROR(INDEX('5층_부하량'!C3:C3000,MATCH(1,("5-DaHall 1-PDU-09"='5층_부하량'!A3:A3000)*(32='5층_부하량'!B3:B3000),0)),0)</f>
        <v>0.0</v>
      </c>
      <c r="O263" s="21"/>
      <c r="P263" s="21"/>
      <c r="Q263" s="21"/>
      <c r="R263" s="69" t="s">
        <v>4590</v>
      </c>
      <c r="S263" s="17" t="s">
        <v>4642</v>
      </c>
      <c r="T263" s="70"/>
    </row>
    <row r="264" spans="1:20" x14ac:dyDescent="0.15">
      <c r="A264" s="321"/>
      <c r="B264" s="17" t="s">
        <v>4590</v>
      </c>
      <c r="C264" s="17" t="s">
        <v>4642</v>
      </c>
      <c r="D264" s="21"/>
      <c r="E264" s="2672" t="n">
        <f>IFERROR(INDEX('5층_부하량'!D3:D3000,MATCH(1,("5-DaHall 1-PDU-09"='5층_부하량'!A3:A3000)*(33='5층_부하량'!B3:B3000),0)),0)</f>
        <v>0.0</v>
      </c>
      <c r="F264" s="21"/>
      <c r="G264" s="21"/>
      <c r="H264" s="17" t="s">
        <v>5811</v>
      </c>
      <c r="I264" s="549" t="s">
        <v>4697</v>
      </c>
      <c r="J264" s="112"/>
      <c r="K264" s="81"/>
      <c r="L264" s="568" t="s">
        <v>4698</v>
      </c>
      <c r="M264" s="17" t="s">
        <v>5811</v>
      </c>
      <c r="N264" s="21"/>
      <c r="O264" s="2672" t="n">
        <f>IFERROR(INDEX('5층_부하량'!D3:D3000,MATCH(1,("5-DaHall 1-PDU-09"='5층_부하량'!A3:A3000)*(34='5층_부하량'!B3:B3000),0)),0)</f>
        <v>0.0</v>
      </c>
      <c r="P264" s="21"/>
      <c r="Q264" s="21"/>
      <c r="R264" s="69" t="s">
        <v>4590</v>
      </c>
      <c r="S264" s="17" t="s">
        <v>4642</v>
      </c>
      <c r="T264" s="70"/>
    </row>
    <row r="265" spans="1:20" x14ac:dyDescent="0.15">
      <c r="A265" s="321"/>
      <c r="B265" s="17" t="s">
        <v>4590</v>
      </c>
      <c r="C265" s="17" t="s">
        <v>4642</v>
      </c>
      <c r="D265" s="21"/>
      <c r="E265" s="21"/>
      <c r="F265" s="2672" t="n">
        <f>IFERROR(INDEX('5층_부하량'!E3:E3000,MATCH(1,("5-DaHall 1-PDU-09"='5층_부하량'!A3:A3000)*(35='5층_부하량'!B3:B3000),0)),0)</f>
        <v>0.0</v>
      </c>
      <c r="G265" s="21"/>
      <c r="H265" s="17" t="s">
        <v>5811</v>
      </c>
      <c r="I265" s="549" t="s">
        <v>4701</v>
      </c>
      <c r="J265" s="112"/>
      <c r="K265" s="81"/>
      <c r="L265" s="568" t="s">
        <v>4703</v>
      </c>
      <c r="M265" s="17" t="s">
        <v>5811</v>
      </c>
      <c r="N265" s="21"/>
      <c r="O265" s="21"/>
      <c r="P265" s="2672" t="n">
        <f>IFERROR(INDEX('5층_부하량'!E3:E3000,MATCH(1,("5-DaHall 1-PDU-09"='5층_부하량'!A3:A3000)*(36='5층_부하량'!B3:B3000),0)),0)</f>
        <v>0.0</v>
      </c>
      <c r="Q265" s="21"/>
      <c r="R265" s="69" t="s">
        <v>4590</v>
      </c>
      <c r="S265" s="17" t="s">
        <v>4642</v>
      </c>
      <c r="T265" s="70"/>
    </row>
    <row r="266" spans="1:20" ht="14.25" thickBot="1" x14ac:dyDescent="0.2">
      <c r="A266" s="119"/>
      <c r="B266" s="29" t="s">
        <v>4590</v>
      </c>
      <c r="C266" s="29" t="s">
        <v>4642</v>
      </c>
      <c r="D266" s="2674" t="n">
        <f>IFERROR(INDEX('5층_부하량'!C3:C3000,MATCH(1,("5-DaHall 1-PDU-09"='5층_부하량'!A3:A3000)*(37='5층_부하량'!B3:B3000),0)),0)</f>
        <v>0.0</v>
      </c>
      <c r="E266" s="30"/>
      <c r="F266" s="30"/>
      <c r="G266" s="30"/>
      <c r="H266" s="29" t="s">
        <v>5811</v>
      </c>
      <c r="I266" s="556" t="s">
        <v>4927</v>
      </c>
      <c r="J266" s="120"/>
      <c r="K266" s="121"/>
      <c r="L266" s="573" t="s">
        <v>4928</v>
      </c>
      <c r="M266" s="29" t="s">
        <v>5811</v>
      </c>
      <c r="N266" s="2674" t="n">
        <f>IFERROR(INDEX('5층_부하량'!C3:C3000,MATCH(1,("5-DaHall 1-PDU-09"='5층_부하량'!A3:A3000)*(38='5층_부하량'!B3:B3000),0)),0)</f>
        <v>0.0</v>
      </c>
      <c r="O266" s="30"/>
      <c r="P266" s="30"/>
      <c r="Q266" s="30"/>
      <c r="R266" s="110" t="s">
        <v>4590</v>
      </c>
      <c r="S266" s="29" t="s">
        <v>4642</v>
      </c>
      <c r="T266" s="111"/>
    </row>
    <row r="267" spans="1:20" ht="15" thickTop="1" thickBot="1" x14ac:dyDescent="0.2">
      <c r="M267" s="80" t="s">
        <v>5645</v>
      </c>
      <c r="N267" s="33" t="n">
        <f>SUM(D248:D266,N248:N266)</f>
        <v>0.0</v>
      </c>
      <c r="O267" s="33" t="n">
        <f>SUM(E248:E266,O248:O266)</f>
        <v>0.0</v>
      </c>
      <c r="P267" s="33" t="n">
        <f>SUM(F248:F266,P248:P266)</f>
        <v>0.0</v>
      </c>
    </row>
    <row r="268" spans="1:20" ht="20.25" thickTop="1" thickBot="1" x14ac:dyDescent="0.2">
      <c r="A268" s="2" t="s">
        <v>6953</v>
      </c>
      <c r="C268" s="3660" t="s">
        <v>5839</v>
      </c>
      <c r="D268" s="3660"/>
      <c r="E268" s="3660"/>
      <c r="F268" s="3660"/>
      <c r="G268" s="53"/>
      <c r="H268" s="124"/>
      <c r="I268" s="124"/>
      <c r="J268" s="3661" t="s">
        <v>5063</v>
      </c>
      <c r="K268" s="3667"/>
      <c r="L268" s="124"/>
      <c r="M268" s="124"/>
      <c r="N268" s="53"/>
      <c r="O268" s="53"/>
      <c r="P268" s="53"/>
      <c r="Q268" s="53"/>
      <c r="R268" s="53"/>
      <c r="S268" s="53"/>
    </row>
    <row r="269" spans="1:20" ht="15" customHeight="1" thickTop="1" thickBot="1" x14ac:dyDescent="0.2">
      <c r="A269" s="3"/>
      <c r="D269" s="54"/>
      <c r="E269" s="54"/>
      <c r="F269" s="54"/>
      <c r="G269" s="54"/>
      <c r="H269" s="4"/>
      <c r="I269" s="4"/>
      <c r="K269" s="56"/>
      <c r="L269" s="565"/>
      <c r="M269" s="1371" t="s">
        <v>4562</v>
      </c>
      <c r="N269" s="1368">
        <v>6.5</v>
      </c>
      <c r="O269" s="1369">
        <v>1.4</v>
      </c>
      <c r="P269" s="1370">
        <v>1.4</v>
      </c>
      <c r="Q269" s="508" t="s">
        <v>4563</v>
      </c>
      <c r="R269" s="133"/>
      <c r="S269" s="128"/>
      <c r="T269" s="528"/>
    </row>
    <row r="270" spans="1:20" ht="15" thickTop="1" thickBot="1" x14ac:dyDescent="0.2">
      <c r="A270" s="5" t="s">
        <v>4564</v>
      </c>
      <c r="B270" s="6" t="s">
        <v>4565</v>
      </c>
      <c r="C270" s="7" t="s">
        <v>4566</v>
      </c>
      <c r="D270" s="6" t="s">
        <v>4567</v>
      </c>
      <c r="E270" s="6" t="s">
        <v>4568</v>
      </c>
      <c r="F270" s="6" t="s">
        <v>4569</v>
      </c>
      <c r="G270" s="6" t="s">
        <v>4570</v>
      </c>
      <c r="H270" s="8" t="s">
        <v>4571</v>
      </c>
      <c r="I270" s="547"/>
      <c r="J270" s="58" t="s">
        <v>4572</v>
      </c>
      <c r="K270" s="59" t="s">
        <v>4572</v>
      </c>
      <c r="L270" s="566"/>
      <c r="M270" s="8" t="s">
        <v>4571</v>
      </c>
      <c r="N270" s="6" t="s">
        <v>4567</v>
      </c>
      <c r="O270" s="6" t="s">
        <v>4568</v>
      </c>
      <c r="P270" s="6" t="s">
        <v>4569</v>
      </c>
      <c r="Q270" s="6" t="s">
        <v>4570</v>
      </c>
      <c r="R270" s="6" t="s">
        <v>4565</v>
      </c>
      <c r="S270" s="7" t="s">
        <v>4566</v>
      </c>
      <c r="T270" s="60" t="s">
        <v>4564</v>
      </c>
    </row>
    <row r="271" spans="1:20" ht="24.75" thickTop="1" x14ac:dyDescent="0.15">
      <c r="A271" s="10"/>
      <c r="B271" s="11" t="s">
        <v>565</v>
      </c>
      <c r="C271" s="17" t="s">
        <v>4642</v>
      </c>
      <c r="D271" s="2669" cm="1" t="n">
        <f t="array" ref="D271">INDEX('5층_부하량'!C3:C3000,MATCH(1,("5-DaHall 1-PDU-08"='5층_부하량'!A3:A3000)*(1='5층_부하량'!B3:B3000),0))</f>
        <v>0.0</v>
      </c>
      <c r="E271" s="15"/>
      <c r="F271" s="15"/>
      <c r="G271" s="15"/>
      <c r="H271" s="13" t="s">
        <v>5786</v>
      </c>
      <c r="I271" s="552" t="s">
        <v>4633</v>
      </c>
      <c r="J271" s="1026" t="s">
        <v>5832</v>
      </c>
      <c r="K271" s="1022" t="s">
        <v>5840</v>
      </c>
      <c r="L271" s="1210" t="s">
        <v>4578</v>
      </c>
      <c r="M271" s="11" t="s">
        <v>5786</v>
      </c>
      <c r="N271" s="2669" cm="1" t="n">
        <f t="array" ref="N271">INDEX('5층_부하량'!C3:C3000,MATCH(1,("5-DaHall 1-PDU-08"='5층_부하량'!A3:A3000)*(2='5층_부하량'!B3:B3000),0))</f>
        <v>1.16</v>
      </c>
      <c r="O271" s="15"/>
      <c r="P271" s="15"/>
      <c r="Q271" s="15"/>
      <c r="R271" s="63" t="s">
        <v>4631</v>
      </c>
      <c r="S271" s="97" t="s">
        <v>4575</v>
      </c>
      <c r="T271" s="1063" t="s">
        <v>5841</v>
      </c>
    </row>
    <row r="272" spans="1:20" ht="16.5" x14ac:dyDescent="0.15">
      <c r="A272" s="16" t="s">
        <v>5842</v>
      </c>
      <c r="B272" s="17" t="s">
        <v>4631</v>
      </c>
      <c r="C272" s="18" t="s">
        <v>4575</v>
      </c>
      <c r="D272" s="19"/>
      <c r="E272" s="2670" cm="1" t="n">
        <f t="array" ref="E272">INDEX('5층_부하량'!D3:D3000,MATCH(1,("5-DaHall 1-PDU-08"='5층_부하량'!A3:A3000)*(3='5층_부하량'!B3:B3000),0))</f>
        <v>0.0</v>
      </c>
      <c r="F272" s="19"/>
      <c r="G272" s="19"/>
      <c r="H272" s="17" t="s">
        <v>5790</v>
      </c>
      <c r="I272" s="1207" t="s">
        <v>4638</v>
      </c>
      <c r="J272" s="1027" t="s">
        <v>2824</v>
      </c>
      <c r="K272" s="1024" t="s">
        <v>5832</v>
      </c>
      <c r="L272" s="1207" t="s">
        <v>4583</v>
      </c>
      <c r="M272" s="17" t="s">
        <v>5786</v>
      </c>
      <c r="N272" s="19"/>
      <c r="O272" s="2670" cm="1" t="n">
        <f t="array" ref="O272">INDEX('5층_부하량'!D3:D3000,MATCH(1,("5-DaHall 1-PDU-08"='5층_부하량'!A3:A3000)*(4='5층_부하량'!B3:B3000),0))</f>
        <v>0.0</v>
      </c>
      <c r="P272" s="19"/>
      <c r="Q272" s="19"/>
      <c r="R272" s="67" t="s">
        <v>4631</v>
      </c>
      <c r="S272" s="18" t="s">
        <v>4575</v>
      </c>
      <c r="T272" s="68" t="s">
        <v>5843</v>
      </c>
    </row>
    <row r="273" spans="1:20" ht="36" x14ac:dyDescent="0.15">
      <c r="A273" s="107" t="s">
        <v>5844</v>
      </c>
      <c r="B273" s="17" t="s">
        <v>4631</v>
      </c>
      <c r="C273" s="18" t="s">
        <v>4575</v>
      </c>
      <c r="D273" s="21"/>
      <c r="E273" s="21"/>
      <c r="F273" s="2672" cm="1" t="n">
        <f t="array" ref="F273">INDEX('5층_부하량'!E3:E3000,MATCH(1,("5-DaHall 1-PDU-08"='5층_부하량'!A3:A3000)*(5='5층_부하량'!B3:B3000),0))</f>
        <v>0.0</v>
      </c>
      <c r="G273" s="21"/>
      <c r="H273" s="17" t="s">
        <v>5786</v>
      </c>
      <c r="I273" s="1207" t="s">
        <v>4641</v>
      </c>
      <c r="J273" s="1027" t="s">
        <v>2824</v>
      </c>
      <c r="K273" s="1025" t="s">
        <v>5845</v>
      </c>
      <c r="L273" s="1207" t="s">
        <v>4588</v>
      </c>
      <c r="M273" s="17" t="s">
        <v>5786</v>
      </c>
      <c r="N273" s="21"/>
      <c r="O273" s="21"/>
      <c r="P273" s="2672" cm="1" t="n">
        <f t="array" ref="P273">INDEX('5층_부하량'!E3:E3000,MATCH(1,("5-DaHall 1-PDU-08"='5층_부하량'!A3:A3000)*(6='5층_부하량'!B3:B3000),0))</f>
        <v>0.0</v>
      </c>
      <c r="Q273" s="21"/>
      <c r="R273" s="69" t="s">
        <v>4631</v>
      </c>
      <c r="S273" s="18" t="s">
        <v>4575</v>
      </c>
      <c r="T273" s="70" t="s">
        <v>5846</v>
      </c>
    </row>
    <row r="274" spans="1:20" ht="16.5" x14ac:dyDescent="0.15">
      <c r="A274" s="661" t="s">
        <v>5847</v>
      </c>
      <c r="B274" s="17" t="s">
        <v>4631</v>
      </c>
      <c r="C274" s="18" t="s">
        <v>4575</v>
      </c>
      <c r="D274" s="2672" cm="1" t="n">
        <f t="array" ref="D274">INDEX('5층_부하량'!C3:C3000,MATCH(1,("5-DaHall 1-PDU-08"='5층_부하량'!A3:A3000)*(7='5층_부하량'!B3:B3000),0))</f>
        <v>0.0</v>
      </c>
      <c r="E274" s="21"/>
      <c r="F274" s="21"/>
      <c r="G274" s="21"/>
      <c r="H274" s="17" t="s">
        <v>5795</v>
      </c>
      <c r="I274" s="1207" t="s">
        <v>4645</v>
      </c>
      <c r="J274" s="1027" t="s">
        <v>2824</v>
      </c>
      <c r="K274" s="1028"/>
      <c r="L274" s="568" t="s">
        <v>4593</v>
      </c>
      <c r="M274" s="17" t="s">
        <v>5795</v>
      </c>
      <c r="N274" s="2672" cm="1" t="n">
        <f t="array" ref="N274">INDEX('5층_부하량'!C3:C3000,MATCH(1,("5-DaHall 1-PDU-08"='5층_부하량'!A3:A3000)*(8='5층_부하량'!B3:B3000),0))</f>
        <v>0.0</v>
      </c>
      <c r="O274" s="21"/>
      <c r="P274" s="21"/>
      <c r="Q274" s="21"/>
      <c r="R274" s="69" t="s">
        <v>4590</v>
      </c>
      <c r="S274" s="17" t="s">
        <v>4642</v>
      </c>
      <c r="T274" s="68"/>
    </row>
    <row r="275" spans="1:20" x14ac:dyDescent="0.15">
      <c r="A275" s="321"/>
      <c r="B275" s="17" t="s">
        <v>4590</v>
      </c>
      <c r="C275" s="17" t="s">
        <v>4642</v>
      </c>
      <c r="D275" s="21"/>
      <c r="E275" s="2672" cm="1" t="n">
        <f t="array" ref="E275">INDEX('5층_부하량'!D3:D3000,MATCH(1,("5-DaHall 1-PDU-08"='5층_부하량'!A3:A3000)*(9='5층_부하량'!B3:B3000),0))</f>
        <v>0.0</v>
      </c>
      <c r="F275" s="21"/>
      <c r="G275" s="21"/>
      <c r="H275" s="17" t="s">
        <v>5801</v>
      </c>
      <c r="I275" s="549" t="s">
        <v>4648</v>
      </c>
      <c r="J275" s="1029"/>
      <c r="K275" s="1028"/>
      <c r="L275" s="568" t="s">
        <v>4596</v>
      </c>
      <c r="M275" s="17" t="s">
        <v>5801</v>
      </c>
      <c r="N275" s="21"/>
      <c r="O275" s="2672" cm="1" t="n">
        <f t="array" ref="O275">INDEX('5층_부하량'!D3:D3000,MATCH(1,("5-DaHall 1-PDU-08"='5층_부하량'!A3:A3000)*(10='5층_부하량'!B3:B3000),0))</f>
        <v>0.0</v>
      </c>
      <c r="P275" s="21"/>
      <c r="Q275" s="21"/>
      <c r="R275" s="69" t="s">
        <v>4590</v>
      </c>
      <c r="S275" s="17" t="s">
        <v>4642</v>
      </c>
      <c r="T275" s="70"/>
    </row>
    <row r="276" spans="1:20" x14ac:dyDescent="0.15">
      <c r="A276" s="16"/>
      <c r="B276" s="23" t="s">
        <v>4590</v>
      </c>
      <c r="C276" s="17" t="s">
        <v>4642</v>
      </c>
      <c r="D276" s="25"/>
      <c r="E276" s="25"/>
      <c r="F276" s="2673" cm="1" t="n">
        <f t="array" ref="F276">INDEX('5층_부하량'!E3:E3000,MATCH(1,("5-DaHall 1-PDU-08"='5층_부하량'!A3:A3000)*(11='5층_부하량'!B3:B3000),0))</f>
        <v>0.0</v>
      </c>
      <c r="G276" s="25"/>
      <c r="H276" s="23" t="s">
        <v>5801</v>
      </c>
      <c r="I276" s="555" t="s">
        <v>4653</v>
      </c>
      <c r="J276" s="113"/>
      <c r="K276" s="114"/>
      <c r="L276" s="569" t="s">
        <v>4599</v>
      </c>
      <c r="M276" s="23" t="s">
        <v>5801</v>
      </c>
      <c r="N276" s="25"/>
      <c r="O276" s="25"/>
      <c r="P276" s="2673" cm="1" t="n">
        <f t="array" ref="P276">INDEX('5층_부하량'!E3:E3000,MATCH(1,("5-DaHall 1-PDU-08"='5층_부하량'!A3:A3000)*(12='5층_부하량'!B3:B3000),0))</f>
        <v>0.0</v>
      </c>
      <c r="Q276" s="25"/>
      <c r="R276" s="108" t="s">
        <v>4590</v>
      </c>
      <c r="S276" s="23" t="s">
        <v>4642</v>
      </c>
      <c r="T276" s="104"/>
    </row>
    <row r="277" spans="1:20" ht="14.25" thickBot="1" x14ac:dyDescent="0.2">
      <c r="A277" s="87"/>
      <c r="B277" s="88" t="s">
        <v>4590</v>
      </c>
      <c r="C277" s="88" t="s">
        <v>4642</v>
      </c>
      <c r="D277" s="2688" cm="1" t="n">
        <f t="array" ref="D277">INDEX('5층_부하량'!C3:C3000,MATCH(1,("5-DaHall 1-PDU-08"='5층_부하량'!A3:A3000)*(13='5층_부하량'!B3:B3000),0))</f>
        <v>0.0</v>
      </c>
      <c r="E277" s="90"/>
      <c r="F277" s="90"/>
      <c r="G277" s="90"/>
      <c r="H277" s="88" t="s">
        <v>5801</v>
      </c>
      <c r="I277" s="553" t="s">
        <v>4657</v>
      </c>
      <c r="J277" s="115"/>
      <c r="K277" s="116"/>
      <c r="L277" s="570" t="s">
        <v>4601</v>
      </c>
      <c r="M277" s="88" t="s">
        <v>5801</v>
      </c>
      <c r="N277" s="2688" cm="1" t="n">
        <f t="array" ref="N277">INDEX('5층_부하량'!C3:C3000,MATCH(1,("5-DaHall 1-PDU-08"='5층_부하량'!A3:A3000)*(14='5층_부하량'!B3:B3000),0))</f>
        <v>0.0</v>
      </c>
      <c r="O277" s="90"/>
      <c r="P277" s="90"/>
      <c r="Q277" s="90"/>
      <c r="R277" s="93" t="s">
        <v>4590</v>
      </c>
      <c r="S277" s="88" t="s">
        <v>4642</v>
      </c>
      <c r="T277" s="94"/>
    </row>
    <row r="278" spans="1:20" ht="14.25" thickTop="1" x14ac:dyDescent="0.15">
      <c r="A278" s="99"/>
      <c r="B278" s="72" t="s">
        <v>4590</v>
      </c>
      <c r="C278" s="72" t="s">
        <v>4642</v>
      </c>
      <c r="D278" s="74"/>
      <c r="E278" s="2689" cm="1" t="n">
        <f t="array" ref="E278">INDEX('5층_부하량'!D3:D3000,MATCH(1,("5-DaHall 1-PDU-08"='5층_부하량'!A3:A3000)*(15='5층_부하량'!B3:B3000),0))</f>
        <v>0.0</v>
      </c>
      <c r="F278" s="74"/>
      <c r="G278" s="74"/>
      <c r="H278" s="72" t="s">
        <v>5801</v>
      </c>
      <c r="I278" s="550" t="s">
        <v>4661</v>
      </c>
      <c r="J278" s="117"/>
      <c r="K278" s="83"/>
      <c r="L278" s="571" t="s">
        <v>4603</v>
      </c>
      <c r="M278" s="72" t="s">
        <v>5801</v>
      </c>
      <c r="N278" s="74"/>
      <c r="O278" s="2689" cm="1" t="n">
        <f t="array" ref="O278">INDEX('5층_부하량'!D3:D3000,MATCH(1,("5-DaHall 1-PDU-08"='5층_부하량'!A3:A3000)*(16='5층_부하량'!B3:B3000),0))</f>
        <v>0.0</v>
      </c>
      <c r="P278" s="74"/>
      <c r="Q278" s="74"/>
      <c r="R278" s="75" t="s">
        <v>4590</v>
      </c>
      <c r="S278" s="72" t="s">
        <v>4642</v>
      </c>
      <c r="T278" s="68"/>
    </row>
    <row r="279" spans="1:20" x14ac:dyDescent="0.15">
      <c r="A279" s="321"/>
      <c r="B279" s="17" t="s">
        <v>4590</v>
      </c>
      <c r="C279" s="17" t="s">
        <v>4642</v>
      </c>
      <c r="D279" s="21"/>
      <c r="E279" s="21"/>
      <c r="F279" s="2672" cm="1" t="n">
        <f t="array" ref="F279">INDEX('5층_부하량'!E3:E3000,MATCH(1,("5-DaHall 1-PDU-08"='5층_부하량'!A3:A3000)*(17='5층_부하량'!B3:B3000),0))</f>
        <v>0.0</v>
      </c>
      <c r="G279" s="21"/>
      <c r="H279" s="17" t="s">
        <v>5801</v>
      </c>
      <c r="I279" s="549" t="s">
        <v>4665</v>
      </c>
      <c r="J279" s="112"/>
      <c r="K279" s="81"/>
      <c r="L279" s="568" t="s">
        <v>4605</v>
      </c>
      <c r="M279" s="17" t="s">
        <v>5801</v>
      </c>
      <c r="N279" s="21"/>
      <c r="O279" s="21"/>
      <c r="P279" s="2672" cm="1" t="n">
        <f t="array" ref="P279">INDEX('5층_부하량'!E3:E3000,MATCH(1,("5-DaHall 1-PDU-08"='5층_부하량'!A3:A3000)*(18='5층_부하량'!B3:B3000),0))</f>
        <v>0.0</v>
      </c>
      <c r="Q279" s="21"/>
      <c r="R279" s="69" t="s">
        <v>4590</v>
      </c>
      <c r="S279" s="17" t="s">
        <v>4642</v>
      </c>
      <c r="T279" s="70"/>
    </row>
    <row r="280" spans="1:20" x14ac:dyDescent="0.15">
      <c r="A280" s="16"/>
      <c r="B280" s="17" t="s">
        <v>4590</v>
      </c>
      <c r="C280" s="17" t="s">
        <v>4642</v>
      </c>
      <c r="D280" s="2672" cm="1" t="n">
        <f t="array" ref="D280">INDEX('5층_부하량'!C3:C3000,MATCH(1,("5-DaHall 1-PDU-08"='5층_부하량'!A3:A3000)*(19='5층_부하량'!B3:B3000),0))</f>
        <v>0.0</v>
      </c>
      <c r="E280" s="21"/>
      <c r="F280" s="21"/>
      <c r="G280" s="21"/>
      <c r="H280" s="17" t="s">
        <v>5811</v>
      </c>
      <c r="I280" s="549" t="s">
        <v>4670</v>
      </c>
      <c r="J280" s="112"/>
      <c r="K280" s="81"/>
      <c r="L280" s="568" t="s">
        <v>4609</v>
      </c>
      <c r="M280" s="17" t="s">
        <v>5811</v>
      </c>
      <c r="N280" s="2672" cm="1" t="n">
        <f t="array" ref="N280">INDEX('5층_부하량'!C3:C3000,MATCH(1,("5-DaHall 1-PDU-08"='5층_부하량'!A3:A3000)*(20='5층_부하량'!B3:B3000),0))</f>
        <v>0.0</v>
      </c>
      <c r="O280" s="21"/>
      <c r="P280" s="21"/>
      <c r="Q280" s="21"/>
      <c r="R280" s="69" t="s">
        <v>4590</v>
      </c>
      <c r="S280" s="17" t="s">
        <v>4642</v>
      </c>
      <c r="T280" s="70"/>
    </row>
    <row r="281" spans="1:20" x14ac:dyDescent="0.15">
      <c r="A281" s="321"/>
      <c r="B281" s="17" t="s">
        <v>4590</v>
      </c>
      <c r="C281" s="17" t="s">
        <v>4642</v>
      </c>
      <c r="D281" s="21"/>
      <c r="E281" s="2672" cm="1" t="n">
        <f t="array" ref="E281">INDEX('5층_부하량'!D3:D3000,MATCH(1,("5-DaHall 1-PDU-08"='5층_부하량'!A3:A3000)*(21='5층_부하량'!B3:B3000),0))</f>
        <v>0.0</v>
      </c>
      <c r="F281" s="21"/>
      <c r="G281" s="21"/>
      <c r="H281" s="17" t="s">
        <v>5811</v>
      </c>
      <c r="I281" s="549" t="s">
        <v>4674</v>
      </c>
      <c r="J281" s="112"/>
      <c r="K281" s="81"/>
      <c r="L281" s="568" t="s">
        <v>4613</v>
      </c>
      <c r="M281" s="17" t="s">
        <v>5811</v>
      </c>
      <c r="N281" s="21"/>
      <c r="O281" s="2672" cm="1" t="n">
        <f t="array" ref="O281">INDEX('5층_부하량'!D3:D3000,MATCH(1,("5-DaHall 1-PDU-08"='5층_부하량'!A3:A3000)*(22='5층_부하량'!B3:B3000),0))</f>
        <v>0.0</v>
      </c>
      <c r="P281" s="21"/>
      <c r="Q281" s="21"/>
      <c r="R281" s="69" t="s">
        <v>4590</v>
      </c>
      <c r="S281" s="17" t="s">
        <v>4642</v>
      </c>
      <c r="T281" s="82"/>
    </row>
    <row r="282" spans="1:20" x14ac:dyDescent="0.15">
      <c r="A282" s="321"/>
      <c r="B282" s="17" t="s">
        <v>4590</v>
      </c>
      <c r="C282" s="17" t="s">
        <v>4642</v>
      </c>
      <c r="D282" s="21"/>
      <c r="E282" s="21"/>
      <c r="F282" s="2672" cm="1" t="n">
        <f t="array" ref="F282">INDEX('5층_부하량'!E3:E3000,MATCH(1,("5-DaHall 1-PDU-08"='5층_부하량'!A3:A3000)*(23='5층_부하량'!B3:B3000),0))</f>
        <v>0.0</v>
      </c>
      <c r="G282" s="21"/>
      <c r="H282" s="17" t="s">
        <v>5811</v>
      </c>
      <c r="I282" s="549" t="s">
        <v>4678</v>
      </c>
      <c r="J282" s="112"/>
      <c r="K282" s="81"/>
      <c r="L282" s="568" t="s">
        <v>4680</v>
      </c>
      <c r="M282" s="17" t="s">
        <v>5811</v>
      </c>
      <c r="N282" s="21"/>
      <c r="O282" s="21"/>
      <c r="P282" s="2672" cm="1" t="n">
        <f t="array" ref="P282">INDEX('5층_부하량'!E3:E3000,MATCH(1,("5-DaHall 1-PDU-08"='5층_부하량'!A3:A3000)*(24='5층_부하량'!B3:B3000),0))</f>
        <v>0.0</v>
      </c>
      <c r="Q282" s="21"/>
      <c r="R282" s="69" t="s">
        <v>4590</v>
      </c>
      <c r="S282" s="17" t="s">
        <v>4642</v>
      </c>
      <c r="T282" s="70"/>
    </row>
    <row r="283" spans="1:20" x14ac:dyDescent="0.15">
      <c r="A283" s="321"/>
      <c r="B283" s="17" t="s">
        <v>4590</v>
      </c>
      <c r="C283" s="17" t="s">
        <v>4642</v>
      </c>
      <c r="D283" s="2672" cm="1" t="n">
        <f t="array" ref="D283">INDEX('5층_부하량'!C3:C3000,MATCH(1,("5-DaHall 1-PDU-08"='5층_부하량'!A3:A3000)*(25='5층_부하량'!B3:B3000),0))</f>
        <v>0.0</v>
      </c>
      <c r="E283" s="21"/>
      <c r="F283" s="21"/>
      <c r="G283" s="21"/>
      <c r="H283" s="17" t="s">
        <v>5811</v>
      </c>
      <c r="I283" s="549" t="s">
        <v>4683</v>
      </c>
      <c r="J283" s="112"/>
      <c r="K283" s="81"/>
      <c r="L283" s="568" t="s">
        <v>4685</v>
      </c>
      <c r="M283" s="17" t="s">
        <v>5811</v>
      </c>
      <c r="N283" s="2672" cm="1" t="n">
        <f t="array" ref="N283">INDEX('5층_부하량'!C3:C3000,MATCH(1,("5-DaHall 1-PDU-08"='5층_부하량'!A3:A3000)*(26='5층_부하량'!B3:B3000),0))</f>
        <v>0.0</v>
      </c>
      <c r="O283" s="21"/>
      <c r="P283" s="21"/>
      <c r="Q283" s="21"/>
      <c r="R283" s="69" t="s">
        <v>4590</v>
      </c>
      <c r="S283" s="17" t="s">
        <v>4642</v>
      </c>
      <c r="T283" s="70"/>
    </row>
    <row r="284" spans="1:20" x14ac:dyDescent="0.15">
      <c r="A284" s="321"/>
      <c r="B284" s="17" t="s">
        <v>4590</v>
      </c>
      <c r="C284" s="17" t="s">
        <v>4642</v>
      </c>
      <c r="D284" s="21"/>
      <c r="E284" s="2672" cm="1" t="n">
        <f t="array" ref="E284">INDEX('5층_부하량'!D3:D3000,MATCH(1,("5-DaHall 1-PDU-08"='5층_부하량'!A3:A3000)*(27='5층_부하량'!B3:B3000),0))</f>
        <v>0.0</v>
      </c>
      <c r="F284" s="21"/>
      <c r="G284" s="21"/>
      <c r="H284" s="17" t="s">
        <v>5811</v>
      </c>
      <c r="I284" s="549" t="s">
        <v>4688</v>
      </c>
      <c r="J284" s="112"/>
      <c r="K284" s="81"/>
      <c r="L284" s="568" t="s">
        <v>4689</v>
      </c>
      <c r="M284" s="17" t="s">
        <v>5811</v>
      </c>
      <c r="N284" s="21"/>
      <c r="O284" s="2672" cm="1" t="n">
        <f t="array" ref="O284">INDEX('5층_부하량'!D3:D3000,MATCH(1,("5-DaHall 1-PDU-08"='5층_부하량'!A3:A3000)*(28='5층_부하량'!B3:B3000),0))</f>
        <v>0.0</v>
      </c>
      <c r="P284" s="21"/>
      <c r="Q284" s="21"/>
      <c r="R284" s="69" t="s">
        <v>4590</v>
      </c>
      <c r="S284" s="17" t="s">
        <v>4642</v>
      </c>
      <c r="T284" s="70"/>
    </row>
    <row r="285" spans="1:20" x14ac:dyDescent="0.15">
      <c r="A285" s="321"/>
      <c r="B285" s="17" t="s">
        <v>4590</v>
      </c>
      <c r="C285" s="17" t="s">
        <v>4642</v>
      </c>
      <c r="D285" s="21"/>
      <c r="E285" s="21"/>
      <c r="F285" s="2672" cm="1" t="n">
        <f t="array" ref="F285">INDEX('5층_부하량'!E3:E3000,MATCH(1,("5-DaHall 1-PDU-08"='5층_부하량'!A3:A3000)*(29='5층_부하량'!B3:B3000),0))</f>
        <v>0.0</v>
      </c>
      <c r="G285" s="21"/>
      <c r="H285" s="17" t="s">
        <v>5811</v>
      </c>
      <c r="I285" s="549" t="s">
        <v>4691</v>
      </c>
      <c r="J285" s="112"/>
      <c r="K285" s="81"/>
      <c r="L285" s="568" t="s">
        <v>4692</v>
      </c>
      <c r="M285" s="17" t="s">
        <v>5811</v>
      </c>
      <c r="N285" s="21"/>
      <c r="O285" s="21"/>
      <c r="P285" s="2672" cm="1" t="n">
        <f t="array" ref="P285">INDEX('5층_부하량'!E3:E3000,MATCH(1,("5-DaHall 1-PDU-08"='5층_부하량'!A3:A3000)*(30='5층_부하량'!B3:B3000),0))</f>
        <v>0.0</v>
      </c>
      <c r="Q285" s="21"/>
      <c r="R285" s="69" t="s">
        <v>4590</v>
      </c>
      <c r="S285" s="17" t="s">
        <v>4642</v>
      </c>
      <c r="T285" s="70"/>
    </row>
    <row r="286" spans="1:20" x14ac:dyDescent="0.15">
      <c r="A286" s="321"/>
      <c r="B286" s="17" t="s">
        <v>4590</v>
      </c>
      <c r="C286" s="17" t="s">
        <v>4642</v>
      </c>
      <c r="D286" s="2672" cm="1" t="n">
        <f t="array" ref="D286">INDEX('5층_부하량'!C3:C3000,MATCH(1,("5-DaHall 1-PDU-08"='5층_부하량'!A3:A3000)*(31='5층_부하량'!B3:B3000),0))</f>
        <v>0.0</v>
      </c>
      <c r="E286" s="21"/>
      <c r="F286" s="21"/>
      <c r="G286" s="21"/>
      <c r="H286" s="17" t="s">
        <v>5811</v>
      </c>
      <c r="I286" s="549" t="s">
        <v>4693</v>
      </c>
      <c r="J286" s="112"/>
      <c r="K286" s="81"/>
      <c r="L286" s="568" t="s">
        <v>4694</v>
      </c>
      <c r="M286" s="17" t="s">
        <v>5811</v>
      </c>
      <c r="N286" s="2672" cm="1" t="n">
        <f t="array" ref="N286">INDEX('5층_부하량'!C3:C3000,MATCH(1,("5-DaHall 1-PDU-08"='5층_부하량'!A3:A3000)*(32='5층_부하량'!B3:B3000),0))</f>
        <v>0.0</v>
      </c>
      <c r="O286" s="21"/>
      <c r="P286" s="21"/>
      <c r="Q286" s="21"/>
      <c r="R286" s="69" t="s">
        <v>4590</v>
      </c>
      <c r="S286" s="17" t="s">
        <v>4642</v>
      </c>
      <c r="T286" s="70"/>
    </row>
    <row r="287" spans="1:20" x14ac:dyDescent="0.15">
      <c r="A287" s="321"/>
      <c r="B287" s="17" t="s">
        <v>4590</v>
      </c>
      <c r="C287" s="17" t="s">
        <v>4642</v>
      </c>
      <c r="D287" s="21"/>
      <c r="E287" s="2672" cm="1" t="n">
        <f t="array" ref="E287">INDEX('5층_부하량'!D3:D3000,MATCH(1,("5-DaHall 1-PDU-08"='5층_부하량'!A3:A3000)*(33='5층_부하량'!B3:B3000),0))</f>
        <v>0.0</v>
      </c>
      <c r="F287" s="21"/>
      <c r="G287" s="21"/>
      <c r="H287" s="17" t="s">
        <v>5811</v>
      </c>
      <c r="I287" s="549" t="s">
        <v>4697</v>
      </c>
      <c r="J287" s="112"/>
      <c r="K287" s="81"/>
      <c r="L287" s="568" t="s">
        <v>4698</v>
      </c>
      <c r="M287" s="17" t="s">
        <v>5811</v>
      </c>
      <c r="N287" s="21"/>
      <c r="O287" s="2672" cm="1" t="n">
        <f t="array" ref="O287">INDEX('5층_부하량'!D3:D3000,MATCH(1,("5-DaHall 1-PDU-08"='5층_부하량'!A3:A3000)*(34='5층_부하량'!B3:B3000),0))</f>
        <v>0.0</v>
      </c>
      <c r="P287" s="21"/>
      <c r="Q287" s="21"/>
      <c r="R287" s="69" t="s">
        <v>4590</v>
      </c>
      <c r="S287" s="17" t="s">
        <v>4642</v>
      </c>
      <c r="T287" s="70"/>
    </row>
    <row r="288" spans="1:20" ht="17.25" thickBot="1" x14ac:dyDescent="0.2">
      <c r="A288" s="38"/>
      <c r="B288" s="35" t="s">
        <v>4631</v>
      </c>
      <c r="C288" s="39" t="s">
        <v>4575</v>
      </c>
      <c r="D288" s="36"/>
      <c r="E288" s="36"/>
      <c r="F288" s="2671" cm="1" t="n">
        <f t="array" ref="F288">INDEX('5층_부하량'!E3:E3000,MATCH(1,("5-DaHall 1-PDU-08"='5층_부하량'!A3:A3000)*(35='5층_부하량'!B3:B3000),0))</f>
        <v>0.0</v>
      </c>
      <c r="G288" s="36"/>
      <c r="H288" s="35" t="s">
        <v>5811</v>
      </c>
      <c r="I288" s="551" t="s">
        <v>4701</v>
      </c>
      <c r="J288" s="85"/>
      <c r="K288" s="84"/>
      <c r="L288" s="572" t="s">
        <v>4703</v>
      </c>
      <c r="M288" s="35" t="s">
        <v>5811</v>
      </c>
      <c r="N288" s="36"/>
      <c r="O288" s="36"/>
      <c r="P288" s="2671" cm="1" t="n">
        <f t="array" ref="P288">INDEX('5층_부하량'!E3:E3000,MATCH(1,("5-DaHall 1-PDU-08"='5층_부하량'!A3:A3000)*(36='5층_부하량'!B3:B3000),0))</f>
        <v>0.0</v>
      </c>
      <c r="Q288" s="36"/>
      <c r="R288" s="78" t="s">
        <v>4590</v>
      </c>
      <c r="S288" s="35" t="s">
        <v>4642</v>
      </c>
      <c r="T288" s="79"/>
    </row>
    <row r="289" spans="1:20" ht="15" thickTop="1" thickBot="1" x14ac:dyDescent="0.2">
      <c r="M289" s="80" t="s">
        <v>5645</v>
      </c>
      <c r="N289" s="33" t="n">
        <f>SUM(D271:D288,N271:N288)</f>
        <v>1.16</v>
      </c>
      <c r="O289" s="33" t="n">
        <f>SUM(E271:E288,O271:O288)</f>
        <v>0.0</v>
      </c>
      <c r="P289" s="33" t="n">
        <f>SUM(F271:F288,P271:P288)</f>
        <v>0.0</v>
      </c>
    </row>
    <row r="290" spans="1:20" ht="20.25" thickTop="1" thickBot="1" x14ac:dyDescent="0.2">
      <c r="A290" s="2" t="s">
        <v>6954</v>
      </c>
      <c r="C290" s="3660" t="s">
        <v>5848</v>
      </c>
      <c r="D290" s="3660"/>
      <c r="E290" s="3660"/>
      <c r="F290" s="3660"/>
      <c r="G290" s="53"/>
      <c r="H290" s="124"/>
      <c r="I290" s="124"/>
      <c r="J290" s="3661" t="s">
        <v>5063</v>
      </c>
      <c r="K290" s="3667"/>
      <c r="L290" s="124"/>
      <c r="M290" s="118" t="s">
        <v>5838</v>
      </c>
      <c r="N290" s="53"/>
      <c r="O290" s="53"/>
      <c r="P290" s="53"/>
      <c r="Q290" s="53"/>
      <c r="R290" s="53"/>
      <c r="S290" s="53"/>
    </row>
    <row r="291" spans="1:20" ht="15" thickTop="1" thickBot="1" x14ac:dyDescent="0.2">
      <c r="A291" s="3"/>
      <c r="D291" s="54"/>
      <c r="E291" s="54"/>
      <c r="F291" s="54"/>
      <c r="G291" s="54"/>
      <c r="H291" s="4"/>
      <c r="I291" s="4"/>
      <c r="K291" s="56"/>
      <c r="L291" s="565"/>
      <c r="M291" s="1371" t="s">
        <v>4562</v>
      </c>
      <c r="N291" s="1368"/>
      <c r="O291" s="1369"/>
      <c r="P291" s="1370"/>
      <c r="Q291" s="508" t="s">
        <v>4563</v>
      </c>
      <c r="R291" s="133"/>
      <c r="S291" s="128"/>
      <c r="T291" s="528"/>
    </row>
    <row r="292" spans="1:20" ht="15" thickTop="1" thickBot="1" x14ac:dyDescent="0.2">
      <c r="A292" s="5" t="s">
        <v>4564</v>
      </c>
      <c r="B292" s="6" t="s">
        <v>4565</v>
      </c>
      <c r="C292" s="7" t="s">
        <v>4566</v>
      </c>
      <c r="D292" s="6" t="s">
        <v>4567</v>
      </c>
      <c r="E292" s="6" t="s">
        <v>4568</v>
      </c>
      <c r="F292" s="6" t="s">
        <v>4569</v>
      </c>
      <c r="G292" s="6" t="s">
        <v>4570</v>
      </c>
      <c r="H292" s="8" t="s">
        <v>4571</v>
      </c>
      <c r="I292" s="547"/>
      <c r="J292" s="58" t="s">
        <v>4572</v>
      </c>
      <c r="K292" s="59" t="s">
        <v>4572</v>
      </c>
      <c r="L292" s="566"/>
      <c r="M292" s="8" t="s">
        <v>4571</v>
      </c>
      <c r="N292" s="6" t="s">
        <v>4567</v>
      </c>
      <c r="O292" s="6" t="s">
        <v>4568</v>
      </c>
      <c r="P292" s="6" t="s">
        <v>4569</v>
      </c>
      <c r="Q292" s="6" t="s">
        <v>4570</v>
      </c>
      <c r="R292" s="6" t="s">
        <v>4565</v>
      </c>
      <c r="S292" s="7" t="s">
        <v>4566</v>
      </c>
      <c r="T292" s="60" t="s">
        <v>4564</v>
      </c>
    </row>
    <row r="293" spans="1:20" ht="14.25" thickTop="1" x14ac:dyDescent="0.15">
      <c r="A293" s="10"/>
      <c r="B293" s="11" t="s">
        <v>4590</v>
      </c>
      <c r="C293" s="13" t="s">
        <v>4642</v>
      </c>
      <c r="D293" s="2669" t="n">
        <f>IFERROR(INDEX('5층_부하량'!C3:C3000,MATCH(1,("5-DaHall 1-PDU-10"='5층_부하량'!A3:A3000)*(1='5층_부하량'!B3:B3000),0)),0)</f>
        <v>0.0</v>
      </c>
      <c r="E293" s="15"/>
      <c r="F293" s="15"/>
      <c r="G293" s="15"/>
      <c r="H293" s="13" t="s">
        <v>5786</v>
      </c>
      <c r="I293" s="1177" t="s">
        <v>5787</v>
      </c>
      <c r="J293" s="61"/>
      <c r="K293" s="62"/>
      <c r="L293" s="567" t="s">
        <v>5788</v>
      </c>
      <c r="M293" s="11" t="s">
        <v>5786</v>
      </c>
      <c r="N293" s="2669" t="n">
        <f>IFERROR(INDEX('5층_부하량'!C3:C3000,MATCH(1,("5-DaHall 1-PDU-10"='5층_부하량'!A3:A3000)*(2='5층_부하량'!B3:B3000),0)),0)</f>
        <v>0.0</v>
      </c>
      <c r="O293" s="15"/>
      <c r="P293" s="15"/>
      <c r="Q293" s="15"/>
      <c r="R293" s="63" t="s">
        <v>4590</v>
      </c>
      <c r="S293" s="11" t="s">
        <v>4642</v>
      </c>
      <c r="T293" s="98"/>
    </row>
    <row r="294" spans="1:20" x14ac:dyDescent="0.15">
      <c r="A294" s="16"/>
      <c r="B294" s="17" t="s">
        <v>4590</v>
      </c>
      <c r="C294" s="17" t="s">
        <v>4642</v>
      </c>
      <c r="D294" s="19"/>
      <c r="E294" s="2670" t="n">
        <f>IFERROR(INDEX('5층_부하량'!D3:D3000,MATCH(1,("5-DaHall 1-PDU-10"='5층_부하량'!A3:A3000)*(3='5층_부하량'!B3:B3000),0)),0)</f>
        <v>0.0</v>
      </c>
      <c r="F294" s="19"/>
      <c r="G294" s="19"/>
      <c r="H294" s="17" t="s">
        <v>5790</v>
      </c>
      <c r="I294" s="549" t="s">
        <v>4638</v>
      </c>
      <c r="J294" s="65"/>
      <c r="K294" s="66"/>
      <c r="L294" s="549" t="s">
        <v>4583</v>
      </c>
      <c r="M294" s="17" t="s">
        <v>5786</v>
      </c>
      <c r="N294" s="19"/>
      <c r="O294" s="2670" t="n">
        <f>IFERROR(INDEX('5층_부하량'!D3:D3000,MATCH(1,("5-DaHall 1-PDU-10"='5층_부하량'!A3:A3000)*(4='5층_부하량'!B3:B3000),0)),0)</f>
        <v>0.0</v>
      </c>
      <c r="P294" s="19"/>
      <c r="Q294" s="19"/>
      <c r="R294" s="67" t="s">
        <v>4590</v>
      </c>
      <c r="S294" s="17" t="s">
        <v>4642</v>
      </c>
      <c r="T294" s="68"/>
    </row>
    <row r="295" spans="1:20" x14ac:dyDescent="0.15">
      <c r="A295" s="321"/>
      <c r="B295" s="17" t="s">
        <v>4590</v>
      </c>
      <c r="C295" s="17" t="s">
        <v>4642</v>
      </c>
      <c r="D295" s="21"/>
      <c r="E295" s="21"/>
      <c r="F295" s="2672" t="n">
        <f>IFERROR(INDEX('5층_부하량'!E3:E3000,MATCH(1,("5-DaHall 1-PDU-10"='5층_부하량'!A3:A3000)*(5='5층_부하량'!B3:B3000),0)),0)</f>
        <v>0.0</v>
      </c>
      <c r="G295" s="21"/>
      <c r="H295" s="17" t="s">
        <v>5786</v>
      </c>
      <c r="I295" s="549" t="s">
        <v>4641</v>
      </c>
      <c r="J295" s="112"/>
      <c r="K295" s="81"/>
      <c r="L295" s="568" t="s">
        <v>4588</v>
      </c>
      <c r="M295" s="17" t="s">
        <v>5786</v>
      </c>
      <c r="N295" s="21"/>
      <c r="O295" s="21"/>
      <c r="P295" s="2672" t="n">
        <f>IFERROR(INDEX('5층_부하량'!E3:E3000,MATCH(1,("5-DaHall 1-PDU-10"='5층_부하량'!A3:A3000)*(6='5층_부하량'!B3:B3000),0)),0)</f>
        <v>0.0</v>
      </c>
      <c r="Q295" s="21"/>
      <c r="R295" s="69" t="s">
        <v>4590</v>
      </c>
      <c r="S295" s="17" t="s">
        <v>4642</v>
      </c>
      <c r="T295" s="70"/>
    </row>
    <row r="296" spans="1:20" x14ac:dyDescent="0.15">
      <c r="A296" s="16"/>
      <c r="B296" s="17" t="s">
        <v>4590</v>
      </c>
      <c r="C296" s="17" t="s">
        <v>4642</v>
      </c>
      <c r="D296" s="2672" t="n">
        <f>IFERROR(INDEX('5층_부하량'!C3:C3000,MATCH(1,("5-DaHall 1-PDU-10"='5층_부하량'!A3:A3000)*(7='5층_부하량'!B3:B3000),0)),0)</f>
        <v>0.0</v>
      </c>
      <c r="E296" s="21"/>
      <c r="F296" s="21"/>
      <c r="G296" s="21"/>
      <c r="H296" s="17" t="s">
        <v>5795</v>
      </c>
      <c r="I296" s="549" t="s">
        <v>4645</v>
      </c>
      <c r="J296" s="112"/>
      <c r="K296" s="81"/>
      <c r="L296" s="568" t="s">
        <v>4593</v>
      </c>
      <c r="M296" s="17" t="s">
        <v>5795</v>
      </c>
      <c r="N296" s="2672" t="n">
        <f>IFERROR(INDEX('5층_부하량'!C3:C3000,MATCH(1,("5-DaHall 1-PDU-10"='5층_부하량'!A3:A3000)*(8='5층_부하량'!B3:B3000),0)),0)</f>
        <v>0.0</v>
      </c>
      <c r="O296" s="21"/>
      <c r="P296" s="21"/>
      <c r="Q296" s="21"/>
      <c r="R296" s="69" t="s">
        <v>4590</v>
      </c>
      <c r="S296" s="17" t="s">
        <v>4642</v>
      </c>
      <c r="T296" s="68"/>
    </row>
    <row r="297" spans="1:20" x14ac:dyDescent="0.15">
      <c r="A297" s="321"/>
      <c r="B297" s="17" t="s">
        <v>4590</v>
      </c>
      <c r="C297" s="17" t="s">
        <v>4642</v>
      </c>
      <c r="D297" s="21"/>
      <c r="E297" s="2672" t="n">
        <f>IFERROR(INDEX('5층_부하량'!D3:D3000,MATCH(1,("5-DaHall 1-PDU-10"='5층_부하량'!A3:A3000)*(9='5층_부하량'!B3:B3000),0)),0)</f>
        <v>0.0</v>
      </c>
      <c r="F297" s="21"/>
      <c r="G297" s="21"/>
      <c r="H297" s="17" t="s">
        <v>5790</v>
      </c>
      <c r="I297" s="549" t="s">
        <v>4648</v>
      </c>
      <c r="J297" s="112"/>
      <c r="K297" s="81"/>
      <c r="L297" s="568" t="s">
        <v>4596</v>
      </c>
      <c r="M297" s="17" t="s">
        <v>5790</v>
      </c>
      <c r="N297" s="21"/>
      <c r="O297" s="2672" t="n">
        <f>IFERROR(INDEX('5층_부하량'!D3:D3000,MATCH(1,("5-DaHall 1-PDU-10"='5층_부하량'!A3:A3000)*(10='5층_부하량'!B3:B3000),0)),0)</f>
        <v>0.0</v>
      </c>
      <c r="P297" s="21"/>
      <c r="Q297" s="21"/>
      <c r="R297" s="69" t="s">
        <v>4590</v>
      </c>
      <c r="S297" s="17" t="s">
        <v>4642</v>
      </c>
      <c r="T297" s="70"/>
    </row>
    <row r="298" spans="1:20" x14ac:dyDescent="0.15">
      <c r="A298" s="16"/>
      <c r="B298" s="23" t="s">
        <v>4590</v>
      </c>
      <c r="C298" s="17" t="s">
        <v>4642</v>
      </c>
      <c r="D298" s="25"/>
      <c r="E298" s="25"/>
      <c r="F298" s="2673" t="n">
        <f>IFERROR(INDEX('5층_부하량'!E3:E3000,MATCH(1,("5-DaHall 1-PDU-10"='5층_부하량'!A3:A3000)*(11='5층_부하량'!B3:B3000),0)),0)</f>
        <v>0.0</v>
      </c>
      <c r="G298" s="25"/>
      <c r="H298" s="23" t="s">
        <v>5801</v>
      </c>
      <c r="I298" s="555" t="s">
        <v>4653</v>
      </c>
      <c r="J298" s="113"/>
      <c r="K298" s="114"/>
      <c r="L298" s="569" t="s">
        <v>4599</v>
      </c>
      <c r="M298" s="23" t="s">
        <v>5801</v>
      </c>
      <c r="N298" s="25"/>
      <c r="O298" s="25"/>
      <c r="P298" s="2673" t="n">
        <f>IFERROR(INDEX('5층_부하량'!E3:E3000,MATCH(1,("5-DaHall 1-PDU-10"='5층_부하량'!A3:A3000)*(12='5층_부하량'!B3:B3000),0)),0)</f>
        <v>0.0</v>
      </c>
      <c r="Q298" s="25"/>
      <c r="R298" s="108" t="s">
        <v>4590</v>
      </c>
      <c r="S298" s="23" t="s">
        <v>4642</v>
      </c>
      <c r="T298" s="104"/>
    </row>
    <row r="299" spans="1:20" x14ac:dyDescent="0.15">
      <c r="A299" s="16"/>
      <c r="B299" s="23" t="s">
        <v>4590</v>
      </c>
      <c r="C299" s="23" t="s">
        <v>4642</v>
      </c>
      <c r="D299" s="2673" t="n">
        <f>IFERROR(INDEX('5층_부하량'!C3:C3000,MATCH(1,("5-DaHall 1-PDU-10"='5층_부하량'!A3:A3000)*(13='5층_부하량'!B3:B3000),0)),0)</f>
        <v>0.0</v>
      </c>
      <c r="E299" s="25"/>
      <c r="F299" s="25"/>
      <c r="G299" s="25"/>
      <c r="H299" s="23" t="s">
        <v>5801</v>
      </c>
      <c r="I299" s="555" t="s">
        <v>4657</v>
      </c>
      <c r="J299" s="113"/>
      <c r="K299" s="114"/>
      <c r="L299" s="569" t="s">
        <v>4601</v>
      </c>
      <c r="M299" s="23" t="s">
        <v>5801</v>
      </c>
      <c r="N299" s="2673" t="n">
        <f>IFERROR(INDEX('5층_부하량'!C3:C3000,MATCH(1,("5-DaHall 1-PDU-10"='5층_부하량'!A3:A3000)*(14='5층_부하량'!B3:B3000),0)),0)</f>
        <v>0.0</v>
      </c>
      <c r="O299" s="25"/>
      <c r="P299" s="25"/>
      <c r="Q299" s="25"/>
      <c r="R299" s="108" t="s">
        <v>4590</v>
      </c>
      <c r="S299" s="23" t="s">
        <v>4642</v>
      </c>
      <c r="T299" s="104"/>
    </row>
    <row r="300" spans="1:20" ht="14.25" thickBot="1" x14ac:dyDescent="0.2">
      <c r="A300" s="87"/>
      <c r="B300" s="88" t="s">
        <v>4590</v>
      </c>
      <c r="C300" s="88" t="s">
        <v>4642</v>
      </c>
      <c r="D300" s="90"/>
      <c r="E300" s="2688" t="n">
        <f>IFERROR(INDEX('5층_부하량'!D3:D3000,MATCH(1,("5-DaHall 1-PDU-10"='5층_부하량'!A3:A3000)*(15='5층_부하량'!B3:B3000),0)),0)</f>
        <v>0.0</v>
      </c>
      <c r="F300" s="90"/>
      <c r="G300" s="90"/>
      <c r="H300" s="88" t="s">
        <v>5801</v>
      </c>
      <c r="I300" s="553" t="s">
        <v>4661</v>
      </c>
      <c r="J300" s="115"/>
      <c r="K300" s="116"/>
      <c r="L300" s="570" t="s">
        <v>4603</v>
      </c>
      <c r="M300" s="88" t="s">
        <v>5801</v>
      </c>
      <c r="N300" s="90"/>
      <c r="O300" s="2688" t="n">
        <f>IFERROR(INDEX('5층_부하량'!D3:D3000,MATCH(1,("5-DaHall 1-PDU-10"='5층_부하량'!A3:A3000)*(16='5층_부하량'!B3:B3000),0)),0)</f>
        <v>0.0</v>
      </c>
      <c r="P300" s="90"/>
      <c r="Q300" s="90"/>
      <c r="R300" s="93" t="s">
        <v>4590</v>
      </c>
      <c r="S300" s="88" t="s">
        <v>4642</v>
      </c>
      <c r="T300" s="94"/>
    </row>
    <row r="301" spans="1:20" ht="14.25" thickTop="1" x14ac:dyDescent="0.15">
      <c r="A301" s="71"/>
      <c r="B301" s="72" t="s">
        <v>4590</v>
      </c>
      <c r="C301" s="72" t="s">
        <v>4642</v>
      </c>
      <c r="D301" s="74"/>
      <c r="E301" s="74"/>
      <c r="F301" s="2689" t="n">
        <f>IFERROR(INDEX('5층_부하량'!E3:E3000,MATCH(1,("5-DaHall 1-PDU-10"='5층_부하량'!A3:A3000)*(17='5층_부하량'!B3:B3000),0)),0)</f>
        <v>0.0</v>
      </c>
      <c r="G301" s="74"/>
      <c r="H301" s="72" t="s">
        <v>5801</v>
      </c>
      <c r="I301" s="550" t="s">
        <v>4665</v>
      </c>
      <c r="J301" s="117"/>
      <c r="K301" s="83"/>
      <c r="L301" s="571" t="s">
        <v>4605</v>
      </c>
      <c r="M301" s="72" t="s">
        <v>5801</v>
      </c>
      <c r="N301" s="74"/>
      <c r="O301" s="74"/>
      <c r="P301" s="2689" t="n">
        <f>IFERROR(INDEX('5층_부하량'!E3:E3000,MATCH(1,("5-DaHall 1-PDU-10"='5층_부하량'!A3:A3000)*(18='5층_부하량'!B3:B3000),0)),0)</f>
        <v>0.0</v>
      </c>
      <c r="Q301" s="74"/>
      <c r="R301" s="75" t="s">
        <v>4590</v>
      </c>
      <c r="S301" s="72" t="s">
        <v>4642</v>
      </c>
      <c r="T301" s="68"/>
    </row>
    <row r="302" spans="1:20" x14ac:dyDescent="0.15">
      <c r="A302" s="16"/>
      <c r="B302" s="17" t="s">
        <v>4590</v>
      </c>
      <c r="C302" s="17" t="s">
        <v>4642</v>
      </c>
      <c r="D302" s="2672" t="n">
        <f>IFERROR(INDEX('5층_부하량'!C3:C3000,MATCH(1,("5-DaHall 1-PDU-10"='5층_부하량'!A3:A3000)*(19='5층_부하량'!B3:B3000),0)),0)</f>
        <v>0.0</v>
      </c>
      <c r="E302" s="21"/>
      <c r="F302" s="21"/>
      <c r="G302" s="21"/>
      <c r="H302" s="17" t="s">
        <v>5811</v>
      </c>
      <c r="I302" s="549" t="s">
        <v>4670</v>
      </c>
      <c r="J302" s="112"/>
      <c r="K302" s="81"/>
      <c r="L302" s="568" t="s">
        <v>4609</v>
      </c>
      <c r="M302" s="17" t="s">
        <v>5811</v>
      </c>
      <c r="N302" s="2672" t="n">
        <f>IFERROR(INDEX('5층_부하량'!C3:C3000,MATCH(1,("5-DaHall 1-PDU-10"='5층_부하량'!A3:A3000)*(20='5층_부하량'!B3:B3000),0)),0)</f>
        <v>0.0</v>
      </c>
      <c r="O302" s="21"/>
      <c r="P302" s="21"/>
      <c r="Q302" s="21"/>
      <c r="R302" s="69" t="s">
        <v>4590</v>
      </c>
      <c r="S302" s="17" t="s">
        <v>4642</v>
      </c>
      <c r="T302" s="70"/>
    </row>
    <row r="303" spans="1:20" x14ac:dyDescent="0.15">
      <c r="A303" s="321"/>
      <c r="B303" s="17" t="s">
        <v>4590</v>
      </c>
      <c r="C303" s="17" t="s">
        <v>4642</v>
      </c>
      <c r="D303" s="21"/>
      <c r="E303" s="2672" t="n">
        <f>IFERROR(INDEX('5층_부하량'!D3:D3000,MATCH(1,("5-DaHall 1-PDU-10"='5층_부하량'!A3:A3000)*(21='5층_부하량'!B3:B3000),0)),0)</f>
        <v>0.0</v>
      </c>
      <c r="F303" s="21"/>
      <c r="G303" s="21"/>
      <c r="H303" s="17" t="s">
        <v>5811</v>
      </c>
      <c r="I303" s="549" t="s">
        <v>4674</v>
      </c>
      <c r="J303" s="112"/>
      <c r="K303" s="81"/>
      <c r="L303" s="568" t="s">
        <v>4613</v>
      </c>
      <c r="M303" s="17" t="s">
        <v>5811</v>
      </c>
      <c r="N303" s="21"/>
      <c r="O303" s="2672" t="n">
        <f>IFERROR(INDEX('5층_부하량'!D3:D3000,MATCH(1,("5-DaHall 1-PDU-10"='5층_부하량'!A3:A3000)*(22='5층_부하량'!B3:B3000),0)),0)</f>
        <v>0.0</v>
      </c>
      <c r="P303" s="21"/>
      <c r="Q303" s="21"/>
      <c r="R303" s="69" t="s">
        <v>4590</v>
      </c>
      <c r="S303" s="17" t="s">
        <v>4642</v>
      </c>
      <c r="T303" s="82"/>
    </row>
    <row r="304" spans="1:20" x14ac:dyDescent="0.15">
      <c r="A304" s="321"/>
      <c r="B304" s="17" t="s">
        <v>4590</v>
      </c>
      <c r="C304" s="17" t="s">
        <v>4642</v>
      </c>
      <c r="D304" s="21"/>
      <c r="E304" s="21"/>
      <c r="F304" s="2672" t="n">
        <f>IFERROR(INDEX('5층_부하량'!E3:E3000,MATCH(1,("5-DaHall 1-PDU-10"='5층_부하량'!A3:A3000)*(23='5층_부하량'!B3:B3000),0)),0)</f>
        <v>0.0</v>
      </c>
      <c r="G304" s="21"/>
      <c r="H304" s="17" t="s">
        <v>5811</v>
      </c>
      <c r="I304" s="549" t="s">
        <v>4678</v>
      </c>
      <c r="J304" s="112"/>
      <c r="K304" s="81"/>
      <c r="L304" s="568" t="s">
        <v>4680</v>
      </c>
      <c r="M304" s="17" t="s">
        <v>5811</v>
      </c>
      <c r="N304" s="21"/>
      <c r="O304" s="21"/>
      <c r="P304" s="2672" t="n">
        <f>IFERROR(INDEX('5층_부하량'!E3:E3000,MATCH(1,("5-DaHall 1-PDU-10"='5층_부하량'!A3:A3000)*(24='5층_부하량'!B3:B3000),0)),0)</f>
        <v>0.0</v>
      </c>
      <c r="Q304" s="21"/>
      <c r="R304" s="69" t="s">
        <v>4590</v>
      </c>
      <c r="S304" s="17" t="s">
        <v>4642</v>
      </c>
      <c r="T304" s="70"/>
    </row>
    <row r="305" spans="1:20" x14ac:dyDescent="0.15">
      <c r="A305" s="321"/>
      <c r="B305" s="17" t="s">
        <v>4590</v>
      </c>
      <c r="C305" s="17" t="s">
        <v>4642</v>
      </c>
      <c r="D305" s="2672" t="n">
        <f>IFERROR(INDEX('5층_부하량'!C3:C3000,MATCH(1,("5-DaHall 1-PDU-10"='5층_부하량'!A3:A3000)*(25='5층_부하량'!B3:B3000),0)),0)</f>
        <v>0.0</v>
      </c>
      <c r="E305" s="21"/>
      <c r="F305" s="21"/>
      <c r="G305" s="21"/>
      <c r="H305" s="17" t="s">
        <v>5811</v>
      </c>
      <c r="I305" s="549" t="s">
        <v>4683</v>
      </c>
      <c r="J305" s="112"/>
      <c r="K305" s="81"/>
      <c r="L305" s="568" t="s">
        <v>4685</v>
      </c>
      <c r="M305" s="17" t="s">
        <v>5811</v>
      </c>
      <c r="N305" s="2672" t="n">
        <f>IFERROR(INDEX('5층_부하량'!C3:C3000,MATCH(1,("5-DaHall 1-PDU-10"='5층_부하량'!A3:A3000)*(26='5층_부하량'!B3:B3000),0)),0)</f>
        <v>0.0</v>
      </c>
      <c r="O305" s="21"/>
      <c r="P305" s="21"/>
      <c r="Q305" s="21"/>
      <c r="R305" s="69" t="s">
        <v>4590</v>
      </c>
      <c r="S305" s="17" t="s">
        <v>4642</v>
      </c>
      <c r="T305" s="70"/>
    </row>
    <row r="306" spans="1:20" x14ac:dyDescent="0.15">
      <c r="A306" s="321"/>
      <c r="B306" s="17" t="s">
        <v>4590</v>
      </c>
      <c r="C306" s="17" t="s">
        <v>4642</v>
      </c>
      <c r="D306" s="21"/>
      <c r="E306" s="2672" t="n">
        <f>IFERROR(INDEX('5층_부하량'!D3:D3000,MATCH(1,("5-DaHall 1-PDU-10"='5층_부하량'!A3:A3000)*(27='5층_부하량'!B3:B3000),0)),0)</f>
        <v>0.0</v>
      </c>
      <c r="F306" s="21"/>
      <c r="G306" s="21"/>
      <c r="H306" s="17" t="s">
        <v>5811</v>
      </c>
      <c r="I306" s="549" t="s">
        <v>4688</v>
      </c>
      <c r="J306" s="112"/>
      <c r="K306" s="81"/>
      <c r="L306" s="568" t="s">
        <v>4689</v>
      </c>
      <c r="M306" s="17" t="s">
        <v>5811</v>
      </c>
      <c r="N306" s="21"/>
      <c r="O306" s="2672" t="n">
        <f>IFERROR(INDEX('5층_부하량'!D3:D3000,MATCH(1,("5-DaHall 1-PDU-10"='5층_부하량'!A3:A3000)*(28='5층_부하량'!B3:B3000),0)),0)</f>
        <v>0.0</v>
      </c>
      <c r="P306" s="21"/>
      <c r="Q306" s="21"/>
      <c r="R306" s="69" t="s">
        <v>4590</v>
      </c>
      <c r="S306" s="17" t="s">
        <v>4642</v>
      </c>
      <c r="T306" s="70"/>
    </row>
    <row r="307" spans="1:20" x14ac:dyDescent="0.15">
      <c r="A307" s="321"/>
      <c r="B307" s="17" t="s">
        <v>4590</v>
      </c>
      <c r="C307" s="17" t="s">
        <v>4642</v>
      </c>
      <c r="D307" s="21"/>
      <c r="E307" s="21"/>
      <c r="F307" s="2672" t="n">
        <f>IFERROR(INDEX('5층_부하량'!E3:E3000,MATCH(1,("5-DaHall 1-PDU-10"='5층_부하량'!A3:A3000)*(29='5층_부하량'!B3:B3000),0)),0)</f>
        <v>0.0</v>
      </c>
      <c r="G307" s="21"/>
      <c r="H307" s="17" t="s">
        <v>5811</v>
      </c>
      <c r="I307" s="549" t="s">
        <v>4691</v>
      </c>
      <c r="J307" s="112"/>
      <c r="K307" s="81"/>
      <c r="L307" s="568" t="s">
        <v>4692</v>
      </c>
      <c r="M307" s="17" t="s">
        <v>5811</v>
      </c>
      <c r="N307" s="21"/>
      <c r="O307" s="21"/>
      <c r="P307" s="2672" t="n">
        <f>IFERROR(INDEX('5층_부하량'!E3:E3000,MATCH(1,("5-DaHall 1-PDU-10"='5층_부하량'!A3:A3000)*(30='5층_부하량'!B3:B3000),0)),0)</f>
        <v>0.0</v>
      </c>
      <c r="Q307" s="21"/>
      <c r="R307" s="69" t="s">
        <v>4590</v>
      </c>
      <c r="S307" s="17" t="s">
        <v>4642</v>
      </c>
      <c r="T307" s="70"/>
    </row>
    <row r="308" spans="1:20" x14ac:dyDescent="0.15">
      <c r="A308" s="321"/>
      <c r="B308" s="17" t="s">
        <v>4590</v>
      </c>
      <c r="C308" s="17" t="s">
        <v>4642</v>
      </c>
      <c r="D308" s="2672" t="n">
        <f>IFERROR(INDEX('5층_부하량'!C3:C3000,MATCH(1,("5-DaHall 1-PDU-10"='5층_부하량'!A3:A3000)*(31='5층_부하량'!B3:B3000),0)),0)</f>
        <v>0.0</v>
      </c>
      <c r="E308" s="21"/>
      <c r="F308" s="21"/>
      <c r="G308" s="21"/>
      <c r="H308" s="17" t="s">
        <v>5811</v>
      </c>
      <c r="I308" s="549" t="s">
        <v>4693</v>
      </c>
      <c r="J308" s="112"/>
      <c r="K308" s="81"/>
      <c r="L308" s="568" t="s">
        <v>4694</v>
      </c>
      <c r="M308" s="17" t="s">
        <v>5811</v>
      </c>
      <c r="N308" s="2672" t="n">
        <f>IFERROR(INDEX('5층_부하량'!C3:C3000,MATCH(1,("5-DaHall 1-PDU-10"='5층_부하량'!A3:A3000)*(32='5층_부하량'!B3:B3000),0)),0)</f>
        <v>0.0</v>
      </c>
      <c r="O308" s="21"/>
      <c r="P308" s="21"/>
      <c r="Q308" s="21"/>
      <c r="R308" s="69" t="s">
        <v>4590</v>
      </c>
      <c r="S308" s="17" t="s">
        <v>4642</v>
      </c>
      <c r="T308" s="70"/>
    </row>
    <row r="309" spans="1:20" x14ac:dyDescent="0.15">
      <c r="A309" s="321"/>
      <c r="B309" s="17" t="s">
        <v>4590</v>
      </c>
      <c r="C309" s="17" t="s">
        <v>4642</v>
      </c>
      <c r="D309" s="21"/>
      <c r="E309" s="2672" t="n">
        <f>IFERROR(INDEX('5층_부하량'!D3:D3000,MATCH(1,("5-DaHall 1-PDU-10"='5층_부하량'!A3:A3000)*(33='5층_부하량'!B3:B3000),0)),0)</f>
        <v>0.0</v>
      </c>
      <c r="F309" s="21"/>
      <c r="G309" s="21"/>
      <c r="H309" s="17" t="s">
        <v>5811</v>
      </c>
      <c r="I309" s="549" t="s">
        <v>4697</v>
      </c>
      <c r="J309" s="112"/>
      <c r="K309" s="81"/>
      <c r="L309" s="568" t="s">
        <v>4698</v>
      </c>
      <c r="M309" s="17" t="s">
        <v>5811</v>
      </c>
      <c r="N309" s="21"/>
      <c r="O309" s="2672" t="n">
        <f>IFERROR(INDEX('5층_부하량'!D3:D3000,MATCH(1,("5-DaHall 1-PDU-10"='5층_부하량'!A3:A3000)*(34='5층_부하량'!B3:B3000),0)),0)</f>
        <v>0.0</v>
      </c>
      <c r="P309" s="21"/>
      <c r="Q309" s="21"/>
      <c r="R309" s="69" t="s">
        <v>4590</v>
      </c>
      <c r="S309" s="17" t="s">
        <v>4642</v>
      </c>
      <c r="T309" s="70"/>
    </row>
    <row r="310" spans="1:20" x14ac:dyDescent="0.15">
      <c r="A310" s="321"/>
      <c r="B310" s="17" t="s">
        <v>4590</v>
      </c>
      <c r="C310" s="17" t="s">
        <v>4642</v>
      </c>
      <c r="D310" s="21"/>
      <c r="E310" s="21"/>
      <c r="F310" s="2672" t="n">
        <f>IFERROR(INDEX('5층_부하량'!E3:E3000,MATCH(1,("5-DaHall 1-PDU-10"='5층_부하량'!A3:A3000)*(35='5층_부하량'!B3:B3000),0)),0)</f>
        <v>0.0</v>
      </c>
      <c r="G310" s="21"/>
      <c r="H310" s="17" t="s">
        <v>5811</v>
      </c>
      <c r="I310" s="549" t="s">
        <v>4701</v>
      </c>
      <c r="J310" s="112"/>
      <c r="K310" s="81"/>
      <c r="L310" s="568" t="s">
        <v>4703</v>
      </c>
      <c r="M310" s="17" t="s">
        <v>5811</v>
      </c>
      <c r="N310" s="21"/>
      <c r="O310" s="21"/>
      <c r="P310" s="2672" t="n">
        <f>IFERROR(INDEX('5층_부하량'!E3:E3000,MATCH(1,("5-DaHall 1-PDU-10"='5층_부하량'!A3:A3000)*(36='5층_부하량'!B3:B3000),0)),0)</f>
        <v>0.0</v>
      </c>
      <c r="Q310" s="21"/>
      <c r="R310" s="69" t="s">
        <v>4590</v>
      </c>
      <c r="S310" s="17" t="s">
        <v>4642</v>
      </c>
      <c r="T310" s="70"/>
    </row>
    <row r="311" spans="1:20" ht="14.25" thickBot="1" x14ac:dyDescent="0.2">
      <c r="A311" s="119"/>
      <c r="B311" s="29" t="s">
        <v>4590</v>
      </c>
      <c r="C311" s="29" t="s">
        <v>4642</v>
      </c>
      <c r="D311" s="2674" t="n">
        <f>IFERROR(INDEX('5층_부하량'!C3:C3000,MATCH(1,("5-DaHall 1-PDU-10"='5층_부하량'!A3:A3000)*(37='5층_부하량'!B3:B3000),0)),0)</f>
        <v>0.0</v>
      </c>
      <c r="E311" s="30"/>
      <c r="F311" s="30"/>
      <c r="G311" s="30"/>
      <c r="H311" s="29" t="s">
        <v>5811</v>
      </c>
      <c r="I311" s="556" t="s">
        <v>4927</v>
      </c>
      <c r="J311" s="120"/>
      <c r="K311" s="121"/>
      <c r="L311" s="573" t="s">
        <v>4928</v>
      </c>
      <c r="M311" s="29" t="s">
        <v>5811</v>
      </c>
      <c r="N311" s="2674" t="n">
        <f>IFERROR(INDEX('5층_부하량'!C3:C3000,MATCH(1,("5-DaHall 1-PDU-10"='5층_부하량'!A3:A3000)*(38='5층_부하량'!B3:B3000),0)),0)</f>
        <v>0.0</v>
      </c>
      <c r="O311" s="30"/>
      <c r="P311" s="30"/>
      <c r="Q311" s="30"/>
      <c r="R311" s="110" t="s">
        <v>4590</v>
      </c>
      <c r="S311" s="29" t="s">
        <v>4642</v>
      </c>
      <c r="T311" s="111"/>
    </row>
    <row r="312" spans="1:20" ht="15" thickTop="1" thickBot="1" x14ac:dyDescent="0.2">
      <c r="M312" s="80" t="s">
        <v>5645</v>
      </c>
      <c r="N312" s="33" t="n">
        <f>SUM(D293:D311,N293:N311)</f>
        <v>0.0</v>
      </c>
      <c r="O312" s="33" t="n">
        <f>SUM(E293:E311,O293:O311)</f>
        <v>0.0</v>
      </c>
      <c r="P312" s="33" t="n">
        <f>SUM(F293:F311,P293:P311)</f>
        <v>0.0</v>
      </c>
    </row>
    <row r="313" spans="1:20" ht="20.25" thickTop="1" thickBot="1" x14ac:dyDescent="0.2">
      <c r="A313" s="2" t="s">
        <v>6955</v>
      </c>
      <c r="C313" s="3660" t="s">
        <v>5849</v>
      </c>
      <c r="D313" s="3660"/>
      <c r="E313" s="3660"/>
      <c r="F313" s="3660"/>
      <c r="G313" s="53"/>
      <c r="H313" s="124"/>
      <c r="I313" s="124"/>
      <c r="J313" s="3661" t="s">
        <v>5646</v>
      </c>
      <c r="K313" s="3667"/>
      <c r="L313" s="124"/>
      <c r="M313" s="124"/>
      <c r="N313" s="53"/>
      <c r="O313" s="53"/>
      <c r="P313" s="53"/>
      <c r="Q313" s="53"/>
      <c r="R313" s="53"/>
      <c r="S313" s="53"/>
    </row>
    <row r="314" spans="1:20" ht="15" customHeight="1" thickTop="1" thickBot="1" x14ac:dyDescent="0.2">
      <c r="A314" s="3"/>
      <c r="D314" s="54"/>
      <c r="E314" s="54"/>
      <c r="F314" s="54"/>
      <c r="G314" s="54"/>
      <c r="H314" s="4"/>
      <c r="I314" s="4"/>
      <c r="K314" s="56"/>
      <c r="L314" s="565"/>
      <c r="M314" s="1371" t="s">
        <v>4562</v>
      </c>
      <c r="N314" s="1368">
        <v>15.3</v>
      </c>
      <c r="O314" s="1369">
        <v>10.199999999999999</v>
      </c>
      <c r="P314" s="1370">
        <v>9.9</v>
      </c>
      <c r="Q314" s="508" t="s">
        <v>4563</v>
      </c>
      <c r="R314" s="133"/>
      <c r="S314" s="128"/>
      <c r="T314" s="528"/>
    </row>
    <row r="315" spans="1:20" ht="15" thickTop="1" thickBot="1" x14ac:dyDescent="0.2">
      <c r="A315" s="5" t="s">
        <v>4564</v>
      </c>
      <c r="B315" s="6" t="s">
        <v>4565</v>
      </c>
      <c r="C315" s="7" t="s">
        <v>4566</v>
      </c>
      <c r="D315" s="6" t="s">
        <v>4567</v>
      </c>
      <c r="E315" s="6" t="s">
        <v>4568</v>
      </c>
      <c r="F315" s="6" t="s">
        <v>4569</v>
      </c>
      <c r="G315" s="6" t="s">
        <v>4570</v>
      </c>
      <c r="H315" s="8" t="s">
        <v>4571</v>
      </c>
      <c r="I315" s="547"/>
      <c r="J315" s="58" t="s">
        <v>4572</v>
      </c>
      <c r="K315" s="59" t="s">
        <v>4572</v>
      </c>
      <c r="L315" s="566"/>
      <c r="M315" s="8" t="s">
        <v>4571</v>
      </c>
      <c r="N315" s="6" t="s">
        <v>4567</v>
      </c>
      <c r="O315" s="6" t="s">
        <v>4568</v>
      </c>
      <c r="P315" s="6" t="s">
        <v>4569</v>
      </c>
      <c r="Q315" s="6" t="s">
        <v>4570</v>
      </c>
      <c r="R315" s="6" t="s">
        <v>4565</v>
      </c>
      <c r="S315" s="7" t="s">
        <v>4566</v>
      </c>
      <c r="T315" s="60" t="s">
        <v>4564</v>
      </c>
    </row>
    <row r="316" spans="1:20" ht="14.25" thickTop="1" x14ac:dyDescent="0.15">
      <c r="A316" s="10"/>
      <c r="B316" s="11" t="s">
        <v>4590</v>
      </c>
      <c r="C316" s="13" t="s">
        <v>4642</v>
      </c>
      <c r="D316" s="2681" cm="1" t="n">
        <f t="array" ref="D316">INDEX('5층_부하량'!C3:C3000,MATCH(1,("5-DaHall 1-PDU-11"='5층_부하량'!A3:A3000)*(1='5층_부하량'!B3:B3000),0))</f>
        <v>0.0</v>
      </c>
      <c r="E316" s="2681" cm="1" t="n">
        <f t="array" ref="E316">INDEX('5층_부하량'!D3:D3000,MATCH(1,("5-DaHall 1-PDU-11"='5층_부하량'!A3:A3000)*(1='5층_부하량'!B3:B3000),0))</f>
        <v>0.0</v>
      </c>
      <c r="F316" s="2681" cm="1" t="n">
        <f t="array" ref="F316">INDEX('5층_부하량'!E3:E3000,MATCH(1,("5-DaHall 1-PDU-11"='5층_부하량'!A3:A3000)*(1='5층_부하량'!B3:B3000),0))</f>
        <v>0.0</v>
      </c>
      <c r="G316" s="15"/>
      <c r="H316" s="13" t="s">
        <v>5786</v>
      </c>
      <c r="I316" s="1177" t="s">
        <v>5787</v>
      </c>
      <c r="J316" s="61"/>
      <c r="K316" s="62"/>
      <c r="L316" s="567" t="s">
        <v>5788</v>
      </c>
      <c r="M316" s="11" t="s">
        <v>5786</v>
      </c>
      <c r="N316" s="2681" cm="1" t="n">
        <f t="array" ref="N316">INDEX('5층_부하량'!C3:C3000,MATCH(1,("5-DaHall 1-PDU-11"='5층_부하량'!A3:A3000)*(2='5층_부하량'!B3:B3000),0))</f>
        <v>0.0</v>
      </c>
      <c r="O316" s="2681" cm="1" t="n">
        <f t="array" ref="O316">INDEX('5층_부하량'!D3:D3000,MATCH(1,("5-DaHall 1-PDU-11"='5층_부하량'!A3:A3000)*(2='5층_부하량'!B3:B3000),0))</f>
        <v>0.0</v>
      </c>
      <c r="P316" s="2681" cm="1" t="n">
        <f t="array" ref="P316">INDEX('5층_부하량'!E3:E3000,MATCH(1,("5-DaHall 1-PDU-11"='5층_부하량'!A3:A3000)*(2='5층_부하량'!B3:B3000),0))</f>
        <v>0.0</v>
      </c>
      <c r="Q316" s="15"/>
      <c r="R316" s="63" t="s">
        <v>4590</v>
      </c>
      <c r="S316" s="11" t="s">
        <v>4642</v>
      </c>
      <c r="T316" s="98"/>
    </row>
    <row r="317" spans="1:20" ht="16.5" x14ac:dyDescent="0.15">
      <c r="A317" s="16" t="s">
        <v>5850</v>
      </c>
      <c r="B317" s="17" t="s">
        <v>4631</v>
      </c>
      <c r="C317" s="18" t="s">
        <v>4575</v>
      </c>
      <c r="D317" s="2682" cm="1" t="n">
        <f t="array" ref="D317">INDEX('5층_부하량'!C3:C3000,MATCH(1,("5-DaHall 1-PDU-11"='5층_부하량'!A3:A3000)*(3='5층_부하량'!B3:B3000),0))</f>
        <v>0.0</v>
      </c>
      <c r="E317" s="383"/>
      <c r="F317" s="383"/>
      <c r="G317" s="19"/>
      <c r="H317" s="17" t="s">
        <v>5790</v>
      </c>
      <c r="I317" s="549" t="s">
        <v>4638</v>
      </c>
      <c r="J317" s="1031" t="s">
        <v>5832</v>
      </c>
      <c r="K317" s="1024"/>
      <c r="L317" s="549" t="s">
        <v>4583</v>
      </c>
      <c r="M317" s="17" t="s">
        <v>5786</v>
      </c>
      <c r="N317" s="2682" cm="1" t="n">
        <f t="array" ref="N317">INDEX('5층_부하량'!C3:C3000,MATCH(1,("5-DaHall 1-PDU-11"='5층_부하량'!A3:A3000)*(4='5층_부하량'!B3:B3000),0))</f>
        <v>0.0</v>
      </c>
      <c r="O317" s="383"/>
      <c r="P317" s="383"/>
      <c r="Q317" s="19"/>
      <c r="R317" s="67" t="s">
        <v>4631</v>
      </c>
      <c r="S317" s="72" t="s">
        <v>4642</v>
      </c>
      <c r="T317" s="68" t="s">
        <v>5851</v>
      </c>
    </row>
    <row r="318" spans="1:20" ht="16.5" x14ac:dyDescent="0.15">
      <c r="A318" s="599" t="s">
        <v>5852</v>
      </c>
      <c r="B318" s="17" t="s">
        <v>4631</v>
      </c>
      <c r="C318" s="18" t="s">
        <v>4575</v>
      </c>
      <c r="D318" s="387"/>
      <c r="E318" s="2679" cm="1" t="n">
        <f t="array" ref="E318">INDEX('5층_부하량'!D3:D3000,MATCH(1,("5-DaHall 1-PDU-11"='5층_부하량'!A3:A3000)*(5='5층_부하량'!B3:B3000),0))</f>
        <v>0.0</v>
      </c>
      <c r="F318" s="387"/>
      <c r="G318" s="21"/>
      <c r="H318" s="17" t="s">
        <v>5786</v>
      </c>
      <c r="I318" s="1207" t="s">
        <v>4641</v>
      </c>
      <c r="J318" s="1031" t="s">
        <v>5832</v>
      </c>
      <c r="K318" s="1024" t="s">
        <v>5832</v>
      </c>
      <c r="L318" s="549" t="s">
        <v>4588</v>
      </c>
      <c r="M318" s="17" t="s">
        <v>5786</v>
      </c>
      <c r="N318" s="387"/>
      <c r="O318" s="2679" cm="1" t="n">
        <f t="array" ref="O318">INDEX('5층_부하량'!D3:D3000,MATCH(1,("5-DaHall 1-PDU-11"='5층_부하량'!A3:A3000)*(6='5층_부하량'!B3:B3000),0))</f>
        <v>0.0</v>
      </c>
      <c r="P318" s="387"/>
      <c r="Q318" s="21"/>
      <c r="R318" s="69" t="s">
        <v>4631</v>
      </c>
      <c r="S318" s="18" t="s">
        <v>4575</v>
      </c>
      <c r="T318" s="70" t="s">
        <v>5853</v>
      </c>
    </row>
    <row r="319" spans="1:20" ht="16.5" x14ac:dyDescent="0.15">
      <c r="A319" s="16" t="s">
        <v>5854</v>
      </c>
      <c r="B319" s="17" t="s">
        <v>4631</v>
      </c>
      <c r="C319" s="18" t="s">
        <v>4575</v>
      </c>
      <c r="D319" s="387"/>
      <c r="E319" s="387"/>
      <c r="F319" s="2679" cm="1" t="n">
        <f t="array" ref="F319">INDEX('5층_부하량'!E3:E3000,MATCH(1,("5-DaHall 1-PDU-11"='5층_부하량'!A3:A3000)*(7='5층_부하량'!B3:B3000),0))</f>
        <v>0.0</v>
      </c>
      <c r="G319" s="21"/>
      <c r="H319" s="17" t="s">
        <v>5786</v>
      </c>
      <c r="I319" s="549" t="s">
        <v>4645</v>
      </c>
      <c r="J319" s="1031" t="s">
        <v>5832</v>
      </c>
      <c r="K319" s="1024" t="s">
        <v>5832</v>
      </c>
      <c r="L319" s="549" t="s">
        <v>4593</v>
      </c>
      <c r="M319" s="17" t="s">
        <v>5801</v>
      </c>
      <c r="N319" s="387"/>
      <c r="O319" s="387"/>
      <c r="P319" s="2679" cm="1" t="n">
        <f t="array" ref="P319">INDEX('5층_부하량'!E3:E3000,MATCH(1,("5-DaHall 1-PDU-11"='5층_부하량'!A3:A3000)*(8='5층_부하량'!B3:B3000),0))</f>
        <v>0.0</v>
      </c>
      <c r="Q319" s="21"/>
      <c r="R319" s="69" t="s">
        <v>4631</v>
      </c>
      <c r="S319" s="18" t="s">
        <v>4575</v>
      </c>
      <c r="T319" s="68" t="s">
        <v>2998</v>
      </c>
    </row>
    <row r="320" spans="1:20" ht="16.5" x14ac:dyDescent="0.15">
      <c r="A320" s="599" t="s">
        <v>5855</v>
      </c>
      <c r="B320" s="17" t="s">
        <v>4631</v>
      </c>
      <c r="C320" s="18" t="s">
        <v>4575</v>
      </c>
      <c r="D320" s="2679" cm="1" t="n">
        <f t="array" ref="D320">INDEX('5층_부하량'!C3:C3000,MATCH(1,("5-DaHall 1-PDU-11"='5층_부하량'!A3:A3000)*(9='5층_부하량'!B3:B3000),0))</f>
        <v>0.0</v>
      </c>
      <c r="E320" s="387"/>
      <c r="F320" s="387"/>
      <c r="G320" s="21"/>
      <c r="H320" s="17" t="s">
        <v>5786</v>
      </c>
      <c r="I320" s="1207" t="s">
        <v>4648</v>
      </c>
      <c r="J320" s="1023" t="s">
        <v>5828</v>
      </c>
      <c r="K320" s="1024" t="s">
        <v>5832</v>
      </c>
      <c r="L320" s="549" t="s">
        <v>4596</v>
      </c>
      <c r="M320" s="17" t="s">
        <v>5801</v>
      </c>
      <c r="N320" s="2679" cm="1" t="n">
        <f t="array" ref="N320">INDEX('5층_부하량'!C3:C3000,MATCH(1,("5-DaHall 1-PDU-11"='5층_부하량'!A3:A3000)*(10='5층_부하량'!B3:B3000),0))</f>
        <v>0.0</v>
      </c>
      <c r="O320" s="387"/>
      <c r="P320" s="387"/>
      <c r="Q320" s="21"/>
      <c r="R320" s="69" t="s">
        <v>4631</v>
      </c>
      <c r="S320" s="18" t="s">
        <v>4575</v>
      </c>
      <c r="T320" s="70" t="s">
        <v>3005</v>
      </c>
    </row>
    <row r="321" spans="1:20" ht="17.25" thickBot="1" x14ac:dyDescent="0.2">
      <c r="A321" s="662" t="s">
        <v>5856</v>
      </c>
      <c r="B321" s="23" t="s">
        <v>4631</v>
      </c>
      <c r="C321" s="24" t="s">
        <v>4575</v>
      </c>
      <c r="D321" s="417"/>
      <c r="E321" s="2686" cm="1" t="n">
        <f t="array" ref="E321">INDEX('5층_부하량'!D3:D3000,MATCH(1,("5-DaHall 1-PDU-11"='5층_부하량'!A3:A3000)*(11='5층_부하량'!B3:B3000),0))</f>
        <v>0.0</v>
      </c>
      <c r="F321" s="417"/>
      <c r="G321" s="25"/>
      <c r="H321" s="23" t="s">
        <v>5786</v>
      </c>
      <c r="I321" s="1209" t="s">
        <v>4653</v>
      </c>
      <c r="J321" s="1023" t="s">
        <v>5828</v>
      </c>
      <c r="K321" s="1032" t="s">
        <v>5832</v>
      </c>
      <c r="L321" s="555" t="s">
        <v>4599</v>
      </c>
      <c r="M321" s="23" t="s">
        <v>5801</v>
      </c>
      <c r="N321" s="417"/>
      <c r="O321" s="2686" cm="1" t="n">
        <f t="array" ref="O321">INDEX('5층_부하량'!D3:D3000,MATCH(1,("5-DaHall 1-PDU-11"='5층_부하량'!A3:A3000)*(12='5층_부하량'!B3:B3000),0))</f>
        <v>0.0</v>
      </c>
      <c r="P321" s="417"/>
      <c r="Q321" s="25"/>
      <c r="R321" s="108" t="s">
        <v>4631</v>
      </c>
      <c r="S321" s="24" t="s">
        <v>4575</v>
      </c>
      <c r="T321" s="104" t="s">
        <v>3010</v>
      </c>
    </row>
    <row r="322" spans="1:20" ht="17.25" thickTop="1" x14ac:dyDescent="0.15">
      <c r="A322" s="10" t="s">
        <v>5857</v>
      </c>
      <c r="B322" s="11" t="s">
        <v>4631</v>
      </c>
      <c r="C322" s="97" t="s">
        <v>4575</v>
      </c>
      <c r="D322" s="401"/>
      <c r="E322" s="401"/>
      <c r="F322" s="2678" cm="1" t="n">
        <f t="array" ref="F322">INDEX('5층_부하량'!E3:E3000,MATCH(1,("5-DaHall 1-PDU-11"='5층_부하량'!A3:A3000)*(13='5층_부하량'!B3:B3000),0))</f>
        <v>0.0</v>
      </c>
      <c r="G322" s="105"/>
      <c r="H322" s="11" t="s">
        <v>5786</v>
      </c>
      <c r="I322" s="1210" t="s">
        <v>4657</v>
      </c>
      <c r="J322" s="1026" t="s">
        <v>5832</v>
      </c>
      <c r="K322" s="1030" t="s">
        <v>5832</v>
      </c>
      <c r="L322" s="548" t="s">
        <v>4601</v>
      </c>
      <c r="M322" s="11" t="s">
        <v>5801</v>
      </c>
      <c r="N322" s="401"/>
      <c r="O322" s="401"/>
      <c r="P322" s="2678" cm="1" t="n">
        <f t="array" ref="P322">INDEX('5층_부하량'!E3:E3000,MATCH(1,("5-DaHall 1-PDU-11"='5층_부하량'!A3:A3000)*(14='5층_부하량'!B3:B3000),0))</f>
        <v>0.0</v>
      </c>
      <c r="Q322" s="105"/>
      <c r="R322" s="106" t="s">
        <v>4631</v>
      </c>
      <c r="S322" s="97" t="s">
        <v>4575</v>
      </c>
      <c r="T322" s="101" t="s">
        <v>3015</v>
      </c>
    </row>
    <row r="323" spans="1:20" ht="16.5" x14ac:dyDescent="0.15">
      <c r="A323" s="99" t="s">
        <v>5858</v>
      </c>
      <c r="B323" s="72" t="s">
        <v>4631</v>
      </c>
      <c r="C323" s="73" t="s">
        <v>4575</v>
      </c>
      <c r="D323" s="2687" cm="1" t="n">
        <f t="array" ref="D323">INDEX('5층_부하량'!C3:C3000,MATCH(1,("5-DaHall 1-PDU-11"='5층_부하량'!A3:A3000)*(15='5층_부하량'!B3:B3000),0))</f>
        <v>0.0</v>
      </c>
      <c r="E323" s="426"/>
      <c r="F323" s="426"/>
      <c r="G323" s="74"/>
      <c r="H323" s="72" t="s">
        <v>5801</v>
      </c>
      <c r="I323" s="1215" t="s">
        <v>4661</v>
      </c>
      <c r="J323" s="1033" t="s">
        <v>5832</v>
      </c>
      <c r="K323" s="1034" t="s">
        <v>5832</v>
      </c>
      <c r="L323" s="550" t="s">
        <v>4603</v>
      </c>
      <c r="M323" s="72" t="s">
        <v>5801</v>
      </c>
      <c r="N323" s="2687" cm="1" t="n">
        <f t="array" ref="N323">INDEX('5층_부하량'!C3:C3000,MATCH(1,("5-DaHall 1-PDU-11"='5층_부하량'!A3:A3000)*(16='5층_부하량'!B3:B3000),0))</f>
        <v>0.0</v>
      </c>
      <c r="O323" s="426"/>
      <c r="P323" s="426"/>
      <c r="Q323" s="74"/>
      <c r="R323" s="75" t="s">
        <v>4631</v>
      </c>
      <c r="S323" s="73" t="s">
        <v>4575</v>
      </c>
      <c r="T323" s="68" t="s">
        <v>3020</v>
      </c>
    </row>
    <row r="324" spans="1:20" ht="16.5" x14ac:dyDescent="0.15">
      <c r="A324" s="321" t="s">
        <v>5859</v>
      </c>
      <c r="B324" s="17" t="s">
        <v>4631</v>
      </c>
      <c r="C324" s="18" t="s">
        <v>4575</v>
      </c>
      <c r="D324" s="387"/>
      <c r="E324" s="2679" cm="1" t="n">
        <f t="array" ref="E324">INDEX('5층_부하량'!D3:D3000,MATCH(1,("5-DaHall 1-PDU-11"='5층_부하량'!A3:A3000)*(17='5층_부하량'!B3:B3000),0))</f>
        <v>0.0</v>
      </c>
      <c r="F324" s="387"/>
      <c r="G324" s="21"/>
      <c r="H324" s="17" t="s">
        <v>5801</v>
      </c>
      <c r="I324" s="1215" t="s">
        <v>4665</v>
      </c>
      <c r="J324" s="1033" t="s">
        <v>5832</v>
      </c>
      <c r="K324" s="1024" t="s">
        <v>5832</v>
      </c>
      <c r="L324" s="549" t="s">
        <v>4605</v>
      </c>
      <c r="M324" s="17" t="s">
        <v>5801</v>
      </c>
      <c r="N324" s="387"/>
      <c r="O324" s="2679" cm="1" t="n">
        <f t="array" ref="O324">INDEX('5층_부하량'!D3:D3000,MATCH(1,("5-DaHall 1-PDU-11"='5층_부하량'!A3:A3000)*(18='5층_부하량'!B3:B3000),0))</f>
        <v>0.0</v>
      </c>
      <c r="P324" s="387"/>
      <c r="Q324" s="21"/>
      <c r="R324" s="69" t="s">
        <v>4631</v>
      </c>
      <c r="S324" s="18" t="s">
        <v>4575</v>
      </c>
      <c r="T324" s="70" t="s">
        <v>3026</v>
      </c>
    </row>
    <row r="325" spans="1:20" ht="16.5" x14ac:dyDescent="0.15">
      <c r="A325" s="99" t="s">
        <v>5860</v>
      </c>
      <c r="B325" s="17" t="s">
        <v>4631</v>
      </c>
      <c r="C325" s="17" t="s">
        <v>4584</v>
      </c>
      <c r="D325" s="387"/>
      <c r="E325" s="387"/>
      <c r="F325" s="2679" cm="1" t="n">
        <f t="array" ref="F325">INDEX('5층_부하량'!E3:E3000,MATCH(1,("5-DaHall 1-PDU-11"='5층_부하량'!A3:A3000)*(19='5층_부하량'!B3:B3000),0))</f>
        <v>0.0</v>
      </c>
      <c r="G325" s="21"/>
      <c r="H325" s="17" t="s">
        <v>5811</v>
      </c>
      <c r="I325" s="1215" t="s">
        <v>4670</v>
      </c>
      <c r="J325" s="1033" t="s">
        <v>5832</v>
      </c>
      <c r="K325" s="1024" t="s">
        <v>5832</v>
      </c>
      <c r="L325" s="549" t="s">
        <v>4609</v>
      </c>
      <c r="M325" s="17" t="s">
        <v>5811</v>
      </c>
      <c r="N325" s="387"/>
      <c r="O325" s="387"/>
      <c r="P325" s="2679" cm="1" t="n">
        <f t="array" ref="P325">INDEX('5층_부하량'!E3:E3000,MATCH(1,("5-DaHall 1-PDU-11"='5층_부하량'!A3:A3000)*(20='5층_부하량'!B3:B3000),0))</f>
        <v>0.0</v>
      </c>
      <c r="Q325" s="21"/>
      <c r="R325" s="69" t="s">
        <v>4631</v>
      </c>
      <c r="S325" s="18" t="s">
        <v>4575</v>
      </c>
      <c r="T325" s="70" t="s">
        <v>3031</v>
      </c>
    </row>
    <row r="326" spans="1:20" ht="16.5" x14ac:dyDescent="0.15">
      <c r="A326" s="321" t="s">
        <v>5861</v>
      </c>
      <c r="B326" s="17" t="s">
        <v>4631</v>
      </c>
      <c r="C326" s="18" t="s">
        <v>4575</v>
      </c>
      <c r="D326" s="2679" cm="1" t="n">
        <f t="array" ref="D326">INDEX('5층_부하량'!C3:C3000,MATCH(1,("5-DaHall 1-PDU-11"='5층_부하량'!A3:A3000)*(21='5층_부하량'!B3:B3000),0))</f>
        <v>0.0</v>
      </c>
      <c r="E326" s="387"/>
      <c r="F326" s="387"/>
      <c r="G326" s="21"/>
      <c r="H326" s="17" t="s">
        <v>5811</v>
      </c>
      <c r="I326" s="1215" t="s">
        <v>4674</v>
      </c>
      <c r="J326" s="1033" t="s">
        <v>5862</v>
      </c>
      <c r="K326" s="1028"/>
      <c r="L326" s="568" t="s">
        <v>4613</v>
      </c>
      <c r="M326" s="17" t="s">
        <v>5811</v>
      </c>
      <c r="N326" s="2679" cm="1" t="n">
        <f t="array" ref="N326">INDEX('5층_부하량'!C3:C3000,MATCH(1,("5-DaHall 1-PDU-11"='5층_부하량'!A3:A3000)*(22='5층_부하량'!B3:B3000),0))</f>
        <v>0.0</v>
      </c>
      <c r="O326" s="387"/>
      <c r="P326" s="387"/>
      <c r="Q326" s="74"/>
      <c r="R326" s="75" t="s">
        <v>4579</v>
      </c>
      <c r="S326" s="73" t="s">
        <v>4575</v>
      </c>
      <c r="T326" s="82" t="s">
        <v>5863</v>
      </c>
    </row>
    <row r="327" spans="1:20" ht="16.5" x14ac:dyDescent="0.15">
      <c r="A327" s="99" t="s">
        <v>5864</v>
      </c>
      <c r="B327" s="17" t="s">
        <v>4631</v>
      </c>
      <c r="C327" s="18" t="s">
        <v>4575</v>
      </c>
      <c r="D327" s="387"/>
      <c r="E327" s="2679" cm="1" t="n">
        <f t="array" ref="E327">INDEX('5층_부하량'!D3:D3000,MATCH(1,("5-DaHall 1-PDU-11"='5층_부하량'!A3:A3000)*(23='5층_부하량'!B3:B3000),0))</f>
        <v>0.0</v>
      </c>
      <c r="F327" s="387"/>
      <c r="G327" s="21"/>
      <c r="H327" s="17" t="s">
        <v>5811</v>
      </c>
      <c r="I327" s="1215" t="s">
        <v>4678</v>
      </c>
      <c r="J327" s="1033" t="s">
        <v>5865</v>
      </c>
      <c r="K327" s="1035" t="s">
        <v>2824</v>
      </c>
      <c r="L327" s="568" t="s">
        <v>4680</v>
      </c>
      <c r="M327" s="17" t="s">
        <v>5811</v>
      </c>
      <c r="N327" s="387"/>
      <c r="O327" s="2679" cm="1" t="n">
        <f t="array" ref="O327">INDEX('5층_부하량'!D3:D3000,MATCH(1,("5-DaHall 1-PDU-11"='5층_부하량'!A3:A3000)*(24='5층_부하량'!B3:B3000),0))</f>
        <v>0.0</v>
      </c>
      <c r="P327" s="387"/>
      <c r="Q327" s="21"/>
      <c r="R327" s="69" t="s">
        <v>4579</v>
      </c>
      <c r="S327" s="18" t="s">
        <v>4575</v>
      </c>
      <c r="T327" s="663" t="s">
        <v>5866</v>
      </c>
    </row>
    <row r="328" spans="1:20" ht="16.5" x14ac:dyDescent="0.15">
      <c r="A328" s="321" t="s">
        <v>5867</v>
      </c>
      <c r="B328" s="17" t="s">
        <v>4631</v>
      </c>
      <c r="C328" s="18" t="s">
        <v>4575</v>
      </c>
      <c r="D328" s="387"/>
      <c r="E328" s="387"/>
      <c r="F328" s="2679" cm="1" t="n">
        <f t="array" ref="F328">INDEX('5층_부하량'!E3:E3000,MATCH(1,("5-DaHall 1-PDU-11"='5층_부하량'!A3:A3000)*(25='5층_부하량'!B3:B3000),0))</f>
        <v>0.0</v>
      </c>
      <c r="G328" s="21"/>
      <c r="H328" s="17" t="s">
        <v>5811</v>
      </c>
      <c r="I328" s="1215" t="s">
        <v>4683</v>
      </c>
      <c r="J328" s="1033" t="s">
        <v>5868</v>
      </c>
      <c r="K328" s="1035" t="s">
        <v>2824</v>
      </c>
      <c r="L328" s="1208" t="s">
        <v>4685</v>
      </c>
      <c r="M328" s="17" t="s">
        <v>5811</v>
      </c>
      <c r="N328" s="387"/>
      <c r="O328" s="387"/>
      <c r="P328" s="2679" cm="1" t="n">
        <f t="array" ref="P328">INDEX('5층_부하량'!E3:E3000,MATCH(1,("5-DaHall 1-PDU-11"='5층_부하량'!A3:A3000)*(26='5층_부하량'!B3:B3000),0))</f>
        <v>3.03</v>
      </c>
      <c r="Q328" s="21"/>
      <c r="R328" s="69" t="s">
        <v>4631</v>
      </c>
      <c r="S328" s="18" t="s">
        <v>4575</v>
      </c>
      <c r="T328" s="664" t="s">
        <v>5869</v>
      </c>
    </row>
    <row r="329" spans="1:20" ht="16.5" x14ac:dyDescent="0.15">
      <c r="A329" s="99" t="s">
        <v>5870</v>
      </c>
      <c r="B329" s="17" t="s">
        <v>4631</v>
      </c>
      <c r="C329" s="18" t="s">
        <v>4575</v>
      </c>
      <c r="D329" s="2679" cm="1" t="n">
        <f t="array" ref="D329">INDEX('5층_부하량'!C3:C3000,MATCH(1,("5-DaHall 1-PDU-11"='5층_부하량'!A3:A3000)*(27='5층_부하량'!B3:B3000),0))</f>
        <v>0.0</v>
      </c>
      <c r="E329" s="387"/>
      <c r="F329" s="387"/>
      <c r="G329" s="21"/>
      <c r="H329" s="17" t="s">
        <v>5811</v>
      </c>
      <c r="I329" s="1215" t="s">
        <v>4688</v>
      </c>
      <c r="J329" s="1033" t="s">
        <v>5871</v>
      </c>
      <c r="K329" s="1028"/>
      <c r="L329" s="1208" t="s">
        <v>4689</v>
      </c>
      <c r="M329" s="17" t="s">
        <v>5811</v>
      </c>
      <c r="N329" s="2679" cm="1" t="n">
        <f t="array" ref="N329">INDEX('5층_부하량'!C3:C3000,MATCH(1,("5-DaHall 1-PDU-11"='5층_부하량'!A3:A3000)*(28='5층_부하량'!B3:B3000),0))</f>
        <v>0.0</v>
      </c>
      <c r="O329" s="387"/>
      <c r="P329" s="387"/>
      <c r="Q329" s="21"/>
      <c r="R329" s="69" t="s">
        <v>4631</v>
      </c>
      <c r="S329" s="18" t="s">
        <v>4575</v>
      </c>
      <c r="T329" s="70" t="s">
        <v>5872</v>
      </c>
    </row>
    <row r="330" spans="1:20" ht="16.5" x14ac:dyDescent="0.15">
      <c r="A330" s="321" t="s">
        <v>5873</v>
      </c>
      <c r="B330" s="17" t="s">
        <v>4631</v>
      </c>
      <c r="C330" s="18" t="s">
        <v>4575</v>
      </c>
      <c r="D330" s="387"/>
      <c r="E330" s="2679" cm="1" t="n">
        <f t="array" ref="E330">INDEX('5층_부하량'!D3:D3000,MATCH(1,("5-DaHall 1-PDU-11"='5층_부하량'!A3:A3000)*(29='5층_부하량'!B3:B3000),0))</f>
        <v>0.0</v>
      </c>
      <c r="F330" s="387"/>
      <c r="G330" s="21"/>
      <c r="H330" s="17" t="s">
        <v>5811</v>
      </c>
      <c r="I330" s="1215" t="s">
        <v>4691</v>
      </c>
      <c r="J330" s="1033" t="s">
        <v>5874</v>
      </c>
      <c r="K330" s="1028"/>
      <c r="L330" s="568" t="s">
        <v>4692</v>
      </c>
      <c r="M330" s="17" t="s">
        <v>5811</v>
      </c>
      <c r="N330" s="387"/>
      <c r="O330" s="2679" cm="1" t="n">
        <f t="array" ref="O330">INDEX('5층_부하량'!D3:D3000,MATCH(1,("5-DaHall 1-PDU-11"='5층_부하량'!A3:A3000)*(30='5층_부하량'!B3:B3000),0))</f>
        <v>0.0</v>
      </c>
      <c r="P330" s="387"/>
      <c r="Q330" s="21"/>
      <c r="R330" s="69" t="s">
        <v>4631</v>
      </c>
      <c r="S330" s="18" t="s">
        <v>4575</v>
      </c>
      <c r="T330" s="70" t="s">
        <v>5875</v>
      </c>
    </row>
    <row r="331" spans="1:20" ht="17.25" thickBot="1" x14ac:dyDescent="0.2">
      <c r="A331" s="38" t="s">
        <v>5876</v>
      </c>
      <c r="B331" s="35" t="s">
        <v>4631</v>
      </c>
      <c r="C331" s="35" t="s">
        <v>4642</v>
      </c>
      <c r="D331" s="433"/>
      <c r="E331" s="433"/>
      <c r="F331" s="2680" cm="1" t="n">
        <f t="array" ref="F331">INDEX('5층_부하량'!E3:E3000,MATCH(1,("5-DaHall 1-PDU-11"='5층_부하량'!A3:A3000)*(31='5층_부하량'!B3:B3000),0))</f>
        <v>0.0</v>
      </c>
      <c r="G331" s="36"/>
      <c r="H331" s="35" t="s">
        <v>5811</v>
      </c>
      <c r="I331" s="551" t="s">
        <v>4693</v>
      </c>
      <c r="J331" s="1036"/>
      <c r="K331" s="1037" t="s">
        <v>5832</v>
      </c>
      <c r="L331" s="551" t="s">
        <v>4694</v>
      </c>
      <c r="M331" s="35" t="s">
        <v>5811</v>
      </c>
      <c r="N331" s="433"/>
      <c r="O331" s="433"/>
      <c r="P331" s="2680" cm="1" t="n">
        <f t="array" ref="P331">INDEX('5층_부하량'!E3:E3000,MATCH(1,("5-DaHall 1-PDU-11"='5층_부하량'!A3:A3000)*(32='5층_부하량'!B3:B3000),0))</f>
        <v>0.0</v>
      </c>
      <c r="Q331" s="36"/>
      <c r="R331" s="78" t="s">
        <v>4631</v>
      </c>
      <c r="S331" s="39" t="s">
        <v>4575</v>
      </c>
      <c r="T331" s="79"/>
    </row>
    <row r="332" spans="1:20" ht="15" thickTop="1" thickBot="1" x14ac:dyDescent="0.2">
      <c r="M332" s="80" t="s">
        <v>5645</v>
      </c>
      <c r="N332" s="33" t="n">
        <f>SUM(D316:D331,N316:N331)</f>
        <v>0.0</v>
      </c>
      <c r="O332" s="33" t="n">
        <f>SUM(E316:E331,O316:O331)</f>
        <v>0.0</v>
      </c>
      <c r="P332" s="33" t="n">
        <f>SUM(F316:F331,P316:P331)</f>
        <v>3.03</v>
      </c>
    </row>
    <row r="333" spans="1:20" ht="20.25" thickTop="1" thickBot="1" x14ac:dyDescent="0.2">
      <c r="A333" s="2" t="s">
        <v>6956</v>
      </c>
      <c r="C333" s="3660" t="s">
        <v>5877</v>
      </c>
      <c r="D333" s="3660"/>
      <c r="E333" s="3660"/>
      <c r="F333" s="3660"/>
      <c r="G333" s="53"/>
      <c r="H333" s="124"/>
      <c r="I333" s="124"/>
      <c r="J333" s="3661" t="s">
        <v>5646</v>
      </c>
      <c r="K333" s="3667"/>
      <c r="L333" s="124"/>
      <c r="M333" s="124"/>
      <c r="N333" s="53"/>
      <c r="O333" s="53"/>
      <c r="P333" s="53"/>
      <c r="Q333" s="53"/>
      <c r="R333" s="53"/>
      <c r="S333" s="53"/>
    </row>
    <row r="334" spans="1:20" ht="15" customHeight="1" thickTop="1" thickBot="1" x14ac:dyDescent="0.2">
      <c r="A334" s="3"/>
      <c r="D334" s="54"/>
      <c r="E334" s="54"/>
      <c r="F334" s="54"/>
      <c r="G334" s="54"/>
      <c r="H334" s="4"/>
      <c r="I334" s="4"/>
      <c r="K334" s="56"/>
      <c r="L334" s="565"/>
      <c r="M334" s="1371" t="s">
        <v>4562</v>
      </c>
      <c r="N334" s="1368">
        <v>12</v>
      </c>
      <c r="O334" s="1369">
        <v>18.7</v>
      </c>
      <c r="P334" s="1370">
        <v>14.6</v>
      </c>
      <c r="Q334" s="508" t="s">
        <v>4563</v>
      </c>
      <c r="R334" s="133"/>
      <c r="S334" s="128"/>
      <c r="T334" s="528"/>
    </row>
    <row r="335" spans="1:20" ht="15" thickTop="1" thickBot="1" x14ac:dyDescent="0.2">
      <c r="A335" s="5" t="s">
        <v>4564</v>
      </c>
      <c r="B335" s="6" t="s">
        <v>4565</v>
      </c>
      <c r="C335" s="7" t="s">
        <v>4566</v>
      </c>
      <c r="D335" s="6" t="s">
        <v>4567</v>
      </c>
      <c r="E335" s="6" t="s">
        <v>4568</v>
      </c>
      <c r="F335" s="6" t="s">
        <v>4569</v>
      </c>
      <c r="G335" s="6" t="s">
        <v>4570</v>
      </c>
      <c r="H335" s="8" t="s">
        <v>4571</v>
      </c>
      <c r="I335" s="547"/>
      <c r="J335" s="58" t="s">
        <v>4572</v>
      </c>
      <c r="K335" s="59" t="s">
        <v>4572</v>
      </c>
      <c r="L335" s="566"/>
      <c r="M335" s="8" t="s">
        <v>4571</v>
      </c>
      <c r="N335" s="6" t="s">
        <v>4567</v>
      </c>
      <c r="O335" s="6" t="s">
        <v>4568</v>
      </c>
      <c r="P335" s="6" t="s">
        <v>4569</v>
      </c>
      <c r="Q335" s="6" t="s">
        <v>4570</v>
      </c>
      <c r="R335" s="6" t="s">
        <v>4565</v>
      </c>
      <c r="S335" s="7" t="s">
        <v>4566</v>
      </c>
      <c r="T335" s="60" t="s">
        <v>4564</v>
      </c>
    </row>
    <row r="336" spans="1:20" ht="14.25" thickTop="1" x14ac:dyDescent="0.15">
      <c r="A336" s="10"/>
      <c r="B336" s="11" t="s">
        <v>4590</v>
      </c>
      <c r="C336" s="13" t="s">
        <v>4642</v>
      </c>
      <c r="D336" s="2681" cm="1" t="n">
        <f t="array" ref="D336">INDEX('5층_부하량'!C3:C3000,MATCH(1,("5-DaHall 1-PDU-13"='5층_부하량'!A3:A3000)*(1='5층_부하량'!B3:B3000),0))</f>
        <v>0.0</v>
      </c>
      <c r="E336" s="2681" cm="1" t="n">
        <f t="array" ref="E336">INDEX('5층_부하량'!D3:D3000,MATCH(1,("5-DaHall 1-PDU-13"='5층_부하량'!A3:A3000)*(1='5층_부하량'!B3:B3000),0))</f>
        <v>0.0</v>
      </c>
      <c r="F336" s="2681" cm="1" t="n">
        <f t="array" ref="F336">INDEX('5층_부하량'!E3:E3000,MATCH(1,("5-DaHall 1-PDU-13"='5층_부하량'!A3:A3000)*(1='5층_부하량'!B3:B3000),0))</f>
        <v>0.0</v>
      </c>
      <c r="G336" s="15"/>
      <c r="H336" s="13" t="s">
        <v>5786</v>
      </c>
      <c r="I336" s="1177" t="s">
        <v>5787</v>
      </c>
      <c r="J336" s="61"/>
      <c r="K336" s="62"/>
      <c r="L336" s="567" t="s">
        <v>5788</v>
      </c>
      <c r="M336" s="11" t="s">
        <v>5786</v>
      </c>
      <c r="N336" s="2681" cm="1" t="n">
        <f t="array" ref="N336">INDEX('5층_부하량'!C3:C3000,MATCH(1,("5-DaHall 1-PDU-13"='5층_부하량'!A3:A3000)*(2='5층_부하량'!B3:B3000),0))</f>
        <v>0.0</v>
      </c>
      <c r="O336" s="2681" cm="1" t="n">
        <f t="array" ref="O336">INDEX('5층_부하량'!D3:D3000,MATCH(1,("5-DaHall 1-PDU-13"='5층_부하량'!A3:A3000)*(2='5층_부하량'!B3:B3000),0))</f>
        <v>0.0</v>
      </c>
      <c r="P336" s="2681" cm="1" t="n">
        <f t="array" ref="P336">INDEX('5층_부하량'!E3:E3000,MATCH(1,("5-DaHall 1-PDU-13"='5층_부하량'!A3:A3000)*(2='5층_부하량'!B3:B3000),0))</f>
        <v>0.0</v>
      </c>
      <c r="Q336" s="15"/>
      <c r="R336" s="63" t="s">
        <v>4590</v>
      </c>
      <c r="S336" s="11" t="s">
        <v>4642</v>
      </c>
      <c r="T336" s="98"/>
    </row>
    <row r="337" spans="1:20" ht="16.5" x14ac:dyDescent="0.15">
      <c r="A337" s="16" t="s">
        <v>5878</v>
      </c>
      <c r="B337" s="17" t="s">
        <v>4631</v>
      </c>
      <c r="C337" s="18" t="s">
        <v>4575</v>
      </c>
      <c r="D337" s="2682" cm="1" t="n">
        <f t="array" ref="D337">INDEX('5층_부하량'!C3:C3000,MATCH(1,("5-DaHall 1-PDU-13"='5층_부하량'!A3:A3000)*(3='5층_부하량'!B3:B3000),0))</f>
        <v>3.91</v>
      </c>
      <c r="E337" s="383"/>
      <c r="F337" s="383"/>
      <c r="G337" s="19"/>
      <c r="H337" s="17" t="s">
        <v>5790</v>
      </c>
      <c r="I337" s="1207" t="s">
        <v>4638</v>
      </c>
      <c r="J337" s="1031" t="s">
        <v>5832</v>
      </c>
      <c r="K337" s="1024" t="s">
        <v>5832</v>
      </c>
      <c r="L337" s="549" t="s">
        <v>4583</v>
      </c>
      <c r="M337" s="17" t="s">
        <v>5786</v>
      </c>
      <c r="N337" s="2682" cm="1" t="n">
        <f t="array" ref="N337">INDEX('5층_부하량'!C3:C3000,MATCH(1,("5-DaHall 1-PDU-13"='5층_부하량'!A3:A3000)*(4='5층_부하량'!B3:B3000),0))</f>
        <v>0.0</v>
      </c>
      <c r="O337" s="383"/>
      <c r="P337" s="383"/>
      <c r="Q337" s="19"/>
      <c r="R337" s="67" t="s">
        <v>4631</v>
      </c>
      <c r="S337" s="18" t="s">
        <v>4575</v>
      </c>
      <c r="T337" s="68" t="s">
        <v>3097</v>
      </c>
    </row>
    <row r="338" spans="1:20" ht="16.5" x14ac:dyDescent="0.15">
      <c r="A338" s="599" t="s">
        <v>5879</v>
      </c>
      <c r="B338" s="17" t="s">
        <v>4631</v>
      </c>
      <c r="C338" s="18" t="s">
        <v>4575</v>
      </c>
      <c r="D338" s="387"/>
      <c r="E338" s="2679" cm="1" t="n">
        <f t="array" ref="E338">INDEX('5층_부하량'!D3:D3000,MATCH(1,("5-DaHall 1-PDU-13"='5층_부하량'!A3:A3000)*(5='5층_부하량'!B3:B3000),0))</f>
        <v>0.0</v>
      </c>
      <c r="F338" s="387"/>
      <c r="G338" s="21"/>
      <c r="H338" s="17" t="s">
        <v>5786</v>
      </c>
      <c r="I338" s="1207" t="s">
        <v>4641</v>
      </c>
      <c r="J338" s="1023" t="s">
        <v>5828</v>
      </c>
      <c r="K338" s="1024" t="s">
        <v>5832</v>
      </c>
      <c r="L338" s="549" t="s">
        <v>4588</v>
      </c>
      <c r="M338" s="17" t="s">
        <v>5786</v>
      </c>
      <c r="N338" s="387"/>
      <c r="O338" s="2679" cm="1" t="n">
        <f t="array" ref="O338">INDEX('5층_부하량'!D3:D3000,MATCH(1,("5-DaHall 1-PDU-13"='5층_부하량'!A3:A3000)*(6='5층_부하량'!B3:B3000),0))</f>
        <v>0.0</v>
      </c>
      <c r="P338" s="387"/>
      <c r="Q338" s="21"/>
      <c r="R338" s="69" t="s">
        <v>4631</v>
      </c>
      <c r="S338" s="18" t="s">
        <v>4575</v>
      </c>
      <c r="T338" s="70" t="s">
        <v>3104</v>
      </c>
    </row>
    <row r="339" spans="1:20" ht="16.5" x14ac:dyDescent="0.15">
      <c r="A339" s="16" t="s">
        <v>5880</v>
      </c>
      <c r="B339" s="17" t="s">
        <v>4631</v>
      </c>
      <c r="C339" s="18" t="s">
        <v>4575</v>
      </c>
      <c r="D339" s="387"/>
      <c r="E339" s="387"/>
      <c r="F339" s="2679" cm="1" t="n">
        <f t="array" ref="F339">INDEX('5층_부하량'!E3:E3000,MATCH(1,("5-DaHall 1-PDU-13"='5층_부하량'!A3:A3000)*(7='5층_부하량'!B3:B3000),0))</f>
        <v>0.0</v>
      </c>
      <c r="G339" s="21"/>
      <c r="H339" s="17" t="s">
        <v>5786</v>
      </c>
      <c r="I339" s="549" t="s">
        <v>4645</v>
      </c>
      <c r="J339" s="1031" t="s">
        <v>5832</v>
      </c>
      <c r="K339" s="1024" t="s">
        <v>5832</v>
      </c>
      <c r="L339" s="549" t="s">
        <v>4593</v>
      </c>
      <c r="M339" s="17" t="s">
        <v>5795</v>
      </c>
      <c r="N339" s="387"/>
      <c r="O339" s="387"/>
      <c r="P339" s="2679" cm="1" t="n">
        <f t="array" ref="P339">INDEX('5층_부하량'!E3:E3000,MATCH(1,("5-DaHall 1-PDU-13"='5층_부하량'!A3:A3000)*(8='5층_부하량'!B3:B3000),0))</f>
        <v>0.0</v>
      </c>
      <c r="Q339" s="21"/>
      <c r="R339" s="69" t="s">
        <v>4631</v>
      </c>
      <c r="S339" s="18" t="s">
        <v>4575</v>
      </c>
      <c r="T339" s="68" t="s">
        <v>3110</v>
      </c>
    </row>
    <row r="340" spans="1:20" ht="16.5" x14ac:dyDescent="0.15">
      <c r="A340" s="321" t="s">
        <v>5881</v>
      </c>
      <c r="B340" s="17" t="s">
        <v>4631</v>
      </c>
      <c r="C340" s="18" t="s">
        <v>4575</v>
      </c>
      <c r="D340" s="2679" cm="1" t="n">
        <f t="array" ref="D340">INDEX('5층_부하량'!C3:C3000,MATCH(1,("5-DaHall 1-PDU-13"='5층_부하량'!A3:A3000)*(9='5층_부하량'!B3:B3000),0))</f>
        <v>0.0</v>
      </c>
      <c r="E340" s="387"/>
      <c r="F340" s="387"/>
      <c r="G340" s="21"/>
      <c r="H340" s="17" t="s">
        <v>5786</v>
      </c>
      <c r="I340" s="549" t="s">
        <v>4648</v>
      </c>
      <c r="J340" s="1031" t="s">
        <v>5832</v>
      </c>
      <c r="K340" s="1024" t="s">
        <v>5832</v>
      </c>
      <c r="L340" s="549" t="s">
        <v>4596</v>
      </c>
      <c r="M340" s="17" t="s">
        <v>5795</v>
      </c>
      <c r="N340" s="2679" cm="1" t="n">
        <f t="array" ref="N340">INDEX('5층_부하량'!C3:C3000,MATCH(1,("5-DaHall 1-PDU-13"='5층_부하량'!A3:A3000)*(10='5층_부하량'!B3:B3000),0))</f>
        <v>0.0</v>
      </c>
      <c r="O340" s="387"/>
      <c r="P340" s="387"/>
      <c r="Q340" s="21"/>
      <c r="R340" s="69" t="s">
        <v>4631</v>
      </c>
      <c r="S340" s="18" t="s">
        <v>4575</v>
      </c>
      <c r="T340" s="70" t="s">
        <v>3117</v>
      </c>
    </row>
    <row r="341" spans="1:20" ht="17.25" thickBot="1" x14ac:dyDescent="0.2">
      <c r="A341" s="16" t="s">
        <v>5882</v>
      </c>
      <c r="B341" s="23" t="s">
        <v>4631</v>
      </c>
      <c r="C341" s="24" t="s">
        <v>4575</v>
      </c>
      <c r="D341" s="417"/>
      <c r="E341" s="2686" cm="1" t="n">
        <f t="array" ref="E341">INDEX('5층_부하량'!D3:D3000,MATCH(1,("5-DaHall 1-PDU-13"='5층_부하량'!A3:A3000)*(11='5층_부하량'!B3:B3000),0))</f>
        <v>0.0</v>
      </c>
      <c r="F341" s="417"/>
      <c r="G341" s="25"/>
      <c r="H341" s="23" t="s">
        <v>5883</v>
      </c>
      <c r="I341" s="555" t="s">
        <v>4653</v>
      </c>
      <c r="J341" s="1038" t="s">
        <v>5832</v>
      </c>
      <c r="K341" s="1032" t="s">
        <v>5832</v>
      </c>
      <c r="L341" s="555" t="s">
        <v>4599</v>
      </c>
      <c r="M341" s="23" t="s">
        <v>5801</v>
      </c>
      <c r="N341" s="417"/>
      <c r="O341" s="2686" cm="1" t="n">
        <f t="array" ref="O341">INDEX('5층_부하량'!D3:D3000,MATCH(1,("5-DaHall 1-PDU-13"='5층_부하량'!A3:A3000)*(12='5층_부하량'!B3:B3000),0))</f>
        <v>0.0</v>
      </c>
      <c r="P341" s="417"/>
      <c r="Q341" s="25"/>
      <c r="R341" s="108" t="s">
        <v>4631</v>
      </c>
      <c r="S341" s="24" t="s">
        <v>4575</v>
      </c>
      <c r="T341" s="104" t="s">
        <v>2542</v>
      </c>
    </row>
    <row r="342" spans="1:20" ht="17.25" thickTop="1" x14ac:dyDescent="0.15">
      <c r="A342" s="10" t="s">
        <v>3043</v>
      </c>
      <c r="B342" s="11" t="s">
        <v>4631</v>
      </c>
      <c r="C342" s="97" t="s">
        <v>4575</v>
      </c>
      <c r="D342" s="401"/>
      <c r="E342" s="401"/>
      <c r="F342" s="2678" cm="1" t="n">
        <f t="array" ref="F342">INDEX('5층_부하량'!E3:E3000,MATCH(1,("5-DaHall 1-PDU-13"='5층_부하량'!A3:A3000)*(13='5층_부하량'!B3:B3000),0))</f>
        <v>0.7</v>
      </c>
      <c r="G342" s="105"/>
      <c r="H342" s="11" t="s">
        <v>5811</v>
      </c>
      <c r="I342" s="548" t="s">
        <v>4657</v>
      </c>
      <c r="J342" s="1026" t="s">
        <v>5832</v>
      </c>
      <c r="K342" s="1030" t="s">
        <v>5832</v>
      </c>
      <c r="L342" s="548" t="s">
        <v>4601</v>
      </c>
      <c r="M342" s="11" t="s">
        <v>5801</v>
      </c>
      <c r="N342" s="401"/>
      <c r="O342" s="401"/>
      <c r="P342" s="2678" cm="1" t="n">
        <f t="array" ref="P342">INDEX('5층_부하량'!E3:E3000,MATCH(1,("5-DaHall 1-PDU-13"='5층_부하량'!A3:A3000)*(14='5층_부하량'!B3:B3000),0))</f>
        <v>0.0</v>
      </c>
      <c r="Q342" s="105"/>
      <c r="R342" s="106" t="s">
        <v>4631</v>
      </c>
      <c r="S342" s="97" t="s">
        <v>4575</v>
      </c>
      <c r="T342" s="101" t="s">
        <v>2548</v>
      </c>
    </row>
    <row r="343" spans="1:20" ht="16.5" x14ac:dyDescent="0.15">
      <c r="A343" s="665" t="s">
        <v>5884</v>
      </c>
      <c r="B343" s="72" t="s">
        <v>4631</v>
      </c>
      <c r="C343" s="73" t="s">
        <v>4575</v>
      </c>
      <c r="D343" s="2687" cm="1" t="n">
        <f t="array" ref="D343">INDEX('5층_부하량'!C3:C3000,MATCH(1,("5-DaHall 1-PDU-13"='5층_부하량'!A3:A3000)*(15='5층_부하량'!B3:B3000),0))</f>
        <v>0.0</v>
      </c>
      <c r="E343" s="426"/>
      <c r="F343" s="426"/>
      <c r="G343" s="74"/>
      <c r="H343" s="72" t="s">
        <v>5801</v>
      </c>
      <c r="I343" s="550" t="s">
        <v>4661</v>
      </c>
      <c r="J343" s="1023" t="s">
        <v>5828</v>
      </c>
      <c r="K343" s="1039" t="s">
        <v>5828</v>
      </c>
      <c r="L343" s="550" t="s">
        <v>4603</v>
      </c>
      <c r="M343" s="72" t="s">
        <v>5801</v>
      </c>
      <c r="N343" s="2687" cm="1" t="n">
        <f t="array" ref="N343">INDEX('5층_부하량'!C3:C3000,MATCH(1,("5-DaHall 1-PDU-13"='5층_부하량'!A3:A3000)*(16='5층_부하량'!B3:B3000),0))</f>
        <v>0.0</v>
      </c>
      <c r="O343" s="426"/>
      <c r="P343" s="426"/>
      <c r="Q343" s="74"/>
      <c r="R343" s="75" t="s">
        <v>4631</v>
      </c>
      <c r="S343" s="73" t="s">
        <v>4575</v>
      </c>
      <c r="T343" s="666" t="s">
        <v>5885</v>
      </c>
    </row>
    <row r="344" spans="1:20" ht="16.5" x14ac:dyDescent="0.15">
      <c r="A344" s="321" t="s">
        <v>5886</v>
      </c>
      <c r="B344" s="17" t="s">
        <v>4631</v>
      </c>
      <c r="C344" s="18" t="s">
        <v>4575</v>
      </c>
      <c r="D344" s="387"/>
      <c r="E344" s="2679" cm="1" t="n">
        <f t="array" ref="E344">INDEX('5층_부하량'!D3:D3000,MATCH(1,("5-DaHall 1-PDU-13"='5층_부하량'!A3:A3000)*(17='5층_부하량'!B3:B3000),0))</f>
        <v>0.0</v>
      </c>
      <c r="F344" s="387"/>
      <c r="G344" s="21"/>
      <c r="H344" s="17" t="s">
        <v>5801</v>
      </c>
      <c r="I344" s="549" t="s">
        <v>4665</v>
      </c>
      <c r="J344" s="1031" t="s">
        <v>5832</v>
      </c>
      <c r="K344" s="1024" t="s">
        <v>5832</v>
      </c>
      <c r="L344" s="549" t="s">
        <v>4605</v>
      </c>
      <c r="M344" s="17" t="s">
        <v>5801</v>
      </c>
      <c r="N344" s="387"/>
      <c r="O344" s="2679" cm="1" t="n">
        <f t="array" ref="O344">INDEX('5층_부하량'!D3:D3000,MATCH(1,("5-DaHall 1-PDU-13"='5층_부하량'!A3:A3000)*(18='5층_부하량'!B3:B3000),0))</f>
        <v>0.0</v>
      </c>
      <c r="P344" s="387"/>
      <c r="Q344" s="21"/>
      <c r="R344" s="69" t="s">
        <v>4631</v>
      </c>
      <c r="S344" s="1442" t="s">
        <v>4723</v>
      </c>
      <c r="T344" s="70" t="s">
        <v>5387</v>
      </c>
    </row>
    <row r="345" spans="1:20" ht="16.5" x14ac:dyDescent="0.15">
      <c r="A345" s="99" t="s">
        <v>3065</v>
      </c>
      <c r="B345" s="17" t="s">
        <v>4631</v>
      </c>
      <c r="C345" s="18" t="s">
        <v>4575</v>
      </c>
      <c r="D345" s="387"/>
      <c r="E345" s="387"/>
      <c r="F345" s="2679" cm="1" t="n">
        <f t="array" ref="F345">INDEX('5층_부하량'!E3:E3000,MATCH(1,("5-DaHall 1-PDU-13"='5층_부하량'!A3:A3000)*(19='5층_부하량'!B3:B3000),0))</f>
        <v>5.14</v>
      </c>
      <c r="G345" s="21"/>
      <c r="H345" s="17" t="s">
        <v>5811</v>
      </c>
      <c r="I345" s="549" t="s">
        <v>4670</v>
      </c>
      <c r="J345" s="1031" t="s">
        <v>5832</v>
      </c>
      <c r="K345" s="1024" t="s">
        <v>5832</v>
      </c>
      <c r="L345" s="549" t="s">
        <v>4609</v>
      </c>
      <c r="M345" s="17" t="s">
        <v>5811</v>
      </c>
      <c r="N345" s="387"/>
      <c r="O345" s="387"/>
      <c r="P345" s="2679" cm="1" t="n">
        <f t="array" ref="P345">INDEX('5층_부하량'!E3:E3000,MATCH(1,("5-DaHall 1-PDU-13"='5층_부하량'!A3:A3000)*(20='5층_부하량'!B3:B3000),0))</f>
        <v>0.0</v>
      </c>
      <c r="Q345" s="21"/>
      <c r="R345" s="69" t="s">
        <v>4631</v>
      </c>
      <c r="S345" s="1442" t="s">
        <v>4723</v>
      </c>
      <c r="T345" s="70" t="s">
        <v>5389</v>
      </c>
    </row>
    <row r="346" spans="1:20" ht="16.5" x14ac:dyDescent="0.15">
      <c r="A346" s="321" t="s">
        <v>3074</v>
      </c>
      <c r="B346" s="17" t="s">
        <v>4631</v>
      </c>
      <c r="C346" s="18" t="s">
        <v>4575</v>
      </c>
      <c r="D346" s="2679" cm="1" t="n">
        <f t="array" ref="D346">INDEX('5층_부하량'!C3:C3000,MATCH(1,("5-DaHall 1-PDU-13"='5층_부하량'!A3:A3000)*(21='5층_부하량'!B3:B3000),0))</f>
        <v>0.0</v>
      </c>
      <c r="E346" s="387"/>
      <c r="F346" s="387"/>
      <c r="G346" s="21"/>
      <c r="H346" s="17" t="s">
        <v>5811</v>
      </c>
      <c r="I346" s="549" t="s">
        <v>4674</v>
      </c>
      <c r="J346" s="1031" t="s">
        <v>5832</v>
      </c>
      <c r="K346" s="1024" t="s">
        <v>5832</v>
      </c>
      <c r="L346" s="549" t="s">
        <v>4613</v>
      </c>
      <c r="M346" s="17" t="s">
        <v>5811</v>
      </c>
      <c r="N346" s="2679" cm="1" t="n">
        <f t="array" ref="N346">INDEX('5층_부하량'!C3:C3000,MATCH(1,("5-DaHall 1-PDU-13"='5층_부하량'!A3:A3000)*(22='5층_부하량'!B3:B3000),0))</f>
        <v>0.0</v>
      </c>
      <c r="O346" s="387"/>
      <c r="P346" s="387"/>
      <c r="Q346" s="21"/>
      <c r="R346" s="69" t="s">
        <v>4631</v>
      </c>
      <c r="S346" s="1442" t="s">
        <v>4723</v>
      </c>
      <c r="T346" s="70" t="s">
        <v>5391</v>
      </c>
    </row>
    <row r="347" spans="1:20" ht="16.5" x14ac:dyDescent="0.15">
      <c r="A347" s="99" t="s">
        <v>3079</v>
      </c>
      <c r="B347" s="17" t="s">
        <v>4631</v>
      </c>
      <c r="C347" s="18" t="s">
        <v>4575</v>
      </c>
      <c r="D347" s="387"/>
      <c r="E347" s="2679" cm="1" t="n">
        <f t="array" ref="E347">INDEX('5층_부하량'!D3:D3000,MATCH(1,("5-DaHall 1-PDU-13"='5층_부하량'!A3:A3000)*(23='5층_부하량'!B3:B3000),0))</f>
        <v>0.0</v>
      </c>
      <c r="F347" s="387"/>
      <c r="G347" s="21"/>
      <c r="H347" s="17" t="s">
        <v>5811</v>
      </c>
      <c r="I347" s="549" t="s">
        <v>4678</v>
      </c>
      <c r="J347" s="1031" t="s">
        <v>5832</v>
      </c>
      <c r="K347" s="1024" t="s">
        <v>5832</v>
      </c>
      <c r="L347" s="549" t="s">
        <v>4680</v>
      </c>
      <c r="M347" s="17" t="s">
        <v>5811</v>
      </c>
      <c r="N347" s="387"/>
      <c r="O347" s="2679" cm="1" t="n">
        <f t="array" ref="O347">INDEX('5층_부하량'!D3:D3000,MATCH(1,("5-DaHall 1-PDU-13"='5층_부하량'!A3:A3000)*(24='5층_부하량'!B3:B3000),0))</f>
        <v>0.0</v>
      </c>
      <c r="P347" s="387"/>
      <c r="Q347" s="21"/>
      <c r="R347" s="69" t="s">
        <v>4631</v>
      </c>
      <c r="S347" s="1442" t="s">
        <v>4723</v>
      </c>
      <c r="T347" s="70" t="s">
        <v>3145</v>
      </c>
    </row>
    <row r="348" spans="1:20" ht="16.5" x14ac:dyDescent="0.15">
      <c r="A348" s="321" t="s">
        <v>3087</v>
      </c>
      <c r="B348" s="17" t="s">
        <v>4631</v>
      </c>
      <c r="C348" s="18" t="s">
        <v>4575</v>
      </c>
      <c r="D348" s="387"/>
      <c r="E348" s="387"/>
      <c r="F348" s="2679" cm="1" t="n">
        <f t="array" ref="F348">INDEX('5층_부하량'!E3:E3000,MATCH(1,("5-DaHall 1-PDU-13"='5층_부하량'!A3:A3000)*(25='5층_부하량'!B3:B3000),0))</f>
        <v>0.0</v>
      </c>
      <c r="G348" s="21"/>
      <c r="H348" s="17" t="s">
        <v>5811</v>
      </c>
      <c r="I348" s="549" t="s">
        <v>4683</v>
      </c>
      <c r="J348" s="1031" t="s">
        <v>5832</v>
      </c>
      <c r="K348" s="1024" t="s">
        <v>5832</v>
      </c>
      <c r="L348" s="549" t="s">
        <v>4685</v>
      </c>
      <c r="M348" s="17" t="s">
        <v>5811</v>
      </c>
      <c r="N348" s="387"/>
      <c r="O348" s="387"/>
      <c r="P348" s="2679" cm="1" t="n">
        <f t="array" ref="P348">INDEX('5층_부하량'!E3:E3000,MATCH(1,("5-DaHall 1-PDU-13"='5층_부하량'!A3:A3000)*(26='5층_부하량'!B3:B3000),0))</f>
        <v>0.0</v>
      </c>
      <c r="Q348" s="21"/>
      <c r="R348" s="69" t="s">
        <v>4631</v>
      </c>
      <c r="S348" s="18" t="s">
        <v>4575</v>
      </c>
      <c r="T348" s="70" t="s">
        <v>5887</v>
      </c>
    </row>
    <row r="349" spans="1:20" ht="16.5" x14ac:dyDescent="0.15">
      <c r="A349" s="99" t="s">
        <v>5374</v>
      </c>
      <c r="B349" s="17" t="s">
        <v>4631</v>
      </c>
      <c r="C349" s="18" t="s">
        <v>4575</v>
      </c>
      <c r="D349" s="2679" cm="1" t="n">
        <f t="array" ref="D349">INDEX('5층_부하량'!C3:C3000,MATCH(1,("5-DaHall 1-PDU-13"='5층_부하량'!A3:A3000)*(27='5층_부하량'!B3:B3000),0))</f>
        <v>0.0</v>
      </c>
      <c r="E349" s="387"/>
      <c r="F349" s="387"/>
      <c r="G349" s="21"/>
      <c r="H349" s="17" t="s">
        <v>5811</v>
      </c>
      <c r="I349" s="549" t="s">
        <v>4688</v>
      </c>
      <c r="J349" s="1031" t="s">
        <v>5832</v>
      </c>
      <c r="K349" s="1024" t="s">
        <v>5832</v>
      </c>
      <c r="L349" s="549" t="s">
        <v>4689</v>
      </c>
      <c r="M349" s="17" t="s">
        <v>5811</v>
      </c>
      <c r="N349" s="2679" cm="1" t="n">
        <f t="array" ref="N349">INDEX('5층_부하량'!C3:C3000,MATCH(1,("5-DaHall 1-PDU-13"='5층_부하량'!A3:A3000)*(28='5층_부하량'!B3:B3000),0))</f>
        <v>0.0</v>
      </c>
      <c r="O349" s="387"/>
      <c r="P349" s="387"/>
      <c r="Q349" s="21"/>
      <c r="R349" s="69" t="s">
        <v>4631</v>
      </c>
      <c r="S349" s="1442" t="s">
        <v>4723</v>
      </c>
      <c r="T349" s="70" t="s">
        <v>5888</v>
      </c>
    </row>
    <row r="350" spans="1:20" ht="16.5" x14ac:dyDescent="0.15">
      <c r="A350" s="321" t="s">
        <v>5375</v>
      </c>
      <c r="B350" s="17" t="s">
        <v>4631</v>
      </c>
      <c r="C350" s="18" t="s">
        <v>4575</v>
      </c>
      <c r="D350" s="387"/>
      <c r="E350" s="2679" cm="1" t="n">
        <f t="array" ref="E350">INDEX('5층_부하량'!D3:D3000,MATCH(1,("5-DaHall 1-PDU-13"='5층_부하량'!A3:A3000)*(29='5층_부하량'!B3:B3000),0))</f>
        <v>0.0</v>
      </c>
      <c r="F350" s="387"/>
      <c r="G350" s="21"/>
      <c r="H350" s="17" t="s">
        <v>5811</v>
      </c>
      <c r="I350" s="549" t="s">
        <v>4691</v>
      </c>
      <c r="J350" s="1031" t="s">
        <v>5832</v>
      </c>
      <c r="K350" s="1024" t="s">
        <v>5832</v>
      </c>
      <c r="L350" s="549" t="s">
        <v>4692</v>
      </c>
      <c r="M350" s="17" t="s">
        <v>5811</v>
      </c>
      <c r="N350" s="387"/>
      <c r="O350" s="2679" cm="1" t="n">
        <f t="array" ref="O350">INDEX('5층_부하량'!D3:D3000,MATCH(1,("5-DaHall 1-PDU-13"='5층_부하량'!A3:A3000)*(30='5층_부하량'!B3:B3000),0))</f>
        <v>0.0</v>
      </c>
      <c r="P350" s="387"/>
      <c r="Q350" s="21"/>
      <c r="R350" s="69" t="s">
        <v>4631</v>
      </c>
      <c r="S350" s="1442" t="s">
        <v>4723</v>
      </c>
      <c r="T350" s="70" t="s">
        <v>5889</v>
      </c>
    </row>
    <row r="351" spans="1:20" ht="17.25" thickBot="1" x14ac:dyDescent="0.2">
      <c r="A351" s="38" t="s">
        <v>5377</v>
      </c>
      <c r="B351" s="35" t="s">
        <v>4631</v>
      </c>
      <c r="C351" s="39" t="s">
        <v>4575</v>
      </c>
      <c r="D351" s="433"/>
      <c r="E351" s="433"/>
      <c r="F351" s="2680" cm="1" t="n">
        <f t="array" ref="F351">INDEX('5층_부하량'!E3:E3000,MATCH(1,("5-DaHall 1-PDU-13"='5층_부하량'!A3:A3000)*(31='5층_부하량'!B3:B3000),0))</f>
        <v>0.0</v>
      </c>
      <c r="G351" s="36"/>
      <c r="H351" s="35" t="s">
        <v>5811</v>
      </c>
      <c r="I351" s="551" t="s">
        <v>4693</v>
      </c>
      <c r="J351" s="1036" t="s">
        <v>5832</v>
      </c>
      <c r="K351" s="1037" t="s">
        <v>5832</v>
      </c>
      <c r="L351" s="551" t="s">
        <v>4694</v>
      </c>
      <c r="M351" s="35" t="s">
        <v>5811</v>
      </c>
      <c r="N351" s="433"/>
      <c r="O351" s="433"/>
      <c r="P351" s="2680" cm="1" t="n">
        <f t="array" ref="P351">INDEX('5층_부하량'!E3:E3000,MATCH(1,("5-DaHall 1-PDU-13"='5층_부하량'!A3:A3000)*(32='5층_부하량'!B3:B3000),0))</f>
        <v>0.0</v>
      </c>
      <c r="Q351" s="36"/>
      <c r="R351" s="78" t="s">
        <v>4631</v>
      </c>
      <c r="S351" s="39" t="s">
        <v>4575</v>
      </c>
      <c r="T351" s="122" t="s">
        <v>5890</v>
      </c>
    </row>
    <row r="352" spans="1:20" ht="15" thickTop="1" thickBot="1" x14ac:dyDescent="0.2">
      <c r="M352" s="80" t="s">
        <v>5645</v>
      </c>
      <c r="N352" s="33" t="n">
        <f>SUM(D336:D351,N336:N351)</f>
        <v>3.91</v>
      </c>
      <c r="O352" s="33" t="n">
        <f>SUM(E336:E351,O336:O351)</f>
        <v>0.0</v>
      </c>
      <c r="P352" s="33" t="n">
        <f>SUM(F336:F351,P336:P351)</f>
        <v>5.84</v>
      </c>
    </row>
    <row r="353" spans="1:20" s="356" customFormat="1" ht="20.25" thickTop="1" thickBot="1" x14ac:dyDescent="0.2">
      <c r="A353" s="355" t="s">
        <v>6957</v>
      </c>
      <c r="C353" s="3660" t="s">
        <v>5891</v>
      </c>
      <c r="D353" s="3660"/>
      <c r="E353" s="3660"/>
      <c r="F353" s="3660"/>
      <c r="G353" s="357"/>
      <c r="H353" s="358"/>
      <c r="I353" s="358"/>
      <c r="J353" s="3668" t="s">
        <v>4715</v>
      </c>
      <c r="K353" s="3669"/>
      <c r="L353" s="2442"/>
      <c r="M353" s="358"/>
      <c r="N353" s="357"/>
      <c r="O353" s="357"/>
      <c r="P353" s="357"/>
      <c r="Q353" s="357"/>
      <c r="R353" s="357"/>
      <c r="S353" s="357"/>
    </row>
    <row r="354" spans="1:20" s="356" customFormat="1" ht="15" customHeight="1" thickTop="1" thickBot="1" x14ac:dyDescent="0.2">
      <c r="A354" s="3"/>
      <c r="B354"/>
      <c r="C354"/>
      <c r="D354" s="54"/>
      <c r="E354" s="54"/>
      <c r="F354" s="54"/>
      <c r="G354" s="54"/>
      <c r="H354" s="4"/>
      <c r="I354" s="4"/>
      <c r="J354"/>
      <c r="K354" s="56"/>
      <c r="L354" s="565"/>
      <c r="M354" s="1371" t="s">
        <v>4562</v>
      </c>
      <c r="N354" s="1368">
        <v>19.100000000000001</v>
      </c>
      <c r="O354" s="1369">
        <v>6.2</v>
      </c>
      <c r="P354" s="1370">
        <v>14.5</v>
      </c>
      <c r="Q354" s="508" t="s">
        <v>4563</v>
      </c>
      <c r="R354" s="133"/>
      <c r="S354" s="128"/>
      <c r="T354" s="528"/>
    </row>
    <row r="355" spans="1:20" s="356" customFormat="1" ht="18" thickTop="1" thickBot="1" x14ac:dyDescent="0.2">
      <c r="A355" s="1306" t="s">
        <v>4564</v>
      </c>
      <c r="B355" s="365" t="s">
        <v>4565</v>
      </c>
      <c r="C355" s="366" t="s">
        <v>4566</v>
      </c>
      <c r="D355" s="365" t="s">
        <v>4567</v>
      </c>
      <c r="E355" s="365" t="s">
        <v>4568</v>
      </c>
      <c r="F355" s="365" t="s">
        <v>4569</v>
      </c>
      <c r="G355" s="365" t="s">
        <v>4570</v>
      </c>
      <c r="H355" s="367" t="s">
        <v>4571</v>
      </c>
      <c r="I355" s="557"/>
      <c r="J355" s="368" t="s">
        <v>4572</v>
      </c>
      <c r="K355" s="369" t="s">
        <v>4572</v>
      </c>
      <c r="L355" s="575"/>
      <c r="M355" s="367" t="s">
        <v>4571</v>
      </c>
      <c r="N355" s="365" t="s">
        <v>4567</v>
      </c>
      <c r="O355" s="365" t="s">
        <v>4568</v>
      </c>
      <c r="P355" s="365" t="s">
        <v>4569</v>
      </c>
      <c r="Q355" s="365" t="s">
        <v>4570</v>
      </c>
      <c r="R355" s="365" t="s">
        <v>4565</v>
      </c>
      <c r="S355" s="366" t="s">
        <v>4566</v>
      </c>
      <c r="T355" s="370" t="s">
        <v>4564</v>
      </c>
    </row>
    <row r="356" spans="1:20" s="356" customFormat="1" ht="17.25" thickTop="1" x14ac:dyDescent="0.15">
      <c r="A356" s="1307" t="s">
        <v>5892</v>
      </c>
      <c r="B356" s="372" t="s">
        <v>4635</v>
      </c>
      <c r="C356" s="389" t="s">
        <v>4575</v>
      </c>
      <c r="D356" s="2681" cm="1" t="n">
        <f t="array" ref="D356">INDEX('5층_부하량'!C3:C3000,MATCH(1,("5-DaHall 1-PDU-15"='5층_부하량'!A3:A3000)*(1='5층_부하량'!B3:B3000),0))</f>
        <v>5.97</v>
      </c>
      <c r="E356" s="2681" cm="1" t="n">
        <f t="array" ref="E356">INDEX('5층_부하량'!D3:D3000,MATCH(1,("5-DaHall 1-PDU-15"='5층_부하량'!A3:A3000)*(1='5층_부하량'!B3:B3000),0))</f>
        <v>1.25</v>
      </c>
      <c r="F356" s="2681" cm="1" t="n">
        <f t="array" ref="F356">INDEX('5층_부하량'!E3:E3000,MATCH(1,("5-DaHall 1-PDU-15"='5층_부하량'!A3:A3000)*(1='5층_부하량'!B3:B3000),0))</f>
        <v>7.85</v>
      </c>
      <c r="G356" s="377"/>
      <c r="H356" s="373" t="s">
        <v>5893</v>
      </c>
      <c r="I356" s="2443" t="s">
        <v>5894</v>
      </c>
      <c r="J356" s="1040" t="s">
        <v>3877</v>
      </c>
      <c r="K356" s="1041" t="s">
        <v>5895</v>
      </c>
      <c r="L356" s="1178" t="s">
        <v>5896</v>
      </c>
      <c r="M356" s="372" t="s">
        <v>5893</v>
      </c>
      <c r="N356" s="2681" cm="1" t="n">
        <f t="array" ref="N356">INDEX('5층_부하량'!C3:C3000,MATCH(1,("5-DaHall 1-PDU-15"='5층_부하량'!A3:A3000)*(2='5층_부하량'!B3:B3000),0))</f>
        <v>0.0</v>
      </c>
      <c r="O356" s="2681" cm="1" t="n">
        <f t="array" ref="O356">INDEX('5층_부하량'!D3:D3000,MATCH(1,("5-DaHall 1-PDU-15"='5층_부하량'!A3:A3000)*(2='5층_부하량'!B3:B3000),0))</f>
        <v>0.0</v>
      </c>
      <c r="P356" s="2681" cm="1" t="n">
        <f t="array" ref="P356">INDEX('5층_부하량'!E3:E3000,MATCH(1,("5-DaHall 1-PDU-15"='5층_부하량'!A3:A3000)*(2='5층_부하량'!B3:B3000),0))</f>
        <v>0.0</v>
      </c>
      <c r="Q356" s="377"/>
      <c r="R356" s="378" t="s">
        <v>4631</v>
      </c>
      <c r="S356" s="379" t="s">
        <v>4575</v>
      </c>
      <c r="T356" s="380" t="s">
        <v>5897</v>
      </c>
    </row>
    <row r="357" spans="1:20" s="356" customFormat="1" ht="16.5" x14ac:dyDescent="0.15">
      <c r="A357" s="1308"/>
      <c r="B357" s="382" t="s">
        <v>4590</v>
      </c>
      <c r="C357" s="382" t="s">
        <v>4642</v>
      </c>
      <c r="D357" s="2682" cm="1" t="n">
        <f t="array" ref="D357">INDEX('5층_부하량'!C3:C3000,MATCH(1,("5-DaHall 1-PDU-15"='5층_부하량'!A3:A3000)*(3='5층_부하량'!B3:B3000),0))</f>
        <v>0.0</v>
      </c>
      <c r="E357" s="2682" cm="1" t="n">
        <f t="array" ref="E357">INDEX('5층_부하량'!D3:D3000,MATCH(1,("5-DaHall 1-PDU-15"='5층_부하량'!A3:A3000)*(3='5층_부하량'!B3:B3000),0))</f>
        <v>0.0</v>
      </c>
      <c r="F357" s="2682" cm="1" t="n">
        <f t="array" ref="F357">INDEX('5층_부하량'!E3:E3000,MATCH(1,("5-DaHall 1-PDU-15"='5층_부하량'!A3:A3000)*(3='5층_부하량'!B3:B3000),0))</f>
        <v>0.0</v>
      </c>
      <c r="G357" s="383"/>
      <c r="H357" s="382" t="s">
        <v>5898</v>
      </c>
      <c r="I357" s="2444" t="s">
        <v>5899</v>
      </c>
      <c r="J357" s="1042"/>
      <c r="K357" s="1043" t="s">
        <v>5900</v>
      </c>
      <c r="L357" s="1179" t="s">
        <v>5901</v>
      </c>
      <c r="M357" s="382" t="s">
        <v>5893</v>
      </c>
      <c r="N357" s="2682" cm="1" t="n">
        <f t="array" ref="N357">INDEX('5층_부하량'!C3:C3000,MATCH(1,("5-DaHall 1-PDU-15"='5층_부하량'!A3:A3000)*(4='5층_부하량'!B3:B3000),0))</f>
        <v>0.0</v>
      </c>
      <c r="O357" s="2682" cm="1" t="n">
        <f t="array" ref="O357">INDEX('5층_부하량'!D3:D3000,MATCH(1,("5-DaHall 1-PDU-15"='5층_부하량'!A3:A3000)*(4='5층_부하량'!B3:B3000),0))</f>
        <v>0.0</v>
      </c>
      <c r="P357" s="2682" cm="1" t="n">
        <f t="array" ref="P357">INDEX('5층_부하량'!E3:E3000,MATCH(1,("5-DaHall 1-PDU-15"='5층_부하량'!A3:A3000)*(4='5층_부하량'!B3:B3000),0))</f>
        <v>0.0</v>
      </c>
      <c r="Q357" s="387"/>
      <c r="R357" s="394" t="s">
        <v>4590</v>
      </c>
      <c r="S357" s="382" t="s">
        <v>4642</v>
      </c>
      <c r="T357" s="390" t="s">
        <v>5902</v>
      </c>
    </row>
    <row r="358" spans="1:20" s="356" customFormat="1" ht="16.5" x14ac:dyDescent="0.15">
      <c r="A358" s="443" t="s">
        <v>5903</v>
      </c>
      <c r="B358" s="382" t="s">
        <v>4631</v>
      </c>
      <c r="C358" s="382" t="s">
        <v>4642</v>
      </c>
      <c r="D358" s="2679" cm="1" t="n">
        <f t="array" ref="D358">INDEX('5층_부하량'!C3:C3000,MATCH(1,("5-DaHall 1-PDU-15"='5층_부하량'!A3:A3000)*(5='5층_부하량'!B3:B3000),0))</f>
        <v>0.0</v>
      </c>
      <c r="E358" s="2679" cm="1" t="n">
        <f t="array" ref="E358">INDEX('5층_부하량'!D3:D3000,MATCH(1,("5-DaHall 1-PDU-15"='5층_부하량'!A3:A3000)*(5='5층_부하량'!B3:B3000),0))</f>
        <v>0.0</v>
      </c>
      <c r="F358" s="2679" cm="1" t="n">
        <f t="array" ref="F358">INDEX('5층_부하량'!E3:E3000,MATCH(1,("5-DaHall 1-PDU-15"='5층_부하량'!A3:A3000)*(5='5층_부하량'!B3:B3000),0))</f>
        <v>0.0</v>
      </c>
      <c r="G358" s="387"/>
      <c r="H358" s="382" t="s">
        <v>5786</v>
      </c>
      <c r="I358" s="2444" t="s">
        <v>5904</v>
      </c>
      <c r="J358" s="1044"/>
      <c r="K358" s="1045"/>
      <c r="L358" s="1180" t="s">
        <v>5905</v>
      </c>
      <c r="M358" s="382" t="s">
        <v>5786</v>
      </c>
      <c r="N358" s="2679" cm="1" t="n">
        <f t="array" ref="N358">INDEX('5층_부하량'!C3:C3000,MATCH(1,("5-DaHall 1-PDU-15"='5층_부하량'!A3:A3000)*(6='5층_부하량'!B3:B3000),0))</f>
        <v>0.0</v>
      </c>
      <c r="O358" s="2679" cm="1" t="n">
        <f t="array" ref="O358">INDEX('5층_부하량'!D3:D3000,MATCH(1,("5-DaHall 1-PDU-15"='5층_부하량'!A3:A3000)*(6='5층_부하량'!B3:B3000),0))</f>
        <v>0.0</v>
      </c>
      <c r="P358" s="2679" cm="1" t="n">
        <f t="array" ref="P358">INDEX('5층_부하량'!E3:E3000,MATCH(1,("5-DaHall 1-PDU-15"='5층_부하량'!A3:A3000)*(6='5층_부하량'!B3:B3000),0))</f>
        <v>0.0</v>
      </c>
      <c r="Q358" s="387"/>
      <c r="R358" s="394" t="s">
        <v>4590</v>
      </c>
      <c r="S358" s="382" t="s">
        <v>4642</v>
      </c>
      <c r="T358" s="395" t="s">
        <v>5906</v>
      </c>
    </row>
    <row r="359" spans="1:20" s="356" customFormat="1" ht="16.5" x14ac:dyDescent="0.15">
      <c r="A359" s="1309" t="s">
        <v>5907</v>
      </c>
      <c r="B359" s="382" t="s">
        <v>4631</v>
      </c>
      <c r="C359" s="389" t="s">
        <v>4575</v>
      </c>
      <c r="D359" s="2679" cm="1" t="n">
        <f t="array" ref="D359">INDEX('5층_부하량'!C3:C3000,MATCH(1,("5-DaHall 1-PDU-15"='5층_부하량'!A3:A3000)*(7='5층_부하량'!B3:B3000),0))</f>
        <v>0.65</v>
      </c>
      <c r="E359" s="387"/>
      <c r="F359" s="387"/>
      <c r="G359" s="387"/>
      <c r="H359" s="382" t="s">
        <v>5786</v>
      </c>
      <c r="I359" s="1211" t="s">
        <v>4645</v>
      </c>
      <c r="J359" s="1044" t="s">
        <v>2955</v>
      </c>
      <c r="K359" s="1045"/>
      <c r="L359" s="578" t="s">
        <v>4593</v>
      </c>
      <c r="M359" s="382" t="s">
        <v>5795</v>
      </c>
      <c r="N359" s="2679" cm="1" t="n">
        <f t="array" ref="N359">INDEX('5층_부하량'!C3:C3000,MATCH(1,("5-DaHall 1-PDU-15"='5층_부하량'!A3:A3000)*(8='5층_부하량'!B3:B3000),0))</f>
        <v>0.0</v>
      </c>
      <c r="O359" s="387"/>
      <c r="P359" s="387"/>
      <c r="Q359" s="387"/>
      <c r="R359" s="382" t="s">
        <v>4579</v>
      </c>
      <c r="S359" s="389" t="s">
        <v>4575</v>
      </c>
      <c r="T359" s="666" t="s">
        <v>5908</v>
      </c>
    </row>
    <row r="360" spans="1:20" s="356" customFormat="1" ht="17.25" thickBot="1" x14ac:dyDescent="0.2">
      <c r="A360" s="1310" t="s">
        <v>5909</v>
      </c>
      <c r="B360" s="88" t="s">
        <v>4631</v>
      </c>
      <c r="C360" s="89" t="s">
        <v>4575</v>
      </c>
      <c r="D360" s="398"/>
      <c r="E360" s="2673" cm="1" t="n">
        <f t="array" ref="E360">INDEX('5층_부하량'!D3:D3000,MATCH(1,("5-DaHall 1-PDU-15"='5층_부하량'!A3:A3000)*(9='5층_부하량'!B3:B3000),0))</f>
        <v>0.0</v>
      </c>
      <c r="F360" s="398"/>
      <c r="G360" s="398"/>
      <c r="H360" s="397" t="s">
        <v>5786</v>
      </c>
      <c r="I360" s="1218" t="s">
        <v>4648</v>
      </c>
      <c r="J360" s="1044" t="s">
        <v>2955</v>
      </c>
      <c r="K360" s="1046"/>
      <c r="L360" s="579" t="s">
        <v>4596</v>
      </c>
      <c r="M360" s="397" t="s">
        <v>5795</v>
      </c>
      <c r="N360" s="398"/>
      <c r="O360" s="2673" cm="1" t="n">
        <f t="array" ref="O360">INDEX('5층_부하량'!D3:D3000,MATCH(1,("5-DaHall 1-PDU-15"='5층_부하량'!A3:A3000)*(10='5층_부하량'!B3:B3000),0))</f>
        <v>0.0</v>
      </c>
      <c r="P360" s="398"/>
      <c r="Q360" s="398"/>
      <c r="R360" s="88" t="s">
        <v>4579</v>
      </c>
      <c r="S360" s="88" t="s">
        <v>4584</v>
      </c>
      <c r="T360" s="400" t="s">
        <v>5910</v>
      </c>
    </row>
    <row r="361" spans="1:20" s="356" customFormat="1" ht="17.25" thickTop="1" x14ac:dyDescent="0.15">
      <c r="A361" s="2407" t="s">
        <v>5911</v>
      </c>
      <c r="B361" s="2405" t="s">
        <v>4635</v>
      </c>
      <c r="C361" s="389" t="s">
        <v>4575</v>
      </c>
      <c r="D361" s="401"/>
      <c r="E361" s="401"/>
      <c r="F361" s="2683" cm="1" t="n">
        <f t="array" ref="F361">INDEX('5층_부하량'!E3:E3000,MATCH(1,("5-DaHall 1-PDU-15"='5층_부하량'!A3:A3000)*(11='5층_부하량'!B3:B3000),0))</f>
        <v>0.0</v>
      </c>
      <c r="G361" s="401"/>
      <c r="H361" s="372" t="s">
        <v>5786</v>
      </c>
      <c r="I361" s="559" t="s">
        <v>4653</v>
      </c>
      <c r="J361" s="1047"/>
      <c r="K361" s="1048" t="s">
        <v>5912</v>
      </c>
      <c r="L361" s="580" t="s">
        <v>4599</v>
      </c>
      <c r="M361" s="372" t="s">
        <v>5790</v>
      </c>
      <c r="N361" s="401"/>
      <c r="O361" s="401"/>
      <c r="P361" s="2683" cm="1" t="n">
        <f t="array" ref="P361">INDEX('5층_부하량'!E3:E3000,MATCH(1,("5-DaHall 1-PDU-15"='5층_부하량'!A3:A3000)*(12='5층_부하량'!B3:B3000),0))</f>
        <v>2.31</v>
      </c>
      <c r="Q361" s="401"/>
      <c r="R361" s="402" t="s">
        <v>4635</v>
      </c>
      <c r="S361" s="389" t="s">
        <v>4575</v>
      </c>
      <c r="T361" s="987" t="s">
        <v>5913</v>
      </c>
    </row>
    <row r="362" spans="1:20" s="356" customFormat="1" ht="24" x14ac:dyDescent="0.15">
      <c r="A362" s="1311" t="s">
        <v>5914</v>
      </c>
      <c r="B362" s="382" t="s">
        <v>4631</v>
      </c>
      <c r="C362" s="389" t="s">
        <v>4575</v>
      </c>
      <c r="D362" s="2679" cm="1" t="n">
        <f t="array" ref="D362">INDEX('5층_부하량'!C3:C3000,MATCH(1,("5-DaHall 1-PDU-15"='5층_부하량'!A3:A3000)*(13='5층_부하량'!B3:B3000),0))</f>
        <v>0.0</v>
      </c>
      <c r="E362" s="387"/>
      <c r="F362" s="387"/>
      <c r="G362" s="387"/>
      <c r="H362" s="382" t="s">
        <v>5790</v>
      </c>
      <c r="I362" s="558" t="s">
        <v>4657</v>
      </c>
      <c r="J362" s="1044"/>
      <c r="K362" s="1045"/>
      <c r="L362" s="578" t="s">
        <v>4601</v>
      </c>
      <c r="M362" s="382" t="s">
        <v>5790</v>
      </c>
      <c r="N362" s="2679" cm="1" t="n">
        <f t="array" ref="N362">INDEX('5층_부하량'!C3:C3000,MATCH(1,("5-DaHall 1-PDU-15"='5층_부하량'!A3:A3000)*(14='5층_부하량'!B3:B3000),0))</f>
        <v>0.0</v>
      </c>
      <c r="O362" s="387"/>
      <c r="P362" s="387"/>
      <c r="Q362" s="387"/>
      <c r="R362" s="382" t="s">
        <v>4579</v>
      </c>
      <c r="S362" s="389" t="s">
        <v>4575</v>
      </c>
      <c r="T362" s="670" t="s">
        <v>5915</v>
      </c>
    </row>
    <row r="363" spans="1:20" s="356" customFormat="1" ht="16.5" x14ac:dyDescent="0.15">
      <c r="A363" s="1312" t="s">
        <v>5916</v>
      </c>
      <c r="B363" s="382" t="s">
        <v>4590</v>
      </c>
      <c r="C363" s="382" t="s">
        <v>4642</v>
      </c>
      <c r="D363" s="387"/>
      <c r="E363" s="2679" cm="1" t="n">
        <f t="array" ref="E363">INDEX('5층_부하량'!D3:D3000,MATCH(1,("5-DaHall 1-PDU-15"='5층_부하량'!A3:A3000)*(15='5층_부하량'!B3:B3000),0))</f>
        <v>0.0</v>
      </c>
      <c r="F363" s="387"/>
      <c r="G363" s="387"/>
      <c r="H363" s="382" t="s">
        <v>5811</v>
      </c>
      <c r="I363" s="558" t="s">
        <v>4661</v>
      </c>
      <c r="J363" s="1044"/>
      <c r="K363" s="1045"/>
      <c r="L363" s="578" t="s">
        <v>4603</v>
      </c>
      <c r="M363" s="382" t="s">
        <v>5811</v>
      </c>
      <c r="N363" s="387"/>
      <c r="O363" s="2679" cm="1" t="n">
        <f t="array" ref="O363">INDEX('5층_부하량'!D3:D3000,MATCH(1,("5-DaHall 1-PDU-15"='5층_부하량'!A3:A3000)*(16='5층_부하량'!B3:B3000),0))</f>
        <v>0.0</v>
      </c>
      <c r="P363" s="387"/>
      <c r="Q363" s="387"/>
      <c r="R363" s="394" t="s">
        <v>4590</v>
      </c>
      <c r="S363" s="382" t="s">
        <v>4642</v>
      </c>
      <c r="T363" s="395"/>
    </row>
    <row r="364" spans="1:20" s="356" customFormat="1" ht="16.5" x14ac:dyDescent="0.15">
      <c r="A364" s="1311" t="s">
        <v>5917</v>
      </c>
      <c r="B364" s="382" t="s">
        <v>4590</v>
      </c>
      <c r="C364" s="382" t="s">
        <v>4642</v>
      </c>
      <c r="D364" s="387"/>
      <c r="E364" s="387"/>
      <c r="F364" s="2679" cm="1" t="n">
        <f t="array" ref="F364">INDEX('5층_부하량'!E3:E3000,MATCH(1,("5-DaHall 1-PDU-15"='5층_부하량'!A3:A3000)*(17='5층_부하량'!B3:B3000),0))</f>
        <v>0.0</v>
      </c>
      <c r="G364" s="387"/>
      <c r="H364" s="382" t="s">
        <v>5811</v>
      </c>
      <c r="I364" s="558" t="s">
        <v>4665</v>
      </c>
      <c r="J364" s="1044"/>
      <c r="K364" s="1045"/>
      <c r="L364" s="578" t="s">
        <v>4605</v>
      </c>
      <c r="M364" s="382" t="s">
        <v>5811</v>
      </c>
      <c r="N364" s="387"/>
      <c r="O364" s="387"/>
      <c r="P364" s="2679" cm="1" t="n">
        <f t="array" ref="P364">INDEX('5층_부하량'!E3:E3000,MATCH(1,("5-DaHall 1-PDU-15"='5층_부하량'!A3:A3000)*(18='5층_부하량'!B3:B3000),0))</f>
        <v>0.0</v>
      </c>
      <c r="Q364" s="387"/>
      <c r="R364" s="394" t="s">
        <v>4590</v>
      </c>
      <c r="S364" s="382" t="s">
        <v>4642</v>
      </c>
      <c r="T364" s="395"/>
    </row>
    <row r="365" spans="1:20" s="356" customFormat="1" ht="16.5" x14ac:dyDescent="0.15">
      <c r="A365" s="1312" t="s">
        <v>5918</v>
      </c>
      <c r="B365" s="382" t="s">
        <v>4590</v>
      </c>
      <c r="C365" s="382" t="s">
        <v>4642</v>
      </c>
      <c r="D365" s="2679" cm="1" t="n">
        <f t="array" ref="D365">INDEX('5층_부하량'!C3:C3000,MATCH(1,("5-DaHall 1-PDU-15"='5층_부하량'!A3:A3000)*(19='5층_부하량'!B3:B3000),0))</f>
        <v>0.0</v>
      </c>
      <c r="E365" s="387"/>
      <c r="F365" s="387"/>
      <c r="G365" s="387"/>
      <c r="H365" s="382" t="s">
        <v>5811</v>
      </c>
      <c r="I365" s="558" t="s">
        <v>4670</v>
      </c>
      <c r="J365" s="1044"/>
      <c r="K365" s="1045"/>
      <c r="L365" s="578" t="s">
        <v>4609</v>
      </c>
      <c r="M365" s="382" t="s">
        <v>5811</v>
      </c>
      <c r="N365" s="2679" cm="1" t="n">
        <f t="array" ref="N365">INDEX('5층_부하량'!C3:C3000,MATCH(1,("5-DaHall 1-PDU-15"='5층_부하량'!A3:A3000)*(20='5층_부하량'!B3:B3000),0))</f>
        <v>0.0</v>
      </c>
      <c r="O365" s="387"/>
      <c r="P365" s="387"/>
      <c r="Q365" s="387"/>
      <c r="R365" s="394" t="s">
        <v>4590</v>
      </c>
      <c r="S365" s="382" t="s">
        <v>4642</v>
      </c>
      <c r="T365" s="395"/>
    </row>
    <row r="366" spans="1:20" s="356" customFormat="1" ht="16.5" x14ac:dyDescent="0.15">
      <c r="A366" s="1311" t="s">
        <v>5919</v>
      </c>
      <c r="B366" s="382" t="s">
        <v>4940</v>
      </c>
      <c r="C366" s="382" t="s">
        <v>4584</v>
      </c>
      <c r="D366" s="387"/>
      <c r="E366" s="2679" cm="1" t="n">
        <f t="array" ref="E366">INDEX('5층_부하량'!D3:D3000,MATCH(1,("5-DaHall 1-PDU-15"='5층_부하량'!A3:A3000)*(21='5층_부하량'!B3:B3000),0))</f>
        <v>0.0</v>
      </c>
      <c r="F366" s="387"/>
      <c r="G366" s="387"/>
      <c r="H366" s="382" t="s">
        <v>5811</v>
      </c>
      <c r="I366" s="558" t="s">
        <v>4674</v>
      </c>
      <c r="J366" s="1042"/>
      <c r="K366" s="1045"/>
      <c r="L366" s="578" t="s">
        <v>4613</v>
      </c>
      <c r="M366" s="382" t="s">
        <v>5811</v>
      </c>
      <c r="N366" s="387"/>
      <c r="O366" s="2679" cm="1" t="n">
        <f t="array" ref="O366">INDEX('5층_부하량'!D3:D3000,MATCH(1,("5-DaHall 1-PDU-15"='5층_부하량'!A3:A3000)*(22='5층_부하량'!B3:B3000),0))</f>
        <v>0.0</v>
      </c>
      <c r="P366" s="387"/>
      <c r="Q366" s="387"/>
      <c r="R366" s="394" t="s">
        <v>4590</v>
      </c>
      <c r="S366" s="382" t="s">
        <v>4642</v>
      </c>
      <c r="T366" s="395"/>
    </row>
    <row r="367" spans="1:20" s="356" customFormat="1" ht="16.5" x14ac:dyDescent="0.15">
      <c r="A367" s="1311" t="s">
        <v>5920</v>
      </c>
      <c r="B367" s="382" t="s">
        <v>4579</v>
      </c>
      <c r="C367" s="389" t="s">
        <v>4575</v>
      </c>
      <c r="D367" s="387"/>
      <c r="E367" s="387"/>
      <c r="F367" s="2679" cm="1" t="n">
        <f t="array" ref="F367">INDEX('5층_부하량'!E3:E3000,MATCH(1,("5-DaHall 1-PDU-15"='5층_부하량'!A3:A3000)*(23='5층_부하량'!B3:B3000),0))</f>
        <v>0.0</v>
      </c>
      <c r="G367" s="387"/>
      <c r="H367" s="382" t="s">
        <v>5811</v>
      </c>
      <c r="I367" s="558" t="s">
        <v>4678</v>
      </c>
      <c r="J367" s="1044" t="s">
        <v>5921</v>
      </c>
      <c r="K367" s="1045"/>
      <c r="L367" s="578" t="s">
        <v>4680</v>
      </c>
      <c r="M367" s="382" t="s">
        <v>5811</v>
      </c>
      <c r="N367" s="387"/>
      <c r="O367" s="387"/>
      <c r="P367" s="2679" cm="1" t="n">
        <f t="array" ref="P367">INDEX('5층_부하량'!E3:E3000,MATCH(1,("5-DaHall 1-PDU-15"='5층_부하량'!A3:A3000)*(24='5층_부하량'!B3:B3000),0))</f>
        <v>0.0</v>
      </c>
      <c r="Q367" s="387"/>
      <c r="R367" s="394" t="s">
        <v>4590</v>
      </c>
      <c r="S367" s="382" t="s">
        <v>4642</v>
      </c>
      <c r="T367" s="395"/>
    </row>
    <row r="368" spans="1:20" s="356" customFormat="1" ht="16.5" x14ac:dyDescent="0.15">
      <c r="A368" s="1313" t="s">
        <v>5922</v>
      </c>
      <c r="B368" s="382" t="s">
        <v>4940</v>
      </c>
      <c r="C368" s="382" t="s">
        <v>4584</v>
      </c>
      <c r="D368" s="2679" cm="1" t="n">
        <f t="array" ref="D368">INDEX('5층_부하량'!C3:C3000,MATCH(1,("5-DaHall 1-PDU-15"='5층_부하량'!A3:A3000)*(25='5층_부하량'!B3:B3000),0))</f>
        <v>0.0</v>
      </c>
      <c r="E368" s="387"/>
      <c r="F368" s="387"/>
      <c r="G368" s="387"/>
      <c r="H368" s="382" t="s">
        <v>5811</v>
      </c>
      <c r="I368" s="558" t="s">
        <v>4683</v>
      </c>
      <c r="J368" s="1044"/>
      <c r="K368" s="1045"/>
      <c r="L368" s="578" t="s">
        <v>4685</v>
      </c>
      <c r="M368" s="382" t="s">
        <v>5811</v>
      </c>
      <c r="N368" s="2679" cm="1" t="n">
        <f t="array" ref="N368">INDEX('5층_부하량'!C3:C3000,MATCH(1,("5-DaHall 1-PDU-15"='5층_부하량'!A3:A3000)*(26='5층_부하량'!B3:B3000),0))</f>
        <v>0.0</v>
      </c>
      <c r="O368" s="387"/>
      <c r="P368" s="387"/>
      <c r="Q368" s="387"/>
      <c r="R368" s="394" t="s">
        <v>4590</v>
      </c>
      <c r="S368" s="382" t="s">
        <v>4642</v>
      </c>
      <c r="T368" s="395"/>
    </row>
    <row r="369" spans="1:20" s="356" customFormat="1" ht="16.5" x14ac:dyDescent="0.15">
      <c r="A369" s="1311" t="s">
        <v>5923</v>
      </c>
      <c r="B369" s="382" t="s">
        <v>4940</v>
      </c>
      <c r="C369" s="382" t="s">
        <v>4584</v>
      </c>
      <c r="D369" s="387"/>
      <c r="E369" s="2679" cm="1" t="n">
        <f t="array" ref="E369">INDEX('5층_부하량'!D3:D3000,MATCH(1,("5-DaHall 1-PDU-15"='5층_부하량'!A3:A3000)*(27='5층_부하량'!B3:B3000),0))</f>
        <v>0.0</v>
      </c>
      <c r="F369" s="387"/>
      <c r="G369" s="387"/>
      <c r="H369" s="382" t="s">
        <v>5811</v>
      </c>
      <c r="I369" s="558" t="s">
        <v>4688</v>
      </c>
      <c r="J369" s="1042"/>
      <c r="K369" s="1045" t="s">
        <v>2937</v>
      </c>
      <c r="L369" s="1212" t="s">
        <v>4689</v>
      </c>
      <c r="M369" s="382" t="s">
        <v>5811</v>
      </c>
      <c r="N369" s="387"/>
      <c r="O369" s="2679" cm="1" t="n">
        <f t="array" ref="O369">INDEX('5층_부하량'!D3:D3000,MATCH(1,("5-DaHall 1-PDU-15"='5층_부하량'!A3:A3000)*(28='5층_부하량'!B3:B3000),0))</f>
        <v>0.0</v>
      </c>
      <c r="P369" s="387"/>
      <c r="Q369" s="387"/>
      <c r="R369" s="388" t="s">
        <v>4631</v>
      </c>
      <c r="S369" s="389" t="s">
        <v>4575</v>
      </c>
      <c r="T369" s="405" t="s">
        <v>5924</v>
      </c>
    </row>
    <row r="370" spans="1:20" s="356" customFormat="1" ht="17.25" thickBot="1" x14ac:dyDescent="0.2">
      <c r="A370" s="1314" t="s">
        <v>5925</v>
      </c>
      <c r="B370" s="35" t="s">
        <v>4579</v>
      </c>
      <c r="C370" s="39" t="s">
        <v>4575</v>
      </c>
      <c r="D370" s="408"/>
      <c r="E370" s="408"/>
      <c r="F370" s="2684" cm="1" t="n">
        <f t="array" ref="F370">INDEX('5층_부하량'!E3:E3000,MATCH(1,("5-DaHall 1-PDU-15"='5층_부하량'!A3:A3000)*(29='5층_부하량'!B3:B3000),0))</f>
        <v>0.36</v>
      </c>
      <c r="G370" s="408"/>
      <c r="H370" s="407" t="s">
        <v>5811</v>
      </c>
      <c r="I370" s="560" t="s">
        <v>4691</v>
      </c>
      <c r="J370" s="1049" t="s">
        <v>5921</v>
      </c>
      <c r="K370" s="1050"/>
      <c r="L370" s="581" t="s">
        <v>4692</v>
      </c>
      <c r="M370" s="407" t="s">
        <v>5811</v>
      </c>
      <c r="N370" s="408"/>
      <c r="O370" s="408"/>
      <c r="P370" s="2684" cm="1" t="n">
        <f t="array" ref="P370">INDEX('5층_부하량'!E3:E3000,MATCH(1,("5-DaHall 1-PDU-15"='5층_부하량'!A3:A3000)*(30='5층_부하량'!B3:B3000),0))</f>
        <v>0.0</v>
      </c>
      <c r="Q370" s="408"/>
      <c r="R370" s="409" t="s">
        <v>4590</v>
      </c>
      <c r="S370" s="407" t="s">
        <v>4642</v>
      </c>
      <c r="T370" s="410" t="s">
        <v>3869</v>
      </c>
    </row>
    <row r="371" spans="1:20" s="356" customFormat="1" ht="18" thickTop="1" thickBot="1" x14ac:dyDescent="0.2">
      <c r="L371" s="2445"/>
      <c r="M371" s="411" t="s">
        <v>5645</v>
      </c>
      <c r="N371" s="412" t="n">
        <f>SUM(D356:D370,N356:N370)</f>
        <v>6.62</v>
      </c>
      <c r="O371" s="412" t="n">
        <f>SUM(E356:E370,O356:O370)</f>
        <v>1.25</v>
      </c>
      <c r="P371" s="412" t="n">
        <f>SUM(F356:F370,P356:P370)</f>
        <v>10.52</v>
      </c>
    </row>
    <row r="372" spans="1:20" s="356" customFormat="1" ht="20.25" thickTop="1" thickBot="1" x14ac:dyDescent="0.2">
      <c r="A372" s="355" t="s">
        <v>6958</v>
      </c>
      <c r="C372" s="3660" t="s">
        <v>5926</v>
      </c>
      <c r="D372" s="3660"/>
      <c r="E372" s="3660"/>
      <c r="F372" s="3660"/>
      <c r="G372" s="357"/>
      <c r="H372" s="358"/>
      <c r="I372" s="358"/>
      <c r="J372" s="3668" t="s">
        <v>5646</v>
      </c>
      <c r="K372" s="3669"/>
      <c r="L372" s="2442"/>
      <c r="M372" s="358"/>
      <c r="N372" s="357"/>
      <c r="O372" s="357"/>
      <c r="P372" s="357"/>
      <c r="Q372" s="357"/>
      <c r="R372" s="357"/>
      <c r="S372" s="357"/>
    </row>
    <row r="373" spans="1:20" s="356" customFormat="1" ht="15" customHeight="1" thickTop="1" thickBot="1" x14ac:dyDescent="0.2">
      <c r="A373" s="3"/>
      <c r="B373"/>
      <c r="C373"/>
      <c r="D373" s="54"/>
      <c r="E373" s="54"/>
      <c r="F373" s="54"/>
      <c r="G373" s="54"/>
      <c r="H373" s="4"/>
      <c r="I373" s="4"/>
      <c r="J373"/>
      <c r="K373" s="56"/>
      <c r="L373" s="565"/>
      <c r="M373" s="1371" t="s">
        <v>4562</v>
      </c>
      <c r="N373" s="1368">
        <v>20.100000000000001</v>
      </c>
      <c r="O373" s="1369">
        <v>13.1</v>
      </c>
      <c r="P373" s="1370">
        <v>14</v>
      </c>
      <c r="Q373" s="508" t="s">
        <v>4563</v>
      </c>
      <c r="R373" s="133"/>
      <c r="S373" s="128"/>
      <c r="T373" s="528"/>
    </row>
    <row r="374" spans="1:20" s="356" customFormat="1" ht="18" thickTop="1" thickBot="1" x14ac:dyDescent="0.2">
      <c r="A374" s="364" t="s">
        <v>4564</v>
      </c>
      <c r="B374" s="365" t="s">
        <v>4565</v>
      </c>
      <c r="C374" s="366" t="s">
        <v>4566</v>
      </c>
      <c r="D374" s="365" t="s">
        <v>4567</v>
      </c>
      <c r="E374" s="365" t="s">
        <v>4568</v>
      </c>
      <c r="F374" s="365" t="s">
        <v>4569</v>
      </c>
      <c r="G374" s="365" t="s">
        <v>4570</v>
      </c>
      <c r="H374" s="367" t="s">
        <v>4571</v>
      </c>
      <c r="I374" s="557"/>
      <c r="J374" s="368" t="s">
        <v>4572</v>
      </c>
      <c r="K374" s="369" t="s">
        <v>4572</v>
      </c>
      <c r="L374" s="575"/>
      <c r="M374" s="367" t="s">
        <v>4571</v>
      </c>
      <c r="N374" s="365" t="s">
        <v>4567</v>
      </c>
      <c r="O374" s="365" t="s">
        <v>4568</v>
      </c>
      <c r="P374" s="365" t="s">
        <v>4569</v>
      </c>
      <c r="Q374" s="365" t="s">
        <v>4570</v>
      </c>
      <c r="R374" s="365" t="s">
        <v>4565</v>
      </c>
      <c r="S374" s="366" t="s">
        <v>4566</v>
      </c>
      <c r="T374" s="370" t="s">
        <v>4564</v>
      </c>
    </row>
    <row r="375" spans="1:20" s="356" customFormat="1" ht="17.25" thickTop="1" x14ac:dyDescent="0.15">
      <c r="A375" s="371"/>
      <c r="B375" s="372" t="s">
        <v>4590</v>
      </c>
      <c r="C375" s="373" t="s">
        <v>4642</v>
      </c>
      <c r="D375" s="2681" cm="1" t="n">
        <f t="array" ref="D375">INDEX('5층_부하량'!C3:C3000,MATCH(1,("5-DaHall 1-PDU-12"='5층_부하량'!A3:A3000)*(1='5층_부하량'!B3:B3000),0))</f>
        <v>0.0</v>
      </c>
      <c r="E375" s="2681" cm="1" t="n">
        <f t="array" ref="E375">INDEX('5층_부하량'!D3:D3000,MATCH(1,("5-DaHall 1-PDU-12"='5층_부하량'!A3:A3000)*(1='5층_부하량'!B3:B3000),0))</f>
        <v>0.0</v>
      </c>
      <c r="F375" s="2681" cm="1" t="n">
        <f t="array" ref="F375">INDEX('5층_부하량'!E3:E3000,MATCH(1,("5-DaHall 1-PDU-12"='5층_부하량'!A3:A3000)*(1='5층_부하량'!B3:B3000),0))</f>
        <v>0.0</v>
      </c>
      <c r="G375" s="374"/>
      <c r="H375" s="373" t="s">
        <v>5786</v>
      </c>
      <c r="I375" s="2446" t="s">
        <v>5894</v>
      </c>
      <c r="J375" s="1051"/>
      <c r="K375" s="1052"/>
      <c r="L375" s="1449" t="s">
        <v>5896</v>
      </c>
      <c r="M375" s="372" t="s">
        <v>5786</v>
      </c>
      <c r="N375" s="2681" cm="1" t="n">
        <f t="array" ref="N375">INDEX('5층_부하량'!C3:C3000,MATCH(1,("5-DaHall 1-PDU-12"='5층_부하량'!A3:A3000)*(2='5층_부하량'!B3:B3000),0))</f>
        <v>0.0</v>
      </c>
      <c r="O375" s="2681" cm="1" t="n">
        <f t="array" ref="O375">INDEX('5층_부하량'!D3:D3000,MATCH(1,("5-DaHall 1-PDU-12"='5층_부하량'!A3:A3000)*(2='5층_부하량'!B3:B3000),0))</f>
        <v>0.0</v>
      </c>
      <c r="P375" s="2681" cm="1" t="n">
        <f t="array" ref="P375">INDEX('5층_부하량'!E3:E3000,MATCH(1,("5-DaHall 1-PDU-12"='5층_부하량'!A3:A3000)*(2='5층_부하량'!B3:B3000),0))</f>
        <v>0.0</v>
      </c>
      <c r="Q375" s="374"/>
      <c r="R375" s="378" t="s">
        <v>4590</v>
      </c>
      <c r="S375" s="372" t="s">
        <v>4642</v>
      </c>
      <c r="T375" s="380"/>
    </row>
    <row r="376" spans="1:20" s="356" customFormat="1" ht="16.5" x14ac:dyDescent="0.15">
      <c r="A376" s="381" t="s">
        <v>5927</v>
      </c>
      <c r="B376" s="382" t="s">
        <v>4631</v>
      </c>
      <c r="C376" s="389" t="s">
        <v>4575</v>
      </c>
      <c r="D376" s="2682" cm="1" t="n">
        <f t="array" ref="D376">INDEX('5층_부하량'!C3:C3000,MATCH(1,("5-DaHall 1-PDU-12"='5층_부하량'!A3:A3000)*(3='5층_부하량'!B3:B3000),0))</f>
        <v>0.0</v>
      </c>
      <c r="E376" s="383"/>
      <c r="F376" s="383"/>
      <c r="G376" s="383"/>
      <c r="H376" s="382" t="s">
        <v>5790</v>
      </c>
      <c r="I376" s="558" t="s">
        <v>4638</v>
      </c>
      <c r="J376" s="1042" t="s">
        <v>5832</v>
      </c>
      <c r="K376" s="1043" t="s">
        <v>5832</v>
      </c>
      <c r="L376" s="577" t="s">
        <v>4583</v>
      </c>
      <c r="M376" s="382" t="s">
        <v>5786</v>
      </c>
      <c r="N376" s="2682" cm="1" t="n">
        <f t="array" ref="N376">INDEX('5층_부하량'!C3:C3000,MATCH(1,("5-DaHall 1-PDU-12"='5층_부하량'!A3:A3000)*(4='5층_부하량'!B3:B3000),0))</f>
        <v>0.0</v>
      </c>
      <c r="O376" s="383"/>
      <c r="P376" s="383"/>
      <c r="Q376" s="383"/>
      <c r="R376" s="388" t="s">
        <v>4631</v>
      </c>
      <c r="S376" s="389" t="s">
        <v>4575</v>
      </c>
      <c r="T376" s="395" t="s">
        <v>5928</v>
      </c>
    </row>
    <row r="377" spans="1:20" s="356" customFormat="1" ht="16.5" x14ac:dyDescent="0.15">
      <c r="A377" s="667" t="s">
        <v>5929</v>
      </c>
      <c r="B377" s="382" t="s">
        <v>4631</v>
      </c>
      <c r="C377" s="389" t="s">
        <v>4575</v>
      </c>
      <c r="D377" s="387"/>
      <c r="E377" s="2679" cm="1" t="n">
        <f t="array" ref="E377">INDEX('5층_부하량'!D3:D3000,MATCH(1,("5-DaHall 1-PDU-12"='5층_부하량'!A3:A3000)*(5='5층_부하량'!B3:B3000),0))</f>
        <v>0.0</v>
      </c>
      <c r="F377" s="387"/>
      <c r="G377" s="387"/>
      <c r="H377" s="382" t="s">
        <v>5786</v>
      </c>
      <c r="I377" s="1211" t="s">
        <v>4641</v>
      </c>
      <c r="J377" s="1053" t="s">
        <v>5828</v>
      </c>
      <c r="K377" s="1043" t="s">
        <v>5832</v>
      </c>
      <c r="L377" s="577" t="s">
        <v>4588</v>
      </c>
      <c r="M377" s="382" t="s">
        <v>5786</v>
      </c>
      <c r="N377" s="387"/>
      <c r="O377" s="2679" cm="1" t="n">
        <f t="array" ref="O377">INDEX('5층_부하량'!D3:D3000,MATCH(1,("5-DaHall 1-PDU-12"='5층_부하량'!A3:A3000)*(6='5층_부하량'!B3:B3000),0))</f>
        <v>0.0</v>
      </c>
      <c r="P377" s="387"/>
      <c r="Q377" s="387"/>
      <c r="R377" s="394" t="s">
        <v>4631</v>
      </c>
      <c r="S377" s="389" t="s">
        <v>4575</v>
      </c>
      <c r="T377" s="390" t="s">
        <v>2999</v>
      </c>
    </row>
    <row r="378" spans="1:20" s="356" customFormat="1" ht="16.5" x14ac:dyDescent="0.15">
      <c r="A378" s="391"/>
      <c r="B378" s="382" t="s">
        <v>4590</v>
      </c>
      <c r="C378" s="382" t="s">
        <v>4642</v>
      </c>
      <c r="D378" s="387"/>
      <c r="E378" s="387"/>
      <c r="F378" s="2679" cm="1" t="n">
        <f t="array" ref="F378">INDEX('5층_부하량'!E3:E3000,MATCH(1,("5-DaHall 1-PDU-12"='5층_부하량'!A3:A3000)*(7='5층_부하량'!B3:B3000),0))</f>
        <v>0.0</v>
      </c>
      <c r="G378" s="387"/>
      <c r="H378" s="382" t="s">
        <v>5786</v>
      </c>
      <c r="I378" s="1450" t="s">
        <v>4645</v>
      </c>
      <c r="J378" s="1042" t="s">
        <v>5832</v>
      </c>
      <c r="K378" s="1043" t="s">
        <v>5832</v>
      </c>
      <c r="L378" s="577" t="s">
        <v>4593</v>
      </c>
      <c r="M378" s="382" t="s">
        <v>5790</v>
      </c>
      <c r="N378" s="387"/>
      <c r="O378" s="387"/>
      <c r="P378" s="2679" cm="1" t="n">
        <f t="array" ref="P378">INDEX('5층_부하량'!E3:E3000,MATCH(1,("5-DaHall 1-PDU-12"='5층_부하량'!A3:A3000)*(8='5층_부하량'!B3:B3000),0))</f>
        <v>0.0</v>
      </c>
      <c r="Q378" s="387"/>
      <c r="R378" s="394" t="s">
        <v>4631</v>
      </c>
      <c r="S378" s="389" t="s">
        <v>4575</v>
      </c>
      <c r="T378" s="395" t="s">
        <v>3006</v>
      </c>
    </row>
    <row r="379" spans="1:20" s="356" customFormat="1" ht="16.5" x14ac:dyDescent="0.15">
      <c r="A379" s="668" t="s">
        <v>5930</v>
      </c>
      <c r="B379" s="382" t="s">
        <v>4631</v>
      </c>
      <c r="C379" s="389" t="s">
        <v>4575</v>
      </c>
      <c r="D379" s="2679" cm="1" t="n">
        <f t="array" ref="D379">INDEX('5층_부하량'!C3:C3000,MATCH(1,("5-DaHall 1-PDU-12"='5층_부하량'!A3:A3000)*(9='5층_부하량'!B3:B3000),0))</f>
        <v>0.0</v>
      </c>
      <c r="E379" s="387"/>
      <c r="F379" s="387"/>
      <c r="G379" s="387"/>
      <c r="H379" s="382" t="s">
        <v>5786</v>
      </c>
      <c r="I379" s="1211" t="s">
        <v>4648</v>
      </c>
      <c r="J379" s="1042" t="s">
        <v>5832</v>
      </c>
      <c r="K379" s="1043" t="s">
        <v>5832</v>
      </c>
      <c r="L379" s="577" t="s">
        <v>4596</v>
      </c>
      <c r="M379" s="382" t="s">
        <v>5801</v>
      </c>
      <c r="N379" s="2679" cm="1" t="n">
        <f t="array" ref="N379">INDEX('5층_부하량'!C3:C3000,MATCH(1,("5-DaHall 1-PDU-12"='5층_부하량'!A3:A3000)*(10='5층_부하량'!B3:B3000),0))</f>
        <v>0.0</v>
      </c>
      <c r="O379" s="387"/>
      <c r="P379" s="387"/>
      <c r="Q379" s="387"/>
      <c r="R379" s="394" t="s">
        <v>4631</v>
      </c>
      <c r="S379" s="389" t="s">
        <v>4575</v>
      </c>
      <c r="T379" s="413" t="s">
        <v>3011</v>
      </c>
    </row>
    <row r="380" spans="1:20" s="356" customFormat="1" ht="17.25" thickBot="1" x14ac:dyDescent="0.2">
      <c r="A380" s="414" t="s">
        <v>5931</v>
      </c>
      <c r="B380" s="415" t="s">
        <v>4631</v>
      </c>
      <c r="C380" s="416" t="s">
        <v>4575</v>
      </c>
      <c r="D380" s="417"/>
      <c r="E380" s="2686" cm="1" t="n">
        <f t="array" ref="E380">INDEX('5층_부하량'!D3:D3000,MATCH(1,("5-DaHall 1-PDU-12"='5층_부하량'!A3:A3000)*(11='5층_부하량'!B3:B3000),0))</f>
        <v>0.0</v>
      </c>
      <c r="F380" s="417"/>
      <c r="G380" s="417"/>
      <c r="H380" s="415" t="s">
        <v>5786</v>
      </c>
      <c r="I380" s="1213" t="s">
        <v>4653</v>
      </c>
      <c r="J380" s="1054" t="s">
        <v>5832</v>
      </c>
      <c r="K380" s="1055" t="s">
        <v>5832</v>
      </c>
      <c r="L380" s="582" t="s">
        <v>4599</v>
      </c>
      <c r="M380" s="415" t="s">
        <v>5801</v>
      </c>
      <c r="N380" s="417"/>
      <c r="O380" s="2686" cm="1" t="n">
        <f t="array" ref="O380">INDEX('5층_부하량'!D3:D3000,MATCH(1,("5-DaHall 1-PDU-12"='5층_부하량'!A3:A3000)*(12='5층_부하량'!B3:B3000),0))</f>
        <v>0.0</v>
      </c>
      <c r="P380" s="417"/>
      <c r="Q380" s="417"/>
      <c r="R380" s="421" t="s">
        <v>4631</v>
      </c>
      <c r="S380" s="416" t="s">
        <v>4575</v>
      </c>
      <c r="T380" s="422" t="s">
        <v>3016</v>
      </c>
    </row>
    <row r="381" spans="1:20" s="356" customFormat="1" ht="17.25" thickTop="1" x14ac:dyDescent="0.15">
      <c r="A381" s="403" t="s">
        <v>5932</v>
      </c>
      <c r="B381" s="372" t="s">
        <v>4631</v>
      </c>
      <c r="C381" s="379" t="s">
        <v>4575</v>
      </c>
      <c r="D381" s="401"/>
      <c r="E381" s="401"/>
      <c r="F381" s="2678" cm="1" t="n">
        <f t="array" ref="F381">INDEX('5층_부하량'!E3:E3000,MATCH(1,("5-DaHall 1-PDU-12"='5층_부하량'!A3:A3000)*(13='5층_부하량'!B3:B3000),0))</f>
        <v>0.0</v>
      </c>
      <c r="G381" s="401"/>
      <c r="H381" s="372" t="s">
        <v>5883</v>
      </c>
      <c r="I381" s="1216" t="s">
        <v>4657</v>
      </c>
      <c r="J381" s="1051" t="s">
        <v>5832</v>
      </c>
      <c r="K381" s="1052" t="s">
        <v>5832</v>
      </c>
      <c r="L381" s="576" t="s">
        <v>4601</v>
      </c>
      <c r="M381" s="372" t="s">
        <v>5801</v>
      </c>
      <c r="N381" s="401"/>
      <c r="O381" s="401"/>
      <c r="P381" s="2678" cm="1" t="n">
        <f t="array" ref="P381">INDEX('5층_부하량'!E3:E3000,MATCH(1,("5-DaHall 1-PDU-12"='5층_부하량'!A3:A3000)*(14='5층_부하량'!B3:B3000),0))</f>
        <v>0.0</v>
      </c>
      <c r="Q381" s="401"/>
      <c r="R381" s="402" t="s">
        <v>4631</v>
      </c>
      <c r="S381" s="379" t="s">
        <v>4575</v>
      </c>
      <c r="T381" s="423" t="s">
        <v>3021</v>
      </c>
    </row>
    <row r="382" spans="1:20" s="356" customFormat="1" ht="16.5" x14ac:dyDescent="0.15">
      <c r="A382" s="391" t="s">
        <v>5933</v>
      </c>
      <c r="B382" s="424" t="s">
        <v>4631</v>
      </c>
      <c r="C382" s="425" t="s">
        <v>4575</v>
      </c>
      <c r="D382" s="2687" cm="1" t="n">
        <f t="array" ref="D382">INDEX('5층_부하량'!C3:C3000,MATCH(1,("5-DaHall 1-PDU-12"='5층_부하량'!A3:A3000)*(15='5층_부하량'!B3:B3000),0))</f>
        <v>0.0</v>
      </c>
      <c r="E382" s="426"/>
      <c r="F382" s="426"/>
      <c r="G382" s="426"/>
      <c r="H382" s="424" t="s">
        <v>5801</v>
      </c>
      <c r="I382" s="1217" t="s">
        <v>4661</v>
      </c>
      <c r="J382" s="1056" t="s">
        <v>5832</v>
      </c>
      <c r="K382" s="1057" t="s">
        <v>5832</v>
      </c>
      <c r="L382" s="583" t="s">
        <v>4603</v>
      </c>
      <c r="M382" s="424" t="s">
        <v>5811</v>
      </c>
      <c r="N382" s="2687" cm="1" t="n">
        <f t="array" ref="N382">INDEX('5층_부하량'!C3:C3000,MATCH(1,("5-DaHall 1-PDU-12"='5층_부하량'!A3:A3000)*(16='5층_부하량'!B3:B3000),0))</f>
        <v>0.0</v>
      </c>
      <c r="O382" s="426"/>
      <c r="P382" s="426"/>
      <c r="Q382" s="426"/>
      <c r="R382" s="429" t="s">
        <v>4631</v>
      </c>
      <c r="S382" s="425" t="s">
        <v>4575</v>
      </c>
      <c r="T382" s="395" t="s">
        <v>3027</v>
      </c>
    </row>
    <row r="383" spans="1:20" s="356" customFormat="1" ht="16.5" x14ac:dyDescent="0.15">
      <c r="A383" s="403" t="s">
        <v>5934</v>
      </c>
      <c r="B383" s="382" t="s">
        <v>4631</v>
      </c>
      <c r="C383" s="17" t="s">
        <v>4584</v>
      </c>
      <c r="D383" s="387"/>
      <c r="E383" s="2679" cm="1" t="n">
        <f t="array" ref="E383">INDEX('5층_부하량'!D3:D3000,MATCH(1,("5-DaHall 1-PDU-12"='5층_부하량'!A3:A3000)*(17='5층_부하량'!B3:B3000),0))</f>
        <v>0.0</v>
      </c>
      <c r="F383" s="387"/>
      <c r="G383" s="387"/>
      <c r="H383" s="382" t="s">
        <v>5801</v>
      </c>
      <c r="I383" s="1211" t="s">
        <v>4665</v>
      </c>
      <c r="J383" s="1042" t="s">
        <v>5832</v>
      </c>
      <c r="K383" s="1043" t="s">
        <v>5832</v>
      </c>
      <c r="L383" s="577" t="s">
        <v>4605</v>
      </c>
      <c r="M383" s="382" t="s">
        <v>5801</v>
      </c>
      <c r="N383" s="387"/>
      <c r="O383" s="2679" cm="1" t="n">
        <f t="array" ref="O383">INDEX('5층_부하량'!D3:D3000,MATCH(1,("5-DaHall 1-PDU-12"='5층_부하량'!A3:A3000)*(18='5층_부하량'!B3:B3000),0))</f>
        <v>1.8900000000000001</v>
      </c>
      <c r="P383" s="387"/>
      <c r="Q383" s="387"/>
      <c r="R383" s="394" t="s">
        <v>4631</v>
      </c>
      <c r="S383" s="389" t="s">
        <v>4575</v>
      </c>
      <c r="T383" s="395" t="s">
        <v>3032</v>
      </c>
    </row>
    <row r="384" spans="1:20" s="356" customFormat="1" ht="16.5" x14ac:dyDescent="0.15">
      <c r="A384" s="391" t="s">
        <v>5935</v>
      </c>
      <c r="B384" s="382" t="s">
        <v>4631</v>
      </c>
      <c r="C384" s="389" t="s">
        <v>4575</v>
      </c>
      <c r="D384" s="387"/>
      <c r="E384" s="387"/>
      <c r="F384" s="2679" cm="1" t="n">
        <f t="array" ref="F384">INDEX('5층_부하량'!E3:E3000,MATCH(1,("5-DaHall 1-PDU-12"='5층_부하량'!A3:A3000)*(19='5층_부하량'!B3:B3000),0))</f>
        <v>0.0</v>
      </c>
      <c r="G384" s="387"/>
      <c r="H384" s="382" t="s">
        <v>5811</v>
      </c>
      <c r="I384" s="1211" t="s">
        <v>4670</v>
      </c>
      <c r="J384" s="1042" t="s">
        <v>5862</v>
      </c>
      <c r="K384" s="1045"/>
      <c r="L384" s="1451" t="s">
        <v>4609</v>
      </c>
      <c r="M384" s="382" t="s">
        <v>5811</v>
      </c>
      <c r="N384" s="387"/>
      <c r="O384" s="387"/>
      <c r="P384" s="2679" cm="1" t="n">
        <f t="array" ref="P384">INDEX('5층_부하량'!E3:E3000,MATCH(1,("5-DaHall 1-PDU-12"='5층_부하량'!A3:A3000)*(20='5층_부하량'!B3:B3000),0))</f>
        <v>0.0</v>
      </c>
      <c r="Q384" s="387"/>
      <c r="R384" s="394" t="s">
        <v>4590</v>
      </c>
      <c r="S384" s="382" t="s">
        <v>4642</v>
      </c>
      <c r="T384" s="430"/>
    </row>
    <row r="385" spans="1:20" s="356" customFormat="1" ht="16.5" x14ac:dyDescent="0.15">
      <c r="A385" s="403" t="s">
        <v>5936</v>
      </c>
      <c r="B385" s="382" t="s">
        <v>4631</v>
      </c>
      <c r="C385" s="389" t="s">
        <v>4575</v>
      </c>
      <c r="D385" s="2679" cm="1" t="n">
        <f t="array" ref="D385">INDEX('5층_부하량'!C3:C3000,MATCH(1,("5-DaHall 1-PDU-12"='5층_부하량'!A3:A3000)*(21='5층_부하량'!B3:B3000),0))</f>
        <v>0.0</v>
      </c>
      <c r="E385" s="387"/>
      <c r="F385" s="387"/>
      <c r="G385" s="387"/>
      <c r="H385" s="382" t="s">
        <v>5811</v>
      </c>
      <c r="I385" s="1211" t="s">
        <v>4674</v>
      </c>
      <c r="J385" s="1042" t="s">
        <v>5865</v>
      </c>
      <c r="K385" s="1045"/>
      <c r="L385" s="578" t="s">
        <v>4613</v>
      </c>
      <c r="M385" s="382" t="s">
        <v>5811</v>
      </c>
      <c r="N385" s="2679" cm="1" t="n">
        <f t="array" ref="N385">INDEX('5층_부하량'!C3:C3000,MATCH(1,("5-DaHall 1-PDU-12"='5층_부하량'!A3:A3000)*(22='5층_부하량'!B3:B3000),0))</f>
        <v>0.0</v>
      </c>
      <c r="O385" s="387"/>
      <c r="P385" s="387"/>
      <c r="Q385" s="387"/>
      <c r="R385" s="394" t="s">
        <v>5937</v>
      </c>
      <c r="S385" s="382" t="s">
        <v>5660</v>
      </c>
      <c r="T385" s="422" t="s">
        <v>5938</v>
      </c>
    </row>
    <row r="386" spans="1:20" s="356" customFormat="1" ht="16.5" x14ac:dyDescent="0.15">
      <c r="A386" s="391" t="s">
        <v>5939</v>
      </c>
      <c r="B386" s="382" t="s">
        <v>4631</v>
      </c>
      <c r="C386" s="389" t="s">
        <v>4575</v>
      </c>
      <c r="D386" s="387"/>
      <c r="E386" s="2679" cm="1" t="n">
        <f t="array" ref="E386">INDEX('5층_부하량'!D3:D3000,MATCH(1,("5-DaHall 1-PDU-12"='5층_부하량'!A3:A3000)*(23='5층_부하량'!B3:B3000),0))</f>
        <v>0.0</v>
      </c>
      <c r="F386" s="387"/>
      <c r="G386" s="387"/>
      <c r="H386" s="382" t="s">
        <v>5811</v>
      </c>
      <c r="I386" s="1211" t="s">
        <v>4678</v>
      </c>
      <c r="J386" s="1042" t="s">
        <v>5868</v>
      </c>
      <c r="K386" s="1058" t="s">
        <v>2824</v>
      </c>
      <c r="L386" s="578" t="s">
        <v>4680</v>
      </c>
      <c r="M386" s="382" t="s">
        <v>5811</v>
      </c>
      <c r="N386" s="387"/>
      <c r="O386" s="2679" cm="1" t="n">
        <f t="array" ref="O386">INDEX('5층_부하량'!D3:D3000,MATCH(1,("5-DaHall 1-PDU-12"='5층_부하량'!A3:A3000)*(24='5층_부하량'!B3:B3000),0))</f>
        <v>3.4699999999999998</v>
      </c>
      <c r="P386" s="387"/>
      <c r="Q386" s="387"/>
      <c r="R386" s="394" t="s">
        <v>4631</v>
      </c>
      <c r="S386" s="389" t="s">
        <v>4575</v>
      </c>
      <c r="T386" s="670" t="s">
        <v>5940</v>
      </c>
    </row>
    <row r="387" spans="1:20" s="356" customFormat="1" ht="16.5" x14ac:dyDescent="0.15">
      <c r="A387" s="403" t="s">
        <v>5941</v>
      </c>
      <c r="B387" s="382" t="s">
        <v>4631</v>
      </c>
      <c r="C387" s="389" t="s">
        <v>4575</v>
      </c>
      <c r="D387" s="387"/>
      <c r="E387" s="387"/>
      <c r="F387" s="2679" cm="1" t="n">
        <f t="array" ref="F387">INDEX('5층_부하량'!E3:E3000,MATCH(1,("5-DaHall 1-PDU-12"='5층_부하량'!A3:A3000)*(25='5층_부하량'!B3:B3000),0))</f>
        <v>3.11</v>
      </c>
      <c r="G387" s="387"/>
      <c r="H387" s="382" t="s">
        <v>5811</v>
      </c>
      <c r="I387" s="1211" t="s">
        <v>4683</v>
      </c>
      <c r="J387" s="1042" t="s">
        <v>5871</v>
      </c>
      <c r="K387" s="1058" t="s">
        <v>5828</v>
      </c>
      <c r="L387" s="1212" t="s">
        <v>4685</v>
      </c>
      <c r="M387" s="382" t="s">
        <v>5811</v>
      </c>
      <c r="N387" s="387"/>
      <c r="O387" s="387"/>
      <c r="P387" s="2679" cm="1" t="n">
        <f t="array" ref="P387">INDEX('5층_부하량'!E3:E3000,MATCH(1,("5-DaHall 1-PDU-12"='5층_부하량'!A3:A3000)*(26='5층_부하량'!B3:B3000),0))</f>
        <v>0.0</v>
      </c>
      <c r="Q387" s="387"/>
      <c r="R387" s="394" t="s">
        <v>4631</v>
      </c>
      <c r="S387" s="389" t="s">
        <v>4575</v>
      </c>
      <c r="T387" s="671" t="s">
        <v>5942</v>
      </c>
    </row>
    <row r="388" spans="1:20" s="356" customFormat="1" ht="16.5" x14ac:dyDescent="0.15">
      <c r="A388" s="391" t="s">
        <v>5943</v>
      </c>
      <c r="B388" s="382" t="s">
        <v>4631</v>
      </c>
      <c r="C388" s="389" t="s">
        <v>4575</v>
      </c>
      <c r="D388" s="2679" cm="1" t="n">
        <f t="array" ref="D388">INDEX('5층_부하량'!C3:C3000,MATCH(1,("5-DaHall 1-PDU-12"='5층_부하량'!A3:A3000)*(27='5층_부하량'!B3:B3000),0))</f>
        <v>0.0</v>
      </c>
      <c r="E388" s="387"/>
      <c r="F388" s="387"/>
      <c r="G388" s="387"/>
      <c r="H388" s="382" t="s">
        <v>5811</v>
      </c>
      <c r="I388" s="1211" t="s">
        <v>4688</v>
      </c>
      <c r="J388" s="1042" t="s">
        <v>5874</v>
      </c>
      <c r="K388" s="1045"/>
      <c r="L388" s="1212" t="s">
        <v>4689</v>
      </c>
      <c r="M388" s="382" t="s">
        <v>5811</v>
      </c>
      <c r="N388" s="2679" cm="1" t="n">
        <f t="array" ref="N388">INDEX('5층_부하량'!C3:C3000,MATCH(1,("5-DaHall 1-PDU-12"='5층_부하량'!A3:A3000)*(28='5층_부하량'!B3:B3000),0))</f>
        <v>3.48</v>
      </c>
      <c r="O388" s="387"/>
      <c r="P388" s="387"/>
      <c r="Q388" s="387"/>
      <c r="R388" s="394" t="s">
        <v>4631</v>
      </c>
      <c r="S388" s="389" t="s">
        <v>4575</v>
      </c>
      <c r="T388" s="395" t="s">
        <v>5944</v>
      </c>
    </row>
    <row r="389" spans="1:20" s="356" customFormat="1" ht="16.5" x14ac:dyDescent="0.15">
      <c r="A389" s="403" t="s">
        <v>5945</v>
      </c>
      <c r="B389" s="382" t="s">
        <v>4631</v>
      </c>
      <c r="C389" s="389" t="s">
        <v>4575</v>
      </c>
      <c r="D389" s="387"/>
      <c r="E389" s="2679" cm="1" t="n">
        <f t="array" ref="E389">INDEX('5층_부하량'!D3:D3000,MATCH(1,("5-DaHall 1-PDU-12"='5층_부하량'!A3:A3000)*(29='5층_부하량'!B3:B3000),0))</f>
        <v>0.0</v>
      </c>
      <c r="F389" s="387"/>
      <c r="G389" s="387"/>
      <c r="H389" s="382" t="s">
        <v>5811</v>
      </c>
      <c r="I389" s="1450" t="s">
        <v>4691</v>
      </c>
      <c r="J389" s="1042" t="s">
        <v>5832</v>
      </c>
      <c r="K389" s="1058" t="s">
        <v>5828</v>
      </c>
      <c r="L389" s="1212" t="s">
        <v>4692</v>
      </c>
      <c r="M389" s="382" t="s">
        <v>5811</v>
      </c>
      <c r="N389" s="387"/>
      <c r="O389" s="2679" cm="1" t="n">
        <f t="array" ref="O389">INDEX('5층_부하량'!D3:D3000,MATCH(1,("5-DaHall 1-PDU-12"='5층_부하량'!A3:A3000)*(30='5층_부하량'!B3:B3000),0))</f>
        <v>5.67</v>
      </c>
      <c r="P389" s="387"/>
      <c r="Q389" s="387"/>
      <c r="R389" s="394" t="s">
        <v>4590</v>
      </c>
      <c r="S389" s="389" t="s">
        <v>4575</v>
      </c>
      <c r="T389" s="672" t="s">
        <v>5946</v>
      </c>
    </row>
    <row r="390" spans="1:20" s="356" customFormat="1" ht="17.25" thickBot="1" x14ac:dyDescent="0.2">
      <c r="A390" s="431" t="s">
        <v>5947</v>
      </c>
      <c r="B390" s="432" t="s">
        <v>4631</v>
      </c>
      <c r="C390" s="432" t="s">
        <v>4642</v>
      </c>
      <c r="D390" s="433"/>
      <c r="E390" s="433"/>
      <c r="F390" s="2680" cm="1" t="n">
        <f t="array" ref="F390">INDEX('5층_부하량'!E3:E3000,MATCH(1,("5-DaHall 1-PDU-12"='5층_부하량'!A3:A3000)*(31='5층_부하량'!B3:B3000),0))</f>
        <v>0.0</v>
      </c>
      <c r="G390" s="433"/>
      <c r="H390" s="432" t="s">
        <v>5811</v>
      </c>
      <c r="I390" s="1452" t="s">
        <v>4693</v>
      </c>
      <c r="J390" s="1059" t="s">
        <v>5832</v>
      </c>
      <c r="K390" s="1060" t="s">
        <v>5832</v>
      </c>
      <c r="L390" s="1219" t="s">
        <v>5948</v>
      </c>
      <c r="M390" s="432" t="s">
        <v>5811</v>
      </c>
      <c r="N390" s="433"/>
      <c r="O390" s="433"/>
      <c r="P390" s="2680" cm="1" t="n">
        <f t="array" ref="P390">INDEX('5층_부하량'!E3:E3000,MATCH(1,("5-DaHall 1-PDU-12"='5층_부하량'!A3:A3000)*(32='5층_부하량'!B3:B3000),0))</f>
        <v>3.05</v>
      </c>
      <c r="Q390" s="433"/>
      <c r="R390" s="436" t="s">
        <v>4631</v>
      </c>
      <c r="S390" s="437" t="s">
        <v>4575</v>
      </c>
      <c r="T390" s="438" t="s">
        <v>5949</v>
      </c>
    </row>
    <row r="391" spans="1:20" s="356" customFormat="1" ht="18" thickTop="1" thickBot="1" x14ac:dyDescent="0.2">
      <c r="L391" s="2445"/>
      <c r="M391" s="411" t="s">
        <v>5645</v>
      </c>
      <c r="N391" s="412" t="n">
        <f>SUM(D375:D390,N375:N390)</f>
        <v>3.48</v>
      </c>
      <c r="O391" s="412" t="n">
        <f>SUM(E375:E390,O375:O390)</f>
        <v>11.03</v>
      </c>
      <c r="P391" s="412" t="n">
        <f>SUM(F375:F390,P375:P390)</f>
        <v>6.16</v>
      </c>
    </row>
    <row r="392" spans="1:20" s="356" customFormat="1" ht="20.25" thickTop="1" thickBot="1" x14ac:dyDescent="0.2">
      <c r="A392" s="355" t="s">
        <v>6959</v>
      </c>
      <c r="C392" s="3660" t="s">
        <v>5950</v>
      </c>
      <c r="D392" s="3660"/>
      <c r="E392" s="3660"/>
      <c r="F392" s="3660"/>
      <c r="G392" s="357"/>
      <c r="H392" s="358"/>
      <c r="I392" s="358"/>
      <c r="J392" s="3668" t="s">
        <v>5646</v>
      </c>
      <c r="K392" s="3669"/>
      <c r="L392" s="2442"/>
      <c r="M392" s="358"/>
      <c r="N392" s="357"/>
      <c r="O392" s="357"/>
      <c r="P392" s="357"/>
      <c r="Q392" s="357"/>
      <c r="R392" s="357"/>
      <c r="S392" s="357"/>
    </row>
    <row r="393" spans="1:20" s="356" customFormat="1" ht="18" customHeight="1" thickTop="1" thickBot="1" x14ac:dyDescent="0.2">
      <c r="A393" s="3"/>
      <c r="B393"/>
      <c r="C393"/>
      <c r="D393" s="54"/>
      <c r="E393" s="54"/>
      <c r="F393" s="54"/>
      <c r="G393" s="54"/>
      <c r="H393" s="4"/>
      <c r="I393" s="4"/>
      <c r="J393"/>
      <c r="K393" s="56"/>
      <c r="L393" s="565"/>
      <c r="M393" s="1371" t="s">
        <v>4562</v>
      </c>
      <c r="N393" s="1368">
        <v>13.4</v>
      </c>
      <c r="O393" s="1369">
        <v>11.6</v>
      </c>
      <c r="P393" s="1370">
        <v>7.6</v>
      </c>
      <c r="Q393" s="508" t="s">
        <v>4563</v>
      </c>
      <c r="R393" s="133"/>
      <c r="S393" s="128"/>
      <c r="T393" s="528"/>
    </row>
    <row r="394" spans="1:20" s="356" customFormat="1" ht="18" thickTop="1" thickBot="1" x14ac:dyDescent="0.2">
      <c r="A394" s="364" t="s">
        <v>4564</v>
      </c>
      <c r="B394" s="365" t="s">
        <v>4565</v>
      </c>
      <c r="C394" s="366" t="s">
        <v>4566</v>
      </c>
      <c r="D394" s="365" t="s">
        <v>4567</v>
      </c>
      <c r="E394" s="365" t="s">
        <v>4568</v>
      </c>
      <c r="F394" s="365" t="s">
        <v>4569</v>
      </c>
      <c r="G394" s="365" t="s">
        <v>4570</v>
      </c>
      <c r="H394" s="367" t="s">
        <v>4571</v>
      </c>
      <c r="I394" s="557"/>
      <c r="J394" s="368" t="s">
        <v>4572</v>
      </c>
      <c r="K394" s="369" t="s">
        <v>4572</v>
      </c>
      <c r="L394" s="575"/>
      <c r="M394" s="367" t="s">
        <v>4571</v>
      </c>
      <c r="N394" s="365" t="s">
        <v>4567</v>
      </c>
      <c r="O394" s="365" t="s">
        <v>4568</v>
      </c>
      <c r="P394" s="365" t="s">
        <v>4569</v>
      </c>
      <c r="Q394" s="365" t="s">
        <v>4570</v>
      </c>
      <c r="R394" s="365" t="s">
        <v>4565</v>
      </c>
      <c r="S394" s="366" t="s">
        <v>4566</v>
      </c>
      <c r="T394" s="370" t="s">
        <v>4564</v>
      </c>
    </row>
    <row r="395" spans="1:20" s="356" customFormat="1" ht="17.25" thickTop="1" x14ac:dyDescent="0.15">
      <c r="A395" s="371"/>
      <c r="B395" s="372" t="s">
        <v>4590</v>
      </c>
      <c r="C395" s="373" t="s">
        <v>4642</v>
      </c>
      <c r="D395" s="2681" cm="1" t="n">
        <f t="array" ref="D395">INDEX('5층_부하량'!C3:C3000,MATCH(1,("5-DaHall 1-PDU-14"='5층_부하량'!A3:A3000)*(1='5층_부하량'!B3:B3000),0))</f>
        <v>0.0</v>
      </c>
      <c r="E395" s="2681" cm="1" t="n">
        <f t="array" ref="E395">INDEX('5층_부하량'!D3:D3000,MATCH(1,("5-DaHall 1-PDU-14"='5층_부하량'!A3:A3000)*(1='5층_부하량'!B3:B3000),0))</f>
        <v>0.0</v>
      </c>
      <c r="F395" s="2681" cm="1" t="n">
        <f t="array" ref="F395">INDEX('5층_부하량'!E3:E3000,MATCH(1,("5-DaHall 1-PDU-14"='5층_부하량'!A3:A3000)*(1='5층_부하량'!B3:B3000),0))</f>
        <v>0.0</v>
      </c>
      <c r="G395" s="374"/>
      <c r="H395" s="373" t="s">
        <v>5786</v>
      </c>
      <c r="I395" s="2446" t="s">
        <v>5894</v>
      </c>
      <c r="J395" s="1051"/>
      <c r="K395" s="1052"/>
      <c r="L395" s="1449" t="s">
        <v>5896</v>
      </c>
      <c r="M395" s="372" t="s">
        <v>5786</v>
      </c>
      <c r="N395" s="2681" cm="1" t="n">
        <f t="array" ref="N395">INDEX('5층_부하량'!C3:C3000,MATCH(1,("5-DaHall 1-PDU-14"='5층_부하량'!A3:A3000)*(2='5층_부하량'!B3:B3000),0))</f>
        <v>0.0</v>
      </c>
      <c r="O395" s="2681" cm="1" t="n">
        <f t="array" ref="O395">INDEX('5층_부하량'!D3:D3000,MATCH(1,("5-DaHall 1-PDU-14"='5층_부하량'!A3:A3000)*(2='5층_부하량'!B3:B3000),0))</f>
        <v>0.0</v>
      </c>
      <c r="P395" s="2681" cm="1" t="n">
        <f t="array" ref="P395">INDEX('5층_부하량'!E3:E3000,MATCH(1,("5-DaHall 1-PDU-14"='5층_부하량'!A3:A3000)*(2='5층_부하량'!B3:B3000),0))</f>
        <v>0.0</v>
      </c>
      <c r="Q395" s="374"/>
      <c r="R395" s="378" t="s">
        <v>4590</v>
      </c>
      <c r="S395" s="372" t="s">
        <v>4642</v>
      </c>
      <c r="T395" s="380"/>
    </row>
    <row r="396" spans="1:20" s="356" customFormat="1" ht="16.5" x14ac:dyDescent="0.15">
      <c r="A396" s="667" t="s">
        <v>5951</v>
      </c>
      <c r="B396" s="382" t="s">
        <v>4631</v>
      </c>
      <c r="C396" s="389" t="s">
        <v>4575</v>
      </c>
      <c r="D396" s="2682" cm="1" t="n">
        <f t="array" ref="D396">INDEX('5층_부하량'!C3:C3000,MATCH(1,("5-DaHall 1-PDU-14"='5층_부하량'!A3:A3000)*(3='5층_부하량'!B3:B3000),0))</f>
        <v>0.0</v>
      </c>
      <c r="E396" s="383"/>
      <c r="F396" s="383"/>
      <c r="G396" s="383"/>
      <c r="H396" s="382" t="s">
        <v>5790</v>
      </c>
      <c r="I396" s="1211" t="s">
        <v>4638</v>
      </c>
      <c r="J396" s="669" t="s">
        <v>5828</v>
      </c>
      <c r="K396" s="385" t="s">
        <v>5832</v>
      </c>
      <c r="L396" s="577" t="s">
        <v>4583</v>
      </c>
      <c r="M396" s="382" t="s">
        <v>5786</v>
      </c>
      <c r="N396" s="2682" cm="1" t="n">
        <f t="array" ref="N396">INDEX('5층_부하량'!C3:C3000,MATCH(1,("5-DaHall 1-PDU-14"='5층_부하량'!A3:A3000)*(4='5층_부하량'!B3:B3000),0))</f>
        <v>0.0</v>
      </c>
      <c r="O396" s="383"/>
      <c r="P396" s="383"/>
      <c r="Q396" s="383"/>
      <c r="R396" s="388" t="s">
        <v>4631</v>
      </c>
      <c r="S396" s="389" t="s">
        <v>4575</v>
      </c>
      <c r="T396" s="395" t="s">
        <v>3105</v>
      </c>
    </row>
    <row r="397" spans="1:20" s="356" customFormat="1" ht="16.5" x14ac:dyDescent="0.15">
      <c r="A397" s="381" t="s">
        <v>5952</v>
      </c>
      <c r="B397" s="382" t="s">
        <v>4631</v>
      </c>
      <c r="C397" s="389" t="s">
        <v>4575</v>
      </c>
      <c r="D397" s="387"/>
      <c r="E397" s="2679" cm="1" t="n">
        <f t="array" ref="E397">INDEX('5층_부하량'!D3:D3000,MATCH(1,("5-DaHall 1-PDU-14"='5층_부하량'!A3:A3000)*(5='5층_부하량'!B3:B3000),0))</f>
        <v>0.0</v>
      </c>
      <c r="F397" s="387"/>
      <c r="G397" s="387"/>
      <c r="H397" s="382" t="s">
        <v>5786</v>
      </c>
      <c r="I397" s="1450" t="s">
        <v>4641</v>
      </c>
      <c r="J397" s="384" t="s">
        <v>5832</v>
      </c>
      <c r="K397" s="385" t="s">
        <v>5832</v>
      </c>
      <c r="L397" s="577" t="s">
        <v>4588</v>
      </c>
      <c r="M397" s="382" t="s">
        <v>5786</v>
      </c>
      <c r="N397" s="387"/>
      <c r="O397" s="2679" cm="1" t="n">
        <f t="array" ref="O397">INDEX('5층_부하량'!D3:D3000,MATCH(1,("5-DaHall 1-PDU-14"='5층_부하량'!A3:A3000)*(6='5층_부하량'!B3:B3000),0))</f>
        <v>0.0</v>
      </c>
      <c r="P397" s="387"/>
      <c r="Q397" s="387"/>
      <c r="R397" s="394" t="s">
        <v>4631</v>
      </c>
      <c r="S397" s="389" t="s">
        <v>4575</v>
      </c>
      <c r="T397" s="390" t="s">
        <v>3111</v>
      </c>
    </row>
    <row r="398" spans="1:20" s="356" customFormat="1" ht="16.5" x14ac:dyDescent="0.15">
      <c r="A398" s="391" t="s">
        <v>5953</v>
      </c>
      <c r="B398" s="382" t="s">
        <v>4631</v>
      </c>
      <c r="C398" s="389" t="s">
        <v>4575</v>
      </c>
      <c r="D398" s="387"/>
      <c r="E398" s="387"/>
      <c r="F398" s="2679" cm="1" t="n">
        <f t="array" ref="F398">INDEX('5층_부하량'!E3:E3000,MATCH(1,("5-DaHall 1-PDU-14"='5층_부하량'!A3:A3000)*(7='5층_부하량'!B3:B3000),0))</f>
        <v>0.0</v>
      </c>
      <c r="G398" s="387"/>
      <c r="H398" s="382" t="s">
        <v>5786</v>
      </c>
      <c r="I398" s="1450" t="s">
        <v>4645</v>
      </c>
      <c r="J398" s="384" t="s">
        <v>5832</v>
      </c>
      <c r="K398" s="385" t="s">
        <v>5832</v>
      </c>
      <c r="L398" s="577" t="s">
        <v>4593</v>
      </c>
      <c r="M398" s="382" t="s">
        <v>5795</v>
      </c>
      <c r="N398" s="387"/>
      <c r="O398" s="387"/>
      <c r="P398" s="2679" cm="1" t="n">
        <f t="array" ref="P398">INDEX('5층_부하량'!E3:E3000,MATCH(1,("5-DaHall 1-PDU-14"='5층_부하량'!A3:A3000)*(8='5층_부하량'!B3:B3000),0))</f>
        <v>0.0</v>
      </c>
      <c r="Q398" s="387"/>
      <c r="R398" s="394" t="s">
        <v>4631</v>
      </c>
      <c r="S398" s="389" t="s">
        <v>4575</v>
      </c>
      <c r="T398" s="395" t="s">
        <v>3118</v>
      </c>
    </row>
    <row r="399" spans="1:20" s="356" customFormat="1" ht="16.5" x14ac:dyDescent="0.15">
      <c r="A399" s="381" t="s">
        <v>5954</v>
      </c>
      <c r="B399" s="382" t="s">
        <v>4631</v>
      </c>
      <c r="C399" s="424" t="s">
        <v>4642</v>
      </c>
      <c r="D399" s="2679" cm="1" t="n">
        <f t="array" ref="D399">INDEX('5층_부하량'!C3:C3000,MATCH(1,("5-DaHall 1-PDU-14"='5층_부하량'!A3:A3000)*(9='5층_부하량'!B3:B3000),0))</f>
        <v>0.0</v>
      </c>
      <c r="E399" s="387"/>
      <c r="F399" s="387"/>
      <c r="G399" s="387"/>
      <c r="H399" s="382" t="s">
        <v>5786</v>
      </c>
      <c r="I399" s="558" t="s">
        <v>4648</v>
      </c>
      <c r="J399" s="384" t="s">
        <v>5832</v>
      </c>
      <c r="K399" s="385" t="s">
        <v>5832</v>
      </c>
      <c r="L399" s="577" t="s">
        <v>4596</v>
      </c>
      <c r="M399" s="382" t="s">
        <v>5795</v>
      </c>
      <c r="N399" s="2679" cm="1" t="n">
        <f t="array" ref="N399">INDEX('5층_부하량'!C3:C3000,MATCH(1,("5-DaHall 1-PDU-14"='5층_부하량'!A3:A3000)*(10='5층_부하량'!B3:B3000),0))</f>
        <v>0.0</v>
      </c>
      <c r="O399" s="387"/>
      <c r="P399" s="387"/>
      <c r="Q399" s="387"/>
      <c r="R399" s="394" t="s">
        <v>4631</v>
      </c>
      <c r="S399" s="389" t="s">
        <v>4575</v>
      </c>
      <c r="T399" s="413" t="s">
        <v>2543</v>
      </c>
    </row>
    <row r="400" spans="1:20" s="356" customFormat="1" ht="17.25" thickBot="1" x14ac:dyDescent="0.2">
      <c r="A400" s="439" t="s">
        <v>3044</v>
      </c>
      <c r="B400" s="415" t="s">
        <v>4631</v>
      </c>
      <c r="C400" s="416" t="s">
        <v>4575</v>
      </c>
      <c r="D400" s="417"/>
      <c r="E400" s="2686" cm="1" t="n">
        <f t="array" ref="E400">INDEX('5층_부하량'!D3:D3000,MATCH(1,("5-DaHall 1-PDU-14"='5층_부하량'!A3:A3000)*(11='5층_부하량'!B3:B3000),0))</f>
        <v>0.0</v>
      </c>
      <c r="F400" s="417"/>
      <c r="G400" s="417"/>
      <c r="H400" s="415" t="s">
        <v>5883</v>
      </c>
      <c r="I400" s="561" t="s">
        <v>4653</v>
      </c>
      <c r="J400" s="419" t="s">
        <v>5832</v>
      </c>
      <c r="K400" s="420" t="s">
        <v>5832</v>
      </c>
      <c r="L400" s="582" t="s">
        <v>4599</v>
      </c>
      <c r="M400" s="415" t="s">
        <v>5801</v>
      </c>
      <c r="N400" s="417"/>
      <c r="O400" s="2686" cm="1" t="n">
        <f t="array" ref="O400">INDEX('5층_부하량'!D3:D3000,MATCH(1,("5-DaHall 1-PDU-14"='5층_부하량'!A3:A3000)*(12='5층_부하량'!B3:B3000),0))</f>
        <v>0.0</v>
      </c>
      <c r="P400" s="417"/>
      <c r="Q400" s="417"/>
      <c r="R400" s="421" t="s">
        <v>4631</v>
      </c>
      <c r="S400" s="416" t="s">
        <v>4575</v>
      </c>
      <c r="T400" s="440" t="s">
        <v>2549</v>
      </c>
    </row>
    <row r="401" spans="1:20" s="356" customFormat="1" ht="17.25" thickTop="1" x14ac:dyDescent="0.15">
      <c r="A401" s="673" t="s">
        <v>5955</v>
      </c>
      <c r="B401" s="372" t="s">
        <v>4631</v>
      </c>
      <c r="C401" s="379" t="s">
        <v>4575</v>
      </c>
      <c r="D401" s="401"/>
      <c r="E401" s="401"/>
      <c r="F401" s="2678" cm="1" t="n">
        <f t="array" ref="F401">INDEX('5층_부하량'!E3:E3000,MATCH(1,("5-DaHall 1-PDU-14"='5층_부하량'!A3:A3000)*(13='5층_부하량'!B3:B3000),0))</f>
        <v>0.0</v>
      </c>
      <c r="G401" s="401"/>
      <c r="H401" s="372" t="s">
        <v>5883</v>
      </c>
      <c r="I401" s="559" t="s">
        <v>4657</v>
      </c>
      <c r="J401" s="674" t="s">
        <v>5828</v>
      </c>
      <c r="K401" s="675" t="s">
        <v>5828</v>
      </c>
      <c r="L401" s="576" t="s">
        <v>4601</v>
      </c>
      <c r="M401" s="372" t="s">
        <v>5801</v>
      </c>
      <c r="N401" s="401"/>
      <c r="O401" s="401"/>
      <c r="P401" s="2678" cm="1" t="n">
        <f t="array" ref="P401">INDEX('5층_부하량'!E3:E3000,MATCH(1,("5-DaHall 1-PDU-14"='5층_부하량'!A3:A3000)*(14='5층_부하량'!B3:B3000),0))</f>
        <v>0.0</v>
      </c>
      <c r="Q401" s="401"/>
      <c r="R401" s="402" t="s">
        <v>4631</v>
      </c>
      <c r="S401" s="379" t="s">
        <v>4575</v>
      </c>
      <c r="T401" s="676" t="s">
        <v>5956</v>
      </c>
    </row>
    <row r="402" spans="1:20" s="356" customFormat="1" ht="16.5" x14ac:dyDescent="0.15">
      <c r="A402" s="403" t="s">
        <v>5957</v>
      </c>
      <c r="B402" s="424" t="s">
        <v>4631</v>
      </c>
      <c r="C402" s="425" t="s">
        <v>4575</v>
      </c>
      <c r="D402" s="2687" cm="1" t="n">
        <f t="array" ref="D402">INDEX('5층_부하량'!C3:C3000,MATCH(1,("5-DaHall 1-PDU-14"='5층_부하량'!A3:A3000)*(15='5층_부하량'!B3:B3000),0))</f>
        <v>0.0</v>
      </c>
      <c r="E402" s="426"/>
      <c r="F402" s="426"/>
      <c r="G402" s="426"/>
      <c r="H402" s="424" t="s">
        <v>5801</v>
      </c>
      <c r="I402" s="562" t="s">
        <v>4661</v>
      </c>
      <c r="J402" s="427" t="s">
        <v>5832</v>
      </c>
      <c r="K402" s="428" t="s">
        <v>5832</v>
      </c>
      <c r="L402" s="1453" t="s">
        <v>4603</v>
      </c>
      <c r="M402" s="424" t="s">
        <v>5801</v>
      </c>
      <c r="N402" s="2687" cm="1" t="n">
        <f t="array" ref="N402">INDEX('5층_부하량'!C3:C3000,MATCH(1,("5-DaHall 1-PDU-14"='5층_부하량'!A3:A3000)*(16='5층_부하량'!B3:B3000),0))</f>
        <v>0.0</v>
      </c>
      <c r="O402" s="426"/>
      <c r="P402" s="426"/>
      <c r="Q402" s="21"/>
      <c r="R402" s="69" t="s">
        <v>4631</v>
      </c>
      <c r="S402" s="1442" t="s">
        <v>4723</v>
      </c>
      <c r="T402" s="390" t="s">
        <v>5429</v>
      </c>
    </row>
    <row r="403" spans="1:20" s="356" customFormat="1" ht="16.5" x14ac:dyDescent="0.15">
      <c r="A403" s="391" t="s">
        <v>3066</v>
      </c>
      <c r="B403" s="382" t="s">
        <v>4631</v>
      </c>
      <c r="C403" s="389" t="s">
        <v>4575</v>
      </c>
      <c r="D403" s="387"/>
      <c r="E403" s="2679" cm="1" t="n">
        <f t="array" ref="E403">INDEX('5층_부하량'!D3:D3000,MATCH(1,("5-DaHall 1-PDU-14"='5층_부하량'!A3:A3000)*(17='5층_부하량'!B3:B3000),0))</f>
        <v>0.0</v>
      </c>
      <c r="F403" s="387"/>
      <c r="G403" s="387"/>
      <c r="H403" s="382" t="s">
        <v>5801</v>
      </c>
      <c r="I403" s="558" t="s">
        <v>4665</v>
      </c>
      <c r="J403" s="384" t="s">
        <v>5832</v>
      </c>
      <c r="K403" s="385" t="s">
        <v>5832</v>
      </c>
      <c r="L403" s="1454" t="s">
        <v>4605</v>
      </c>
      <c r="M403" s="382" t="s">
        <v>5801</v>
      </c>
      <c r="N403" s="387"/>
      <c r="O403" s="2679" cm="1" t="n">
        <f t="array" ref="O403">INDEX('5층_부하량'!D3:D3000,MATCH(1,("5-DaHall 1-PDU-14"='5층_부하량'!A3:A3000)*(18='5층_부하량'!B3:B3000),0))</f>
        <v>0.0</v>
      </c>
      <c r="P403" s="387"/>
      <c r="Q403" s="21"/>
      <c r="R403" s="69" t="s">
        <v>4631</v>
      </c>
      <c r="S403" s="1442" t="s">
        <v>4723</v>
      </c>
      <c r="T403" s="395" t="s">
        <v>5431</v>
      </c>
    </row>
    <row r="404" spans="1:20" s="356" customFormat="1" ht="16.5" x14ac:dyDescent="0.15">
      <c r="A404" s="403" t="s">
        <v>3075</v>
      </c>
      <c r="B404" s="382" t="s">
        <v>4631</v>
      </c>
      <c r="C404" s="389" t="s">
        <v>4575</v>
      </c>
      <c r="D404" s="387"/>
      <c r="E404" s="387"/>
      <c r="F404" s="2679" cm="1" t="n">
        <f t="array" ref="F404">INDEX('5층_부하량'!E3:E3000,MATCH(1,("5-DaHall 1-PDU-14"='5층_부하량'!A3:A3000)*(19='5층_부하량'!B3:B3000),0))</f>
        <v>2.45</v>
      </c>
      <c r="G404" s="387"/>
      <c r="H404" s="382" t="s">
        <v>5811</v>
      </c>
      <c r="I404" s="558" t="s">
        <v>4670</v>
      </c>
      <c r="J404" s="384" t="s">
        <v>5832</v>
      </c>
      <c r="K404" s="385" t="s">
        <v>5832</v>
      </c>
      <c r="L404" s="577" t="s">
        <v>4609</v>
      </c>
      <c r="M404" s="382" t="s">
        <v>5811</v>
      </c>
      <c r="N404" s="387"/>
      <c r="O404" s="387"/>
      <c r="P404" s="2679" cm="1" t="n">
        <f t="array" ref="P404">INDEX('5층_부하량'!E3:E3000,MATCH(1,("5-DaHall 1-PDU-14"='5층_부하량'!A3:A3000)*(20='5층_부하량'!B3:B3000),0))</f>
        <v>0.0</v>
      </c>
      <c r="Q404" s="21"/>
      <c r="R404" s="69" t="s">
        <v>4631</v>
      </c>
      <c r="S404" s="1442" t="s">
        <v>4723</v>
      </c>
      <c r="T404" s="395" t="s">
        <v>5433</v>
      </c>
    </row>
    <row r="405" spans="1:20" s="356" customFormat="1" ht="16.5" x14ac:dyDescent="0.15">
      <c r="A405" s="391" t="s">
        <v>3080</v>
      </c>
      <c r="B405" s="382" t="s">
        <v>4631</v>
      </c>
      <c r="C405" s="389" t="s">
        <v>4575</v>
      </c>
      <c r="D405" s="2679" cm="1" t="n">
        <f t="array" ref="D405">INDEX('5층_부하량'!C3:C3000,MATCH(1,("5-DaHall 1-PDU-14"='5층_부하량'!A3:A3000)*(21='5층_부하량'!B3:B3000),0))</f>
        <v>0.0</v>
      </c>
      <c r="E405" s="387"/>
      <c r="F405" s="387"/>
      <c r="G405" s="387"/>
      <c r="H405" s="382" t="s">
        <v>5811</v>
      </c>
      <c r="I405" s="558" t="s">
        <v>4674</v>
      </c>
      <c r="J405" s="384" t="s">
        <v>5832</v>
      </c>
      <c r="K405" s="385" t="s">
        <v>5832</v>
      </c>
      <c r="L405" s="577" t="s">
        <v>4613</v>
      </c>
      <c r="M405" s="382" t="s">
        <v>5811</v>
      </c>
      <c r="N405" s="2679" cm="1" t="n">
        <f t="array" ref="N405">INDEX('5층_부하량'!C3:C3000,MATCH(1,("5-DaHall 1-PDU-14"='5층_부하량'!A3:A3000)*(22='5층_부하량'!B3:B3000),0))</f>
        <v>0.0</v>
      </c>
      <c r="O405" s="387"/>
      <c r="P405" s="387"/>
      <c r="Q405" s="21"/>
      <c r="R405" s="69" t="s">
        <v>4631</v>
      </c>
      <c r="S405" s="1442" t="s">
        <v>4723</v>
      </c>
      <c r="T405" s="395" t="s">
        <v>3146</v>
      </c>
    </row>
    <row r="406" spans="1:20" s="356" customFormat="1" ht="16.5" x14ac:dyDescent="0.15">
      <c r="A406" s="403" t="s">
        <v>3088</v>
      </c>
      <c r="B406" s="382" t="s">
        <v>4631</v>
      </c>
      <c r="C406" s="389" t="s">
        <v>4575</v>
      </c>
      <c r="D406" s="387"/>
      <c r="E406" s="2679" cm="1" t="n">
        <f t="array" ref="E406">INDEX('5층_부하량'!D3:D3000,MATCH(1,("5-DaHall 1-PDU-14"='5층_부하량'!A3:A3000)*(23='5층_부하량'!B3:B3000),0))</f>
        <v>0.0</v>
      </c>
      <c r="F406" s="387"/>
      <c r="G406" s="387"/>
      <c r="H406" s="382" t="s">
        <v>5811</v>
      </c>
      <c r="I406" s="558" t="s">
        <v>4678</v>
      </c>
      <c r="J406" s="384" t="s">
        <v>5832</v>
      </c>
      <c r="K406" s="385" t="s">
        <v>5832</v>
      </c>
      <c r="L406" s="577" t="s">
        <v>4680</v>
      </c>
      <c r="M406" s="382" t="s">
        <v>5811</v>
      </c>
      <c r="N406" s="387"/>
      <c r="O406" s="2679" cm="1" t="n">
        <f t="array" ref="O406">INDEX('5층_부하량'!D3:D3000,MATCH(1,("5-DaHall 1-PDU-14"='5층_부하량'!A3:A3000)*(24='5층_부하량'!B3:B3000),0))</f>
        <v>0.0</v>
      </c>
      <c r="P406" s="387"/>
      <c r="Q406" s="387"/>
      <c r="R406" s="394" t="s">
        <v>4631</v>
      </c>
      <c r="S406" s="389" t="s">
        <v>4575</v>
      </c>
      <c r="T406" s="395" t="s">
        <v>5958</v>
      </c>
    </row>
    <row r="407" spans="1:20" s="356" customFormat="1" ht="16.5" x14ac:dyDescent="0.15">
      <c r="A407" s="391" t="s">
        <v>5416</v>
      </c>
      <c r="B407" s="382" t="s">
        <v>4631</v>
      </c>
      <c r="C407" s="389" t="s">
        <v>4575</v>
      </c>
      <c r="D407" s="387"/>
      <c r="E407" s="387"/>
      <c r="F407" s="2679" cm="1" t="n">
        <f t="array" ref="F407">INDEX('5층_부하량'!E3:E3000,MATCH(1,("5-DaHall 1-PDU-14"='5층_부하량'!A3:A3000)*(25='5층_부하량'!B3:B3000),0))</f>
        <v>0.0</v>
      </c>
      <c r="G407" s="387"/>
      <c r="H407" s="382" t="s">
        <v>5811</v>
      </c>
      <c r="I407" s="1450" t="s">
        <v>4683</v>
      </c>
      <c r="J407" s="384" t="s">
        <v>5832</v>
      </c>
      <c r="K407" s="385" t="s">
        <v>5832</v>
      </c>
      <c r="L407" s="577" t="s">
        <v>4685</v>
      </c>
      <c r="M407" s="382" t="s">
        <v>5811</v>
      </c>
      <c r="N407" s="387"/>
      <c r="O407" s="387"/>
      <c r="P407" s="2679" cm="1" t="n">
        <f t="array" ref="P407">INDEX('5층_부하량'!E3:E3000,MATCH(1,("5-DaHall 1-PDU-14"='5층_부하량'!A3:A3000)*(26='5층_부하량'!B3:B3000),0))</f>
        <v>0.0</v>
      </c>
      <c r="Q407" s="387"/>
      <c r="R407" s="394" t="s">
        <v>4579</v>
      </c>
      <c r="S407" s="1442" t="s">
        <v>4723</v>
      </c>
      <c r="T407" s="395" t="s">
        <v>5959</v>
      </c>
    </row>
    <row r="408" spans="1:20" s="356" customFormat="1" ht="16.5" x14ac:dyDescent="0.15">
      <c r="A408" s="403" t="s">
        <v>5417</v>
      </c>
      <c r="B408" s="382" t="s">
        <v>4631</v>
      </c>
      <c r="C408" s="389" t="s">
        <v>4575</v>
      </c>
      <c r="D408" s="2679" cm="1" t="n">
        <f t="array" ref="D408">INDEX('5층_부하량'!C3:C3000,MATCH(1,("5-DaHall 1-PDU-14"='5층_부하량'!A3:A3000)*(27='5층_부하량'!B3:B3000),0))</f>
        <v>0.0</v>
      </c>
      <c r="E408" s="387"/>
      <c r="F408" s="387"/>
      <c r="G408" s="387"/>
      <c r="H408" s="382" t="s">
        <v>5811</v>
      </c>
      <c r="I408" s="1450" t="s">
        <v>4688</v>
      </c>
      <c r="J408" s="384" t="s">
        <v>5832</v>
      </c>
      <c r="K408" s="385" t="s">
        <v>5832</v>
      </c>
      <c r="L408" s="577" t="s">
        <v>4689</v>
      </c>
      <c r="M408" s="382" t="s">
        <v>5811</v>
      </c>
      <c r="N408" s="2679" cm="1" t="n">
        <f t="array" ref="N408">INDEX('5층_부하량'!C3:C3000,MATCH(1,("5-DaHall 1-PDU-14"='5층_부하량'!A3:A3000)*(28='5층_부하량'!B3:B3000),0))</f>
        <v>0.0</v>
      </c>
      <c r="O408" s="387"/>
      <c r="P408" s="387"/>
      <c r="Q408" s="387"/>
      <c r="R408" s="394" t="s">
        <v>4579</v>
      </c>
      <c r="S408" s="1442" t="s">
        <v>4723</v>
      </c>
      <c r="T408" s="395" t="s">
        <v>5960</v>
      </c>
    </row>
    <row r="409" spans="1:20" s="356" customFormat="1" ht="16.5" x14ac:dyDescent="0.15">
      <c r="A409" s="391" t="s">
        <v>5419</v>
      </c>
      <c r="B409" s="382" t="s">
        <v>4631</v>
      </c>
      <c r="C409" s="389" t="s">
        <v>4575</v>
      </c>
      <c r="D409" s="387"/>
      <c r="E409" s="2679" cm="1" t="n">
        <f t="array" ref="E409">INDEX('5층_부하량'!D3:D3000,MATCH(1,("5-DaHall 1-PDU-14"='5층_부하량'!A3:A3000)*(29='5층_부하량'!B3:B3000),0))</f>
        <v>0.0</v>
      </c>
      <c r="F409" s="387"/>
      <c r="G409" s="387"/>
      <c r="H409" s="382" t="s">
        <v>5811</v>
      </c>
      <c r="I409" s="558" t="s">
        <v>4691</v>
      </c>
      <c r="J409" s="384" t="s">
        <v>5832</v>
      </c>
      <c r="K409" s="385" t="s">
        <v>5832</v>
      </c>
      <c r="L409" s="577" t="s">
        <v>4692</v>
      </c>
      <c r="M409" s="382" t="s">
        <v>5811</v>
      </c>
      <c r="N409" s="387"/>
      <c r="O409" s="2679" cm="1" t="n">
        <f t="array" ref="O409">INDEX('5층_부하량'!D3:D3000,MATCH(1,("5-DaHall 1-PDU-14"='5층_부하량'!A3:A3000)*(30='5층_부하량'!B3:B3000),0))</f>
        <v>0.0</v>
      </c>
      <c r="P409" s="387"/>
      <c r="Q409" s="387"/>
      <c r="R409" s="394" t="s">
        <v>4631</v>
      </c>
      <c r="S409" s="389" t="s">
        <v>4575</v>
      </c>
      <c r="T409" s="395" t="s">
        <v>5961</v>
      </c>
    </row>
    <row r="410" spans="1:20" s="356" customFormat="1" ht="17.25" thickBot="1" x14ac:dyDescent="0.2">
      <c r="A410" s="431" t="s">
        <v>3098</v>
      </c>
      <c r="B410" s="432" t="s">
        <v>4631</v>
      </c>
      <c r="C410" s="437" t="s">
        <v>4575</v>
      </c>
      <c r="D410" s="433"/>
      <c r="E410" s="433"/>
      <c r="F410" s="2680" cm="1" t="n">
        <f t="array" ref="F410">INDEX('5층_부하량'!E3:E3000,MATCH(1,("5-DaHall 1-PDU-14"='5층_부하량'!A3:A3000)*(31='5층_부하량'!B3:B3000),0))</f>
        <v>0.0</v>
      </c>
      <c r="G410" s="433"/>
      <c r="H410" s="432" t="s">
        <v>5811</v>
      </c>
      <c r="I410" s="563" t="s">
        <v>4693</v>
      </c>
      <c r="J410" s="434" t="s">
        <v>5832</v>
      </c>
      <c r="K410" s="441"/>
      <c r="L410" s="584" t="s">
        <v>4694</v>
      </c>
      <c r="M410" s="432" t="s">
        <v>5811</v>
      </c>
      <c r="N410" s="433"/>
      <c r="O410" s="433"/>
      <c r="P410" s="2680" cm="1" t="n">
        <f t="array" ref="P410">INDEX('5층_부하량'!E3:E3000,MATCH(1,("5-DaHall 1-PDU-14"='5층_부하량'!A3:A3000)*(32='5층_부하량'!B3:B3000),0))</f>
        <v>0.0</v>
      </c>
      <c r="Q410" s="433"/>
      <c r="R410" s="436" t="s">
        <v>4631</v>
      </c>
      <c r="S410" s="437" t="s">
        <v>4575</v>
      </c>
      <c r="T410" s="442" t="s">
        <v>5962</v>
      </c>
    </row>
    <row r="411" spans="1:20" s="356" customFormat="1" ht="18" thickTop="1" thickBot="1" x14ac:dyDescent="0.2">
      <c r="L411" s="2445"/>
      <c r="M411" s="411" t="s">
        <v>5645</v>
      </c>
      <c r="N411" s="412" t="n">
        <f>SUM(D395:D410,N395:N410)</f>
        <v>0.0</v>
      </c>
      <c r="O411" s="412" t="n">
        <f>SUM(E395:E410,O395:O410)</f>
        <v>0.0</v>
      </c>
      <c r="P411" s="412" t="n">
        <f>SUM(F395:F410,P395:P410)</f>
        <v>2.45</v>
      </c>
    </row>
    <row r="412" spans="1:20" s="356" customFormat="1" ht="20.25" thickTop="1" thickBot="1" x14ac:dyDescent="0.2">
      <c r="A412" s="355" t="s">
        <v>6960</v>
      </c>
      <c r="C412" s="3660" t="s">
        <v>5963</v>
      </c>
      <c r="D412" s="3660"/>
      <c r="E412" s="3660"/>
      <c r="F412" s="3660"/>
      <c r="G412" s="357"/>
      <c r="H412" s="358"/>
      <c r="I412" s="358"/>
      <c r="J412" s="3668" t="s">
        <v>4715</v>
      </c>
      <c r="K412" s="3669"/>
      <c r="L412" s="2442"/>
      <c r="M412" s="358"/>
      <c r="N412" s="357"/>
      <c r="O412" s="357"/>
      <c r="P412" s="357"/>
      <c r="Q412" s="357"/>
      <c r="R412" s="357"/>
      <c r="S412" s="357"/>
    </row>
    <row r="413" spans="1:20" s="356" customFormat="1" ht="15" customHeight="1" thickTop="1" thickBot="1" x14ac:dyDescent="0.2">
      <c r="A413" s="359"/>
      <c r="D413" s="360"/>
      <c r="E413" s="360"/>
      <c r="F413" s="360"/>
      <c r="G413" s="360"/>
      <c r="H413" s="361"/>
      <c r="I413" s="361"/>
      <c r="K413" s="362"/>
      <c r="L413" s="574"/>
      <c r="M413" s="1371" t="s">
        <v>4562</v>
      </c>
      <c r="N413" s="1368">
        <v>20.100000000000001</v>
      </c>
      <c r="O413" s="1369">
        <v>11.1</v>
      </c>
      <c r="P413" s="1370">
        <v>16</v>
      </c>
      <c r="Q413" s="508" t="s">
        <v>4563</v>
      </c>
      <c r="R413" s="1372"/>
      <c r="T413" s="363" t="s">
        <v>5964</v>
      </c>
    </row>
    <row r="414" spans="1:20" s="356" customFormat="1" ht="18" thickTop="1" thickBot="1" x14ac:dyDescent="0.2">
      <c r="A414" s="364" t="s">
        <v>4564</v>
      </c>
      <c r="B414" s="365" t="s">
        <v>4565</v>
      </c>
      <c r="C414" s="366" t="s">
        <v>4566</v>
      </c>
      <c r="D414" s="365" t="s">
        <v>4567</v>
      </c>
      <c r="E414" s="365" t="s">
        <v>4568</v>
      </c>
      <c r="F414" s="365" t="s">
        <v>4569</v>
      </c>
      <c r="G414" s="365" t="s">
        <v>4570</v>
      </c>
      <c r="H414" s="367" t="s">
        <v>4571</v>
      </c>
      <c r="I414" s="557"/>
      <c r="J414" s="368" t="s">
        <v>4572</v>
      </c>
      <c r="K414" s="369" t="s">
        <v>4572</v>
      </c>
      <c r="L414" s="575"/>
      <c r="M414" s="367" t="s">
        <v>4571</v>
      </c>
      <c r="N414" s="365" t="s">
        <v>4567</v>
      </c>
      <c r="O414" s="365" t="s">
        <v>4568</v>
      </c>
      <c r="P414" s="365" t="s">
        <v>4569</v>
      </c>
      <c r="Q414" s="365" t="s">
        <v>4570</v>
      </c>
      <c r="R414" s="365" t="s">
        <v>4565</v>
      </c>
      <c r="S414" s="366" t="s">
        <v>4566</v>
      </c>
      <c r="T414" s="370" t="s">
        <v>4564</v>
      </c>
    </row>
    <row r="415" spans="1:20" s="356" customFormat="1" ht="17.25" thickTop="1" x14ac:dyDescent="0.15">
      <c r="A415" s="474" t="s">
        <v>5965</v>
      </c>
      <c r="B415" s="372" t="s">
        <v>4635</v>
      </c>
      <c r="C415" s="389" t="s">
        <v>4575</v>
      </c>
      <c r="D415" s="2681" cm="1" t="n">
        <f t="array" ref="D415">INDEX('5층_부하량'!C3:C3000,MATCH(1,("5-DaHall 1-PDU-16"='5층_부하량'!A3:A3000)*(1='5층_부하량'!B3:B3000),0))</f>
        <v>4.66</v>
      </c>
      <c r="E415" s="2681" cm="1" t="n">
        <f t="array" ref="E415">INDEX('5층_부하량'!D3:D3000,MATCH(1,("5-DaHall 1-PDU-16"='5층_부하량'!A3:A3000)*(1='5층_부하량'!B3:B3000),0))</f>
        <v>1.33</v>
      </c>
      <c r="F415" s="2681" cm="1" t="n">
        <f t="array" ref="F415">INDEX('5층_부하량'!E3:E3000,MATCH(1,("5-DaHall 1-PDU-16"='5층_부하량'!A3:A3000)*(1='5층_부하량'!B3:B3000),0))</f>
        <v>6.05</v>
      </c>
      <c r="G415" s="377"/>
      <c r="H415" s="373" t="s">
        <v>5893</v>
      </c>
      <c r="I415" s="2443" t="s">
        <v>5894</v>
      </c>
      <c r="J415" s="1040" t="s">
        <v>3877</v>
      </c>
      <c r="K415" s="1041" t="s">
        <v>5895</v>
      </c>
      <c r="L415" s="1178" t="s">
        <v>5896</v>
      </c>
      <c r="M415" s="372" t="s">
        <v>5893</v>
      </c>
      <c r="N415" s="2681" cm="1" t="n">
        <f t="array" ref="N415">INDEX('5층_부하량'!C3:C3000,MATCH(1,("5-DaHall 1-PDU-16"='5층_부하량'!A3:A3000)*(2='5층_부하량'!B3:B3000),0))</f>
        <v>0.0</v>
      </c>
      <c r="O415" s="2681" cm="1" t="n">
        <f t="array" ref="O415">INDEX('5층_부하량'!D3:D3000,MATCH(1,("5-DaHall 1-PDU-16"='5층_부하량'!A3:A3000)*(2='5층_부하량'!B3:B3000),0))</f>
        <v>0.0</v>
      </c>
      <c r="P415" s="2681" cm="1" t="n">
        <f t="array" ref="P415">INDEX('5층_부하량'!E3:E3000,MATCH(1,("5-DaHall 1-PDU-16"='5층_부하량'!A3:A3000)*(2='5층_부하량'!B3:B3000),0))</f>
        <v>0.0</v>
      </c>
      <c r="Q415" s="377"/>
      <c r="R415" s="378" t="s">
        <v>4631</v>
      </c>
      <c r="S415" s="379" t="s">
        <v>4575</v>
      </c>
      <c r="T415" s="380" t="s">
        <v>5966</v>
      </c>
    </row>
    <row r="416" spans="1:20" s="356" customFormat="1" ht="16.5" x14ac:dyDescent="0.15">
      <c r="A416" s="381"/>
      <c r="B416" s="382" t="s">
        <v>4590</v>
      </c>
      <c r="C416" s="382" t="s">
        <v>4642</v>
      </c>
      <c r="D416" s="2682" cm="1" t="n">
        <f t="array" ref="D416">INDEX('5층_부하량'!C3:C3000,MATCH(1,("5-DaHall 1-PDU-16"='5층_부하량'!A3:A3000)*(3='5층_부하량'!B3:B3000),0))</f>
        <v>0.0</v>
      </c>
      <c r="E416" s="2682" cm="1" t="n">
        <f t="array" ref="E416">INDEX('5층_부하량'!D3:D3000,MATCH(1,("5-DaHall 1-PDU-16"='5층_부하량'!A3:A3000)*(3='5층_부하량'!B3:B3000),0))</f>
        <v>0.0</v>
      </c>
      <c r="F416" s="2682" cm="1" t="n">
        <f t="array" ref="F416">INDEX('5층_부하량'!E3:E3000,MATCH(1,("5-DaHall 1-PDU-16"='5층_부하량'!A3:A3000)*(3='5층_부하량'!B3:B3000),0))</f>
        <v>0.0</v>
      </c>
      <c r="G416" s="383"/>
      <c r="H416" s="382" t="s">
        <v>5898</v>
      </c>
      <c r="I416" s="2447" t="s">
        <v>5899</v>
      </c>
      <c r="J416" s="1042"/>
      <c r="K416" s="1322" t="s">
        <v>5900</v>
      </c>
      <c r="L416" s="1455" t="s">
        <v>5901</v>
      </c>
      <c r="M416" s="382" t="s">
        <v>5893</v>
      </c>
      <c r="N416" s="2679" cm="1" t="n">
        <f t="array" ref="N416">INDEX('5층_부하량'!C3:C3000,MATCH(1,("5-DaHall 1-PDU-16"='5층_부하량'!A3:A3000)*(4='5층_부하량'!B3:B3000),0))</f>
        <v>0.0</v>
      </c>
      <c r="O416" s="2679" cm="1" t="n">
        <f t="array" ref="O416">INDEX('5층_부하량'!D3:D3000,MATCH(1,("5-DaHall 1-PDU-16"='5층_부하량'!A3:A3000)*(4='5층_부하량'!B3:B3000),0))</f>
        <v>0.0</v>
      </c>
      <c r="P416" s="2679" cm="1" t="n">
        <f t="array" ref="P416">INDEX('5층_부하량'!E3:E3000,MATCH(1,("5-DaHall 1-PDU-16"='5층_부하량'!A3:A3000)*(4='5층_부하량'!B3:B3000),0))</f>
        <v>0.0</v>
      </c>
      <c r="Q416" s="387"/>
      <c r="R416" s="394" t="s">
        <v>4590</v>
      </c>
      <c r="S416" s="382" t="s">
        <v>4642</v>
      </c>
      <c r="T416" s="1323" t="s">
        <v>5967</v>
      </c>
    </row>
    <row r="417" spans="1:20" s="356" customFormat="1" ht="16.5" x14ac:dyDescent="0.15">
      <c r="A417" s="391" t="s">
        <v>5903</v>
      </c>
      <c r="B417" s="382" t="s">
        <v>4590</v>
      </c>
      <c r="C417" s="382" t="s">
        <v>4642</v>
      </c>
      <c r="D417" s="2679" cm="1" t="n">
        <f t="array" ref="D417">INDEX('5층_부하량'!C3:C3000,MATCH(1,("5-DaHall 1-PDU-16"='5층_부하량'!A3:A3000)*(5='5층_부하량'!B3:B3000),0))</f>
        <v>0.0</v>
      </c>
      <c r="E417" s="2679" cm="1" t="n">
        <f t="array" ref="E417">INDEX('5층_부하량'!D3:D3000,MATCH(1,("5-DaHall 1-PDU-16"='5층_부하량'!A3:A3000)*(5='5층_부하량'!B3:B3000),0))</f>
        <v>0.0</v>
      </c>
      <c r="F417" s="2679" cm="1" t="n">
        <f t="array" ref="F417">INDEX('5층_부하량'!E3:E3000,MATCH(1,("5-DaHall 1-PDU-16"='5층_부하량'!A3:A3000)*(5='5층_부하량'!B3:B3000),0))</f>
        <v>0.0</v>
      </c>
      <c r="G417" s="387"/>
      <c r="H417" s="382" t="s">
        <v>5786</v>
      </c>
      <c r="I417" s="2447" t="s">
        <v>5904</v>
      </c>
      <c r="J417" s="1044"/>
      <c r="K417" s="1045"/>
      <c r="L417" s="1456" t="s">
        <v>5905</v>
      </c>
      <c r="M417" s="382" t="s">
        <v>5786</v>
      </c>
      <c r="N417" s="2679" cm="1" t="n">
        <f t="array" ref="N417">INDEX('5층_부하량'!C3:C3000,MATCH(1,("5-DaHall 1-PDU-16"='5층_부하량'!A3:A3000)*(6='5층_부하량'!B3:B3000),0))</f>
        <v>0.0</v>
      </c>
      <c r="O417" s="2679" cm="1" t="n">
        <f t="array" ref="O417">INDEX('5층_부하량'!D3:D3000,MATCH(1,("5-DaHall 1-PDU-16"='5층_부하량'!A3:A3000)*(6='5층_부하량'!B3:B3000),0))</f>
        <v>0.0</v>
      </c>
      <c r="P417" s="2679" cm="1" t="n">
        <f t="array" ref="P417">INDEX('5층_부하량'!E3:E3000,MATCH(1,("5-DaHall 1-PDU-16"='5층_부하량'!A3:A3000)*(6='5층_부하량'!B3:B3000),0))</f>
        <v>0.0</v>
      </c>
      <c r="Q417" s="387"/>
      <c r="R417" s="394" t="s">
        <v>4590</v>
      </c>
      <c r="S417" s="382" t="s">
        <v>4642</v>
      </c>
      <c r="T417" s="395" t="s">
        <v>5906</v>
      </c>
    </row>
    <row r="418" spans="1:20" s="356" customFormat="1" ht="16.5" x14ac:dyDescent="0.15">
      <c r="A418" s="988" t="s">
        <v>5968</v>
      </c>
      <c r="B418" s="382" t="s">
        <v>4631</v>
      </c>
      <c r="C418" s="389" t="s">
        <v>4575</v>
      </c>
      <c r="D418" s="2679" cm="1" t="n">
        <f t="array" ref="D418">INDEX('5층_부하량'!C3:C3000,MATCH(1,("5-DaHall 1-PDU-16"='5층_부하량'!A3:A3000)*(7='5층_부하량'!B3:B3000),0))</f>
        <v>1.51</v>
      </c>
      <c r="E418" s="387"/>
      <c r="F418" s="387"/>
      <c r="G418" s="387"/>
      <c r="H418" s="382" t="s">
        <v>5786</v>
      </c>
      <c r="I418" s="1211" t="s">
        <v>4645</v>
      </c>
      <c r="J418" s="1044" t="s">
        <v>2955</v>
      </c>
      <c r="K418" s="1045"/>
      <c r="L418" s="1451" t="s">
        <v>4593</v>
      </c>
      <c r="M418" s="382" t="s">
        <v>5795</v>
      </c>
      <c r="N418" s="2679" cm="1" t="n">
        <f t="array" ref="N418">INDEX('5층_부하량'!C3:C3000,MATCH(1,("5-DaHall 1-PDU-16"='5층_부하량'!A3:A3000)*(8='5층_부하량'!B3:B3000),0))</f>
        <v>0.41</v>
      </c>
      <c r="O418" s="387"/>
      <c r="P418" s="387"/>
      <c r="Q418" s="387"/>
      <c r="R418" s="382" t="s">
        <v>4579</v>
      </c>
      <c r="S418" s="389" t="s">
        <v>4575</v>
      </c>
      <c r="T418" s="666" t="s">
        <v>5908</v>
      </c>
    </row>
    <row r="419" spans="1:20" s="356" customFormat="1" ht="17.25" thickBot="1" x14ac:dyDescent="0.2">
      <c r="A419" s="989" t="s">
        <v>5969</v>
      </c>
      <c r="B419" s="88" t="s">
        <v>4631</v>
      </c>
      <c r="C419" s="89" t="s">
        <v>4575</v>
      </c>
      <c r="D419" s="398"/>
      <c r="E419" s="2673" cm="1" t="n">
        <f t="array" ref="E419">INDEX('5층_부하량'!D3:D3000,MATCH(1,("5-DaHall 1-PDU-16"='5층_부하량'!A3:A3000)*(9='5층_부하량'!B3:B3000),0))</f>
        <v>0.39</v>
      </c>
      <c r="F419" s="398"/>
      <c r="G419" s="398"/>
      <c r="H419" s="397" t="s">
        <v>5786</v>
      </c>
      <c r="I419" s="1218" t="s">
        <v>4648</v>
      </c>
      <c r="J419" s="1044" t="s">
        <v>2955</v>
      </c>
      <c r="K419" s="1046"/>
      <c r="L419" s="1457" t="s">
        <v>4596</v>
      </c>
      <c r="M419" s="397" t="s">
        <v>5795</v>
      </c>
      <c r="N419" s="398"/>
      <c r="O419" s="2685" cm="1" t="n">
        <f t="array" ref="O419">INDEX('5층_부하량'!D3:D3000,MATCH(1,("5-DaHall 1-PDU-16"='5층_부하량'!A3:A3000)*(10='5층_부하량'!B3:B3000),0))</f>
        <v>0.0</v>
      </c>
      <c r="P419" s="398"/>
      <c r="Q419" s="398"/>
      <c r="R419" s="399" t="s">
        <v>4590</v>
      </c>
      <c r="S419" s="397" t="s">
        <v>4642</v>
      </c>
      <c r="T419" s="400" t="s">
        <v>5910</v>
      </c>
    </row>
    <row r="420" spans="1:20" s="356" customFormat="1" ht="17.25" thickTop="1" x14ac:dyDescent="0.15">
      <c r="A420" s="2406" t="s">
        <v>5970</v>
      </c>
      <c r="B420" s="382" t="s">
        <v>4631</v>
      </c>
      <c r="C420" s="389" t="s">
        <v>4575</v>
      </c>
      <c r="D420" s="401"/>
      <c r="E420" s="401"/>
      <c r="F420" s="2683" cm="1" t="n">
        <f t="array" ref="F420">INDEX('5층_부하량'!E3:E3000,MATCH(1,("5-DaHall 1-PDU-16"='5층_부하량'!A3:A3000)*(11='5층_부하량'!B3:B3000),0))</f>
        <v>0.0</v>
      </c>
      <c r="G420" s="401"/>
      <c r="H420" s="372" t="s">
        <v>5786</v>
      </c>
      <c r="I420" s="559" t="s">
        <v>4653</v>
      </c>
      <c r="J420" s="1047"/>
      <c r="K420" s="1048" t="s">
        <v>5912</v>
      </c>
      <c r="L420" s="580" t="s">
        <v>4599</v>
      </c>
      <c r="M420" s="372" t="s">
        <v>5790</v>
      </c>
      <c r="N420" s="401"/>
      <c r="O420" s="401"/>
      <c r="P420" s="2683" cm="1" t="n">
        <f t="array" ref="P420">INDEX('5층_부하량'!E3:E3000,MATCH(1,("5-DaHall 1-PDU-16"='5층_부하량'!A3:A3000)*(12='5층_부하량'!B3:B3000),0))</f>
        <v>0.0</v>
      </c>
      <c r="Q420" s="401"/>
      <c r="R420" s="402" t="s">
        <v>4635</v>
      </c>
      <c r="S420" s="389" t="s">
        <v>4575</v>
      </c>
      <c r="T420" s="987" t="s">
        <v>5971</v>
      </c>
    </row>
    <row r="421" spans="1:20" s="356" customFormat="1" ht="24" x14ac:dyDescent="0.15">
      <c r="A421" s="448" t="s">
        <v>5972</v>
      </c>
      <c r="B421" s="382" t="s">
        <v>4631</v>
      </c>
      <c r="C421" s="389" t="s">
        <v>4575</v>
      </c>
      <c r="D421" s="2679" cm="1" t="n">
        <f t="array" ref="D421">INDEX('5층_부하량'!C3:C3000,MATCH(1,("5-DaHall 1-PDU-16"='5층_부하량'!A3:A3000)*(13='5층_부하량'!B3:B3000),0))</f>
        <v>0.42</v>
      </c>
      <c r="E421" s="387"/>
      <c r="F421" s="387"/>
      <c r="G421" s="387"/>
      <c r="H421" s="382" t="s">
        <v>5790</v>
      </c>
      <c r="I421" s="558" t="s">
        <v>4657</v>
      </c>
      <c r="J421" s="1044"/>
      <c r="K421" s="1045"/>
      <c r="L421" s="1451" t="s">
        <v>4601</v>
      </c>
      <c r="M421" s="382" t="s">
        <v>5790</v>
      </c>
      <c r="N421" s="2679" cm="1" t="n">
        <f t="array" ref="N421">INDEX('5층_부하량'!C3:C3000,MATCH(1,("5-DaHall 1-PDU-16"='5층_부하량'!A3:A3000)*(14='5층_부하량'!B3:B3000),0))</f>
        <v>1.48</v>
      </c>
      <c r="O421" s="387"/>
      <c r="P421" s="387"/>
      <c r="Q421" s="387"/>
      <c r="R421" s="382" t="s">
        <v>4579</v>
      </c>
      <c r="S421" s="389" t="s">
        <v>4575</v>
      </c>
      <c r="T421" s="670" t="s">
        <v>5973</v>
      </c>
    </row>
    <row r="422" spans="1:20" s="356" customFormat="1" ht="16.5" x14ac:dyDescent="0.15">
      <c r="A422" s="1311" t="s">
        <v>3852</v>
      </c>
      <c r="B422" s="382" t="s">
        <v>4631</v>
      </c>
      <c r="C422" s="389" t="s">
        <v>4575</v>
      </c>
      <c r="D422" s="387"/>
      <c r="E422" s="2679" cm="1" t="n">
        <f t="array" ref="E422">INDEX('5층_부하량'!D3:D3000,MATCH(1,("5-DaHall 1-PDU-16"='5층_부하량'!A3:A3000)*(15='5층_부하량'!B3:B3000),0))</f>
        <v>2.18</v>
      </c>
      <c r="F422" s="387"/>
      <c r="G422" s="387"/>
      <c r="H422" s="2448" t="s">
        <v>5974</v>
      </c>
      <c r="I422" s="558" t="s">
        <v>4661</v>
      </c>
      <c r="J422" s="1044"/>
      <c r="K422" s="1045"/>
      <c r="L422" s="1451" t="s">
        <v>4603</v>
      </c>
      <c r="M422" s="382" t="s">
        <v>5811</v>
      </c>
      <c r="N422" s="387"/>
      <c r="O422" s="2679" cm="1" t="n">
        <f t="array" ref="O422">INDEX('5층_부하량'!D3:D3000,MATCH(1,("5-DaHall 1-PDU-16"='5층_부하량'!A3:A3000)*(16='5층_부하량'!B3:B3000),0))</f>
        <v>0.0</v>
      </c>
      <c r="P422" s="387"/>
      <c r="Q422" s="387"/>
      <c r="R422" s="394" t="s">
        <v>4590</v>
      </c>
      <c r="S422" s="382" t="s">
        <v>4642</v>
      </c>
      <c r="T422" s="395"/>
    </row>
    <row r="423" spans="1:20" s="356" customFormat="1" ht="16.5" x14ac:dyDescent="0.15">
      <c r="A423" s="1311" t="s">
        <v>3856</v>
      </c>
      <c r="B423" s="382" t="s">
        <v>4631</v>
      </c>
      <c r="C423" s="389" t="s">
        <v>4575</v>
      </c>
      <c r="D423" s="387"/>
      <c r="E423" s="387"/>
      <c r="F423" s="2679" cm="1" t="n">
        <f t="array" ref="F423">INDEX('5층_부하량'!E3:E3000,MATCH(1,("5-DaHall 1-PDU-16"='5층_부하량'!A3:A3000)*(17='5층_부하량'!B3:B3000),0))</f>
        <v>0.0</v>
      </c>
      <c r="G423" s="387"/>
      <c r="H423" s="382" t="s">
        <v>5811</v>
      </c>
      <c r="I423" s="558" t="s">
        <v>4665</v>
      </c>
      <c r="J423" s="1044"/>
      <c r="K423" s="1045"/>
      <c r="L423" s="1451" t="s">
        <v>4605</v>
      </c>
      <c r="M423" s="382" t="s">
        <v>5811</v>
      </c>
      <c r="N423" s="387"/>
      <c r="O423" s="387"/>
      <c r="P423" s="2679" cm="1" t="n">
        <f t="array" ref="P423">INDEX('5층_부하량'!E3:E3000,MATCH(1,("5-DaHall 1-PDU-16"='5층_부하량'!A3:A3000)*(18='5층_부하량'!B3:B3000),0))</f>
        <v>0.0</v>
      </c>
      <c r="Q423" s="387"/>
      <c r="R423" s="394" t="s">
        <v>4590</v>
      </c>
      <c r="S423" s="382" t="s">
        <v>4642</v>
      </c>
      <c r="T423" s="395"/>
    </row>
    <row r="424" spans="1:20" s="356" customFormat="1" ht="16.5" x14ac:dyDescent="0.15">
      <c r="A424" s="1311" t="s">
        <v>3858</v>
      </c>
      <c r="B424" s="382" t="s">
        <v>4631</v>
      </c>
      <c r="C424" s="389" t="s">
        <v>4575</v>
      </c>
      <c r="D424" s="2679" cm="1" t="n">
        <f t="array" ref="D424">INDEX('5층_부하량'!C3:C3000,MATCH(1,("5-DaHall 1-PDU-16"='5층_부하량'!A3:A3000)*(19='5층_부하량'!B3:B3000),0))</f>
        <v>0.0</v>
      </c>
      <c r="E424" s="387"/>
      <c r="F424" s="387"/>
      <c r="G424" s="387"/>
      <c r="H424" s="382" t="s">
        <v>5811</v>
      </c>
      <c r="I424" s="558" t="s">
        <v>4670</v>
      </c>
      <c r="J424" s="1044"/>
      <c r="K424" s="2332" t="s">
        <v>5975</v>
      </c>
      <c r="L424" s="1451" t="s">
        <v>4609</v>
      </c>
      <c r="M424" s="382" t="s">
        <v>5811</v>
      </c>
      <c r="N424" s="2679" cm="1" t="n">
        <f t="array" ref="N424">INDEX('5층_부하량'!C3:C3000,MATCH(1,("5-DaHall 1-PDU-16"='5층_부하량'!A3:A3000)*(20='5층_부하량'!B3:B3000),0))</f>
        <v>0.59</v>
      </c>
      <c r="O424" s="387"/>
      <c r="P424" s="387"/>
      <c r="Q424" s="387"/>
      <c r="R424" s="382" t="s">
        <v>4579</v>
      </c>
      <c r="S424" s="389" t="s">
        <v>4575</v>
      </c>
      <c r="T424" s="2333" t="s">
        <v>4094</v>
      </c>
    </row>
    <row r="425" spans="1:20" s="356" customFormat="1" ht="24" x14ac:dyDescent="0.15">
      <c r="A425" s="2331" t="s">
        <v>5976</v>
      </c>
      <c r="B425" s="382" t="s">
        <v>4631</v>
      </c>
      <c r="C425" s="389" t="s">
        <v>4575</v>
      </c>
      <c r="D425" s="387"/>
      <c r="E425" s="2679" cm="1" t="n">
        <f t="array" ref="E425">INDEX('5층_부하량'!D3:D3000,MATCH(1,("5-DaHall 1-PDU-16"='5층_부하량'!A3:A3000)*(21='5층_부하량'!B3:B3000),0))</f>
        <v>0.33</v>
      </c>
      <c r="F425" s="387"/>
      <c r="G425" s="387"/>
      <c r="H425" s="382" t="s">
        <v>5811</v>
      </c>
      <c r="I425" s="1450" t="s">
        <v>4674</v>
      </c>
      <c r="J425" s="1044"/>
      <c r="K425" s="2332" t="s">
        <v>5977</v>
      </c>
      <c r="L425" s="1451" t="s">
        <v>4613</v>
      </c>
      <c r="M425" s="382" t="s">
        <v>5811</v>
      </c>
      <c r="N425" s="387"/>
      <c r="O425" s="2679" cm="1" t="n">
        <f t="array" ref="O425">INDEX('5층_부하량'!D3:D3000,MATCH(1,("5-DaHall 1-PDU-16"='5층_부하량'!A3:A3000)*(22='5층_부하량'!B3:B3000),0))</f>
        <v>0.59</v>
      </c>
      <c r="P425" s="387"/>
      <c r="Q425" s="387"/>
      <c r="R425" s="382" t="s">
        <v>4579</v>
      </c>
      <c r="S425" s="389" t="s">
        <v>4575</v>
      </c>
      <c r="T425" s="2333" t="s">
        <v>4095</v>
      </c>
    </row>
    <row r="426" spans="1:20" s="356" customFormat="1" ht="16.5" x14ac:dyDescent="0.15">
      <c r="A426" s="443" t="s">
        <v>5922</v>
      </c>
      <c r="B426" s="382" t="s">
        <v>4631</v>
      </c>
      <c r="C426" s="389" t="s">
        <v>4575</v>
      </c>
      <c r="D426" s="387"/>
      <c r="E426" s="387"/>
      <c r="F426" s="2679" cm="1" t="n">
        <f t="array" ref="F426">INDEX('5층_부하량'!E3:E3000,MATCH(1,("5-DaHall 1-PDU-16"='5층_부하량'!A3:A3000)*(23='5층_부하량'!B3:B3000),0))</f>
        <v>0.0</v>
      </c>
      <c r="G426" s="387"/>
      <c r="H426" s="382" t="s">
        <v>5811</v>
      </c>
      <c r="I426" s="558" t="s">
        <v>4678</v>
      </c>
      <c r="J426" s="1042" t="s">
        <v>5978</v>
      </c>
      <c r="K426" s="1043" t="s">
        <v>5978</v>
      </c>
      <c r="L426" s="577" t="s">
        <v>4680</v>
      </c>
      <c r="M426" s="382" t="s">
        <v>5811</v>
      </c>
      <c r="N426" s="387"/>
      <c r="O426" s="387"/>
      <c r="P426" s="2679" cm="1" t="n">
        <f t="array" ref="P426">INDEX('5층_부하량'!E3:E3000,MATCH(1,("5-DaHall 1-PDU-16"='5층_부하량'!A3:A3000)*(24='5층_부하량'!B3:B3000),0))</f>
        <v>0.0</v>
      </c>
      <c r="Q426" s="387"/>
      <c r="R426" s="394" t="s">
        <v>4631</v>
      </c>
      <c r="S426" s="389" t="s">
        <v>4575</v>
      </c>
      <c r="T426" s="395" t="s">
        <v>3867</v>
      </c>
    </row>
    <row r="427" spans="1:20" s="356" customFormat="1" ht="16.5" x14ac:dyDescent="0.15">
      <c r="A427" s="403"/>
      <c r="B427" s="382" t="s">
        <v>4631</v>
      </c>
      <c r="C427" s="389" t="s">
        <v>4575</v>
      </c>
      <c r="D427" s="2679" cm="1" t="n">
        <f t="array" ref="D427">INDEX('5층_부하량'!C3:C3000,MATCH(1,("5-DaHall 1-PDU-16"='5층_부하량'!A3:A3000)*(25='5층_부하량'!B3:B3000),0))</f>
        <v>0.42</v>
      </c>
      <c r="E427" s="387"/>
      <c r="F427" s="387"/>
      <c r="G427" s="387"/>
      <c r="H427" s="382" t="s">
        <v>5811</v>
      </c>
      <c r="I427" s="558" t="s">
        <v>4683</v>
      </c>
      <c r="J427" s="1042" t="s">
        <v>5978</v>
      </c>
      <c r="K427" s="1043"/>
      <c r="L427" s="1454" t="s">
        <v>4685</v>
      </c>
      <c r="M427" s="382" t="s">
        <v>5811</v>
      </c>
      <c r="N427" s="2679" cm="1" t="n">
        <f t="array" ref="N427">INDEX('5층_부하량'!C3:C3000,MATCH(1,("5-DaHall 1-PDU-16"='5층_부하량'!A3:A3000)*(26='5층_부하량'!B3:B3000),0))</f>
        <v>0.0</v>
      </c>
      <c r="O427" s="387"/>
      <c r="P427" s="387"/>
      <c r="Q427" s="387"/>
      <c r="R427" s="394" t="s">
        <v>4590</v>
      </c>
      <c r="S427" s="382" t="s">
        <v>4642</v>
      </c>
      <c r="T427" s="395"/>
    </row>
    <row r="428" spans="1:20" s="356" customFormat="1" ht="18" x14ac:dyDescent="0.15">
      <c r="A428" s="444" t="s">
        <v>3863</v>
      </c>
      <c r="B428" s="382" t="s">
        <v>4631</v>
      </c>
      <c r="C428" s="389" t="s">
        <v>4575</v>
      </c>
      <c r="D428" s="387"/>
      <c r="E428" s="2679" cm="1" t="n">
        <f t="array" ref="E428">INDEX('5층_부하량'!D3:D3000,MATCH(1,("5-DaHall 1-PDU-16"='5층_부하량'!A3:A3000)*(27='5층_부하량'!B3:B3000),0))</f>
        <v>0.57</v>
      </c>
      <c r="F428" s="387"/>
      <c r="G428" s="387"/>
      <c r="H428" s="382" t="s">
        <v>5811</v>
      </c>
      <c r="I428" s="558" t="s">
        <v>4688</v>
      </c>
      <c r="J428" s="1042" t="s">
        <v>5978</v>
      </c>
      <c r="K428" s="1045" t="s">
        <v>5979</v>
      </c>
      <c r="L428" s="1212" t="s">
        <v>4689</v>
      </c>
      <c r="M428" s="382" t="s">
        <v>5811</v>
      </c>
      <c r="N428" s="387"/>
      <c r="O428" s="2679" cm="1" t="n">
        <f t="array" ref="O428">INDEX('5층_부하량'!D3:D3000,MATCH(1,("5-DaHall 1-PDU-16"='5층_부하량'!A3:A3000)*(28='5층_부하량'!B3:B3000),0))</f>
        <v>0.0</v>
      </c>
      <c r="P428" s="387"/>
      <c r="Q428" s="387"/>
      <c r="R428" s="394" t="s">
        <v>4631</v>
      </c>
      <c r="S428" s="389" t="s">
        <v>4575</v>
      </c>
      <c r="T428" s="405" t="s">
        <v>5980</v>
      </c>
    </row>
    <row r="429" spans="1:20" s="356" customFormat="1" ht="17.25" thickBot="1" x14ac:dyDescent="0.2">
      <c r="A429" s="406" t="s">
        <v>3865</v>
      </c>
      <c r="B429" s="407" t="s">
        <v>4631</v>
      </c>
      <c r="C429" s="445" t="s">
        <v>4575</v>
      </c>
      <c r="D429" s="408"/>
      <c r="E429" s="408"/>
      <c r="F429" s="2684" cm="1" t="n">
        <f t="array" ref="F429">INDEX('5층_부하량'!E3:E3000,MATCH(1,("5-DaHall 1-PDU-16"='5층_부하량'!A3:A3000)*(29='5층_부하량'!B3:B3000),0))</f>
        <v>0.29</v>
      </c>
      <c r="G429" s="408"/>
      <c r="H429" s="407" t="s">
        <v>5811</v>
      </c>
      <c r="I429" s="560" t="s">
        <v>4691</v>
      </c>
      <c r="J429" s="1061" t="s">
        <v>5978</v>
      </c>
      <c r="K429" s="1062" t="s">
        <v>5978</v>
      </c>
      <c r="L429" s="585" t="s">
        <v>4692</v>
      </c>
      <c r="M429" s="407" t="s">
        <v>5811</v>
      </c>
      <c r="N429" s="408"/>
      <c r="O429" s="408"/>
      <c r="P429" s="2684" cm="1" t="n">
        <f t="array" ref="P429">INDEX('5층_부하량'!E3:E3000,MATCH(1,("5-DaHall 1-PDU-16"='5층_부하량'!A3:A3000)*(30='5층_부하량'!B3:B3000),0))</f>
        <v>0.48</v>
      </c>
      <c r="Q429" s="408"/>
      <c r="R429" s="409" t="s">
        <v>4631</v>
      </c>
      <c r="S429" s="445" t="s">
        <v>4575</v>
      </c>
      <c r="T429" s="410" t="s">
        <v>3869</v>
      </c>
    </row>
    <row r="430" spans="1:20" s="356" customFormat="1" ht="18" thickTop="1" thickBot="1" x14ac:dyDescent="0.2">
      <c r="L430" s="2445"/>
      <c r="M430" s="411" t="s">
        <v>5645</v>
      </c>
      <c r="N430" s="412" t="n">
        <f>SUM(D415:D429,N415:N429)</f>
        <v>9.49</v>
      </c>
      <c r="O430" s="412" t="n">
        <f>SUM(E415:E429,O415:O429)</f>
        <v>5.390000000000001</v>
      </c>
      <c r="P430" s="412" t="n">
        <f>SUM(F415:F429,P415:P429)</f>
        <v>6.82</v>
      </c>
    </row>
    <row r="431" spans="1:20" s="356" customFormat="1" ht="20.25" thickTop="1" thickBot="1" x14ac:dyDescent="0.2">
      <c r="A431" s="355" t="s">
        <v>5981</v>
      </c>
      <c r="D431" s="357"/>
      <c r="E431" s="357"/>
      <c r="F431" s="357"/>
      <c r="G431" s="357"/>
      <c r="H431" s="358"/>
      <c r="I431" s="358"/>
      <c r="J431" s="3668" t="s">
        <v>5982</v>
      </c>
      <c r="K431" s="3669"/>
      <c r="L431" s="2442"/>
      <c r="M431" s="358"/>
      <c r="N431" s="357"/>
      <c r="O431" s="357"/>
      <c r="P431" s="357"/>
      <c r="Q431" s="357"/>
      <c r="R431" s="357"/>
      <c r="S431" s="357"/>
    </row>
    <row r="432" spans="1:20" s="356" customFormat="1" ht="18" thickTop="1" thickBot="1" x14ac:dyDescent="0.2">
      <c r="A432" s="3"/>
      <c r="B432"/>
      <c r="C432"/>
      <c r="D432" s="54"/>
      <c r="E432" s="54"/>
      <c r="F432" s="54"/>
      <c r="G432" s="54"/>
      <c r="H432" s="4"/>
      <c r="I432" s="4"/>
      <c r="J432"/>
      <c r="K432" s="56"/>
      <c r="L432" s="565"/>
      <c r="M432" s="1371" t="s">
        <v>4562</v>
      </c>
      <c r="N432" s="1368">
        <v>0</v>
      </c>
      <c r="O432" s="1369">
        <v>0</v>
      </c>
      <c r="P432" s="1370">
        <v>0</v>
      </c>
      <c r="Q432" s="508" t="s">
        <v>4563</v>
      </c>
      <c r="R432" s="133"/>
      <c r="S432" s="128"/>
      <c r="T432" s="528"/>
    </row>
    <row r="433" spans="1:20" s="356" customFormat="1" ht="18" thickTop="1" thickBot="1" x14ac:dyDescent="0.2">
      <c r="A433" s="364" t="s">
        <v>4564</v>
      </c>
      <c r="B433" s="365" t="s">
        <v>4565</v>
      </c>
      <c r="C433" s="366" t="s">
        <v>4566</v>
      </c>
      <c r="D433" s="365" t="s">
        <v>4567</v>
      </c>
      <c r="E433" s="365" t="s">
        <v>4568</v>
      </c>
      <c r="F433" s="365" t="s">
        <v>4569</v>
      </c>
      <c r="G433" s="365" t="s">
        <v>4570</v>
      </c>
      <c r="H433" s="367" t="s">
        <v>4571</v>
      </c>
      <c r="I433" s="557"/>
      <c r="J433" s="368" t="s">
        <v>4572</v>
      </c>
      <c r="K433" s="369" t="s">
        <v>4572</v>
      </c>
      <c r="L433" s="575"/>
      <c r="M433" s="367" t="s">
        <v>4571</v>
      </c>
      <c r="N433" s="365" t="s">
        <v>4567</v>
      </c>
      <c r="O433" s="365" t="s">
        <v>4568</v>
      </c>
      <c r="P433" s="365" t="s">
        <v>4569</v>
      </c>
      <c r="Q433" s="365" t="s">
        <v>4570</v>
      </c>
      <c r="R433" s="365" t="s">
        <v>4565</v>
      </c>
      <c r="S433" s="366" t="s">
        <v>4566</v>
      </c>
      <c r="T433" s="370" t="s">
        <v>4564</v>
      </c>
    </row>
    <row r="434" spans="1:20" s="356" customFormat="1" ht="17.25" thickTop="1" x14ac:dyDescent="0.15">
      <c r="A434" s="371"/>
      <c r="B434" s="372" t="s">
        <v>4590</v>
      </c>
      <c r="C434" s="373" t="s">
        <v>4642</v>
      </c>
      <c r="D434" s="374"/>
      <c r="E434" s="374"/>
      <c r="F434" s="374"/>
      <c r="G434" s="374"/>
      <c r="H434" s="373" t="s">
        <v>5893</v>
      </c>
      <c r="I434" s="2443" t="s">
        <v>5894</v>
      </c>
      <c r="J434" s="375"/>
      <c r="K434" s="376"/>
      <c r="L434" s="1178" t="s">
        <v>5896</v>
      </c>
      <c r="M434" s="372" t="s">
        <v>5893</v>
      </c>
      <c r="N434" s="374"/>
      <c r="O434" s="374"/>
      <c r="P434" s="374"/>
      <c r="Q434" s="374"/>
      <c r="R434" s="378" t="s">
        <v>4590</v>
      </c>
      <c r="S434" s="372" t="s">
        <v>4642</v>
      </c>
      <c r="T434" s="380"/>
    </row>
    <row r="435" spans="1:20" s="356" customFormat="1" ht="16.5" x14ac:dyDescent="0.15">
      <c r="A435" s="446" t="s">
        <v>5983</v>
      </c>
      <c r="B435" s="382" t="s">
        <v>4631</v>
      </c>
      <c r="C435" s="389" t="s">
        <v>4575</v>
      </c>
      <c r="D435" s="386"/>
      <c r="E435" s="386"/>
      <c r="F435" s="386"/>
      <c r="G435" s="383"/>
      <c r="H435" s="382" t="s">
        <v>5790</v>
      </c>
      <c r="I435" s="2444" t="s">
        <v>5899</v>
      </c>
      <c r="J435" s="384" t="s">
        <v>5978</v>
      </c>
      <c r="K435" s="385"/>
      <c r="L435" s="1179" t="s">
        <v>5901</v>
      </c>
      <c r="M435" s="382" t="s">
        <v>5786</v>
      </c>
      <c r="N435" s="383"/>
      <c r="O435" s="383"/>
      <c r="P435" s="383"/>
      <c r="Q435" s="383"/>
      <c r="R435" s="388" t="s">
        <v>4590</v>
      </c>
      <c r="S435" s="382" t="s">
        <v>4642</v>
      </c>
      <c r="T435" s="390"/>
    </row>
    <row r="436" spans="1:20" s="356" customFormat="1" ht="16.5" x14ac:dyDescent="0.15">
      <c r="A436" s="391"/>
      <c r="B436" s="382" t="s">
        <v>4590</v>
      </c>
      <c r="C436" s="382" t="s">
        <v>4642</v>
      </c>
      <c r="D436" s="387"/>
      <c r="E436" s="387"/>
      <c r="F436" s="387"/>
      <c r="G436" s="387"/>
      <c r="H436" s="382" t="s">
        <v>5786</v>
      </c>
      <c r="I436" s="558" t="s">
        <v>4641</v>
      </c>
      <c r="J436" s="392"/>
      <c r="K436" s="393"/>
      <c r="L436" s="578" t="s">
        <v>4588</v>
      </c>
      <c r="M436" s="382" t="s">
        <v>5786</v>
      </c>
      <c r="N436" s="387"/>
      <c r="O436" s="387"/>
      <c r="P436" s="387"/>
      <c r="Q436" s="387"/>
      <c r="R436" s="394" t="s">
        <v>4590</v>
      </c>
      <c r="S436" s="382" t="s">
        <v>4642</v>
      </c>
      <c r="T436" s="395"/>
    </row>
    <row r="437" spans="1:20" s="356" customFormat="1" ht="16.5" x14ac:dyDescent="0.15">
      <c r="A437" s="396" t="s">
        <v>5984</v>
      </c>
      <c r="B437" s="382" t="s">
        <v>4590</v>
      </c>
      <c r="C437" s="382" t="s">
        <v>4642</v>
      </c>
      <c r="D437" s="387"/>
      <c r="E437" s="387"/>
      <c r="F437" s="387"/>
      <c r="G437" s="387"/>
      <c r="H437" s="382" t="s">
        <v>5786</v>
      </c>
      <c r="I437" s="558" t="s">
        <v>4645</v>
      </c>
      <c r="J437" s="392"/>
      <c r="K437" s="385" t="s">
        <v>5978</v>
      </c>
      <c r="L437" s="577" t="s">
        <v>4593</v>
      </c>
      <c r="M437" s="382" t="s">
        <v>5795</v>
      </c>
      <c r="N437" s="387"/>
      <c r="O437" s="404"/>
      <c r="P437" s="387"/>
      <c r="Q437" s="387"/>
      <c r="R437" s="394" t="s">
        <v>4631</v>
      </c>
      <c r="S437" s="389" t="s">
        <v>4575</v>
      </c>
      <c r="T437" s="390" t="s">
        <v>5984</v>
      </c>
    </row>
    <row r="438" spans="1:20" s="356" customFormat="1" ht="16.5" x14ac:dyDescent="0.15">
      <c r="A438" s="396" t="s">
        <v>5906</v>
      </c>
      <c r="B438" s="415" t="s">
        <v>4590</v>
      </c>
      <c r="C438" s="415" t="s">
        <v>4642</v>
      </c>
      <c r="D438" s="417"/>
      <c r="E438" s="417"/>
      <c r="F438" s="417"/>
      <c r="G438" s="417"/>
      <c r="H438" s="415" t="s">
        <v>5801</v>
      </c>
      <c r="I438" s="561" t="s">
        <v>4648</v>
      </c>
      <c r="J438" s="447"/>
      <c r="K438" s="420" t="s">
        <v>5978</v>
      </c>
      <c r="L438" s="582" t="s">
        <v>4596</v>
      </c>
      <c r="M438" s="415" t="s">
        <v>5811</v>
      </c>
      <c r="N438" s="417"/>
      <c r="O438" s="417"/>
      <c r="P438" s="418"/>
      <c r="Q438" s="417"/>
      <c r="R438" s="421" t="s">
        <v>4631</v>
      </c>
      <c r="S438" s="416" t="s">
        <v>4575</v>
      </c>
      <c r="T438" s="413" t="s">
        <v>5984</v>
      </c>
    </row>
    <row r="439" spans="1:20" s="356" customFormat="1" ht="16.5" x14ac:dyDescent="0.15">
      <c r="A439" s="448" t="s">
        <v>5984</v>
      </c>
      <c r="B439" s="382" t="s">
        <v>4631</v>
      </c>
      <c r="C439" s="389" t="s">
        <v>4575</v>
      </c>
      <c r="D439" s="404"/>
      <c r="E439" s="387"/>
      <c r="F439" s="387"/>
      <c r="G439" s="387"/>
      <c r="H439" s="382" t="s">
        <v>5801</v>
      </c>
      <c r="I439" s="558" t="s">
        <v>4653</v>
      </c>
      <c r="J439" s="384" t="s">
        <v>5978</v>
      </c>
      <c r="K439" s="393"/>
      <c r="L439" s="578" t="s">
        <v>4599</v>
      </c>
      <c r="M439" s="382" t="s">
        <v>5811</v>
      </c>
      <c r="N439" s="387"/>
      <c r="O439" s="387"/>
      <c r="P439" s="387"/>
      <c r="Q439" s="387"/>
      <c r="R439" s="394" t="s">
        <v>4590</v>
      </c>
      <c r="S439" s="382" t="s">
        <v>4642</v>
      </c>
      <c r="T439" s="395" t="s">
        <v>5906</v>
      </c>
    </row>
    <row r="440" spans="1:20" s="356" customFormat="1" ht="16.5" x14ac:dyDescent="0.15">
      <c r="A440" s="391"/>
      <c r="B440" s="382" t="s">
        <v>4631</v>
      </c>
      <c r="C440" s="415" t="s">
        <v>4642</v>
      </c>
      <c r="D440" s="387"/>
      <c r="E440" s="387"/>
      <c r="F440" s="387"/>
      <c r="G440" s="387"/>
      <c r="H440" s="382" t="s">
        <v>5801</v>
      </c>
      <c r="I440" s="558" t="s">
        <v>4657</v>
      </c>
      <c r="J440" s="392"/>
      <c r="K440" s="393"/>
      <c r="L440" s="578" t="s">
        <v>4601</v>
      </c>
      <c r="M440" s="382" t="s">
        <v>5811</v>
      </c>
      <c r="N440" s="387"/>
      <c r="O440" s="387"/>
      <c r="P440" s="387"/>
      <c r="Q440" s="387"/>
      <c r="R440" s="394" t="s">
        <v>4590</v>
      </c>
      <c r="S440" s="382" t="s">
        <v>4642</v>
      </c>
      <c r="T440" s="395" t="s">
        <v>5906</v>
      </c>
    </row>
    <row r="441" spans="1:20" s="356" customFormat="1" ht="17.25" thickBot="1" x14ac:dyDescent="0.2">
      <c r="A441" s="431" t="s">
        <v>5985</v>
      </c>
      <c r="B441" s="432" t="s">
        <v>4631</v>
      </c>
      <c r="C441" s="437" t="s">
        <v>4575</v>
      </c>
      <c r="D441" s="433"/>
      <c r="E441" s="433"/>
      <c r="F441" s="435"/>
      <c r="G441" s="433"/>
      <c r="H441" s="432" t="s">
        <v>5801</v>
      </c>
      <c r="I441" s="563" t="s">
        <v>4661</v>
      </c>
      <c r="J441" s="449" t="s">
        <v>5978</v>
      </c>
      <c r="K441" s="441"/>
      <c r="L441" s="584" t="s">
        <v>4603</v>
      </c>
      <c r="M441" s="432" t="s">
        <v>5811</v>
      </c>
      <c r="N441" s="433"/>
      <c r="O441" s="433"/>
      <c r="P441" s="433"/>
      <c r="Q441" s="433"/>
      <c r="R441" s="436" t="s">
        <v>4590</v>
      </c>
      <c r="S441" s="432" t="s">
        <v>4642</v>
      </c>
      <c r="T441" s="438"/>
    </row>
    <row r="442" spans="1:20" s="356" customFormat="1" ht="18" thickTop="1" thickBot="1" x14ac:dyDescent="0.2">
      <c r="A442" s="450"/>
      <c r="B442" s="358"/>
      <c r="C442" s="451"/>
      <c r="D442" s="452"/>
      <c r="E442" s="452"/>
      <c r="F442" s="452"/>
      <c r="G442" s="452"/>
      <c r="H442" s="358"/>
      <c r="I442" s="358"/>
      <c r="J442" s="453"/>
      <c r="K442" s="453"/>
      <c r="L442" s="586"/>
      <c r="M442" s="2449" t="s">
        <v>5986</v>
      </c>
      <c r="N442" s="608" t="n">
        <f>SUM(D434:D441,N434:N441)</f>
        <v>0.0</v>
      </c>
      <c r="O442" s="608" t="n">
        <f>SUM(E434:E441,O434:O441)</f>
        <v>0.0</v>
      </c>
      <c r="P442" s="608" t="n">
        <f>SUM(F434:F441,P434:P441)</f>
        <v>0.0</v>
      </c>
      <c r="Q442" s="452"/>
      <c r="R442" s="454"/>
      <c r="S442" s="358"/>
      <c r="T442" s="361"/>
    </row>
    <row r="443" spans="1:20" s="356" customFormat="1" ht="20.25" thickTop="1" thickBot="1" x14ac:dyDescent="0.2">
      <c r="A443" s="355" t="s">
        <v>6961</v>
      </c>
      <c r="C443" s="3660" t="s">
        <v>5987</v>
      </c>
      <c r="D443" s="3660"/>
      <c r="E443" s="3660"/>
      <c r="F443" s="3660"/>
      <c r="G443" s="357"/>
      <c r="H443" s="358"/>
      <c r="I443" s="358"/>
      <c r="J443" s="3668" t="s">
        <v>5063</v>
      </c>
      <c r="K443" s="3669"/>
      <c r="L443" s="2442"/>
      <c r="M443" s="358"/>
      <c r="N443" s="357"/>
      <c r="O443" s="357"/>
      <c r="P443" s="357"/>
      <c r="Q443" s="357"/>
      <c r="R443" s="357"/>
      <c r="S443" s="357"/>
    </row>
    <row r="444" spans="1:20" s="356" customFormat="1" ht="15" customHeight="1" thickTop="1" thickBot="1" x14ac:dyDescent="0.2">
      <c r="A444" s="3"/>
      <c r="B444"/>
      <c r="C444"/>
      <c r="D444" s="54"/>
      <c r="E444" s="54"/>
      <c r="F444" s="54"/>
      <c r="G444" s="54"/>
      <c r="H444" s="4"/>
      <c r="I444" s="4"/>
      <c r="J444"/>
      <c r="K444" s="56"/>
      <c r="L444" s="565"/>
      <c r="M444" s="1371" t="s">
        <v>4562</v>
      </c>
      <c r="N444" s="1368">
        <v>5.5</v>
      </c>
      <c r="O444" s="1369">
        <v>7.2</v>
      </c>
      <c r="P444" s="1370">
        <v>2.2999999999999998</v>
      </c>
      <c r="Q444" s="508" t="s">
        <v>4563</v>
      </c>
      <c r="R444" s="133"/>
      <c r="S444" s="128"/>
      <c r="T444" s="363"/>
    </row>
    <row r="445" spans="1:20" s="356" customFormat="1" ht="18" thickTop="1" thickBot="1" x14ac:dyDescent="0.2">
      <c r="A445" s="364" t="s">
        <v>4564</v>
      </c>
      <c r="B445" s="365" t="s">
        <v>4565</v>
      </c>
      <c r="C445" s="366" t="s">
        <v>4566</v>
      </c>
      <c r="D445" s="365" t="s">
        <v>4567</v>
      </c>
      <c r="E445" s="365" t="s">
        <v>4568</v>
      </c>
      <c r="F445" s="365" t="s">
        <v>4569</v>
      </c>
      <c r="G445" s="365" t="s">
        <v>4570</v>
      </c>
      <c r="H445" s="367" t="s">
        <v>4571</v>
      </c>
      <c r="I445" s="557"/>
      <c r="J445" s="368" t="s">
        <v>4572</v>
      </c>
      <c r="K445" s="369" t="s">
        <v>4572</v>
      </c>
      <c r="L445" s="575"/>
      <c r="M445" s="367" t="s">
        <v>4571</v>
      </c>
      <c r="N445" s="365" t="s">
        <v>4567</v>
      </c>
      <c r="O445" s="365" t="s">
        <v>4568</v>
      </c>
      <c r="P445" s="365" t="s">
        <v>4569</v>
      </c>
      <c r="Q445" s="365" t="s">
        <v>4570</v>
      </c>
      <c r="R445" s="365" t="s">
        <v>4565</v>
      </c>
      <c r="S445" s="366" t="s">
        <v>4566</v>
      </c>
      <c r="T445" s="370" t="s">
        <v>4564</v>
      </c>
    </row>
    <row r="446" spans="1:20" s="356" customFormat="1" ht="17.25" thickTop="1" x14ac:dyDescent="0.15">
      <c r="A446" s="474" t="s">
        <v>5988</v>
      </c>
      <c r="B446" s="378" t="s">
        <v>5989</v>
      </c>
      <c r="C446" s="379" t="s">
        <v>4575</v>
      </c>
      <c r="D446" s="2678" cm="1" t="n">
        <f t="array" ref="D446">INDEX('5층_부하량'!C3:C3000,MATCH(1,("5-DaHall 1-PDU-17"='5층_부하량'!A3:A3000)*(1='5층_부하량'!B3:B3000),0))</f>
        <v>0.6</v>
      </c>
      <c r="E446" s="401"/>
      <c r="F446" s="401"/>
      <c r="G446" s="374"/>
      <c r="H446" s="2450" t="s">
        <v>4597</v>
      </c>
      <c r="I446" s="2451" t="s">
        <v>4577</v>
      </c>
      <c r="J446" s="1040" t="s">
        <v>5990</v>
      </c>
      <c r="K446" s="1041" t="s">
        <v>5991</v>
      </c>
      <c r="L446" s="587" t="s">
        <v>4863</v>
      </c>
      <c r="M446" s="372" t="s">
        <v>4597</v>
      </c>
      <c r="N446" s="2678" cm="1" t="n">
        <f t="array" ref="N446">INDEX('5층_부하량'!C3:C3000,MATCH(1,("5-DaHall 1-PDU-17"='5층_부하량'!A3:A3000)*(2='5층_부하량'!B3:B3000),0))</f>
        <v>0.0</v>
      </c>
      <c r="O446" s="401"/>
      <c r="P446" s="401"/>
      <c r="Q446" s="374"/>
      <c r="R446" s="378" t="s">
        <v>5989</v>
      </c>
      <c r="S446" s="379" t="s">
        <v>4575</v>
      </c>
      <c r="T446" s="1233" t="s">
        <v>5992</v>
      </c>
    </row>
    <row r="447" spans="1:20" s="356" customFormat="1" ht="16.5" x14ac:dyDescent="0.15">
      <c r="A447" s="391" t="s">
        <v>5993</v>
      </c>
      <c r="B447" s="388" t="s">
        <v>5989</v>
      </c>
      <c r="C447" s="389" t="s">
        <v>4575</v>
      </c>
      <c r="D447" s="387"/>
      <c r="E447" s="2672" cm="1" t="n">
        <f t="array" ref="E447">INDEX('5층_부하량'!D3:D3000,MATCH(1,("5-DaHall 1-PDU-17"='5층_부하량'!A3:A3000)*(3='5층_부하량'!B3:B3000),0))</f>
        <v>0.0</v>
      </c>
      <c r="F447" s="387"/>
      <c r="G447" s="383"/>
      <c r="H447" s="1319" t="s">
        <v>4597</v>
      </c>
      <c r="I447" s="1320" t="s">
        <v>4582</v>
      </c>
      <c r="J447" s="1042" t="s">
        <v>5994</v>
      </c>
      <c r="K447" s="1043" t="s">
        <v>5995</v>
      </c>
      <c r="L447" s="577" t="s">
        <v>4865</v>
      </c>
      <c r="M447" s="1319" t="s">
        <v>4597</v>
      </c>
      <c r="N447" s="387"/>
      <c r="O447" s="2672" cm="1" t="n">
        <f t="array" ref="O447">INDEX('5층_부하량'!D3:D3000,MATCH(1,("5-DaHall 1-PDU-17"='5층_부하량'!A3:A3000)*(4='5층_부하량'!B3:B3000),0))</f>
        <v>0.0</v>
      </c>
      <c r="P447" s="387"/>
      <c r="Q447" s="387"/>
      <c r="R447" s="388" t="s">
        <v>5989</v>
      </c>
      <c r="S447" s="389" t="s">
        <v>4575</v>
      </c>
      <c r="T447" s="395" t="s">
        <v>5996</v>
      </c>
    </row>
    <row r="448" spans="1:20" s="356" customFormat="1" ht="16.5" x14ac:dyDescent="0.15">
      <c r="A448" s="391" t="s">
        <v>5997</v>
      </c>
      <c r="B448" s="388" t="s">
        <v>5989</v>
      </c>
      <c r="C448" s="389" t="s">
        <v>4575</v>
      </c>
      <c r="D448" s="387"/>
      <c r="E448" s="387"/>
      <c r="F448" s="2679" cm="1" t="n">
        <f t="array" ref="F448">INDEX('5층_부하량'!E3:E3000,MATCH(1,("5-DaHall 1-PDU-17"='5층_부하량'!A3:A3000)*(5='5층_부하량'!B3:B3000),0))</f>
        <v>0.0</v>
      </c>
      <c r="G448" s="387"/>
      <c r="H448" s="1319" t="s">
        <v>4597</v>
      </c>
      <c r="I448" s="1320" t="s">
        <v>4587</v>
      </c>
      <c r="J448" s="1042" t="s">
        <v>5998</v>
      </c>
      <c r="K448" s="1045" t="s">
        <v>5999</v>
      </c>
      <c r="L448" s="578" t="s">
        <v>4868</v>
      </c>
      <c r="M448" s="1319" t="s">
        <v>4597</v>
      </c>
      <c r="N448" s="387"/>
      <c r="O448" s="387"/>
      <c r="P448" s="2679" cm="1" t="n">
        <f t="array" ref="P448">INDEX('5층_부하량'!E3:E3000,MATCH(1,("5-DaHall 1-PDU-17"='5층_부하량'!A3:A3000)*(6='5층_부하량'!B3:B3000),0))</f>
        <v>0.0</v>
      </c>
      <c r="Q448" s="387"/>
      <c r="R448" s="388" t="s">
        <v>5989</v>
      </c>
      <c r="S448" s="389" t="s">
        <v>4575</v>
      </c>
      <c r="T448" s="395" t="s">
        <v>6000</v>
      </c>
    </row>
    <row r="449" spans="1:20" s="356" customFormat="1" ht="16.5" x14ac:dyDescent="0.15">
      <c r="A449" s="391" t="s">
        <v>6001</v>
      </c>
      <c r="B449" s="388" t="s">
        <v>5989</v>
      </c>
      <c r="C449" s="389" t="s">
        <v>4575</v>
      </c>
      <c r="D449" s="2679" cm="1" t="n">
        <f t="array" ref="D449">INDEX('5층_부하량'!C3:C3000,MATCH(1,("5-DaHall 1-PDU-17"='5층_부하량'!A3:A3000)*(7='5층_부하량'!B3:B3000),0))</f>
        <v>0.0</v>
      </c>
      <c r="E449" s="387"/>
      <c r="F449" s="387"/>
      <c r="G449" s="387"/>
      <c r="H449" s="1319" t="s">
        <v>4597</v>
      </c>
      <c r="I449" s="1320" t="s">
        <v>4645</v>
      </c>
      <c r="J449" s="1042" t="s">
        <v>6002</v>
      </c>
      <c r="K449" s="1043" t="s">
        <v>6003</v>
      </c>
      <c r="L449" s="578" t="s">
        <v>4593</v>
      </c>
      <c r="M449" s="1319" t="s">
        <v>4597</v>
      </c>
      <c r="N449" s="2679" cm="1" t="n">
        <f t="array" ref="N449">INDEX('5층_부하량'!C3:C3000,MATCH(1,("5-DaHall 1-PDU-17"='5층_부하량'!A3:A3000)*(8='5층_부하량'!B3:B3000),0))</f>
        <v>0.0</v>
      </c>
      <c r="O449" s="387"/>
      <c r="P449" s="387"/>
      <c r="Q449" s="387"/>
      <c r="R449" s="388" t="s">
        <v>5989</v>
      </c>
      <c r="S449" s="389" t="s">
        <v>4575</v>
      </c>
      <c r="T449" s="395" t="s">
        <v>6004</v>
      </c>
    </row>
    <row r="450" spans="1:20" s="356" customFormat="1" ht="16.5" x14ac:dyDescent="0.15">
      <c r="A450" s="391" t="s">
        <v>6005</v>
      </c>
      <c r="B450" s="388" t="s">
        <v>5989</v>
      </c>
      <c r="C450" s="389" t="s">
        <v>4575</v>
      </c>
      <c r="D450" s="387"/>
      <c r="E450" s="2672" cm="1" t="n">
        <f t="array" ref="E450">INDEX('5층_부하량'!D3:D3000,MATCH(1,("5-DaHall 1-PDU-17"='5층_부하량'!A3:A3000)*(9='5층_부하량'!B3:B3000),0))</f>
        <v>0.75</v>
      </c>
      <c r="F450" s="387"/>
      <c r="G450" s="387"/>
      <c r="H450" s="1319" t="s">
        <v>4597</v>
      </c>
      <c r="I450" s="1320" t="s">
        <v>4648</v>
      </c>
      <c r="J450" s="1042" t="s">
        <v>6006</v>
      </c>
      <c r="K450" s="1045" t="s">
        <v>6007</v>
      </c>
      <c r="L450" s="578" t="s">
        <v>4596</v>
      </c>
      <c r="M450" s="1319" t="s">
        <v>4597</v>
      </c>
      <c r="N450" s="387"/>
      <c r="O450" s="2672" cm="1" t="n">
        <f t="array" ref="O450">INDEX('5층_부하량'!D3:D3000,MATCH(1,("5-DaHall 1-PDU-17"='5층_부하량'!A3:A3000)*(10='5층_부하량'!B3:B3000),0))</f>
        <v>0.0</v>
      </c>
      <c r="P450" s="387"/>
      <c r="Q450" s="387"/>
      <c r="R450" s="388" t="s">
        <v>5989</v>
      </c>
      <c r="S450" s="389" t="s">
        <v>4575</v>
      </c>
      <c r="T450" s="395" t="s">
        <v>6008</v>
      </c>
    </row>
    <row r="451" spans="1:20" s="356" customFormat="1" ht="16.5" x14ac:dyDescent="0.15">
      <c r="A451" s="391" t="s">
        <v>6009</v>
      </c>
      <c r="B451" s="388" t="s">
        <v>5989</v>
      </c>
      <c r="C451" s="389" t="s">
        <v>4575</v>
      </c>
      <c r="D451" s="387"/>
      <c r="E451" s="387"/>
      <c r="F451" s="2679" cm="1" t="n">
        <f t="array" ref="F451">INDEX('5층_부하량'!E3:E3000,MATCH(1,("5-DaHall 1-PDU-17"='5층_부하량'!A3:A3000)*(11='5층_부하량'!B3:B3000),0))</f>
        <v>0.0</v>
      </c>
      <c r="G451" s="387"/>
      <c r="H451" s="1319" t="s">
        <v>4597</v>
      </c>
      <c r="I451" s="1320" t="s">
        <v>4653</v>
      </c>
      <c r="J451" s="1042" t="s">
        <v>6010</v>
      </c>
      <c r="K451" s="1043" t="s">
        <v>6011</v>
      </c>
      <c r="L451" s="578" t="s">
        <v>4599</v>
      </c>
      <c r="M451" s="1319" t="s">
        <v>4597</v>
      </c>
      <c r="N451" s="387"/>
      <c r="O451" s="387"/>
      <c r="P451" s="2679" cm="1" t="n">
        <f t="array" ref="P451">INDEX('5층_부하량'!E3:E3000,MATCH(1,("5-DaHall 1-PDU-17"='5층_부하량'!A3:A3000)*(12='5층_부하량'!B3:B3000),0))</f>
        <v>0.0</v>
      </c>
      <c r="Q451" s="387"/>
      <c r="R451" s="388" t="s">
        <v>5989</v>
      </c>
      <c r="S451" s="389" t="s">
        <v>4575</v>
      </c>
      <c r="T451" s="395" t="s">
        <v>6012</v>
      </c>
    </row>
    <row r="452" spans="1:20" s="356" customFormat="1" ht="16.5" x14ac:dyDescent="0.15">
      <c r="A452" s="391" t="s">
        <v>6013</v>
      </c>
      <c r="B452" s="388" t="s">
        <v>5989</v>
      </c>
      <c r="C452" s="389" t="s">
        <v>4575</v>
      </c>
      <c r="D452" s="2679" cm="1" t="n">
        <f t="array" ref="D452">INDEX('5층_부하량'!C3:C3000,MATCH(1,("5-DaHall 1-PDU-17"='5층_부하량'!A3:A3000)*(13='5층_부하량'!B3:B3000),0))</f>
        <v>0.0</v>
      </c>
      <c r="E452" s="387"/>
      <c r="F452" s="387"/>
      <c r="G452" s="387"/>
      <c r="H452" s="1319" t="s">
        <v>4597</v>
      </c>
      <c r="I452" s="1320" t="s">
        <v>4657</v>
      </c>
      <c r="J452" s="1042" t="s">
        <v>6014</v>
      </c>
      <c r="K452" s="1045" t="s">
        <v>6015</v>
      </c>
      <c r="L452" s="578" t="s">
        <v>4601</v>
      </c>
      <c r="M452" s="1319" t="s">
        <v>4597</v>
      </c>
      <c r="N452" s="2679" cm="1" t="n">
        <f t="array" ref="N452">INDEX('5층_부하량'!C3:C3000,MATCH(1,("5-DaHall 1-PDU-17"='5층_부하량'!A3:A3000)*(14='5층_부하량'!B3:B3000),0))</f>
        <v>0.0</v>
      </c>
      <c r="O452" s="387"/>
      <c r="P452" s="387"/>
      <c r="Q452" s="387"/>
      <c r="R452" s="388" t="s">
        <v>5989</v>
      </c>
      <c r="S452" s="1232" t="s">
        <v>4723</v>
      </c>
      <c r="T452" s="395" t="s">
        <v>6016</v>
      </c>
    </row>
    <row r="453" spans="1:20" s="356" customFormat="1" ht="16.5" x14ac:dyDescent="0.15">
      <c r="A453" s="448" t="s">
        <v>6017</v>
      </c>
      <c r="B453" s="388" t="s">
        <v>5989</v>
      </c>
      <c r="C453" s="1232" t="s">
        <v>4723</v>
      </c>
      <c r="D453" s="387"/>
      <c r="E453" s="2679" cm="1" t="n">
        <f t="array" ref="E453">INDEX('5층_부하량'!D3:D3000,MATCH(1,("5-DaHall 1-PDU-17"='5층_부하량'!A3:A3000)*(15='5층_부하량'!B3:B3000),0))</f>
        <v>0.0</v>
      </c>
      <c r="F453" s="387"/>
      <c r="G453" s="387"/>
      <c r="H453" s="1319" t="s">
        <v>6018</v>
      </c>
      <c r="I453" s="1320" t="s">
        <v>4661</v>
      </c>
      <c r="J453" s="1042" t="s">
        <v>6019</v>
      </c>
      <c r="K453" s="1043" t="s">
        <v>6020</v>
      </c>
      <c r="L453" s="578" t="s">
        <v>4603</v>
      </c>
      <c r="M453" s="1319" t="s">
        <v>4597</v>
      </c>
      <c r="N453" s="387"/>
      <c r="O453" s="2679" cm="1" t="n">
        <f t="array" ref="O453">INDEX('5층_부하량'!D3:D3000,MATCH(1,("5-DaHall 1-PDU-17"='5층_부하량'!A3:A3000)*(16='5층_부하량'!B3:B3000),0))</f>
        <v>0.0</v>
      </c>
      <c r="P453" s="387"/>
      <c r="Q453" s="387"/>
      <c r="R453" s="388" t="s">
        <v>5989</v>
      </c>
      <c r="S453" s="1232" t="s">
        <v>4723</v>
      </c>
      <c r="T453" s="395" t="s">
        <v>6021</v>
      </c>
    </row>
    <row r="454" spans="1:20" s="356" customFormat="1" ht="16.5" x14ac:dyDescent="0.15">
      <c r="A454" s="448" t="s">
        <v>6022</v>
      </c>
      <c r="B454" s="388" t="s">
        <v>5989</v>
      </c>
      <c r="C454" s="389" t="s">
        <v>4575</v>
      </c>
      <c r="D454" s="387"/>
      <c r="E454" s="387"/>
      <c r="F454" s="2679" cm="1" t="n">
        <f t="array" ref="F454">INDEX('5층_부하량'!E3:E3000,MATCH(1,("5-DaHall 1-PDU-17"='5층_부하량'!A3:A3000)*(17='5층_부하량'!B3:B3000),0))</f>
        <v>0.0</v>
      </c>
      <c r="G454" s="387"/>
      <c r="H454" s="1232" t="s">
        <v>4597</v>
      </c>
      <c r="I454" s="1320" t="s">
        <v>4665</v>
      </c>
      <c r="J454" s="1042" t="s">
        <v>6023</v>
      </c>
      <c r="K454" s="1045" t="s">
        <v>6024</v>
      </c>
      <c r="L454" s="578" t="s">
        <v>4605</v>
      </c>
      <c r="M454" s="1319" t="s">
        <v>4597</v>
      </c>
      <c r="N454" s="387"/>
      <c r="O454" s="387"/>
      <c r="P454" s="2679" cm="1" t="n">
        <f t="array" ref="P454">INDEX('5층_부하량'!E3:E3000,MATCH(1,("5-DaHall 1-PDU-17"='5층_부하량'!A3:A3000)*(18='5층_부하량'!B3:B3000),0))</f>
        <v>0.0</v>
      </c>
      <c r="Q454" s="387"/>
      <c r="R454" s="388" t="s">
        <v>5989</v>
      </c>
      <c r="S454" s="1232" t="s">
        <v>4723</v>
      </c>
      <c r="T454" s="395" t="s">
        <v>6025</v>
      </c>
    </row>
    <row r="455" spans="1:20" s="356" customFormat="1" ht="16.5" x14ac:dyDescent="0.15">
      <c r="A455" s="448" t="s">
        <v>6026</v>
      </c>
      <c r="B455" s="388" t="s">
        <v>5989</v>
      </c>
      <c r="C455" s="1232" t="s">
        <v>4723</v>
      </c>
      <c r="D455" s="2679" cm="1" t="n">
        <f t="array" ref="D455">INDEX('5층_부하량'!C3:C3000,MATCH(1,("5-DaHall 1-PDU-17"='5층_부하량'!A3:A3000)*(19='5층_부하량'!B3:B3000),0))</f>
        <v>0.0</v>
      </c>
      <c r="E455" s="387"/>
      <c r="F455" s="387"/>
      <c r="G455" s="387"/>
      <c r="H455" s="1232" t="s">
        <v>4597</v>
      </c>
      <c r="I455" s="1320" t="s">
        <v>4670</v>
      </c>
      <c r="J455" s="1042" t="s">
        <v>6027</v>
      </c>
      <c r="K455" s="1043" t="s">
        <v>6028</v>
      </c>
      <c r="L455" s="578" t="s">
        <v>4609</v>
      </c>
      <c r="M455" s="1319" t="s">
        <v>4597</v>
      </c>
      <c r="N455" s="2679" cm="1" t="n">
        <f t="array" ref="N455">INDEX('5층_부하량'!C3:C3000,MATCH(1,("5-DaHall 1-PDU-17"='5층_부하량'!A3:A3000)*(20='5층_부하량'!B3:B3000),0))</f>
        <v>0.0</v>
      </c>
      <c r="O455" s="387"/>
      <c r="P455" s="387"/>
      <c r="Q455" s="387"/>
      <c r="R455" s="388" t="s">
        <v>5989</v>
      </c>
      <c r="S455" s="1232" t="s">
        <v>4723</v>
      </c>
      <c r="T455" s="395" t="s">
        <v>6029</v>
      </c>
    </row>
    <row r="456" spans="1:20" s="356" customFormat="1" ht="16.5" x14ac:dyDescent="0.15">
      <c r="A456" s="448" t="s">
        <v>6030</v>
      </c>
      <c r="B456" s="388" t="s">
        <v>5989</v>
      </c>
      <c r="C456" s="1232" t="s">
        <v>4723</v>
      </c>
      <c r="D456" s="387"/>
      <c r="E456" s="2672" cm="1" t="n">
        <f t="array" ref="E456">INDEX('5층_부하량'!D3:D3000,MATCH(1,("5-DaHall 1-PDU-17"='5층_부하량'!A3:A3000)*(21='5층_부하량'!B3:B3000),0))</f>
        <v>0.0</v>
      </c>
      <c r="F456" s="387"/>
      <c r="G456" s="387"/>
      <c r="H456" s="1319" t="s">
        <v>4597</v>
      </c>
      <c r="I456" s="1320" t="s">
        <v>4612</v>
      </c>
      <c r="J456" s="1042" t="s">
        <v>6031</v>
      </c>
      <c r="K456" s="1045" t="s">
        <v>6032</v>
      </c>
      <c r="L456" s="578" t="s">
        <v>4893</v>
      </c>
      <c r="M456" s="1319" t="s">
        <v>4597</v>
      </c>
      <c r="N456" s="387"/>
      <c r="O456" s="2672" cm="1" t="n">
        <f t="array" ref="O456">INDEX('5층_부하량'!D3:D3000,MATCH(1,("5-DaHall 1-PDU-17"='5층_부하량'!A3:A3000)*(22='5층_부하량'!B3:B3000),0))</f>
        <v>0.0</v>
      </c>
      <c r="P456" s="387"/>
      <c r="Q456" s="387"/>
      <c r="R456" s="388" t="s">
        <v>5989</v>
      </c>
      <c r="S456" s="1232" t="s">
        <v>4723</v>
      </c>
      <c r="T456" s="395" t="s">
        <v>6033</v>
      </c>
    </row>
    <row r="457" spans="1:20" s="356" customFormat="1" ht="16.5" x14ac:dyDescent="0.15">
      <c r="A457" s="448" t="s">
        <v>6034</v>
      </c>
      <c r="B457" s="388" t="s">
        <v>5989</v>
      </c>
      <c r="C457" s="1232" t="s">
        <v>4723</v>
      </c>
      <c r="D457" s="387"/>
      <c r="E457" s="387"/>
      <c r="F457" s="2679" cm="1" t="n">
        <f t="array" ref="F457">INDEX('5층_부하량'!E3:E3000,MATCH(1,("5-DaHall 1-PDU-17"='5층_부하량'!A3:A3000)*(23='5층_부하량'!B3:B3000),0))</f>
        <v>0.0</v>
      </c>
      <c r="G457" s="417"/>
      <c r="H457" s="1321" t="s">
        <v>4597</v>
      </c>
      <c r="I457" s="1320" t="s">
        <v>4896</v>
      </c>
      <c r="J457" s="1054" t="s">
        <v>6035</v>
      </c>
      <c r="K457" s="1043" t="s">
        <v>6036</v>
      </c>
      <c r="L457" s="578" t="s">
        <v>4897</v>
      </c>
      <c r="M457" s="1321" t="s">
        <v>4597</v>
      </c>
      <c r="N457" s="387"/>
      <c r="O457" s="387"/>
      <c r="P457" s="2679" cm="1" t="n">
        <f t="array" ref="P457">INDEX('5층_부하량'!E3:E3000,MATCH(1,("5-DaHall 1-PDU-17"='5층_부하량'!A3:A3000)*(24='5층_부하량'!B3:B3000),0))</f>
        <v>0.0</v>
      </c>
      <c r="Q457" s="417"/>
      <c r="R457" s="388" t="s">
        <v>5989</v>
      </c>
      <c r="S457" s="389" t="s">
        <v>4575</v>
      </c>
      <c r="T457" s="413" t="s">
        <v>6037</v>
      </c>
    </row>
    <row r="458" spans="1:20" s="356" customFormat="1" ht="16.5" x14ac:dyDescent="0.15">
      <c r="A458" s="396" t="s">
        <v>6038</v>
      </c>
      <c r="B458" s="388" t="s">
        <v>5989</v>
      </c>
      <c r="C458" s="389" t="s">
        <v>4575</v>
      </c>
      <c r="D458" s="2679" cm="1" t="n">
        <f t="array" ref="D458">INDEX('5층_부하량'!C3:C3000,MATCH(1,("5-DaHall 1-PDU-17"='5층_부하량'!A3:A3000)*(25='5층_부하량'!B3:B3000),0))</f>
        <v>0.0</v>
      </c>
      <c r="E458" s="387"/>
      <c r="F458" s="387"/>
      <c r="G458" s="417"/>
      <c r="H458" s="415" t="s">
        <v>4597</v>
      </c>
      <c r="I458" s="2452" t="s">
        <v>6039</v>
      </c>
      <c r="J458" s="1054" t="s">
        <v>6040</v>
      </c>
      <c r="K458" s="1045"/>
      <c r="L458" s="589" t="s">
        <v>4901</v>
      </c>
      <c r="M458" s="415" t="s">
        <v>4597</v>
      </c>
      <c r="N458" s="2679" cm="1" t="n">
        <f t="array" ref="N458">INDEX('5층_부하량'!C3:C3000,MATCH(1,("5-DaHall 1-PDU-17"='5층_부하량'!A3:A3000)*(26='5층_부하량'!B3:B3000),0))</f>
        <v>0.0</v>
      </c>
      <c r="O458" s="387"/>
      <c r="P458" s="387"/>
      <c r="Q458" s="417"/>
      <c r="R458" s="1315" t="s">
        <v>565</v>
      </c>
      <c r="S458" s="1316" t="s">
        <v>4723</v>
      </c>
      <c r="T458" s="413"/>
    </row>
    <row r="459" spans="1:20" s="356" customFormat="1" ht="16.5" x14ac:dyDescent="0.15">
      <c r="A459" s="396"/>
      <c r="B459" s="1315" t="s">
        <v>565</v>
      </c>
      <c r="C459" s="1316" t="s">
        <v>4723</v>
      </c>
      <c r="D459" s="387"/>
      <c r="E459" s="2679" cm="1" t="n">
        <f t="array" ref="E459">INDEX('5층_부하량'!D3:D3000,MATCH(1,("5-DaHall 1-PDU-17"='5층_부하량'!A3:A3000)*(27='5층_부하량'!B3:B3000),0))</f>
        <v>0.0</v>
      </c>
      <c r="F459" s="387"/>
      <c r="G459" s="417"/>
      <c r="H459" s="415" t="s">
        <v>4597</v>
      </c>
      <c r="I459" s="2452" t="s">
        <v>6041</v>
      </c>
      <c r="J459" s="1054"/>
      <c r="K459" s="1318"/>
      <c r="L459" s="589" t="s">
        <v>4906</v>
      </c>
      <c r="M459" s="415" t="s">
        <v>4597</v>
      </c>
      <c r="N459" s="387"/>
      <c r="O459" s="2679" cm="1" t="n">
        <f t="array" ref="O459">INDEX('5층_부하량'!D3:D3000,MATCH(1,("5-DaHall 1-PDU-17"='5층_부하량'!A3:A3000)*(28='5층_부하량'!B3:B3000),0))</f>
        <v>0.0</v>
      </c>
      <c r="P459" s="387"/>
      <c r="Q459" s="417"/>
      <c r="R459" s="1315" t="s">
        <v>565</v>
      </c>
      <c r="S459" s="1316" t="s">
        <v>4723</v>
      </c>
      <c r="T459" s="413"/>
    </row>
    <row r="460" spans="1:20" s="356" customFormat="1" ht="16.5" x14ac:dyDescent="0.15">
      <c r="A460" s="396"/>
      <c r="B460" s="1315" t="s">
        <v>565</v>
      </c>
      <c r="C460" s="1316" t="s">
        <v>4723</v>
      </c>
      <c r="D460" s="387"/>
      <c r="E460" s="387"/>
      <c r="F460" s="2679" cm="1" t="n">
        <f t="array" ref="F460">INDEX('5층_부하량'!E3:E3000,MATCH(1,("5-DaHall 1-PDU-17"='5층_부하량'!A3:A3000)*(29='5층_부하량'!B3:B3000),0))</f>
        <v>0.0</v>
      </c>
      <c r="G460" s="417"/>
      <c r="H460" s="415" t="s">
        <v>4597</v>
      </c>
      <c r="I460" s="2452" t="s">
        <v>6042</v>
      </c>
      <c r="J460" s="1054"/>
      <c r="K460" s="1318"/>
      <c r="L460" s="589" t="s">
        <v>4911</v>
      </c>
      <c r="M460" s="415" t="s">
        <v>4597</v>
      </c>
      <c r="N460" s="387"/>
      <c r="O460" s="387"/>
      <c r="P460" s="2679" cm="1" t="n">
        <f t="array" ref="P460">INDEX('5층_부하량'!E3:E3000,MATCH(1,("5-DaHall 1-PDU-17"='5층_부하량'!A3:A3000)*(30='5층_부하량'!B3:B3000),0))</f>
        <v>0.0</v>
      </c>
      <c r="Q460" s="417"/>
      <c r="R460" s="1315" t="s">
        <v>565</v>
      </c>
      <c r="S460" s="1316" t="s">
        <v>4723</v>
      </c>
      <c r="T460" s="413"/>
    </row>
    <row r="461" spans="1:20" s="356" customFormat="1" ht="16.5" x14ac:dyDescent="0.15">
      <c r="A461" s="396"/>
      <c r="B461" s="1315" t="s">
        <v>565</v>
      </c>
      <c r="C461" s="1316" t="s">
        <v>4723</v>
      </c>
      <c r="D461" s="2679" cm="1" t="n">
        <f t="array" ref="D461">INDEX('5층_부하량'!C3:C3000,MATCH(1,("5-DaHall 1-PDU-17"='5층_부하량'!A3:A3000)*(31='5층_부하량'!B3:B3000),0))</f>
        <v>0.0</v>
      </c>
      <c r="E461" s="387"/>
      <c r="F461" s="387"/>
      <c r="G461" s="417"/>
      <c r="H461" s="415" t="s">
        <v>4597</v>
      </c>
      <c r="I461" s="2452" t="s">
        <v>6043</v>
      </c>
      <c r="J461" s="1054"/>
      <c r="K461" s="1318"/>
      <c r="L461" s="589" t="s">
        <v>4915</v>
      </c>
      <c r="M461" s="415" t="s">
        <v>4597</v>
      </c>
      <c r="N461" s="2679" cm="1" t="n">
        <f t="array" ref="N461">INDEX('5층_부하량'!C3:C3000,MATCH(1,("5-DaHall 1-PDU-17"='5층_부하량'!A3:A3000)*(32='5층_부하량'!B3:B3000),0))</f>
        <v>0.0</v>
      </c>
      <c r="O461" s="387"/>
      <c r="P461" s="387"/>
      <c r="Q461" s="417"/>
      <c r="R461" s="1315" t="s">
        <v>565</v>
      </c>
      <c r="S461" s="1316" t="s">
        <v>4723</v>
      </c>
      <c r="T461" s="413"/>
    </row>
    <row r="462" spans="1:20" s="356" customFormat="1" ht="17.25" thickBot="1" x14ac:dyDescent="0.2">
      <c r="A462" s="431"/>
      <c r="B462" s="436" t="s">
        <v>4590</v>
      </c>
      <c r="C462" s="432" t="s">
        <v>4642</v>
      </c>
      <c r="D462" s="433"/>
      <c r="E462" s="2680" cm="1" t="n">
        <f t="array" ref="E462">INDEX('5층_부하량'!D3:D3000,MATCH(1,("5-DaHall 1-PDU-17"='5층_부하량'!A3:A3000)*(33='5층_부하량'!B3:B3000),0))</f>
        <v>0.0</v>
      </c>
      <c r="F462" s="433"/>
      <c r="G462" s="433"/>
      <c r="H462" s="432" t="s">
        <v>4597</v>
      </c>
      <c r="I462" s="2453" t="s">
        <v>6044</v>
      </c>
      <c r="J462" s="1059"/>
      <c r="K462" s="1230"/>
      <c r="L462" s="1231" t="s">
        <v>4919</v>
      </c>
      <c r="M462" s="432" t="s">
        <v>4597</v>
      </c>
      <c r="N462" s="433"/>
      <c r="O462" s="2680" cm="1" t="n">
        <f t="array" ref="O462">INDEX('5층_부하량'!D3:D3000,MATCH(1,("5-DaHall 1-PDU-17"='5층_부하량'!A3:A3000)*(34='5층_부하량'!B3:B3000),0))</f>
        <v>0.0</v>
      </c>
      <c r="P462" s="433"/>
      <c r="Q462" s="433"/>
      <c r="R462" s="436" t="s">
        <v>4590</v>
      </c>
      <c r="S462" s="432" t="s">
        <v>4642</v>
      </c>
      <c r="T462" s="438"/>
    </row>
    <row r="463" spans="1:20" s="356" customFormat="1" ht="18" thickTop="1" thickBot="1" x14ac:dyDescent="0.2">
      <c r="L463" s="2445"/>
      <c r="M463" s="411" t="s">
        <v>5645</v>
      </c>
      <c r="N463" s="412" t="n">
        <f>SUM(D446:D462,N446:N462)</f>
        <v>0.6</v>
      </c>
      <c r="O463" s="412" t="n">
        <f>SUM(E446:E462,O446:O462)</f>
        <v>0.75</v>
      </c>
      <c r="P463" s="412" t="n">
        <f>SUM(F446:F462,P446:P462)</f>
        <v>0.0</v>
      </c>
    </row>
    <row r="464" spans="1:20" s="356" customFormat="1" ht="20.25" thickTop="1" thickBot="1" x14ac:dyDescent="0.2">
      <c r="A464" s="355" t="s">
        <v>6962</v>
      </c>
      <c r="C464" s="3660" t="s">
        <v>6045</v>
      </c>
      <c r="D464" s="3660"/>
      <c r="E464" s="3660"/>
      <c r="F464" s="3660"/>
      <c r="G464" s="357"/>
      <c r="H464" s="358"/>
      <c r="I464" s="358"/>
      <c r="J464" s="3668" t="s">
        <v>5063</v>
      </c>
      <c r="K464" s="3669"/>
      <c r="L464" s="2442"/>
      <c r="M464" s="358"/>
      <c r="N464" s="357"/>
      <c r="O464" s="357"/>
      <c r="P464" s="357"/>
      <c r="Q464" s="357"/>
      <c r="R464" s="357"/>
      <c r="S464" s="357"/>
    </row>
    <row r="465" spans="1:20" s="356" customFormat="1" ht="15" customHeight="1" thickTop="1" thickBot="1" x14ac:dyDescent="0.2">
      <c r="A465" s="3"/>
      <c r="B465"/>
      <c r="C465"/>
      <c r="D465" s="54"/>
      <c r="E465" s="54"/>
      <c r="F465" s="54"/>
      <c r="G465" s="54"/>
      <c r="H465" s="4"/>
      <c r="I465" s="4"/>
      <c r="J465"/>
      <c r="K465" s="56"/>
      <c r="L465" s="565"/>
      <c r="M465" s="1371" t="s">
        <v>4562</v>
      </c>
      <c r="N465" s="1368">
        <v>4.5999999999999996</v>
      </c>
      <c r="O465" s="1369">
        <v>5</v>
      </c>
      <c r="P465" s="1370">
        <v>1.5</v>
      </c>
      <c r="Q465" s="508" t="s">
        <v>4563</v>
      </c>
      <c r="R465" s="133"/>
      <c r="S465" s="128"/>
      <c r="T465" s="363"/>
    </row>
    <row r="466" spans="1:20" s="356" customFormat="1" ht="18" thickTop="1" thickBot="1" x14ac:dyDescent="0.2">
      <c r="A466" s="364" t="s">
        <v>4564</v>
      </c>
      <c r="B466" s="365" t="s">
        <v>4565</v>
      </c>
      <c r="C466" s="366" t="s">
        <v>4566</v>
      </c>
      <c r="D466" s="365" t="s">
        <v>4567</v>
      </c>
      <c r="E466" s="365" t="s">
        <v>4568</v>
      </c>
      <c r="F466" s="365" t="s">
        <v>4569</v>
      </c>
      <c r="G466" s="365" t="s">
        <v>4570</v>
      </c>
      <c r="H466" s="367" t="s">
        <v>4571</v>
      </c>
      <c r="I466" s="557"/>
      <c r="J466" s="368" t="s">
        <v>4572</v>
      </c>
      <c r="K466" s="369" t="s">
        <v>4572</v>
      </c>
      <c r="L466" s="575"/>
      <c r="M466" s="367" t="s">
        <v>4571</v>
      </c>
      <c r="N466" s="365" t="s">
        <v>4567</v>
      </c>
      <c r="O466" s="365" t="s">
        <v>4568</v>
      </c>
      <c r="P466" s="365" t="s">
        <v>4569</v>
      </c>
      <c r="Q466" s="365" t="s">
        <v>4570</v>
      </c>
      <c r="R466" s="365" t="s">
        <v>4565</v>
      </c>
      <c r="S466" s="366" t="s">
        <v>4566</v>
      </c>
      <c r="T466" s="370" t="s">
        <v>4564</v>
      </c>
    </row>
    <row r="467" spans="1:20" s="356" customFormat="1" ht="17.25" thickTop="1" x14ac:dyDescent="0.15">
      <c r="A467" s="474" t="s">
        <v>5988</v>
      </c>
      <c r="B467" s="378" t="s">
        <v>5989</v>
      </c>
      <c r="C467" s="379" t="s">
        <v>4575</v>
      </c>
      <c r="D467" s="2678" cm="1" t="n">
        <f t="array" ref="D467">INDEX('5층_부하량'!C3:C3000,MATCH(1,("5-DaHall 1-PDU-18"='5층_부하량'!A3:A3000)*(1='5층_부하량'!B3:B3000),0))</f>
        <v>0.82</v>
      </c>
      <c r="E467" s="401"/>
      <c r="F467" s="401"/>
      <c r="G467" s="374"/>
      <c r="H467" s="2450" t="s">
        <v>4597</v>
      </c>
      <c r="I467" s="2451" t="s">
        <v>4577</v>
      </c>
      <c r="J467" s="1040" t="s">
        <v>6046</v>
      </c>
      <c r="K467" s="1041" t="s">
        <v>6047</v>
      </c>
      <c r="L467" s="587" t="s">
        <v>4863</v>
      </c>
      <c r="M467" s="372" t="s">
        <v>4597</v>
      </c>
      <c r="N467" s="2678" cm="1" t="n">
        <f t="array" ref="N467">INDEX('5층_부하량'!C3:C3000,MATCH(1,("5-DaHall 1-PDU-18"='5층_부하량'!A3:A3000)*(2='5층_부하량'!B3:B3000),0))</f>
        <v>0.0</v>
      </c>
      <c r="O467" s="401"/>
      <c r="P467" s="401"/>
      <c r="Q467" s="374"/>
      <c r="R467" s="378" t="s">
        <v>5989</v>
      </c>
      <c r="S467" s="379" t="s">
        <v>4575</v>
      </c>
      <c r="T467" s="1233" t="s">
        <v>5992</v>
      </c>
    </row>
    <row r="468" spans="1:20" s="356" customFormat="1" ht="16.5" x14ac:dyDescent="0.15">
      <c r="A468" s="391" t="s">
        <v>5993</v>
      </c>
      <c r="B468" s="388" t="s">
        <v>5989</v>
      </c>
      <c r="C468" s="389" t="s">
        <v>4575</v>
      </c>
      <c r="D468" s="387"/>
      <c r="E468" s="2672" cm="1" t="n">
        <f t="array" ref="E468">INDEX('5층_부하량'!D3:D3000,MATCH(1,("5-DaHall 1-PDU-18"='5층_부하량'!A3:A3000)*(3='5층_부하량'!B3:B3000),0))</f>
        <v>0.0</v>
      </c>
      <c r="F468" s="387"/>
      <c r="G468" s="383"/>
      <c r="H468" s="1319" t="s">
        <v>4597</v>
      </c>
      <c r="I468" s="1320" t="s">
        <v>4582</v>
      </c>
      <c r="J468" s="1042" t="s">
        <v>6048</v>
      </c>
      <c r="K468" s="1043" t="s">
        <v>6049</v>
      </c>
      <c r="L468" s="577" t="s">
        <v>4865</v>
      </c>
      <c r="M468" s="1319" t="s">
        <v>4597</v>
      </c>
      <c r="N468" s="387"/>
      <c r="O468" s="2672" cm="1" t="n">
        <f t="array" ref="O468">INDEX('5층_부하량'!D3:D3000,MATCH(1,("5-DaHall 1-PDU-18"='5층_부하량'!A3:A3000)*(4='5층_부하량'!B3:B3000),0))</f>
        <v>0.0</v>
      </c>
      <c r="P468" s="387"/>
      <c r="Q468" s="387"/>
      <c r="R468" s="388" t="s">
        <v>5989</v>
      </c>
      <c r="S468" s="389" t="s">
        <v>4575</v>
      </c>
      <c r="T468" s="395" t="s">
        <v>5996</v>
      </c>
    </row>
    <row r="469" spans="1:20" s="356" customFormat="1" ht="16.5" x14ac:dyDescent="0.15">
      <c r="A469" s="391" t="s">
        <v>5997</v>
      </c>
      <c r="B469" s="388" t="s">
        <v>5989</v>
      </c>
      <c r="C469" s="389" t="s">
        <v>4575</v>
      </c>
      <c r="D469" s="387"/>
      <c r="E469" s="387"/>
      <c r="F469" s="2679" cm="1" t="n">
        <f t="array" ref="F469">INDEX('5층_부하량'!E3:E3000,MATCH(1,("5-DaHall 1-PDU-18"='5층_부하량'!A3:A3000)*(5='5층_부하량'!B3:B3000),0))</f>
        <v>0.0</v>
      </c>
      <c r="G469" s="387"/>
      <c r="H469" s="1319" t="s">
        <v>4597</v>
      </c>
      <c r="I469" s="1320" t="s">
        <v>4587</v>
      </c>
      <c r="J469" s="1042" t="s">
        <v>6050</v>
      </c>
      <c r="K469" s="1045" t="s">
        <v>6051</v>
      </c>
      <c r="L469" s="578" t="s">
        <v>4868</v>
      </c>
      <c r="M469" s="1319" t="s">
        <v>4597</v>
      </c>
      <c r="N469" s="387"/>
      <c r="O469" s="387"/>
      <c r="P469" s="2679" cm="1" t="n">
        <f t="array" ref="P469">INDEX('5층_부하량'!E3:E3000,MATCH(1,("5-DaHall 1-PDU-18"='5층_부하량'!A3:A3000)*(6='5층_부하량'!B3:B3000),0))</f>
        <v>0.0</v>
      </c>
      <c r="Q469" s="387"/>
      <c r="R469" s="388" t="s">
        <v>5989</v>
      </c>
      <c r="S469" s="389" t="s">
        <v>4575</v>
      </c>
      <c r="T469" s="395" t="s">
        <v>6000</v>
      </c>
    </row>
    <row r="470" spans="1:20" s="356" customFormat="1" ht="16.5" x14ac:dyDescent="0.15">
      <c r="A470" s="391" t="s">
        <v>6001</v>
      </c>
      <c r="B470" s="388" t="s">
        <v>5989</v>
      </c>
      <c r="C470" s="389" t="s">
        <v>4575</v>
      </c>
      <c r="D470" s="2679" cm="1" t="n">
        <f t="array" ref="D470">INDEX('5층_부하량'!C3:C3000,MATCH(1,("5-DaHall 1-PDU-18"='5층_부하량'!A3:A3000)*(7='5층_부하량'!B3:B3000),0))</f>
        <v>0.0</v>
      </c>
      <c r="E470" s="387"/>
      <c r="F470" s="387"/>
      <c r="G470" s="387"/>
      <c r="H470" s="1319" t="s">
        <v>4597</v>
      </c>
      <c r="I470" s="1320" t="s">
        <v>4645</v>
      </c>
      <c r="J470" s="1042" t="s">
        <v>6052</v>
      </c>
      <c r="K470" s="1043" t="s">
        <v>6053</v>
      </c>
      <c r="L470" s="578" t="s">
        <v>4593</v>
      </c>
      <c r="M470" s="1319" t="s">
        <v>4597</v>
      </c>
      <c r="N470" s="2679" cm="1" t="n">
        <f t="array" ref="N470">INDEX('5층_부하량'!C3:C3000,MATCH(1,("5-DaHall 1-PDU-18"='5층_부하량'!A3:A3000)*(8='5층_부하량'!B3:B3000),0))</f>
        <v>0.0</v>
      </c>
      <c r="O470" s="387"/>
      <c r="P470" s="387"/>
      <c r="Q470" s="387"/>
      <c r="R470" s="388" t="s">
        <v>5989</v>
      </c>
      <c r="S470" s="389" t="s">
        <v>4575</v>
      </c>
      <c r="T470" s="395" t="s">
        <v>6004</v>
      </c>
    </row>
    <row r="471" spans="1:20" s="356" customFormat="1" ht="16.5" x14ac:dyDescent="0.15">
      <c r="A471" s="391" t="s">
        <v>6005</v>
      </c>
      <c r="B471" s="388" t="s">
        <v>5989</v>
      </c>
      <c r="C471" s="389" t="s">
        <v>4575</v>
      </c>
      <c r="D471" s="387"/>
      <c r="E471" s="2672" cm="1" t="n">
        <f t="array" ref="E471">INDEX('5층_부하량'!D3:D3000,MATCH(1,("5-DaHall 1-PDU-18"='5층_부하량'!A3:A3000)*(9='5층_부하량'!B3:B3000),0))</f>
        <v>0.0</v>
      </c>
      <c r="F471" s="387"/>
      <c r="G471" s="387"/>
      <c r="H471" s="1319" t="s">
        <v>4597</v>
      </c>
      <c r="I471" s="1320" t="s">
        <v>4648</v>
      </c>
      <c r="J471" s="1042" t="s">
        <v>6054</v>
      </c>
      <c r="K471" s="1045" t="s">
        <v>6055</v>
      </c>
      <c r="L471" s="578" t="s">
        <v>4596</v>
      </c>
      <c r="M471" s="1319" t="s">
        <v>4597</v>
      </c>
      <c r="N471" s="387"/>
      <c r="O471" s="2672" cm="1" t="n">
        <f t="array" ref="O471">INDEX('5층_부하량'!D3:D3000,MATCH(1,("5-DaHall 1-PDU-18"='5층_부하량'!A3:A3000)*(10='5층_부하량'!B3:B3000),0))</f>
        <v>0.0</v>
      </c>
      <c r="P471" s="387"/>
      <c r="Q471" s="387"/>
      <c r="R471" s="388" t="s">
        <v>5989</v>
      </c>
      <c r="S471" s="389" t="s">
        <v>4575</v>
      </c>
      <c r="T471" s="395" t="s">
        <v>6008</v>
      </c>
    </row>
    <row r="472" spans="1:20" s="356" customFormat="1" ht="16.5" x14ac:dyDescent="0.15">
      <c r="A472" s="391" t="s">
        <v>6009</v>
      </c>
      <c r="B472" s="388" t="s">
        <v>5989</v>
      </c>
      <c r="C472" s="389" t="s">
        <v>4575</v>
      </c>
      <c r="D472" s="387"/>
      <c r="E472" s="387"/>
      <c r="F472" s="2679" cm="1" t="n">
        <f t="array" ref="F472">INDEX('5층_부하량'!E3:E3000,MATCH(1,("5-DaHall 1-PDU-18"='5층_부하량'!A3:A3000)*(11='5층_부하량'!B3:B3000),0))</f>
        <v>0.0</v>
      </c>
      <c r="G472" s="387"/>
      <c r="H472" s="1319" t="s">
        <v>4597</v>
      </c>
      <c r="I472" s="1320" t="s">
        <v>4653</v>
      </c>
      <c r="J472" s="1042" t="s">
        <v>6056</v>
      </c>
      <c r="K472" s="1043" t="s">
        <v>6057</v>
      </c>
      <c r="L472" s="578" t="s">
        <v>4599</v>
      </c>
      <c r="M472" s="1319" t="s">
        <v>4597</v>
      </c>
      <c r="N472" s="387"/>
      <c r="O472" s="387"/>
      <c r="P472" s="2679" cm="1" t="n">
        <f t="array" ref="P472">INDEX('5층_부하량'!E3:E3000,MATCH(1,("5-DaHall 1-PDU-18"='5층_부하량'!A3:A3000)*(12='5층_부하량'!B3:B3000),0))</f>
        <v>0.0</v>
      </c>
      <c r="Q472" s="387"/>
      <c r="R472" s="388" t="s">
        <v>5989</v>
      </c>
      <c r="S472" s="389" t="s">
        <v>4575</v>
      </c>
      <c r="T472" s="395" t="s">
        <v>6012</v>
      </c>
    </row>
    <row r="473" spans="1:20" s="356" customFormat="1" ht="16.5" x14ac:dyDescent="0.15">
      <c r="A473" s="391" t="s">
        <v>6013</v>
      </c>
      <c r="B473" s="388" t="s">
        <v>5989</v>
      </c>
      <c r="C473" s="389" t="s">
        <v>4575</v>
      </c>
      <c r="D473" s="2679" cm="1" t="n">
        <f t="array" ref="D473">INDEX('5층_부하량'!C3:C3000,MATCH(1,("5-DaHall 1-PDU-18"='5층_부하량'!A3:A3000)*(13='5층_부하량'!B3:B3000),0))</f>
        <v>0.0</v>
      </c>
      <c r="E473" s="387"/>
      <c r="F473" s="387"/>
      <c r="G473" s="387"/>
      <c r="H473" s="1319" t="s">
        <v>4597</v>
      </c>
      <c r="I473" s="1320" t="s">
        <v>4657</v>
      </c>
      <c r="J473" s="1042" t="s">
        <v>6058</v>
      </c>
      <c r="K473" s="1045" t="s">
        <v>6059</v>
      </c>
      <c r="L473" s="578" t="s">
        <v>4601</v>
      </c>
      <c r="M473" s="1319" t="s">
        <v>4597</v>
      </c>
      <c r="N473" s="2679" cm="1" t="n">
        <f t="array" ref="N473">INDEX('5층_부하량'!C3:C3000,MATCH(1,("5-DaHall 1-PDU-18"='5층_부하량'!A3:A3000)*(14='5층_부하량'!B3:B3000),0))</f>
        <v>0.0</v>
      </c>
      <c r="O473" s="387"/>
      <c r="P473" s="387"/>
      <c r="Q473" s="387"/>
      <c r="R473" s="388" t="s">
        <v>5989</v>
      </c>
      <c r="S473" s="1232" t="s">
        <v>4723</v>
      </c>
      <c r="T473" s="395" t="s">
        <v>6016</v>
      </c>
    </row>
    <row r="474" spans="1:20" s="356" customFormat="1" ht="16.5" x14ac:dyDescent="0.15">
      <c r="A474" s="448" t="s">
        <v>6017</v>
      </c>
      <c r="B474" s="388" t="s">
        <v>5989</v>
      </c>
      <c r="C474" s="1232" t="s">
        <v>4723</v>
      </c>
      <c r="D474" s="387"/>
      <c r="E474" s="2679" cm="1" t="n">
        <f t="array" ref="E474">INDEX('5층_부하량'!D3:D3000,MATCH(1,("5-DaHall 1-PDU-18"='5층_부하량'!A3:A3000)*(15='5층_부하량'!B3:B3000),0))</f>
        <v>0.0</v>
      </c>
      <c r="F474" s="387"/>
      <c r="G474" s="387"/>
      <c r="H474" s="1319" t="s">
        <v>6018</v>
      </c>
      <c r="I474" s="1320" t="s">
        <v>4661</v>
      </c>
      <c r="J474" s="1042" t="s">
        <v>6060</v>
      </c>
      <c r="K474" s="1043" t="s">
        <v>6061</v>
      </c>
      <c r="L474" s="578" t="s">
        <v>4603</v>
      </c>
      <c r="M474" s="1319" t="s">
        <v>4597</v>
      </c>
      <c r="N474" s="387"/>
      <c r="O474" s="2679" cm="1" t="n">
        <f t="array" ref="O474">INDEX('5층_부하량'!D3:D3000,MATCH(1,("5-DaHall 1-PDU-18"='5층_부하량'!A3:A3000)*(16='5층_부하량'!B3:B3000),0))</f>
        <v>0.0</v>
      </c>
      <c r="P474" s="387"/>
      <c r="Q474" s="387"/>
      <c r="R474" s="388" t="s">
        <v>5989</v>
      </c>
      <c r="S474" s="1232" t="s">
        <v>4723</v>
      </c>
      <c r="T474" s="395" t="s">
        <v>6021</v>
      </c>
    </row>
    <row r="475" spans="1:20" s="356" customFormat="1" ht="16.5" x14ac:dyDescent="0.15">
      <c r="A475" s="448" t="s">
        <v>6022</v>
      </c>
      <c r="B475" s="388" t="s">
        <v>5989</v>
      </c>
      <c r="C475" s="1232" t="s">
        <v>4723</v>
      </c>
      <c r="D475" s="387"/>
      <c r="E475" s="387"/>
      <c r="F475" s="2679" cm="1" t="n">
        <f t="array" ref="F475">INDEX('5층_부하량'!E3:E3000,MATCH(1,("5-DaHall 1-PDU-18"='5층_부하량'!A3:A3000)*(17='5층_부하량'!B3:B3000),0))</f>
        <v>0.0</v>
      </c>
      <c r="G475" s="387"/>
      <c r="H475" s="1232" t="s">
        <v>4597</v>
      </c>
      <c r="I475" s="1320" t="s">
        <v>4665</v>
      </c>
      <c r="J475" s="1042" t="s">
        <v>6062</v>
      </c>
      <c r="K475" s="1045" t="s">
        <v>6063</v>
      </c>
      <c r="L475" s="578" t="s">
        <v>4605</v>
      </c>
      <c r="M475" s="1319" t="s">
        <v>4597</v>
      </c>
      <c r="N475" s="387"/>
      <c r="O475" s="387"/>
      <c r="P475" s="2679" cm="1" t="n">
        <f t="array" ref="P475">INDEX('5층_부하량'!E3:E3000,MATCH(1,("5-DaHall 1-PDU-18"='5층_부하량'!A3:A3000)*(18='5층_부하량'!B3:B3000),0))</f>
        <v>0.0</v>
      </c>
      <c r="Q475" s="387"/>
      <c r="R475" s="388" t="s">
        <v>5989</v>
      </c>
      <c r="S475" s="1232" t="s">
        <v>4723</v>
      </c>
      <c r="T475" s="395" t="s">
        <v>6025</v>
      </c>
    </row>
    <row r="476" spans="1:20" s="356" customFormat="1" ht="16.5" x14ac:dyDescent="0.15">
      <c r="A476" s="448" t="s">
        <v>6026</v>
      </c>
      <c r="B476" s="388" t="s">
        <v>5989</v>
      </c>
      <c r="C476" s="1232" t="s">
        <v>4723</v>
      </c>
      <c r="D476" s="2679" cm="1" t="n">
        <f t="array" ref="D476">INDEX('5층_부하량'!C3:C3000,MATCH(1,("5-DaHall 1-PDU-18"='5층_부하량'!A3:A3000)*(19='5층_부하량'!B3:B3000),0))</f>
        <v>0.0</v>
      </c>
      <c r="E476" s="387"/>
      <c r="F476" s="387"/>
      <c r="G476" s="387"/>
      <c r="H476" s="1232" t="s">
        <v>4597</v>
      </c>
      <c r="I476" s="1320" t="s">
        <v>4670</v>
      </c>
      <c r="J476" s="1042" t="s">
        <v>6064</v>
      </c>
      <c r="K476" s="1043" t="s">
        <v>6065</v>
      </c>
      <c r="L476" s="578" t="s">
        <v>4609</v>
      </c>
      <c r="M476" s="1319" t="s">
        <v>4597</v>
      </c>
      <c r="N476" s="2679" cm="1" t="n">
        <f t="array" ref="N476">INDEX('5층_부하량'!C3:C3000,MATCH(1,("5-DaHall 1-PDU-18"='5층_부하량'!A3:A3000)*(20='5층_부하량'!B3:B3000),0))</f>
        <v>0.0</v>
      </c>
      <c r="O476" s="387"/>
      <c r="P476" s="387"/>
      <c r="Q476" s="387"/>
      <c r="R476" s="388" t="s">
        <v>5989</v>
      </c>
      <c r="S476" s="1232" t="s">
        <v>4723</v>
      </c>
      <c r="T476" s="395" t="s">
        <v>6029</v>
      </c>
    </row>
    <row r="477" spans="1:20" s="356" customFormat="1" ht="16.5" x14ac:dyDescent="0.15">
      <c r="A477" s="448" t="s">
        <v>6030</v>
      </c>
      <c r="B477" s="388" t="s">
        <v>5989</v>
      </c>
      <c r="C477" s="1232" t="s">
        <v>4723</v>
      </c>
      <c r="D477" s="387"/>
      <c r="E477" s="2672" cm="1" t="n">
        <f t="array" ref="E477">INDEX('5층_부하량'!D3:D3000,MATCH(1,("5-DaHall 1-PDU-18"='5층_부하량'!A3:A3000)*(21='5층_부하량'!B3:B3000),0))</f>
        <v>0.0</v>
      </c>
      <c r="F477" s="387"/>
      <c r="G477" s="387"/>
      <c r="H477" s="1319" t="s">
        <v>4597</v>
      </c>
      <c r="I477" s="1320" t="s">
        <v>4612</v>
      </c>
      <c r="J477" s="1042" t="s">
        <v>6066</v>
      </c>
      <c r="K477" s="1045" t="s">
        <v>6067</v>
      </c>
      <c r="L477" s="578" t="s">
        <v>4893</v>
      </c>
      <c r="M477" s="1319" t="s">
        <v>4597</v>
      </c>
      <c r="N477" s="387"/>
      <c r="O477" s="2672" cm="1" t="n">
        <f t="array" ref="O477">INDEX('5층_부하량'!D3:D3000,MATCH(1,("5-DaHall 1-PDU-18"='5층_부하량'!A3:A3000)*(22='5층_부하량'!B3:B3000),0))</f>
        <v>0.0</v>
      </c>
      <c r="P477" s="387"/>
      <c r="Q477" s="387"/>
      <c r="R477" s="388" t="s">
        <v>5989</v>
      </c>
      <c r="S477" s="1232" t="s">
        <v>4723</v>
      </c>
      <c r="T477" s="395" t="s">
        <v>6033</v>
      </c>
    </row>
    <row r="478" spans="1:20" s="356" customFormat="1" ht="16.5" x14ac:dyDescent="0.15">
      <c r="A478" s="448" t="s">
        <v>6034</v>
      </c>
      <c r="B478" s="388" t="s">
        <v>5989</v>
      </c>
      <c r="C478" s="1232" t="s">
        <v>4723</v>
      </c>
      <c r="D478" s="387"/>
      <c r="E478" s="387"/>
      <c r="F478" s="2679" cm="1" t="n">
        <f t="array" ref="F478">INDEX('5층_부하량'!E3:E3000,MATCH(1,("5-DaHall 1-PDU-18"='5층_부하량'!A3:A3000)*(23='5층_부하량'!B3:B3000),0))</f>
        <v>0.0</v>
      </c>
      <c r="G478" s="417"/>
      <c r="H478" s="1321" t="s">
        <v>4597</v>
      </c>
      <c r="I478" s="1320" t="s">
        <v>4896</v>
      </c>
      <c r="J478" s="1042" t="s">
        <v>6068</v>
      </c>
      <c r="K478" s="1043" t="s">
        <v>6069</v>
      </c>
      <c r="L478" s="578" t="s">
        <v>4897</v>
      </c>
      <c r="M478" s="1321" t="s">
        <v>4597</v>
      </c>
      <c r="N478" s="387"/>
      <c r="O478" s="387"/>
      <c r="P478" s="2679" cm="1" t="n">
        <f t="array" ref="P478">INDEX('5층_부하량'!E3:E3000,MATCH(1,("5-DaHall 1-PDU-18"='5층_부하량'!A3:A3000)*(24='5층_부하량'!B3:B3000),0))</f>
        <v>0.0</v>
      </c>
      <c r="Q478" s="417"/>
      <c r="R478" s="388" t="s">
        <v>5989</v>
      </c>
      <c r="S478" s="389" t="s">
        <v>4575</v>
      </c>
      <c r="T478" s="413" t="s">
        <v>6070</v>
      </c>
    </row>
    <row r="479" spans="1:20" s="356" customFormat="1" ht="16.5" x14ac:dyDescent="0.15">
      <c r="A479" s="396" t="s">
        <v>6038</v>
      </c>
      <c r="B479" s="388" t="s">
        <v>5989</v>
      </c>
      <c r="C479" s="389" t="s">
        <v>4575</v>
      </c>
      <c r="D479" s="2679" cm="1" t="n">
        <f t="array" ref="D479">INDEX('5층_부하량'!C3:C3000,MATCH(1,("5-DaHall 1-PDU-18"='5층_부하량'!A3:A3000)*(25='5층_부하량'!B3:B3000),0))</f>
        <v>0.0</v>
      </c>
      <c r="E479" s="387"/>
      <c r="F479" s="387"/>
      <c r="G479" s="417"/>
      <c r="H479" s="415" t="s">
        <v>4597</v>
      </c>
      <c r="I479" s="2452" t="s">
        <v>6039</v>
      </c>
      <c r="J479" s="1042" t="s">
        <v>6071</v>
      </c>
      <c r="K479" s="1318"/>
      <c r="L479" s="589" t="s">
        <v>4901</v>
      </c>
      <c r="M479" s="415" t="s">
        <v>4597</v>
      </c>
      <c r="N479" s="2679" cm="1" t="n">
        <f t="array" ref="N479">INDEX('5층_부하량'!C3:C3000,MATCH(1,("5-DaHall 1-PDU-18"='5층_부하량'!A3:A3000)*(26='5층_부하량'!B3:B3000),0))</f>
        <v>0.0</v>
      </c>
      <c r="O479" s="387"/>
      <c r="P479" s="387"/>
      <c r="Q479" s="417"/>
      <c r="R479" s="1315" t="s">
        <v>565</v>
      </c>
      <c r="S479" s="1316" t="s">
        <v>4723</v>
      </c>
      <c r="T479" s="413"/>
    </row>
    <row r="480" spans="1:20" s="356" customFormat="1" ht="16.5" x14ac:dyDescent="0.15">
      <c r="A480" s="396"/>
      <c r="B480" s="1315" t="s">
        <v>565</v>
      </c>
      <c r="C480" s="1316" t="s">
        <v>4723</v>
      </c>
      <c r="D480" s="387"/>
      <c r="E480" s="2679" cm="1" t="n">
        <f t="array" ref="E480">INDEX('5층_부하량'!D3:D3000,MATCH(1,("5-DaHall 1-PDU-18"='5층_부하량'!A3:A3000)*(27='5층_부하량'!B3:B3000),0))</f>
        <v>0.0</v>
      </c>
      <c r="F480" s="387"/>
      <c r="G480" s="417"/>
      <c r="H480" s="415" t="s">
        <v>4597</v>
      </c>
      <c r="I480" s="2452" t="s">
        <v>6041</v>
      </c>
      <c r="J480" s="1317"/>
      <c r="K480" s="1318"/>
      <c r="L480" s="589" t="s">
        <v>4906</v>
      </c>
      <c r="M480" s="415" t="s">
        <v>4597</v>
      </c>
      <c r="N480" s="387"/>
      <c r="O480" s="2679" cm="1" t="n">
        <f t="array" ref="O480">INDEX('5층_부하량'!D3:D3000,MATCH(1,("5-DaHall 1-PDU-18"='5층_부하량'!A3:A3000)*(28='5층_부하량'!B3:B3000),0))</f>
        <v>0.0</v>
      </c>
      <c r="P480" s="387"/>
      <c r="Q480" s="417"/>
      <c r="R480" s="1315" t="s">
        <v>565</v>
      </c>
      <c r="S480" s="1316" t="s">
        <v>4723</v>
      </c>
      <c r="T480" s="413"/>
    </row>
    <row r="481" spans="1:20" s="356" customFormat="1" ht="16.5" x14ac:dyDescent="0.15">
      <c r="A481" s="396"/>
      <c r="B481" s="1315" t="s">
        <v>565</v>
      </c>
      <c r="C481" s="1316" t="s">
        <v>4723</v>
      </c>
      <c r="D481" s="387"/>
      <c r="E481" s="387"/>
      <c r="F481" s="2679" cm="1" t="n">
        <f t="array" ref="F481">INDEX('5층_부하량'!E3:E3000,MATCH(1,("5-DaHall 1-PDU-18"='5층_부하량'!A3:A3000)*(29='5층_부하량'!B3:B3000),0))</f>
        <v>0.0</v>
      </c>
      <c r="G481" s="417"/>
      <c r="H481" s="415" t="s">
        <v>4597</v>
      </c>
      <c r="I481" s="2452" t="s">
        <v>6042</v>
      </c>
      <c r="J481" s="1317"/>
      <c r="K481" s="1318"/>
      <c r="L481" s="589" t="s">
        <v>4911</v>
      </c>
      <c r="M481" s="415" t="s">
        <v>4597</v>
      </c>
      <c r="N481" s="387"/>
      <c r="O481" s="387"/>
      <c r="P481" s="2679" cm="1" t="n">
        <f t="array" ref="P481">INDEX('5층_부하량'!E3:E3000,MATCH(1,("5-DaHall 1-PDU-18"='5층_부하량'!A3:A3000)*(30='5층_부하량'!B3:B3000),0))</f>
        <v>0.0</v>
      </c>
      <c r="Q481" s="417"/>
      <c r="R481" s="1315" t="s">
        <v>565</v>
      </c>
      <c r="S481" s="1316" t="s">
        <v>4723</v>
      </c>
      <c r="T481" s="413"/>
    </row>
    <row r="482" spans="1:20" s="356" customFormat="1" ht="16.5" x14ac:dyDescent="0.15">
      <c r="A482" s="396"/>
      <c r="B482" s="1315" t="s">
        <v>565</v>
      </c>
      <c r="C482" s="1316" t="s">
        <v>4723</v>
      </c>
      <c r="D482" s="2679" cm="1" t="n">
        <f t="array" ref="D482">INDEX('5층_부하량'!C3:C3000,MATCH(1,("5-DaHall 1-PDU-18"='5층_부하량'!A3:A3000)*(31='5층_부하량'!B3:B3000),0))</f>
        <v>0.0</v>
      </c>
      <c r="E482" s="387"/>
      <c r="F482" s="387"/>
      <c r="G482" s="417"/>
      <c r="H482" s="415" t="s">
        <v>4597</v>
      </c>
      <c r="I482" s="2452" t="s">
        <v>6043</v>
      </c>
      <c r="J482" s="1317"/>
      <c r="K482" s="1318"/>
      <c r="L482" s="589" t="s">
        <v>4915</v>
      </c>
      <c r="M482" s="415" t="s">
        <v>4597</v>
      </c>
      <c r="N482" s="2679" cm="1" t="n">
        <f t="array" ref="N482">INDEX('5층_부하량'!C3:C3000,MATCH(1,("5-DaHall 1-PDU-18"='5층_부하량'!A3:A3000)*(32='5층_부하량'!B3:B3000),0))</f>
        <v>0.0</v>
      </c>
      <c r="O482" s="387"/>
      <c r="P482" s="387"/>
      <c r="Q482" s="417"/>
      <c r="R482" s="1315" t="s">
        <v>565</v>
      </c>
      <c r="S482" s="1316" t="s">
        <v>4723</v>
      </c>
      <c r="T482" s="413"/>
    </row>
    <row r="483" spans="1:20" s="356" customFormat="1" ht="17.25" thickBot="1" x14ac:dyDescent="0.2">
      <c r="A483" s="431"/>
      <c r="B483" s="436" t="s">
        <v>4590</v>
      </c>
      <c r="C483" s="432" t="s">
        <v>4642</v>
      </c>
      <c r="D483" s="433"/>
      <c r="E483" s="2680" cm="1" t="n">
        <f t="array" ref="E483">INDEX('5층_부하량'!D3:D3000,MATCH(1,("5-DaHall 1-PDU-18"='5층_부하량'!A3:A3000)*(33='5층_부하량'!B3:B3000),0))</f>
        <v>0.0</v>
      </c>
      <c r="F483" s="433"/>
      <c r="G483" s="433"/>
      <c r="H483" s="432" t="s">
        <v>4597</v>
      </c>
      <c r="I483" s="2453" t="s">
        <v>6044</v>
      </c>
      <c r="J483" s="1229"/>
      <c r="K483" s="1230"/>
      <c r="L483" s="1231" t="s">
        <v>4919</v>
      </c>
      <c r="M483" s="432" t="s">
        <v>4597</v>
      </c>
      <c r="N483" s="433"/>
      <c r="O483" s="2680" cm="1" t="n">
        <f t="array" ref="O483">INDEX('5층_부하량'!D3:D3000,MATCH(1,("5-DaHall 1-PDU-18"='5층_부하량'!A3:A3000)*(34='5층_부하량'!B3:B3000),0))</f>
        <v>0.0</v>
      </c>
      <c r="P483" s="433"/>
      <c r="Q483" s="433"/>
      <c r="R483" s="436" t="s">
        <v>4590</v>
      </c>
      <c r="S483" s="432" t="s">
        <v>4642</v>
      </c>
      <c r="T483" s="438"/>
    </row>
    <row r="484" spans="1:20" s="356" customFormat="1" ht="18" thickTop="1" thickBot="1" x14ac:dyDescent="0.2">
      <c r="L484" s="2445"/>
      <c r="M484" s="411" t="s">
        <v>5645</v>
      </c>
      <c r="N484" s="412" t="n">
        <f>SUM(D467:D483,N467:N483)</f>
        <v>0.82</v>
      </c>
      <c r="O484" s="412" t="n">
        <f>SUM(E467:E483,O467:O483)</f>
        <v>0.0</v>
      </c>
      <c r="P484" s="412" t="n">
        <f>SUM(F467:F483,P467:P483)</f>
        <v>0.0</v>
      </c>
    </row>
    <row r="485" spans="1:20" s="356" customFormat="1" ht="20.25" thickTop="1" thickBot="1" x14ac:dyDescent="0.2">
      <c r="A485" s="355" t="s">
        <v>6963</v>
      </c>
      <c r="C485" s="3660" t="s">
        <v>6072</v>
      </c>
      <c r="D485" s="3660"/>
      <c r="E485" s="3660"/>
      <c r="F485" s="3660"/>
      <c r="G485" s="357"/>
      <c r="H485" s="358"/>
      <c r="I485" s="358"/>
      <c r="J485" s="3668" t="s">
        <v>4715</v>
      </c>
      <c r="K485" s="3669"/>
      <c r="L485" s="2442"/>
      <c r="M485" s="358"/>
      <c r="N485" s="357"/>
      <c r="O485" s="357"/>
      <c r="P485" s="357"/>
      <c r="Q485" s="357"/>
      <c r="R485" s="357"/>
      <c r="S485" s="357"/>
    </row>
    <row r="486" spans="1:20" s="356" customFormat="1" ht="15" customHeight="1" thickTop="1" thickBot="1" x14ac:dyDescent="0.2">
      <c r="A486" s="3"/>
      <c r="B486"/>
      <c r="C486"/>
      <c r="D486" s="54"/>
      <c r="E486" s="54"/>
      <c r="F486" s="54"/>
      <c r="G486" s="54"/>
      <c r="H486" s="4"/>
      <c r="I486" s="4"/>
      <c r="J486"/>
      <c r="K486" s="56"/>
      <c r="L486" s="565"/>
      <c r="M486" s="1371" t="s">
        <v>4562</v>
      </c>
      <c r="N486" s="1368">
        <v>35.1</v>
      </c>
      <c r="O486" s="1369">
        <v>38.9</v>
      </c>
      <c r="P486" s="1370">
        <v>22.2</v>
      </c>
      <c r="Q486" s="508" t="s">
        <v>4563</v>
      </c>
      <c r="R486" s="133"/>
      <c r="S486" s="128"/>
      <c r="T486" s="363"/>
    </row>
    <row r="487" spans="1:20" s="356" customFormat="1" ht="18" thickTop="1" thickBot="1" x14ac:dyDescent="0.2">
      <c r="A487" s="364" t="s">
        <v>4564</v>
      </c>
      <c r="B487" s="365" t="s">
        <v>4565</v>
      </c>
      <c r="C487" s="366" t="s">
        <v>4566</v>
      </c>
      <c r="D487" s="365" t="s">
        <v>4567</v>
      </c>
      <c r="E487" s="365" t="s">
        <v>4568</v>
      </c>
      <c r="F487" s="365" t="s">
        <v>4569</v>
      </c>
      <c r="G487" s="365" t="s">
        <v>4570</v>
      </c>
      <c r="H487" s="367" t="s">
        <v>4571</v>
      </c>
      <c r="I487" s="557"/>
      <c r="J487" s="368" t="s">
        <v>4572</v>
      </c>
      <c r="K487" s="369" t="s">
        <v>4572</v>
      </c>
      <c r="L487" s="575"/>
      <c r="M487" s="367" t="s">
        <v>4571</v>
      </c>
      <c r="N487" s="365" t="s">
        <v>4567</v>
      </c>
      <c r="O487" s="365" t="s">
        <v>4568</v>
      </c>
      <c r="P487" s="365" t="s">
        <v>4569</v>
      </c>
      <c r="Q487" s="365" t="s">
        <v>4570</v>
      </c>
      <c r="R487" s="365" t="s">
        <v>4565</v>
      </c>
      <c r="S487" s="366" t="s">
        <v>4566</v>
      </c>
      <c r="T487" s="370" t="s">
        <v>4564</v>
      </c>
    </row>
    <row r="488" spans="1:20" s="356" customFormat="1" ht="17.25" thickTop="1" x14ac:dyDescent="0.15">
      <c r="A488" s="474" t="s">
        <v>6073</v>
      </c>
      <c r="B488" s="378" t="s">
        <v>5989</v>
      </c>
      <c r="C488" s="379" t="s">
        <v>4575</v>
      </c>
      <c r="D488" s="2678" cm="1" t="n">
        <f t="array" ref="D488">INDEX('5층_부하량'!C3:C3000,MATCH(1,("5-DaHall 1-PDU-19"='5층_부하량'!A3:A3000)*(1='5층_부하량'!B3:B3000),0))</f>
        <v>0.0</v>
      </c>
      <c r="E488" s="401"/>
      <c r="F488" s="401"/>
      <c r="G488" s="374"/>
      <c r="H488" s="2450" t="s">
        <v>4936</v>
      </c>
      <c r="I488" s="2451" t="s">
        <v>4577</v>
      </c>
      <c r="J488" s="1040"/>
      <c r="K488" s="1041"/>
      <c r="L488" s="587" t="s">
        <v>4863</v>
      </c>
      <c r="M488" s="372" t="s">
        <v>5001</v>
      </c>
      <c r="N488" s="2678" cm="1" t="n">
        <f t="array" ref="N488">INDEX('5층_부하량'!C3:C3000,MATCH(1,("5-DaHall 1-PDU-19"='5층_부하량'!A3:A3000)*(2='5층_부하량'!B3:B3000),0))</f>
        <v>0.64</v>
      </c>
      <c r="O488" s="401"/>
      <c r="P488" s="401"/>
      <c r="Q488" s="374"/>
      <c r="R488" s="378" t="s">
        <v>5989</v>
      </c>
      <c r="S488" s="379" t="s">
        <v>4575</v>
      </c>
      <c r="T488" s="1233" t="s">
        <v>6074</v>
      </c>
    </row>
    <row r="489" spans="1:20" s="356" customFormat="1" ht="16.5" x14ac:dyDescent="0.15">
      <c r="A489" s="391" t="s">
        <v>6075</v>
      </c>
      <c r="B489" s="388" t="s">
        <v>5989</v>
      </c>
      <c r="C489" s="389" t="s">
        <v>4575</v>
      </c>
      <c r="D489" s="387"/>
      <c r="E489" s="2672" cm="1" t="n">
        <f t="array" ref="E489">INDEX('5층_부하량'!D3:D3000,MATCH(1,("5-DaHall 1-PDU-19"='5층_부하량'!A3:A3000)*(3='5층_부하량'!B3:B3000),0))</f>
        <v>0.0</v>
      </c>
      <c r="F489" s="387"/>
      <c r="G489" s="383"/>
      <c r="H489" s="382" t="s">
        <v>5001</v>
      </c>
      <c r="I489" s="2452" t="s">
        <v>4582</v>
      </c>
      <c r="J489" s="1042"/>
      <c r="K489" s="1043"/>
      <c r="L489" s="588" t="s">
        <v>4865</v>
      </c>
      <c r="M489" s="382" t="s">
        <v>5001</v>
      </c>
      <c r="N489" s="387"/>
      <c r="O489" s="2672" cm="1" t="n">
        <f t="array" ref="O489">INDEX('5층_부하량'!D3:D3000,MATCH(1,("5-DaHall 1-PDU-19"='5층_부하량'!A3:A3000)*(4='5층_부하량'!B3:B3000),0))</f>
        <v>0.87</v>
      </c>
      <c r="P489" s="387"/>
      <c r="Q489" s="387"/>
      <c r="R489" s="388" t="s">
        <v>5989</v>
      </c>
      <c r="S489" s="389" t="s">
        <v>4575</v>
      </c>
      <c r="T489" s="395" t="s">
        <v>6076</v>
      </c>
    </row>
    <row r="490" spans="1:20" s="356" customFormat="1" ht="16.5" x14ac:dyDescent="0.15">
      <c r="A490" s="391" t="s">
        <v>6077</v>
      </c>
      <c r="B490" s="388" t="s">
        <v>5989</v>
      </c>
      <c r="C490" s="389" t="s">
        <v>4575</v>
      </c>
      <c r="D490" s="387"/>
      <c r="E490" s="387"/>
      <c r="F490" s="2679" cm="1" t="n">
        <f t="array" ref="F490">INDEX('5층_부하량'!E3:E3000,MATCH(1,("5-DaHall 1-PDU-19"='5층_부하량'!A3:A3000)*(5='5층_부하량'!B3:B3000),0))</f>
        <v>0.0</v>
      </c>
      <c r="G490" s="387"/>
      <c r="H490" s="382" t="s">
        <v>5001</v>
      </c>
      <c r="I490" s="2452" t="s">
        <v>4587</v>
      </c>
      <c r="J490" s="1044"/>
      <c r="K490" s="1045"/>
      <c r="L490" s="589" t="s">
        <v>4868</v>
      </c>
      <c r="M490" s="1234" t="s">
        <v>6078</v>
      </c>
      <c r="N490" s="387"/>
      <c r="O490" s="387"/>
      <c r="P490" s="2679" cm="1" t="n">
        <f t="array" ref="P490">INDEX('5층_부하량'!E3:E3000,MATCH(1,("5-DaHall 1-PDU-19"='5층_부하량'!A3:A3000)*(6='5층_부하량'!B3:B3000),0))</f>
        <v>2.19</v>
      </c>
      <c r="Q490" s="387"/>
      <c r="R490" s="388" t="s">
        <v>5989</v>
      </c>
      <c r="S490" s="389" t="s">
        <v>4575</v>
      </c>
      <c r="T490" s="395" t="s">
        <v>6079</v>
      </c>
    </row>
    <row r="491" spans="1:20" s="356" customFormat="1" ht="16.5" x14ac:dyDescent="0.15">
      <c r="A491" s="391" t="s">
        <v>6080</v>
      </c>
      <c r="B491" s="388" t="s">
        <v>5989</v>
      </c>
      <c r="C491" s="389" t="s">
        <v>4575</v>
      </c>
      <c r="D491" s="2679" cm="1" t="n">
        <f t="array" ref="D491">INDEX('5층_부하량'!C3:C3000,MATCH(1,("5-DaHall 1-PDU-19"='5층_부하량'!A3:A3000)*(7='5층_부하량'!B3:B3000),0))</f>
        <v>0.67</v>
      </c>
      <c r="E491" s="387"/>
      <c r="F491" s="387"/>
      <c r="G491" s="387"/>
      <c r="H491" s="382" t="s">
        <v>5001</v>
      </c>
      <c r="I491" s="558" t="s">
        <v>4645</v>
      </c>
      <c r="J491" s="1044"/>
      <c r="K491" s="1045"/>
      <c r="L491" s="578" t="s">
        <v>4593</v>
      </c>
      <c r="M491" s="382" t="s">
        <v>5001</v>
      </c>
      <c r="N491" s="2679" cm="1" t="n">
        <f t="array" ref="N491">INDEX('5층_부하량'!C3:C3000,MATCH(1,("5-DaHall 1-PDU-19"='5층_부하량'!A3:A3000)*(8='5층_부하량'!B3:B3000),0))</f>
        <v>1.03</v>
      </c>
      <c r="O491" s="387"/>
      <c r="P491" s="387"/>
      <c r="Q491" s="387"/>
      <c r="R491" s="388" t="s">
        <v>5989</v>
      </c>
      <c r="S491" s="389" t="s">
        <v>4575</v>
      </c>
      <c r="T491" s="395" t="s">
        <v>6081</v>
      </c>
    </row>
    <row r="492" spans="1:20" s="356" customFormat="1" ht="16.5" x14ac:dyDescent="0.15">
      <c r="A492" s="391" t="s">
        <v>6082</v>
      </c>
      <c r="B492" s="388" t="s">
        <v>5989</v>
      </c>
      <c r="C492" s="389" t="s">
        <v>4575</v>
      </c>
      <c r="D492" s="387"/>
      <c r="E492" s="2672" cm="1" t="n">
        <f t="array" ref="E492">INDEX('5층_부하량'!D3:D3000,MATCH(1,("5-DaHall 1-PDU-19"='5층_부하량'!A3:A3000)*(9='5층_부하량'!B3:B3000),0))</f>
        <v>0.68</v>
      </c>
      <c r="F492" s="387"/>
      <c r="G492" s="387"/>
      <c r="H492" s="382" t="s">
        <v>5001</v>
      </c>
      <c r="I492" s="558" t="s">
        <v>4648</v>
      </c>
      <c r="J492" s="1044"/>
      <c r="K492" s="1045"/>
      <c r="L492" s="578" t="s">
        <v>4596</v>
      </c>
      <c r="M492" s="382" t="s">
        <v>5001</v>
      </c>
      <c r="N492" s="387"/>
      <c r="O492" s="2672" cm="1" t="n">
        <f t="array" ref="O492">INDEX('5층_부하량'!D3:D3000,MATCH(1,("5-DaHall 1-PDU-19"='5층_부하량'!A3:A3000)*(10='5층_부하량'!B3:B3000),0))</f>
        <v>0.5</v>
      </c>
      <c r="P492" s="387"/>
      <c r="Q492" s="387"/>
      <c r="R492" s="388" t="s">
        <v>5989</v>
      </c>
      <c r="S492" s="389" t="s">
        <v>4575</v>
      </c>
      <c r="T492" s="395" t="s">
        <v>6083</v>
      </c>
    </row>
    <row r="493" spans="1:20" s="356" customFormat="1" ht="16.5" x14ac:dyDescent="0.15">
      <c r="A493" s="391" t="s">
        <v>6084</v>
      </c>
      <c r="B493" s="388" t="s">
        <v>5989</v>
      </c>
      <c r="C493" s="389" t="s">
        <v>4575</v>
      </c>
      <c r="D493" s="387"/>
      <c r="E493" s="387"/>
      <c r="F493" s="2679" cm="1" t="n">
        <f t="array" ref="F493">INDEX('5층_부하량'!E3:E3000,MATCH(1,("5-DaHall 1-PDU-19"='5층_부하량'!A3:A3000)*(11='5층_부하량'!B3:B3000),0))</f>
        <v>0.0</v>
      </c>
      <c r="G493" s="387"/>
      <c r="H493" s="382" t="s">
        <v>5001</v>
      </c>
      <c r="I493" s="558" t="s">
        <v>4653</v>
      </c>
      <c r="J493" s="1044"/>
      <c r="K493" s="1045"/>
      <c r="L493" s="578" t="s">
        <v>4599</v>
      </c>
      <c r="M493" s="1234" t="s">
        <v>6078</v>
      </c>
      <c r="N493" s="387"/>
      <c r="O493" s="387"/>
      <c r="P493" s="2679" cm="1" t="n">
        <f t="array" ref="P493">INDEX('5층_부하량'!E3:E3000,MATCH(1,("5-DaHall 1-PDU-19"='5층_부하량'!A3:A3000)*(12='5층_부하량'!B3:B3000),0))</f>
        <v>0.0</v>
      </c>
      <c r="Q493" s="387"/>
      <c r="R493" s="388" t="s">
        <v>5989</v>
      </c>
      <c r="S493" s="389" t="s">
        <v>4575</v>
      </c>
      <c r="T493" s="395" t="s">
        <v>6085</v>
      </c>
    </row>
    <row r="494" spans="1:20" s="356" customFormat="1" ht="16.5" x14ac:dyDescent="0.15">
      <c r="A494" s="391" t="s">
        <v>6086</v>
      </c>
      <c r="B494" s="388" t="s">
        <v>5989</v>
      </c>
      <c r="C494" s="389" t="s">
        <v>4575</v>
      </c>
      <c r="D494" s="2679" cm="1" t="n">
        <f t="array" ref="D494">INDEX('5층_부하량'!C3:C3000,MATCH(1,("5-DaHall 1-PDU-19"='5층_부하량'!A3:A3000)*(13='5층_부하량'!B3:B3000),0))</f>
        <v>0.65</v>
      </c>
      <c r="E494" s="387"/>
      <c r="F494" s="387"/>
      <c r="G494" s="387"/>
      <c r="H494" s="382" t="s">
        <v>5001</v>
      </c>
      <c r="I494" s="558" t="s">
        <v>4657</v>
      </c>
      <c r="J494" s="1044"/>
      <c r="K494" s="1045"/>
      <c r="L494" s="578" t="s">
        <v>4601</v>
      </c>
      <c r="M494" s="1234" t="s">
        <v>6078</v>
      </c>
      <c r="N494" s="2679" cm="1" t="n">
        <f t="array" ref="N494">INDEX('5층_부하량'!C3:C3000,MATCH(1,("5-DaHall 1-PDU-19"='5층_부하량'!A3:A3000)*(14='5층_부하량'!B3:B3000),0))</f>
        <v>1.15</v>
      </c>
      <c r="O494" s="387"/>
      <c r="P494" s="387"/>
      <c r="Q494" s="387"/>
      <c r="R494" s="388" t="s">
        <v>5989</v>
      </c>
      <c r="S494" s="389" t="s">
        <v>4575</v>
      </c>
      <c r="T494" s="395" t="s">
        <v>6087</v>
      </c>
    </row>
    <row r="495" spans="1:20" s="356" customFormat="1" ht="16.5" x14ac:dyDescent="0.15">
      <c r="A495" s="448" t="s">
        <v>6088</v>
      </c>
      <c r="B495" s="388" t="s">
        <v>5989</v>
      </c>
      <c r="C495" s="389" t="s">
        <v>4575</v>
      </c>
      <c r="D495" s="387"/>
      <c r="E495" s="2679" cm="1" t="n">
        <f t="array" ref="E495">INDEX('5층_부하량'!D3:D3000,MATCH(1,("5-DaHall 1-PDU-19"='5층_부하량'!A3:A3000)*(15='5층_부하량'!B3:B3000),0))</f>
        <v>0.0</v>
      </c>
      <c r="F495" s="387"/>
      <c r="G495" s="387"/>
      <c r="H495" s="1234" t="s">
        <v>6078</v>
      </c>
      <c r="I495" s="558" t="s">
        <v>4661</v>
      </c>
      <c r="J495" s="1044"/>
      <c r="K495" s="1045"/>
      <c r="L495" s="578" t="s">
        <v>4603</v>
      </c>
      <c r="M495" s="382" t="s">
        <v>5001</v>
      </c>
      <c r="N495" s="387"/>
      <c r="O495" s="2679" cm="1" t="n">
        <f t="array" ref="O495">INDEX('5층_부하량'!D3:D3000,MATCH(1,("5-DaHall 1-PDU-19"='5층_부하량'!A3:A3000)*(16='5층_부하량'!B3:B3000),0))</f>
        <v>1.16</v>
      </c>
      <c r="P495" s="387"/>
      <c r="Q495" s="387"/>
      <c r="R495" s="388" t="s">
        <v>5989</v>
      </c>
      <c r="S495" s="1232" t="s">
        <v>4723</v>
      </c>
      <c r="T495" s="395" t="s">
        <v>6089</v>
      </c>
    </row>
    <row r="496" spans="1:20" s="356" customFormat="1" ht="16.5" x14ac:dyDescent="0.15">
      <c r="A496" s="448" t="s">
        <v>6090</v>
      </c>
      <c r="B496" s="388" t="s">
        <v>5989</v>
      </c>
      <c r="C496" s="389" t="s">
        <v>4575</v>
      </c>
      <c r="D496" s="387"/>
      <c r="E496" s="387"/>
      <c r="F496" s="2679" cm="1" t="n">
        <f t="array" ref="F496">INDEX('5층_부하량'!E3:E3000,MATCH(1,("5-DaHall 1-PDU-19"='5층_부하량'!A3:A3000)*(17='5층_부하량'!B3:B3000),0))</f>
        <v>1.83</v>
      </c>
      <c r="G496" s="387"/>
      <c r="H496" s="1235" t="s">
        <v>4576</v>
      </c>
      <c r="I496" s="558" t="s">
        <v>4665</v>
      </c>
      <c r="J496" s="1044"/>
      <c r="K496" s="1045"/>
      <c r="L496" s="578" t="s">
        <v>4605</v>
      </c>
      <c r="M496" s="382" t="s">
        <v>5001</v>
      </c>
      <c r="N496" s="387"/>
      <c r="O496" s="387"/>
      <c r="P496" s="2679" cm="1" t="n">
        <f t="array" ref="P496">INDEX('5층_부하량'!E3:E3000,MATCH(1,("5-DaHall 1-PDU-19"='5층_부하량'!A3:A3000)*(18='5층_부하량'!B3:B3000),0))</f>
        <v>1.15</v>
      </c>
      <c r="Q496" s="387"/>
      <c r="R496" s="388" t="s">
        <v>5989</v>
      </c>
      <c r="S496" s="1232" t="s">
        <v>4723</v>
      </c>
      <c r="T496" s="395" t="s">
        <v>6091</v>
      </c>
    </row>
    <row r="497" spans="1:20" s="356" customFormat="1" ht="16.5" x14ac:dyDescent="0.15">
      <c r="A497" s="448" t="s">
        <v>6092</v>
      </c>
      <c r="B497" s="388" t="s">
        <v>5989</v>
      </c>
      <c r="C497" s="389" t="s">
        <v>4575</v>
      </c>
      <c r="D497" s="2679" cm="1" t="n">
        <f t="array" ref="D497">INDEX('5층_부하량'!C3:C3000,MATCH(1,("5-DaHall 1-PDU-19"='5층_부하량'!A3:A3000)*(19='5층_부하량'!B3:B3000),0))</f>
        <v>1.12</v>
      </c>
      <c r="E497" s="387"/>
      <c r="F497" s="387"/>
      <c r="G497" s="387"/>
      <c r="H497" s="1235" t="s">
        <v>4576</v>
      </c>
      <c r="I497" s="558" t="s">
        <v>4670</v>
      </c>
      <c r="J497" s="1044"/>
      <c r="K497" s="1045"/>
      <c r="L497" s="578" t="s">
        <v>4609</v>
      </c>
      <c r="M497" s="382" t="s">
        <v>5001</v>
      </c>
      <c r="N497" s="2679" cm="1" t="n">
        <f t="array" ref="N497">INDEX('5층_부하량'!C3:C3000,MATCH(1,("5-DaHall 1-PDU-19"='5층_부하량'!A3:A3000)*(20='5층_부하량'!B3:B3000),0))</f>
        <v>1.16</v>
      </c>
      <c r="O497" s="387"/>
      <c r="P497" s="387"/>
      <c r="Q497" s="387"/>
      <c r="R497" s="388" t="s">
        <v>5989</v>
      </c>
      <c r="S497" s="1232" t="s">
        <v>4723</v>
      </c>
      <c r="T497" s="395" t="s">
        <v>6093</v>
      </c>
    </row>
    <row r="498" spans="1:20" s="356" customFormat="1" ht="16.5" x14ac:dyDescent="0.15">
      <c r="A498" s="448"/>
      <c r="B498" s="388" t="s">
        <v>565</v>
      </c>
      <c r="C498" s="1232" t="s">
        <v>4723</v>
      </c>
      <c r="D498" s="387"/>
      <c r="E498" s="2672" cm="1" t="n">
        <f t="array" ref="E498">INDEX('5층_부하량'!D3:D3000,MATCH(1,("5-DaHall 1-PDU-19"='5층_부하량'!A3:A3000)*(21='5층_부하량'!B3:B3000),0))</f>
        <v>0.0</v>
      </c>
      <c r="F498" s="387"/>
      <c r="G498" s="387"/>
      <c r="H498" s="382" t="s">
        <v>5001</v>
      </c>
      <c r="I498" s="2452" t="s">
        <v>6094</v>
      </c>
      <c r="J498" s="1044"/>
      <c r="K498" s="1045"/>
      <c r="L498" s="589" t="s">
        <v>6095</v>
      </c>
      <c r="M498" s="382" t="s">
        <v>5001</v>
      </c>
      <c r="N498" s="387"/>
      <c r="O498" s="2672" cm="1" t="n">
        <f t="array" ref="O498">INDEX('5층_부하량'!D3:D3000,MATCH(1,("5-DaHall 1-PDU-19"='5층_부하량'!A3:A3000)*(22='5층_부하량'!B3:B3000),0))</f>
        <v>0.84</v>
      </c>
      <c r="P498" s="387"/>
      <c r="Q498" s="387"/>
      <c r="R498" s="388" t="s">
        <v>5989</v>
      </c>
      <c r="S498" s="1232" t="s">
        <v>4723</v>
      </c>
      <c r="T498" s="395" t="s">
        <v>6096</v>
      </c>
    </row>
    <row r="499" spans="1:20" s="356" customFormat="1" ht="17.25" thickBot="1" x14ac:dyDescent="0.2">
      <c r="A499" s="431"/>
      <c r="B499" s="436" t="s">
        <v>4590</v>
      </c>
      <c r="C499" s="432" t="s">
        <v>4642</v>
      </c>
      <c r="D499" s="433"/>
      <c r="E499" s="433"/>
      <c r="F499" s="2680" cm="1" t="n">
        <f t="array" ref="F499">INDEX('5층_부하량'!E3:E3000,MATCH(1,("5-DaHall 1-PDU-19"='5층_부하량'!A3:A3000)*(23='5층_부하량'!B3:B3000),0))</f>
        <v>0.0</v>
      </c>
      <c r="G499" s="433"/>
      <c r="H499" s="432" t="s">
        <v>5001</v>
      </c>
      <c r="I499" s="2453" t="s">
        <v>6097</v>
      </c>
      <c r="J499" s="1229"/>
      <c r="K499" s="1230"/>
      <c r="L499" s="1231" t="s">
        <v>6098</v>
      </c>
      <c r="M499" s="432" t="s">
        <v>5001</v>
      </c>
      <c r="N499" s="433"/>
      <c r="O499" s="433"/>
      <c r="P499" s="2680" cm="1" t="n">
        <f t="array" ref="P499">INDEX('5층_부하량'!E3:E3000,MATCH(1,("5-DaHall 1-PDU-19"='5층_부하량'!A3:A3000)*(24='5층_부하량'!B3:B3000),0))</f>
        <v>0.0</v>
      </c>
      <c r="Q499" s="433"/>
      <c r="R499" s="436" t="s">
        <v>4590</v>
      </c>
      <c r="S499" s="432" t="s">
        <v>4642</v>
      </c>
      <c r="T499" s="438"/>
    </row>
    <row r="500" spans="1:20" s="356" customFormat="1" ht="18" thickTop="1" thickBot="1" x14ac:dyDescent="0.2">
      <c r="L500" s="2445"/>
      <c r="M500" s="411" t="s">
        <v>5645</v>
      </c>
      <c r="N500" s="412" t="n">
        <f>SUM(D488:D499,N488:N499)</f>
        <v>6.42</v>
      </c>
      <c r="O500" s="412" t="n">
        <f>SUM(E488:E499,O488:O499)</f>
        <v>4.05</v>
      </c>
      <c r="P500" s="412" t="n">
        <f>SUM(F488:F499,P488:P499)</f>
        <v>5.17</v>
      </c>
    </row>
    <row r="501" spans="1:20" s="356" customFormat="1" ht="20.25" thickTop="1" thickBot="1" x14ac:dyDescent="0.2">
      <c r="A501" s="355" t="s">
        <v>6964</v>
      </c>
      <c r="C501" s="3660" t="s">
        <v>6099</v>
      </c>
      <c r="D501" s="3660"/>
      <c r="E501" s="3660"/>
      <c r="F501" s="3660"/>
      <c r="G501" s="357"/>
      <c r="H501" s="358"/>
      <c r="I501" s="358"/>
      <c r="J501" s="3668" t="s">
        <v>4715</v>
      </c>
      <c r="K501" s="3669"/>
      <c r="L501" s="2442"/>
      <c r="M501" s="358"/>
      <c r="N501" s="357"/>
      <c r="O501" s="357"/>
      <c r="P501" s="357"/>
      <c r="Q501" s="357"/>
      <c r="R501" s="357"/>
      <c r="S501" s="357"/>
    </row>
    <row r="502" spans="1:20" s="356" customFormat="1" ht="15" customHeight="1" thickTop="1" thickBot="1" x14ac:dyDescent="0.2">
      <c r="A502" s="3"/>
      <c r="B502"/>
      <c r="C502"/>
      <c r="D502" s="54"/>
      <c r="E502" s="54"/>
      <c r="F502" s="54"/>
      <c r="G502" s="54"/>
      <c r="H502" s="4"/>
      <c r="I502" s="4"/>
      <c r="J502"/>
      <c r="K502" s="56"/>
      <c r="L502" s="565"/>
      <c r="M502" s="1371" t="s">
        <v>4562</v>
      </c>
      <c r="N502" s="1368">
        <v>28.1</v>
      </c>
      <c r="O502" s="1369">
        <v>32.6</v>
      </c>
      <c r="P502" s="1370">
        <v>23.1</v>
      </c>
      <c r="Q502" s="508" t="s">
        <v>4563</v>
      </c>
      <c r="R502" s="133"/>
      <c r="S502" s="128"/>
      <c r="T502" s="363"/>
    </row>
    <row r="503" spans="1:20" s="356" customFormat="1" ht="18" thickTop="1" thickBot="1" x14ac:dyDescent="0.2">
      <c r="A503" s="364" t="s">
        <v>4564</v>
      </c>
      <c r="B503" s="365" t="s">
        <v>4565</v>
      </c>
      <c r="C503" s="366" t="s">
        <v>4566</v>
      </c>
      <c r="D503" s="365" t="s">
        <v>4567</v>
      </c>
      <c r="E503" s="365" t="s">
        <v>4568</v>
      </c>
      <c r="F503" s="365" t="s">
        <v>4569</v>
      </c>
      <c r="G503" s="365" t="s">
        <v>4570</v>
      </c>
      <c r="H503" s="367" t="s">
        <v>4571</v>
      </c>
      <c r="I503" s="557"/>
      <c r="J503" s="368" t="s">
        <v>4572</v>
      </c>
      <c r="K503" s="369" t="s">
        <v>4572</v>
      </c>
      <c r="L503" s="575"/>
      <c r="M503" s="367" t="s">
        <v>4571</v>
      </c>
      <c r="N503" s="365" t="s">
        <v>4567</v>
      </c>
      <c r="O503" s="365" t="s">
        <v>4568</v>
      </c>
      <c r="P503" s="365" t="s">
        <v>4569</v>
      </c>
      <c r="Q503" s="365" t="s">
        <v>4570</v>
      </c>
      <c r="R503" s="365" t="s">
        <v>4565</v>
      </c>
      <c r="S503" s="366" t="s">
        <v>4566</v>
      </c>
      <c r="T503" s="370" t="s">
        <v>4564</v>
      </c>
    </row>
    <row r="504" spans="1:20" s="356" customFormat="1" ht="17.25" thickTop="1" x14ac:dyDescent="0.15">
      <c r="A504" s="474" t="s">
        <v>6100</v>
      </c>
      <c r="B504" s="378" t="s">
        <v>5989</v>
      </c>
      <c r="C504" s="379" t="s">
        <v>4575</v>
      </c>
      <c r="D504" s="2678" cm="1" t="n">
        <f t="array" ref="D504">INDEX('5층_부하량'!C3:C3000,MATCH(1,("5-DaHall 1-PDU-20"='5층_부하량'!A3:A3000)*(1='5층_부하량'!B3:B3000),0))</f>
        <v>0.0</v>
      </c>
      <c r="E504" s="401"/>
      <c r="F504" s="401"/>
      <c r="G504" s="374"/>
      <c r="H504" s="2450" t="s">
        <v>4936</v>
      </c>
      <c r="I504" s="2451" t="s">
        <v>4577</v>
      </c>
      <c r="J504" s="1040"/>
      <c r="K504" s="1041"/>
      <c r="L504" s="587" t="s">
        <v>4863</v>
      </c>
      <c r="M504" s="372" t="s">
        <v>5001</v>
      </c>
      <c r="N504" s="2678" cm="1" t="n">
        <f t="array" ref="N504">INDEX('5층_부하량'!C3:C3000,MATCH(1,("5-DaHall 1-PDU-20"='5층_부하량'!A3:A3000)*(2='5층_부하량'!B3:B3000),0))</f>
        <v>0.63</v>
      </c>
      <c r="O504" s="401"/>
      <c r="P504" s="401"/>
      <c r="Q504" s="374"/>
      <c r="R504" s="378" t="s">
        <v>5989</v>
      </c>
      <c r="S504" s="379" t="s">
        <v>4575</v>
      </c>
      <c r="T504" s="1233" t="s">
        <v>6101</v>
      </c>
    </row>
    <row r="505" spans="1:20" s="356" customFormat="1" ht="16.5" x14ac:dyDescent="0.15">
      <c r="A505" s="391" t="s">
        <v>6102</v>
      </c>
      <c r="B505" s="388" t="s">
        <v>5989</v>
      </c>
      <c r="C505" s="389" t="s">
        <v>4575</v>
      </c>
      <c r="D505" s="387"/>
      <c r="E505" s="2672" cm="1" t="n">
        <f t="array" ref="E505">INDEX('5층_부하량'!D3:D3000,MATCH(1,("5-DaHall 1-PDU-20"='5층_부하량'!A3:A3000)*(3='5층_부하량'!B3:B3000),0))</f>
        <v>0.0</v>
      </c>
      <c r="F505" s="387"/>
      <c r="G505" s="383"/>
      <c r="H505" s="382" t="s">
        <v>5001</v>
      </c>
      <c r="I505" s="2452" t="s">
        <v>4582</v>
      </c>
      <c r="J505" s="1042"/>
      <c r="K505" s="1043"/>
      <c r="L505" s="588" t="s">
        <v>4865</v>
      </c>
      <c r="M505" s="382" t="s">
        <v>5001</v>
      </c>
      <c r="N505" s="387"/>
      <c r="O505" s="2672" cm="1" t="n">
        <f t="array" ref="O505">INDEX('5층_부하량'!D3:D3000,MATCH(1,("5-DaHall 1-PDU-20"='5층_부하량'!A3:A3000)*(4='5층_부하량'!B3:B3000),0))</f>
        <v>0.92</v>
      </c>
      <c r="P505" s="387"/>
      <c r="Q505" s="387"/>
      <c r="R505" s="388" t="s">
        <v>5989</v>
      </c>
      <c r="S505" s="389" t="s">
        <v>4575</v>
      </c>
      <c r="T505" s="395" t="s">
        <v>6103</v>
      </c>
    </row>
    <row r="506" spans="1:20" s="356" customFormat="1" ht="16.5" x14ac:dyDescent="0.15">
      <c r="A506" s="391" t="s">
        <v>6104</v>
      </c>
      <c r="B506" s="388" t="s">
        <v>5989</v>
      </c>
      <c r="C506" s="389" t="s">
        <v>4575</v>
      </c>
      <c r="D506" s="387"/>
      <c r="E506" s="387"/>
      <c r="F506" s="2679" cm="1" t="n">
        <f t="array" ref="F506">INDEX('5층_부하량'!E3:E3000,MATCH(1,("5-DaHall 1-PDU-20"='5층_부하량'!A3:A3000)*(5='5층_부하량'!B3:B3000),0))</f>
        <v>0.0</v>
      </c>
      <c r="G506" s="387"/>
      <c r="H506" s="382" t="s">
        <v>5001</v>
      </c>
      <c r="I506" s="2452" t="s">
        <v>4587</v>
      </c>
      <c r="J506" s="1044"/>
      <c r="K506" s="1045"/>
      <c r="L506" s="589" t="s">
        <v>4868</v>
      </c>
      <c r="M506" s="1234" t="s">
        <v>6078</v>
      </c>
      <c r="N506" s="387"/>
      <c r="O506" s="387"/>
      <c r="P506" s="2679" cm="1" t="n">
        <f t="array" ref="P506">INDEX('5층_부하량'!E3:E3000,MATCH(1,("5-DaHall 1-PDU-20"='5층_부하량'!A3:A3000)*(6='5층_부하량'!B3:B3000),0))</f>
        <v>1.3599999999999999</v>
      </c>
      <c r="Q506" s="387"/>
      <c r="R506" s="388" t="s">
        <v>5989</v>
      </c>
      <c r="S506" s="389" t="s">
        <v>4575</v>
      </c>
      <c r="T506" s="395" t="s">
        <v>6105</v>
      </c>
    </row>
    <row r="507" spans="1:20" s="356" customFormat="1" ht="16.5" x14ac:dyDescent="0.15">
      <c r="A507" s="391" t="s">
        <v>6106</v>
      </c>
      <c r="B507" s="388" t="s">
        <v>5989</v>
      </c>
      <c r="C507" s="389" t="s">
        <v>4575</v>
      </c>
      <c r="D507" s="2679" cm="1" t="n">
        <f t="array" ref="D507">INDEX('5층_부하량'!C3:C3000,MATCH(1,("5-DaHall 1-PDU-20"='5층_부하량'!A3:A3000)*(7='5층_부하량'!B3:B3000),0))</f>
        <v>0.68</v>
      </c>
      <c r="E507" s="387"/>
      <c r="F507" s="387"/>
      <c r="G507" s="387"/>
      <c r="H507" s="382" t="s">
        <v>5001</v>
      </c>
      <c r="I507" s="558" t="s">
        <v>4645</v>
      </c>
      <c r="J507" s="1044"/>
      <c r="K507" s="1045"/>
      <c r="L507" s="578" t="s">
        <v>4593</v>
      </c>
      <c r="M507" s="382" t="s">
        <v>5001</v>
      </c>
      <c r="N507" s="2679" cm="1" t="n">
        <f t="array" ref="N507">INDEX('5층_부하량'!C3:C3000,MATCH(1,("5-DaHall 1-PDU-20"='5층_부하량'!A3:A3000)*(8='5층_부하량'!B3:B3000),0))</f>
        <v>1.19</v>
      </c>
      <c r="O507" s="387"/>
      <c r="P507" s="387"/>
      <c r="Q507" s="387"/>
      <c r="R507" s="388" t="s">
        <v>5989</v>
      </c>
      <c r="S507" s="389" t="s">
        <v>4575</v>
      </c>
      <c r="T507" s="395" t="s">
        <v>6107</v>
      </c>
    </row>
    <row r="508" spans="1:20" s="356" customFormat="1" ht="16.5" x14ac:dyDescent="0.15">
      <c r="A508" s="391" t="s">
        <v>6108</v>
      </c>
      <c r="B508" s="388" t="s">
        <v>5989</v>
      </c>
      <c r="C508" s="389" t="s">
        <v>4575</v>
      </c>
      <c r="D508" s="387"/>
      <c r="E508" s="2672" cm="1" t="n">
        <f t="array" ref="E508">INDEX('5층_부하량'!D3:D3000,MATCH(1,("5-DaHall 1-PDU-20"='5층_부하량'!A3:A3000)*(9='5층_부하량'!B3:B3000),0))</f>
        <v>0.59</v>
      </c>
      <c r="F508" s="387"/>
      <c r="G508" s="387"/>
      <c r="H508" s="382" t="s">
        <v>5001</v>
      </c>
      <c r="I508" s="558" t="s">
        <v>4648</v>
      </c>
      <c r="J508" s="1044"/>
      <c r="K508" s="1045"/>
      <c r="L508" s="578" t="s">
        <v>4596</v>
      </c>
      <c r="M508" s="382" t="s">
        <v>5001</v>
      </c>
      <c r="N508" s="387"/>
      <c r="O508" s="2672" cm="1" t="n">
        <f t="array" ref="O508">INDEX('5층_부하량'!D3:D3000,MATCH(1,("5-DaHall 1-PDU-20"='5층_부하량'!A3:A3000)*(10='5층_부하량'!B3:B3000),0))</f>
        <v>0.63</v>
      </c>
      <c r="P508" s="387"/>
      <c r="Q508" s="387"/>
      <c r="R508" s="388" t="s">
        <v>5989</v>
      </c>
      <c r="S508" s="389" t="s">
        <v>4575</v>
      </c>
      <c r="T508" s="395" t="s">
        <v>6109</v>
      </c>
    </row>
    <row r="509" spans="1:20" s="356" customFormat="1" ht="16.5" x14ac:dyDescent="0.15">
      <c r="A509" s="391" t="s">
        <v>6110</v>
      </c>
      <c r="B509" s="388" t="s">
        <v>5989</v>
      </c>
      <c r="C509" s="389" t="s">
        <v>4575</v>
      </c>
      <c r="D509" s="387"/>
      <c r="E509" s="387"/>
      <c r="F509" s="2679" cm="1" t="n">
        <f t="array" ref="F509">INDEX('5층_부하량'!E3:E3000,MATCH(1,("5-DaHall 1-PDU-20"='5층_부하량'!A3:A3000)*(11='5층_부하량'!B3:B3000),0))</f>
        <v>0.0</v>
      </c>
      <c r="G509" s="387"/>
      <c r="H509" s="382" t="s">
        <v>5001</v>
      </c>
      <c r="I509" s="558" t="s">
        <v>4653</v>
      </c>
      <c r="J509" s="1044"/>
      <c r="K509" s="1045"/>
      <c r="L509" s="578" t="s">
        <v>4599</v>
      </c>
      <c r="M509" s="1234" t="s">
        <v>6078</v>
      </c>
      <c r="N509" s="387"/>
      <c r="O509" s="387"/>
      <c r="P509" s="2679" cm="1" t="n">
        <f t="array" ref="P509">INDEX('5층_부하량'!E3:E3000,MATCH(1,("5-DaHall 1-PDU-20"='5층_부하량'!A3:A3000)*(12='5층_부하량'!B3:B3000),0))</f>
        <v>0.0</v>
      </c>
      <c r="Q509" s="387"/>
      <c r="R509" s="388" t="s">
        <v>5989</v>
      </c>
      <c r="S509" s="389" t="s">
        <v>4575</v>
      </c>
      <c r="T509" s="395" t="s">
        <v>6111</v>
      </c>
    </row>
    <row r="510" spans="1:20" s="356" customFormat="1" ht="16.5" x14ac:dyDescent="0.15">
      <c r="A510" s="391" t="s">
        <v>6112</v>
      </c>
      <c r="B510" s="388" t="s">
        <v>5989</v>
      </c>
      <c r="C510" s="389" t="s">
        <v>4575</v>
      </c>
      <c r="D510" s="2679" cm="1" t="n">
        <f t="array" ref="D510">INDEX('5층_부하량'!C3:C3000,MATCH(1,("5-DaHall 1-PDU-20"='5층_부하량'!A3:A3000)*(13='5층_부하량'!B3:B3000),0))</f>
        <v>0.69</v>
      </c>
      <c r="E510" s="387"/>
      <c r="F510" s="387"/>
      <c r="G510" s="387"/>
      <c r="H510" s="382" t="s">
        <v>5001</v>
      </c>
      <c r="I510" s="558" t="s">
        <v>4657</v>
      </c>
      <c r="J510" s="1044"/>
      <c r="K510" s="1045"/>
      <c r="L510" s="578" t="s">
        <v>4601</v>
      </c>
      <c r="M510" s="1234" t="s">
        <v>6078</v>
      </c>
      <c r="N510" s="2679" cm="1" t="n">
        <f t="array" ref="N510">INDEX('5층_부하량'!C3:C3000,MATCH(1,("5-DaHall 1-PDU-20"='5층_부하량'!A3:A3000)*(14='5층_부하량'!B3:B3000),0))</f>
        <v>1.23</v>
      </c>
      <c r="O510" s="387"/>
      <c r="P510" s="387"/>
      <c r="Q510" s="387"/>
      <c r="R510" s="388" t="s">
        <v>5989</v>
      </c>
      <c r="S510" s="389" t="s">
        <v>4575</v>
      </c>
      <c r="T510" s="395" t="s">
        <v>6113</v>
      </c>
    </row>
    <row r="511" spans="1:20" s="356" customFormat="1" ht="16.5" x14ac:dyDescent="0.15">
      <c r="A511" s="448" t="s">
        <v>6114</v>
      </c>
      <c r="B511" s="388" t="s">
        <v>5989</v>
      </c>
      <c r="C511" s="389" t="s">
        <v>4575</v>
      </c>
      <c r="D511" s="387"/>
      <c r="E511" s="2679" cm="1" t="n">
        <f t="array" ref="E511">INDEX('5층_부하량'!D3:D3000,MATCH(1,("5-DaHall 1-PDU-20"='5층_부하량'!A3:A3000)*(15='5층_부하량'!B3:B3000),0))</f>
        <v>0.0</v>
      </c>
      <c r="F511" s="387"/>
      <c r="G511" s="387"/>
      <c r="H511" s="1234" t="s">
        <v>6078</v>
      </c>
      <c r="I511" s="558" t="s">
        <v>4661</v>
      </c>
      <c r="J511" s="1044"/>
      <c r="K511" s="1045"/>
      <c r="L511" s="578" t="s">
        <v>4603</v>
      </c>
      <c r="M511" s="382" t="s">
        <v>5001</v>
      </c>
      <c r="N511" s="387"/>
      <c r="O511" s="2679" cm="1" t="n">
        <f t="array" ref="O511">INDEX('5층_부하량'!D3:D3000,MATCH(1,("5-DaHall 1-PDU-20"='5층_부하량'!A3:A3000)*(16='5층_부하량'!B3:B3000),0))</f>
        <v>1.03</v>
      </c>
      <c r="P511" s="387"/>
      <c r="Q511" s="387"/>
      <c r="R511" s="388" t="s">
        <v>5989</v>
      </c>
      <c r="S511" s="1232" t="s">
        <v>4723</v>
      </c>
      <c r="T511" s="395" t="s">
        <v>6115</v>
      </c>
    </row>
    <row r="512" spans="1:20" s="356" customFormat="1" ht="16.5" x14ac:dyDescent="0.15">
      <c r="A512" s="448" t="s">
        <v>6116</v>
      </c>
      <c r="B512" s="388" t="s">
        <v>5989</v>
      </c>
      <c r="C512" s="389" t="s">
        <v>4575</v>
      </c>
      <c r="D512" s="387"/>
      <c r="E512" s="387"/>
      <c r="F512" s="2679" cm="1" t="n">
        <f t="array" ref="F512">INDEX('5층_부하량'!E3:E3000,MATCH(1,("5-DaHall 1-PDU-20"='5층_부하량'!A3:A3000)*(17='5층_부하량'!B3:B3000),0))</f>
        <v>2.5</v>
      </c>
      <c r="G512" s="387"/>
      <c r="H512" s="1235" t="s">
        <v>4576</v>
      </c>
      <c r="I512" s="558" t="s">
        <v>4665</v>
      </c>
      <c r="J512" s="1044"/>
      <c r="K512" s="1045"/>
      <c r="L512" s="578" t="s">
        <v>4605</v>
      </c>
      <c r="M512" s="382" t="s">
        <v>5001</v>
      </c>
      <c r="N512" s="387"/>
      <c r="O512" s="387"/>
      <c r="P512" s="2679" cm="1" t="n">
        <f t="array" ref="P512">INDEX('5층_부하량'!E3:E3000,MATCH(1,("5-DaHall 1-PDU-20"='5층_부하량'!A3:A3000)*(18='5층_부하량'!B3:B3000),0))</f>
        <v>1.0</v>
      </c>
      <c r="Q512" s="387"/>
      <c r="R512" s="388" t="s">
        <v>5989</v>
      </c>
      <c r="S512" s="1232" t="s">
        <v>4723</v>
      </c>
      <c r="T512" s="395" t="s">
        <v>6117</v>
      </c>
    </row>
    <row r="513" spans="1:20" s="356" customFormat="1" ht="16.5" x14ac:dyDescent="0.15">
      <c r="A513" s="448" t="s">
        <v>6118</v>
      </c>
      <c r="B513" s="388" t="s">
        <v>5989</v>
      </c>
      <c r="C513" s="389" t="s">
        <v>4575</v>
      </c>
      <c r="D513" s="2679" cm="1" t="n">
        <f t="array" ref="D513">INDEX('5층_부하량'!C3:C3000,MATCH(1,("5-DaHall 1-PDU-20"='5층_부하량'!A3:A3000)*(19='5층_부하량'!B3:B3000),0))</f>
        <v>1.07</v>
      </c>
      <c r="E513" s="387"/>
      <c r="F513" s="387"/>
      <c r="G513" s="387"/>
      <c r="H513" s="1235" t="s">
        <v>4576</v>
      </c>
      <c r="I513" s="558" t="s">
        <v>4670</v>
      </c>
      <c r="J513" s="1044"/>
      <c r="K513" s="1045"/>
      <c r="L513" s="578" t="s">
        <v>4609</v>
      </c>
      <c r="M513" s="382" t="s">
        <v>5001</v>
      </c>
      <c r="N513" s="2679" cm="1" t="n">
        <f t="array" ref="N513">INDEX('5층_부하량'!C3:C3000,MATCH(1,("5-DaHall 1-PDU-20"='5층_부하량'!A3:A3000)*(20='5층_부하량'!B3:B3000),0))</f>
        <v>0.86</v>
      </c>
      <c r="O513" s="387"/>
      <c r="P513" s="387"/>
      <c r="Q513" s="387"/>
      <c r="R513" s="388" t="s">
        <v>5989</v>
      </c>
      <c r="S513" s="1232" t="s">
        <v>4723</v>
      </c>
      <c r="T513" s="395" t="s">
        <v>6119</v>
      </c>
    </row>
    <row r="514" spans="1:20" s="356" customFormat="1" ht="16.5" x14ac:dyDescent="0.15">
      <c r="A514" s="448"/>
      <c r="B514" s="388" t="s">
        <v>565</v>
      </c>
      <c r="C514" s="1232" t="s">
        <v>4723</v>
      </c>
      <c r="D514" s="387"/>
      <c r="E514" s="2672" cm="1" t="n">
        <f t="array" ref="E514">INDEX('5층_부하량'!D3:D3000,MATCH(1,("5-DaHall 1-PDU-20"='5층_부하량'!A3:A3000)*(21='5층_부하량'!B3:B3000),0))</f>
        <v>0.0</v>
      </c>
      <c r="F514" s="387"/>
      <c r="G514" s="387"/>
      <c r="H514" s="382" t="s">
        <v>5001</v>
      </c>
      <c r="I514" s="2452" t="s">
        <v>6094</v>
      </c>
      <c r="J514" s="1044"/>
      <c r="K514" s="1045"/>
      <c r="L514" s="589" t="s">
        <v>6095</v>
      </c>
      <c r="M514" s="382" t="s">
        <v>5001</v>
      </c>
      <c r="N514" s="387"/>
      <c r="O514" s="2672" cm="1" t="n">
        <f t="array" ref="O514">INDEX('5층_부하량'!D3:D3000,MATCH(1,("5-DaHall 1-PDU-20"='5층_부하량'!A3:A3000)*(22='5층_부하량'!B3:B3000),0))</f>
        <v>0.59</v>
      </c>
      <c r="P514" s="387"/>
      <c r="Q514" s="387"/>
      <c r="R514" s="388" t="s">
        <v>5989</v>
      </c>
      <c r="S514" s="1232" t="s">
        <v>4723</v>
      </c>
      <c r="T514" s="395" t="s">
        <v>6120</v>
      </c>
    </row>
    <row r="515" spans="1:20" s="356" customFormat="1" ht="17.25" thickBot="1" x14ac:dyDescent="0.2">
      <c r="A515" s="431"/>
      <c r="B515" s="436" t="s">
        <v>4590</v>
      </c>
      <c r="C515" s="432" t="s">
        <v>4642</v>
      </c>
      <c r="D515" s="433"/>
      <c r="E515" s="433"/>
      <c r="F515" s="2680" cm="1" t="n">
        <f t="array" ref="F515">INDEX('5층_부하량'!E3:E3000,MATCH(1,("5-DaHall 1-PDU-20"='5층_부하량'!A3:A3000)*(23='5층_부하량'!B3:B3000),0))</f>
        <v>0.0</v>
      </c>
      <c r="G515" s="433"/>
      <c r="H515" s="432" t="s">
        <v>5001</v>
      </c>
      <c r="I515" s="2453" t="s">
        <v>6097</v>
      </c>
      <c r="J515" s="1229"/>
      <c r="K515" s="1230"/>
      <c r="L515" s="1231" t="s">
        <v>6098</v>
      </c>
      <c r="M515" s="432" t="s">
        <v>5001</v>
      </c>
      <c r="N515" s="433"/>
      <c r="O515" s="433"/>
      <c r="P515" s="2680" cm="1" t="n">
        <f t="array" ref="P515">INDEX('5층_부하량'!E3:E3000,MATCH(1,("5-DaHall 1-PDU-20"='5층_부하량'!A3:A3000)*(24='5층_부하량'!B3:B3000),0))</f>
        <v>0.0</v>
      </c>
      <c r="Q515" s="433"/>
      <c r="R515" s="436" t="s">
        <v>4590</v>
      </c>
      <c r="S515" s="432" t="s">
        <v>4642</v>
      </c>
      <c r="T515" s="438"/>
    </row>
    <row r="516" spans="1:20" s="356" customFormat="1" ht="18" thickTop="1" thickBot="1" x14ac:dyDescent="0.2">
      <c r="L516" s="2445"/>
      <c r="M516" s="411" t="s">
        <v>5645</v>
      </c>
      <c r="N516" s="412" t="n">
        <f>SUM(D504:D515,N504:N515)</f>
        <v>6.3500000000000005</v>
      </c>
      <c r="O516" s="412" t="n">
        <f>SUM(E504:E515,O504:O515)</f>
        <v>3.76</v>
      </c>
      <c r="P516" s="412" t="n">
        <f>SUM(F504:F515,P504:P515)</f>
        <v>4.859999999999999</v>
      </c>
    </row>
    <row r="517" spans="1:20" s="356" customFormat="1" ht="20.25" thickTop="1" thickBot="1" x14ac:dyDescent="0.2">
      <c r="A517" s="355" t="s">
        <v>6965</v>
      </c>
      <c r="C517" s="3660" t="s">
        <v>6121</v>
      </c>
      <c r="D517" s="3660"/>
      <c r="E517" s="3660"/>
      <c r="F517" s="3660"/>
      <c r="G517" s="357"/>
      <c r="H517" s="358"/>
      <c r="I517" s="358"/>
      <c r="J517" s="3668" t="s">
        <v>4715</v>
      </c>
      <c r="K517" s="3669"/>
      <c r="L517" s="2442"/>
      <c r="M517" s="358"/>
      <c r="N517" s="357"/>
      <c r="O517" s="357"/>
      <c r="P517" s="357"/>
      <c r="Q517" s="357"/>
      <c r="R517" s="357"/>
      <c r="S517" s="357"/>
    </row>
    <row r="518" spans="1:20" s="356" customFormat="1" ht="15" customHeight="1" thickTop="1" thickBot="1" x14ac:dyDescent="0.2">
      <c r="A518" s="3"/>
      <c r="B518"/>
      <c r="C518"/>
      <c r="D518" s="54"/>
      <c r="E518" s="54"/>
      <c r="F518" s="54"/>
      <c r="G518" s="54"/>
      <c r="H518" s="4"/>
      <c r="I518" s="4"/>
      <c r="J518"/>
      <c r="K518" s="56"/>
      <c r="L518" s="565"/>
      <c r="M518" s="1371" t="s">
        <v>4562</v>
      </c>
      <c r="N518" s="1368">
        <v>41.9</v>
      </c>
      <c r="O518" s="1369">
        <v>33.6</v>
      </c>
      <c r="P518" s="1370">
        <v>29.3</v>
      </c>
      <c r="Q518" s="508" t="s">
        <v>4563</v>
      </c>
      <c r="R518" s="133"/>
      <c r="S518" s="128"/>
      <c r="T518" s="363"/>
    </row>
    <row r="519" spans="1:20" s="356" customFormat="1" ht="18" thickTop="1" thickBot="1" x14ac:dyDescent="0.2">
      <c r="A519" s="364" t="s">
        <v>4564</v>
      </c>
      <c r="B519" s="365" t="s">
        <v>4565</v>
      </c>
      <c r="C519" s="366" t="s">
        <v>4566</v>
      </c>
      <c r="D519" s="365" t="s">
        <v>4567</v>
      </c>
      <c r="E519" s="365" t="s">
        <v>4568</v>
      </c>
      <c r="F519" s="365" t="s">
        <v>4569</v>
      </c>
      <c r="G519" s="365" t="s">
        <v>4570</v>
      </c>
      <c r="H519" s="367" t="s">
        <v>4571</v>
      </c>
      <c r="I519" s="557"/>
      <c r="J519" s="368" t="s">
        <v>4572</v>
      </c>
      <c r="K519" s="369" t="s">
        <v>4572</v>
      </c>
      <c r="L519" s="575"/>
      <c r="M519" s="367" t="s">
        <v>4571</v>
      </c>
      <c r="N519" s="365" t="s">
        <v>4567</v>
      </c>
      <c r="O519" s="365" t="s">
        <v>4568</v>
      </c>
      <c r="P519" s="365" t="s">
        <v>4569</v>
      </c>
      <c r="Q519" s="365" t="s">
        <v>4570</v>
      </c>
      <c r="R519" s="365" t="s">
        <v>4565</v>
      </c>
      <c r="S519" s="366" t="s">
        <v>4566</v>
      </c>
      <c r="T519" s="370" t="s">
        <v>4564</v>
      </c>
    </row>
    <row r="520" spans="1:20" s="356" customFormat="1" ht="17.25" thickTop="1" x14ac:dyDescent="0.15">
      <c r="A520" s="474" t="s">
        <v>6122</v>
      </c>
      <c r="B520" s="378" t="s">
        <v>5989</v>
      </c>
      <c r="C520" s="379" t="s">
        <v>4575</v>
      </c>
      <c r="D520" s="2678" cm="1" t="n">
        <f t="array" ref="D520">INDEX('5층_부하량'!C3:C3000,MATCH(1,("5-DaHall 1-PDU-21"='5층_부하량'!A3:A3000)*(1='5층_부하량'!B3:B3000),0))</f>
        <v>0.0</v>
      </c>
      <c r="E520" s="401"/>
      <c r="F520" s="401"/>
      <c r="G520" s="374"/>
      <c r="H520" s="2450" t="s">
        <v>4936</v>
      </c>
      <c r="I520" s="2451" t="s">
        <v>4577</v>
      </c>
      <c r="J520" s="1040"/>
      <c r="K520" s="1041"/>
      <c r="L520" s="587" t="s">
        <v>4863</v>
      </c>
      <c r="M520" s="372" t="s">
        <v>5001</v>
      </c>
      <c r="N520" s="2678" cm="1" t="n">
        <f t="array" ref="N520">INDEX('5층_부하량'!C3:C3000,MATCH(1,("5-DaHall 1-PDU-21"='5층_부하량'!A3:A3000)*(2='5층_부하량'!B3:B3000),0))</f>
        <v>0.65</v>
      </c>
      <c r="O520" s="401"/>
      <c r="P520" s="401"/>
      <c r="Q520" s="374"/>
      <c r="R520" s="378" t="s">
        <v>5989</v>
      </c>
      <c r="S520" s="379" t="s">
        <v>4575</v>
      </c>
      <c r="T520" s="1233" t="s">
        <v>6123</v>
      </c>
    </row>
    <row r="521" spans="1:20" s="356" customFormat="1" ht="16.5" x14ac:dyDescent="0.15">
      <c r="A521" s="391" t="s">
        <v>6124</v>
      </c>
      <c r="B521" s="388" t="s">
        <v>5989</v>
      </c>
      <c r="C521" s="389" t="s">
        <v>4575</v>
      </c>
      <c r="D521" s="387"/>
      <c r="E521" s="2672" cm="1" t="n">
        <f t="array" ref="E521">INDEX('5층_부하량'!D3:D3000,MATCH(1,("5-DaHall 1-PDU-21"='5층_부하량'!A3:A3000)*(3='5층_부하량'!B3:B3000),0))</f>
        <v>0.0</v>
      </c>
      <c r="F521" s="387"/>
      <c r="G521" s="383"/>
      <c r="H521" s="382" t="s">
        <v>5001</v>
      </c>
      <c r="I521" s="2452" t="s">
        <v>4582</v>
      </c>
      <c r="J521" s="1042"/>
      <c r="K521" s="1043"/>
      <c r="L521" s="588" t="s">
        <v>4865</v>
      </c>
      <c r="M521" s="382" t="s">
        <v>5001</v>
      </c>
      <c r="N521" s="387"/>
      <c r="O521" s="2672" cm="1" t="n">
        <f t="array" ref="O521">INDEX('5층_부하량'!D3:D3000,MATCH(1,("5-DaHall 1-PDU-21"='5층_부하량'!A3:A3000)*(4='5층_부하량'!B3:B3000),0))</f>
        <v>0.66</v>
      </c>
      <c r="P521" s="387"/>
      <c r="Q521" s="387"/>
      <c r="R521" s="388" t="s">
        <v>5989</v>
      </c>
      <c r="S521" s="389" t="s">
        <v>4575</v>
      </c>
      <c r="T521" s="395" t="s">
        <v>6125</v>
      </c>
    </row>
    <row r="522" spans="1:20" s="356" customFormat="1" ht="16.5" x14ac:dyDescent="0.15">
      <c r="A522" s="391" t="s">
        <v>6126</v>
      </c>
      <c r="B522" s="388" t="s">
        <v>5989</v>
      </c>
      <c r="C522" s="389" t="s">
        <v>4575</v>
      </c>
      <c r="D522" s="387"/>
      <c r="E522" s="387"/>
      <c r="F522" s="2679" cm="1" t="n">
        <f t="array" ref="F522">INDEX('5층_부하량'!E3:E3000,MATCH(1,("5-DaHall 1-PDU-21"='5층_부하량'!A3:A3000)*(5='5층_부하량'!B3:B3000),0))</f>
        <v>0.0</v>
      </c>
      <c r="G522" s="387"/>
      <c r="H522" s="382" t="s">
        <v>5001</v>
      </c>
      <c r="I522" s="2452" t="s">
        <v>4587</v>
      </c>
      <c r="J522" s="1044"/>
      <c r="K522" s="1045"/>
      <c r="L522" s="589" t="s">
        <v>4868</v>
      </c>
      <c r="M522" s="1234" t="s">
        <v>6078</v>
      </c>
      <c r="N522" s="387"/>
      <c r="O522" s="387"/>
      <c r="P522" s="2679" cm="1" t="n">
        <f t="array" ref="P522">INDEX('5층_부하량'!E3:E3000,MATCH(1,("5-DaHall 1-PDU-21"='5층_부하량'!A3:A3000)*(6='5층_부하량'!B3:B3000),0))</f>
        <v>2.15</v>
      </c>
      <c r="Q522" s="387"/>
      <c r="R522" s="388" t="s">
        <v>5989</v>
      </c>
      <c r="S522" s="389" t="s">
        <v>4575</v>
      </c>
      <c r="T522" s="395" t="s">
        <v>6127</v>
      </c>
    </row>
    <row r="523" spans="1:20" s="356" customFormat="1" ht="16.5" x14ac:dyDescent="0.15">
      <c r="A523" s="391" t="s">
        <v>6128</v>
      </c>
      <c r="B523" s="388" t="s">
        <v>5989</v>
      </c>
      <c r="C523" s="389" t="s">
        <v>4575</v>
      </c>
      <c r="D523" s="2679" cm="1" t="n">
        <f t="array" ref="D523">INDEX('5층_부하량'!C3:C3000,MATCH(1,("5-DaHall 1-PDU-21"='5층_부하량'!A3:A3000)*(7='5층_부하량'!B3:B3000),0))</f>
        <v>0.66</v>
      </c>
      <c r="E523" s="387"/>
      <c r="F523" s="387"/>
      <c r="G523" s="387"/>
      <c r="H523" s="382" t="s">
        <v>5001</v>
      </c>
      <c r="I523" s="558" t="s">
        <v>4645</v>
      </c>
      <c r="J523" s="1044"/>
      <c r="K523" s="1045"/>
      <c r="L523" s="578" t="s">
        <v>4593</v>
      </c>
      <c r="M523" s="382" t="s">
        <v>5001</v>
      </c>
      <c r="N523" s="2679" cm="1" t="n">
        <f t="array" ref="N523">INDEX('5층_부하량'!C3:C3000,MATCH(1,("5-DaHall 1-PDU-21"='5층_부하량'!A3:A3000)*(8='5층_부하량'!B3:B3000),0))</f>
        <v>1.52</v>
      </c>
      <c r="O523" s="387"/>
      <c r="P523" s="387"/>
      <c r="Q523" s="387"/>
      <c r="R523" s="388" t="s">
        <v>5989</v>
      </c>
      <c r="S523" s="389" t="s">
        <v>4575</v>
      </c>
      <c r="T523" s="395" t="s">
        <v>6129</v>
      </c>
    </row>
    <row r="524" spans="1:20" s="356" customFormat="1" ht="16.5" x14ac:dyDescent="0.15">
      <c r="A524" s="391" t="s">
        <v>6130</v>
      </c>
      <c r="B524" s="388" t="s">
        <v>5989</v>
      </c>
      <c r="C524" s="389" t="s">
        <v>4575</v>
      </c>
      <c r="D524" s="387"/>
      <c r="E524" s="2672" cm="1" t="n">
        <f t="array" ref="E524">INDEX('5층_부하량'!D3:D3000,MATCH(1,("5-DaHall 1-PDU-21"='5층_부하량'!A3:A3000)*(9='5층_부하량'!B3:B3000),0))</f>
        <v>0.66</v>
      </c>
      <c r="F524" s="387"/>
      <c r="G524" s="387"/>
      <c r="H524" s="382" t="s">
        <v>5001</v>
      </c>
      <c r="I524" s="558" t="s">
        <v>4648</v>
      </c>
      <c r="J524" s="1044"/>
      <c r="K524" s="1045"/>
      <c r="L524" s="578" t="s">
        <v>4596</v>
      </c>
      <c r="M524" s="382" t="s">
        <v>5001</v>
      </c>
      <c r="N524" s="387"/>
      <c r="O524" s="2672" cm="1" t="n">
        <f t="array" ref="O524">INDEX('5층_부하량'!D3:D3000,MATCH(1,("5-DaHall 1-PDU-21"='5층_부하량'!A3:A3000)*(10='5층_부하량'!B3:B3000),0))</f>
        <v>1.1</v>
      </c>
      <c r="P524" s="387"/>
      <c r="Q524" s="387"/>
      <c r="R524" s="388" t="s">
        <v>5989</v>
      </c>
      <c r="S524" s="389" t="s">
        <v>4575</v>
      </c>
      <c r="T524" s="395" t="s">
        <v>6131</v>
      </c>
    </row>
    <row r="525" spans="1:20" s="356" customFormat="1" ht="16.5" x14ac:dyDescent="0.15">
      <c r="A525" s="391" t="s">
        <v>6132</v>
      </c>
      <c r="B525" s="388" t="s">
        <v>5989</v>
      </c>
      <c r="C525" s="389" t="s">
        <v>4575</v>
      </c>
      <c r="D525" s="387"/>
      <c r="E525" s="387"/>
      <c r="F525" s="2679" cm="1" t="n">
        <f t="array" ref="F525">INDEX('5층_부하량'!E3:E3000,MATCH(1,("5-DaHall 1-PDU-21"='5층_부하량'!A3:A3000)*(11='5층_부하량'!B3:B3000),0))</f>
        <v>0.0</v>
      </c>
      <c r="G525" s="387"/>
      <c r="H525" s="382" t="s">
        <v>5001</v>
      </c>
      <c r="I525" s="558" t="s">
        <v>4653</v>
      </c>
      <c r="J525" s="1044"/>
      <c r="K525" s="1045"/>
      <c r="L525" s="578" t="s">
        <v>4599</v>
      </c>
      <c r="M525" s="1234" t="s">
        <v>6078</v>
      </c>
      <c r="N525" s="387"/>
      <c r="O525" s="387"/>
      <c r="P525" s="2679" cm="1" t="n">
        <f t="array" ref="P525">INDEX('5층_부하량'!E3:E3000,MATCH(1,("5-DaHall 1-PDU-21"='5층_부하량'!A3:A3000)*(12='5층_부하량'!B3:B3000),0))</f>
        <v>0.0</v>
      </c>
      <c r="Q525" s="387"/>
      <c r="R525" s="388" t="s">
        <v>5989</v>
      </c>
      <c r="S525" s="389" t="s">
        <v>4575</v>
      </c>
      <c r="T525" s="395" t="s">
        <v>6133</v>
      </c>
    </row>
    <row r="526" spans="1:20" s="356" customFormat="1" ht="16.5" x14ac:dyDescent="0.15">
      <c r="A526" s="391" t="s">
        <v>6134</v>
      </c>
      <c r="B526" s="388" t="s">
        <v>5989</v>
      </c>
      <c r="C526" s="389" t="s">
        <v>4575</v>
      </c>
      <c r="D526" s="2679" cm="1" t="n">
        <f t="array" ref="D526">INDEX('5층_부하량'!C3:C3000,MATCH(1,("5-DaHall 1-PDU-21"='5층_부하량'!A3:A3000)*(13='5층_부하량'!B3:B3000),0))</f>
        <v>0.65</v>
      </c>
      <c r="E526" s="387"/>
      <c r="F526" s="387"/>
      <c r="G526" s="387"/>
      <c r="H526" s="382" t="s">
        <v>5001</v>
      </c>
      <c r="I526" s="558" t="s">
        <v>4657</v>
      </c>
      <c r="J526" s="1044"/>
      <c r="K526" s="1045"/>
      <c r="L526" s="578" t="s">
        <v>4601</v>
      </c>
      <c r="M526" s="1234" t="s">
        <v>6078</v>
      </c>
      <c r="N526" s="2679" cm="1" t="n">
        <f t="array" ref="N526">INDEX('5층_부하량'!C3:C3000,MATCH(1,("5-DaHall 1-PDU-21"='5층_부하량'!A3:A3000)*(14='5층_부하량'!B3:B3000),0))</f>
        <v>2.02</v>
      </c>
      <c r="O526" s="387"/>
      <c r="P526" s="387"/>
      <c r="Q526" s="387"/>
      <c r="R526" s="388" t="s">
        <v>5989</v>
      </c>
      <c r="S526" s="389" t="s">
        <v>4575</v>
      </c>
      <c r="T526" s="395" t="s">
        <v>6135</v>
      </c>
    </row>
    <row r="527" spans="1:20" s="356" customFormat="1" ht="16.5" x14ac:dyDescent="0.15">
      <c r="A527" s="448" t="s">
        <v>6136</v>
      </c>
      <c r="B527" s="388" t="s">
        <v>5989</v>
      </c>
      <c r="C527" s="389" t="s">
        <v>4575</v>
      </c>
      <c r="D527" s="387"/>
      <c r="E527" s="2679" cm="1" t="n">
        <f t="array" ref="E527">INDEX('5층_부하량'!D3:D3000,MATCH(1,("5-DaHall 1-PDU-21"='5층_부하량'!A3:A3000)*(15='5층_부하량'!B3:B3000),0))</f>
        <v>0.85</v>
      </c>
      <c r="F527" s="387"/>
      <c r="G527" s="387"/>
      <c r="H527" s="1234" t="s">
        <v>6078</v>
      </c>
      <c r="I527" s="558" t="s">
        <v>4661</v>
      </c>
      <c r="J527" s="1044"/>
      <c r="K527" s="1045"/>
      <c r="L527" s="578" t="s">
        <v>4603</v>
      </c>
      <c r="M527" s="382" t="s">
        <v>5001</v>
      </c>
      <c r="N527" s="387"/>
      <c r="O527" s="2679" cm="1" t="n">
        <f t="array" ref="O527">INDEX('5층_부하량'!D3:D3000,MATCH(1,("5-DaHall 1-PDU-21"='5층_부하량'!A3:A3000)*(16='5층_부하량'!B3:B3000),0))</f>
        <v>0.5</v>
      </c>
      <c r="P527" s="387"/>
      <c r="Q527" s="387"/>
      <c r="R527" s="388" t="s">
        <v>5989</v>
      </c>
      <c r="S527" s="1232" t="s">
        <v>4723</v>
      </c>
      <c r="T527" s="395" t="s">
        <v>6137</v>
      </c>
    </row>
    <row r="528" spans="1:20" s="356" customFormat="1" ht="16.5" x14ac:dyDescent="0.15">
      <c r="A528" s="448" t="s">
        <v>6138</v>
      </c>
      <c r="B528" s="388" t="s">
        <v>5989</v>
      </c>
      <c r="C528" s="389" t="s">
        <v>4575</v>
      </c>
      <c r="D528" s="387"/>
      <c r="E528" s="387"/>
      <c r="F528" s="2679" cm="1" t="n">
        <f t="array" ref="F528">INDEX('5층_부하량'!E3:E3000,MATCH(1,("5-DaHall 1-PDU-21"='5층_부하량'!A3:A3000)*(17='5층_부하량'!B3:B3000),0))</f>
        <v>0.86</v>
      </c>
      <c r="G528" s="387"/>
      <c r="H528" s="1235" t="s">
        <v>4576</v>
      </c>
      <c r="I528" s="558" t="s">
        <v>4665</v>
      </c>
      <c r="J528" s="1044"/>
      <c r="K528" s="1045"/>
      <c r="L528" s="578" t="s">
        <v>4605</v>
      </c>
      <c r="M528" s="382" t="s">
        <v>5001</v>
      </c>
      <c r="N528" s="387"/>
      <c r="O528" s="387"/>
      <c r="P528" s="2679" cm="1" t="n">
        <f t="array" ref="P528">INDEX('5층_부하량'!E3:E3000,MATCH(1,("5-DaHall 1-PDU-21"='5층_부하량'!A3:A3000)*(18='5층_부하량'!B3:B3000),0))</f>
        <v>1.19</v>
      </c>
      <c r="Q528" s="387"/>
      <c r="R528" s="388" t="s">
        <v>5989</v>
      </c>
      <c r="S528" s="1232" t="s">
        <v>4723</v>
      </c>
      <c r="T528" s="395" t="s">
        <v>6139</v>
      </c>
    </row>
    <row r="529" spans="1:20" s="356" customFormat="1" ht="16.5" x14ac:dyDescent="0.15">
      <c r="A529" s="448" t="s">
        <v>6140</v>
      </c>
      <c r="B529" s="388" t="s">
        <v>5989</v>
      </c>
      <c r="C529" s="389" t="s">
        <v>4575</v>
      </c>
      <c r="D529" s="2679" cm="1" t="n">
        <f t="array" ref="D529">INDEX('5층_부하량'!C3:C3000,MATCH(1,("5-DaHall 1-PDU-21"='5층_부하량'!A3:A3000)*(19='5층_부하량'!B3:B3000),0))</f>
        <v>1.76</v>
      </c>
      <c r="E529" s="387"/>
      <c r="F529" s="387"/>
      <c r="G529" s="387"/>
      <c r="H529" s="1235" t="s">
        <v>4576</v>
      </c>
      <c r="I529" s="558" t="s">
        <v>4670</v>
      </c>
      <c r="J529" s="1044"/>
      <c r="K529" s="1045"/>
      <c r="L529" s="578" t="s">
        <v>4609</v>
      </c>
      <c r="M529" s="382" t="s">
        <v>5001</v>
      </c>
      <c r="N529" s="2679" cm="1" t="n">
        <f t="array" ref="N529">INDEX('5층_부하량'!C3:C3000,MATCH(1,("5-DaHall 1-PDU-21"='5층_부하량'!A3:A3000)*(20='5층_부하량'!B3:B3000),0))</f>
        <v>0.86</v>
      </c>
      <c r="O529" s="387"/>
      <c r="P529" s="387"/>
      <c r="Q529" s="387"/>
      <c r="R529" s="388" t="s">
        <v>5989</v>
      </c>
      <c r="S529" s="1232" t="s">
        <v>4723</v>
      </c>
      <c r="T529" s="395" t="s">
        <v>6141</v>
      </c>
    </row>
    <row r="530" spans="1:20" s="356" customFormat="1" ht="16.5" x14ac:dyDescent="0.15">
      <c r="A530" s="448"/>
      <c r="B530" s="388" t="s">
        <v>565</v>
      </c>
      <c r="C530" s="1232" t="s">
        <v>4723</v>
      </c>
      <c r="D530" s="387"/>
      <c r="E530" s="2672" cm="1" t="n">
        <f t="array" ref="E530">INDEX('5층_부하량'!D3:D3000,MATCH(1,("5-DaHall 1-PDU-21"='5층_부하량'!A3:A3000)*(21='5층_부하량'!B3:B3000),0))</f>
        <v>0.0</v>
      </c>
      <c r="F530" s="387"/>
      <c r="G530" s="387"/>
      <c r="H530" s="382" t="s">
        <v>5001</v>
      </c>
      <c r="I530" s="2452" t="s">
        <v>6094</v>
      </c>
      <c r="J530" s="1044"/>
      <c r="K530" s="1045"/>
      <c r="L530" s="589" t="s">
        <v>6095</v>
      </c>
      <c r="M530" s="382" t="s">
        <v>5001</v>
      </c>
      <c r="N530" s="387"/>
      <c r="O530" s="2672" cm="1" t="n">
        <f t="array" ref="O530">INDEX('5층_부하량'!D3:D3000,MATCH(1,("5-DaHall 1-PDU-21"='5층_부하량'!A3:A3000)*(22='5층_부하량'!B3:B3000),0))</f>
        <v>0.85</v>
      </c>
      <c r="P530" s="387"/>
      <c r="Q530" s="387"/>
      <c r="R530" s="388" t="s">
        <v>5989</v>
      </c>
      <c r="S530" s="1232" t="s">
        <v>4723</v>
      </c>
      <c r="T530" s="395" t="s">
        <v>6142</v>
      </c>
    </row>
    <row r="531" spans="1:20" s="356" customFormat="1" ht="17.25" thickBot="1" x14ac:dyDescent="0.2">
      <c r="A531" s="431"/>
      <c r="B531" s="436" t="s">
        <v>4590</v>
      </c>
      <c r="C531" s="432" t="s">
        <v>4642</v>
      </c>
      <c r="D531" s="433"/>
      <c r="E531" s="433"/>
      <c r="F531" s="2680" cm="1" t="n">
        <f t="array" ref="F531">INDEX('5층_부하량'!E3:E3000,MATCH(1,("5-DaHall 1-PDU-21"='5층_부하량'!A3:A3000)*(23='5층_부하량'!B3:B3000),0))</f>
        <v>0.0</v>
      </c>
      <c r="G531" s="433"/>
      <c r="H531" s="432" t="s">
        <v>5001</v>
      </c>
      <c r="I531" s="2453" t="s">
        <v>6097</v>
      </c>
      <c r="J531" s="1229"/>
      <c r="K531" s="1230"/>
      <c r="L531" s="1231" t="s">
        <v>6098</v>
      </c>
      <c r="M531" s="432" t="s">
        <v>5001</v>
      </c>
      <c r="N531" s="433"/>
      <c r="O531" s="433"/>
      <c r="P531" s="2680" cm="1" t="n">
        <f t="array" ref="P531">INDEX('5층_부하량'!E3:E3000,MATCH(1,("5-DaHall 1-PDU-21"='5층_부하량'!A3:A3000)*(24='5층_부하량'!B3:B3000),0))</f>
        <v>0.0</v>
      </c>
      <c r="Q531" s="433"/>
      <c r="R531" s="436" t="s">
        <v>4590</v>
      </c>
      <c r="S531" s="432" t="s">
        <v>4642</v>
      </c>
      <c r="T531" s="438"/>
    </row>
    <row r="532" spans="1:20" s="356" customFormat="1" ht="18" thickTop="1" thickBot="1" x14ac:dyDescent="0.2">
      <c r="L532" s="2445"/>
      <c r="M532" s="411" t="s">
        <v>5645</v>
      </c>
      <c r="N532" s="412" t="n">
        <f>SUM(D520:D531,N520:N531)</f>
        <v>8.12</v>
      </c>
      <c r="O532" s="412" t="n">
        <f>SUM(E520:E531,O520:O531)</f>
        <v>4.62</v>
      </c>
      <c r="P532" s="412" t="n">
        <f>SUM(F520:F531,P520:P531)</f>
        <v>4.199999999999999</v>
      </c>
    </row>
    <row r="533" spans="1:20" s="356" customFormat="1" ht="20.25" thickTop="1" thickBot="1" x14ac:dyDescent="0.2">
      <c r="A533" s="355" t="s">
        <v>6967</v>
      </c>
      <c r="C533" s="3660" t="s">
        <v>6143</v>
      </c>
      <c r="D533" s="3660"/>
      <c r="E533" s="3660"/>
      <c r="F533" s="3660"/>
      <c r="G533" s="357"/>
      <c r="H533" s="358"/>
      <c r="I533" s="358"/>
      <c r="J533" s="3668" t="s">
        <v>4715</v>
      </c>
      <c r="K533" s="3669"/>
      <c r="L533" s="2442"/>
      <c r="M533" s="358"/>
      <c r="N533" s="357"/>
      <c r="O533" s="357"/>
      <c r="P533" s="357"/>
      <c r="Q533" s="357"/>
      <c r="R533" s="357"/>
      <c r="S533" s="357"/>
    </row>
    <row r="534" spans="1:20" s="356" customFormat="1" ht="15" customHeight="1" thickTop="1" thickBot="1" x14ac:dyDescent="0.2">
      <c r="A534" s="3"/>
      <c r="B534"/>
      <c r="C534"/>
      <c r="D534" s="54"/>
      <c r="E534" s="54"/>
      <c r="F534" s="54"/>
      <c r="G534" s="54"/>
      <c r="H534" s="4"/>
      <c r="I534" s="4"/>
      <c r="J534"/>
      <c r="K534" s="56"/>
      <c r="L534" s="565"/>
      <c r="M534" s="1371" t="s">
        <v>4562</v>
      </c>
      <c r="N534" s="1368">
        <v>37</v>
      </c>
      <c r="O534" s="1369">
        <v>27.7</v>
      </c>
      <c r="P534" s="1370">
        <v>24</v>
      </c>
      <c r="Q534" s="508" t="s">
        <v>4563</v>
      </c>
      <c r="R534" s="133"/>
      <c r="S534" s="128"/>
      <c r="T534" s="363"/>
    </row>
    <row r="535" spans="1:20" s="356" customFormat="1" ht="18" thickTop="1" thickBot="1" x14ac:dyDescent="0.2">
      <c r="A535" s="364" t="s">
        <v>4564</v>
      </c>
      <c r="B535" s="365" t="s">
        <v>4565</v>
      </c>
      <c r="C535" s="366" t="s">
        <v>4566</v>
      </c>
      <c r="D535" s="365" t="s">
        <v>4567</v>
      </c>
      <c r="E535" s="365" t="s">
        <v>4568</v>
      </c>
      <c r="F535" s="365" t="s">
        <v>4569</v>
      </c>
      <c r="G535" s="365" t="s">
        <v>4570</v>
      </c>
      <c r="H535" s="367" t="s">
        <v>4571</v>
      </c>
      <c r="I535" s="557"/>
      <c r="J535" s="368" t="s">
        <v>4572</v>
      </c>
      <c r="K535" s="369" t="s">
        <v>4572</v>
      </c>
      <c r="L535" s="575"/>
      <c r="M535" s="367" t="s">
        <v>4571</v>
      </c>
      <c r="N535" s="365" t="s">
        <v>4567</v>
      </c>
      <c r="O535" s="365" t="s">
        <v>4568</v>
      </c>
      <c r="P535" s="365" t="s">
        <v>4569</v>
      </c>
      <c r="Q535" s="365" t="s">
        <v>4570</v>
      </c>
      <c r="R535" s="365" t="s">
        <v>4565</v>
      </c>
      <c r="S535" s="366" t="s">
        <v>4566</v>
      </c>
      <c r="T535" s="370" t="s">
        <v>4564</v>
      </c>
    </row>
    <row r="536" spans="1:20" s="356" customFormat="1" ht="17.25" thickTop="1" x14ac:dyDescent="0.15">
      <c r="A536" s="474" t="s">
        <v>6144</v>
      </c>
      <c r="B536" s="378" t="s">
        <v>5989</v>
      </c>
      <c r="C536" s="379" t="s">
        <v>4575</v>
      </c>
      <c r="D536" s="2678" cm="1" t="n">
        <f t="array" ref="D536">INDEX('5층_부하량'!C3:C3000,MATCH(1,("5-DaHall 1-PDU-22"='5층_부하량'!A3:A3000)*(1='5층_부하량'!B3:B3000),0))</f>
        <v>0.0</v>
      </c>
      <c r="E536" s="401"/>
      <c r="F536" s="401"/>
      <c r="G536" s="374"/>
      <c r="H536" s="2450" t="s">
        <v>4936</v>
      </c>
      <c r="I536" s="2451" t="s">
        <v>4577</v>
      </c>
      <c r="J536" s="1040"/>
      <c r="K536" s="1041"/>
      <c r="L536" s="587" t="s">
        <v>4863</v>
      </c>
      <c r="M536" s="372" t="s">
        <v>5001</v>
      </c>
      <c r="N536" s="2678" cm="1" t="n">
        <f t="array" ref="N536">INDEX('5층_부하량'!C3:C3000,MATCH(1,("5-DaHall 1-PDU-22"='5층_부하량'!A3:A3000)*(2='5층_부하량'!B3:B3000),0))</f>
        <v>0.63</v>
      </c>
      <c r="O536" s="401"/>
      <c r="P536" s="401"/>
      <c r="Q536" s="374"/>
      <c r="R536" s="378" t="s">
        <v>5989</v>
      </c>
      <c r="S536" s="379" t="s">
        <v>4575</v>
      </c>
      <c r="T536" s="1233" t="s">
        <v>6145</v>
      </c>
    </row>
    <row r="537" spans="1:20" s="356" customFormat="1" ht="16.5" x14ac:dyDescent="0.15">
      <c r="A537" s="391" t="s">
        <v>6146</v>
      </c>
      <c r="B537" s="388" t="s">
        <v>5989</v>
      </c>
      <c r="C537" s="389" t="s">
        <v>4575</v>
      </c>
      <c r="D537" s="387"/>
      <c r="E537" s="2672" cm="1" t="n">
        <f t="array" ref="E537">INDEX('5층_부하량'!D3:D3000,MATCH(1,("5-DaHall 1-PDU-22"='5층_부하량'!A3:A3000)*(3='5층_부하량'!B3:B3000),0))</f>
        <v>0.0</v>
      </c>
      <c r="F537" s="387"/>
      <c r="G537" s="383"/>
      <c r="H537" s="382" t="s">
        <v>5001</v>
      </c>
      <c r="I537" s="2452" t="s">
        <v>4582</v>
      </c>
      <c r="J537" s="1042"/>
      <c r="K537" s="1043"/>
      <c r="L537" s="588" t="s">
        <v>4865</v>
      </c>
      <c r="M537" s="382" t="s">
        <v>5001</v>
      </c>
      <c r="N537" s="387"/>
      <c r="O537" s="2672" cm="1" t="n">
        <f t="array" ref="O537">INDEX('5층_부하량'!D3:D3000,MATCH(1,("5-DaHall 1-PDU-22"='5층_부하량'!A3:A3000)*(4='5층_부하량'!B3:B3000),0))</f>
        <v>0.62</v>
      </c>
      <c r="P537" s="387"/>
      <c r="Q537" s="387"/>
      <c r="R537" s="388" t="s">
        <v>5989</v>
      </c>
      <c r="S537" s="389" t="s">
        <v>4575</v>
      </c>
      <c r="T537" s="395" t="s">
        <v>6147</v>
      </c>
    </row>
    <row r="538" spans="1:20" s="356" customFormat="1" ht="16.5" x14ac:dyDescent="0.15">
      <c r="A538" s="391" t="s">
        <v>6148</v>
      </c>
      <c r="B538" s="388" t="s">
        <v>5989</v>
      </c>
      <c r="C538" s="389" t="s">
        <v>4575</v>
      </c>
      <c r="D538" s="387"/>
      <c r="E538" s="387"/>
      <c r="F538" s="2679" cm="1" t="n">
        <f t="array" ref="F538">INDEX('5층_부하량'!E3:E3000,MATCH(1,("5-DaHall 1-PDU-22"='5층_부하량'!A3:A3000)*(5='5층_부하량'!B3:B3000),0))</f>
        <v>0.0</v>
      </c>
      <c r="G538" s="387"/>
      <c r="H538" s="382" t="s">
        <v>5001</v>
      </c>
      <c r="I538" s="2452" t="s">
        <v>4587</v>
      </c>
      <c r="J538" s="1044"/>
      <c r="K538" s="1045"/>
      <c r="L538" s="589" t="s">
        <v>4868</v>
      </c>
      <c r="M538" s="1234" t="s">
        <v>6078</v>
      </c>
      <c r="N538" s="387"/>
      <c r="O538" s="387"/>
      <c r="P538" s="2679" cm="1" t="n">
        <f t="array" ref="P538">INDEX('5층_부하량'!E3:E3000,MATCH(1,("5-DaHall 1-PDU-22"='5층_부하량'!A3:A3000)*(6='5층_부하량'!B3:B3000),0))</f>
        <v>1.09</v>
      </c>
      <c r="Q538" s="387"/>
      <c r="R538" s="388" t="s">
        <v>5989</v>
      </c>
      <c r="S538" s="389" t="s">
        <v>4575</v>
      </c>
      <c r="T538" s="395" t="s">
        <v>6149</v>
      </c>
    </row>
    <row r="539" spans="1:20" s="356" customFormat="1" ht="16.5" x14ac:dyDescent="0.15">
      <c r="A539" s="391" t="s">
        <v>6150</v>
      </c>
      <c r="B539" s="388" t="s">
        <v>5989</v>
      </c>
      <c r="C539" s="389" t="s">
        <v>4575</v>
      </c>
      <c r="D539" s="2679" cm="1" t="n">
        <f t="array" ref="D539">INDEX('5층_부하량'!C3:C3000,MATCH(1,("5-DaHall 1-PDU-22"='5층_부하량'!A3:A3000)*(7='5층_부하량'!B3:B3000),0))</f>
        <v>0.64</v>
      </c>
      <c r="E539" s="387"/>
      <c r="F539" s="387"/>
      <c r="G539" s="387"/>
      <c r="H539" s="382" t="s">
        <v>5001</v>
      </c>
      <c r="I539" s="558" t="s">
        <v>4645</v>
      </c>
      <c r="J539" s="1044"/>
      <c r="K539" s="1045"/>
      <c r="L539" s="578" t="s">
        <v>4593</v>
      </c>
      <c r="M539" s="382" t="s">
        <v>5001</v>
      </c>
      <c r="N539" s="2679" cm="1" t="n">
        <f t="array" ref="N539">INDEX('5층_부하량'!C3:C3000,MATCH(1,("5-DaHall 1-PDU-22"='5층_부하량'!A3:A3000)*(8='5층_부하량'!B3:B3000),0))</f>
        <v>1.46</v>
      </c>
      <c r="O539" s="387"/>
      <c r="P539" s="387"/>
      <c r="Q539" s="387"/>
      <c r="R539" s="388" t="s">
        <v>5989</v>
      </c>
      <c r="S539" s="389" t="s">
        <v>4575</v>
      </c>
      <c r="T539" s="395" t="s">
        <v>6151</v>
      </c>
    </row>
    <row r="540" spans="1:20" s="356" customFormat="1" ht="16.5" x14ac:dyDescent="0.15">
      <c r="A540" s="391" t="s">
        <v>6152</v>
      </c>
      <c r="B540" s="388" t="s">
        <v>5989</v>
      </c>
      <c r="C540" s="389" t="s">
        <v>4575</v>
      </c>
      <c r="D540" s="387"/>
      <c r="E540" s="2672" cm="1" t="n">
        <f t="array" ref="E540">INDEX('5층_부하량'!D3:D3000,MATCH(1,("5-DaHall 1-PDU-22"='5층_부하량'!A3:A3000)*(9='5층_부하량'!B3:B3000),0))</f>
        <v>0.58</v>
      </c>
      <c r="F540" s="387"/>
      <c r="G540" s="387"/>
      <c r="H540" s="382" t="s">
        <v>5001</v>
      </c>
      <c r="I540" s="558" t="s">
        <v>4648</v>
      </c>
      <c r="J540" s="1044"/>
      <c r="K540" s="1045"/>
      <c r="L540" s="578" t="s">
        <v>4596</v>
      </c>
      <c r="M540" s="382" t="s">
        <v>5001</v>
      </c>
      <c r="N540" s="387"/>
      <c r="O540" s="2672" cm="1" t="n">
        <f t="array" ref="O540">INDEX('5층_부하량'!D3:D3000,MATCH(1,("5-DaHall 1-PDU-22"='5층_부하량'!A3:A3000)*(10='5층_부하량'!B3:B3000),0))</f>
        <v>1.1400000000000001</v>
      </c>
      <c r="P540" s="387"/>
      <c r="Q540" s="387"/>
      <c r="R540" s="388" t="s">
        <v>5989</v>
      </c>
      <c r="S540" s="389" t="s">
        <v>4575</v>
      </c>
      <c r="T540" s="395" t="s">
        <v>6153</v>
      </c>
    </row>
    <row r="541" spans="1:20" s="356" customFormat="1" ht="16.5" x14ac:dyDescent="0.15">
      <c r="A541" s="391" t="s">
        <v>6154</v>
      </c>
      <c r="B541" s="388" t="s">
        <v>5989</v>
      </c>
      <c r="C541" s="389" t="s">
        <v>4575</v>
      </c>
      <c r="D541" s="387"/>
      <c r="E541" s="387"/>
      <c r="F541" s="2679" cm="1" t="n">
        <f t="array" ref="F541">INDEX('5층_부하량'!E3:E3000,MATCH(1,("5-DaHall 1-PDU-22"='5층_부하량'!A3:A3000)*(11='5층_부하량'!B3:B3000),0))</f>
        <v>0.0</v>
      </c>
      <c r="G541" s="387"/>
      <c r="H541" s="382" t="s">
        <v>5001</v>
      </c>
      <c r="I541" s="558" t="s">
        <v>4653</v>
      </c>
      <c r="J541" s="1044"/>
      <c r="K541" s="1045"/>
      <c r="L541" s="578" t="s">
        <v>4599</v>
      </c>
      <c r="M541" s="1234" t="s">
        <v>6078</v>
      </c>
      <c r="N541" s="387"/>
      <c r="O541" s="387"/>
      <c r="P541" s="2679" cm="1" t="n">
        <f t="array" ref="P541">INDEX('5층_부하량'!E3:E3000,MATCH(1,("5-DaHall 1-PDU-22"='5층_부하량'!A3:A3000)*(12='5층_부하량'!B3:B3000),0))</f>
        <v>0.0</v>
      </c>
      <c r="Q541" s="387"/>
      <c r="R541" s="388" t="s">
        <v>5989</v>
      </c>
      <c r="S541" s="389" t="s">
        <v>4575</v>
      </c>
      <c r="T541" s="395" t="s">
        <v>6155</v>
      </c>
    </row>
    <row r="542" spans="1:20" s="356" customFormat="1" ht="16.5" x14ac:dyDescent="0.15">
      <c r="A542" s="391" t="s">
        <v>6156</v>
      </c>
      <c r="B542" s="388" t="s">
        <v>5989</v>
      </c>
      <c r="C542" s="389" t="s">
        <v>4575</v>
      </c>
      <c r="D542" s="2679" cm="1" t="n">
        <f t="array" ref="D542">INDEX('5층_부하량'!C3:C3000,MATCH(1,("5-DaHall 1-PDU-22"='5층_부하량'!A3:A3000)*(13='5층_부하량'!B3:B3000),0))</f>
        <v>0.62</v>
      </c>
      <c r="E542" s="387"/>
      <c r="F542" s="387"/>
      <c r="G542" s="387"/>
      <c r="H542" s="382" t="s">
        <v>5001</v>
      </c>
      <c r="I542" s="558" t="s">
        <v>4657</v>
      </c>
      <c r="J542" s="1044"/>
      <c r="K542" s="1045"/>
      <c r="L542" s="578" t="s">
        <v>4601</v>
      </c>
      <c r="M542" s="1234" t="s">
        <v>6078</v>
      </c>
      <c r="N542" s="2679" cm="1" t="n">
        <f t="array" ref="N542">INDEX('5층_부하량'!C3:C3000,MATCH(1,("5-DaHall 1-PDU-22"='5층_부하량'!A3:A3000)*(14='5층_부하량'!B3:B3000),0))</f>
        <v>1.88</v>
      </c>
      <c r="O542" s="387"/>
      <c r="P542" s="387"/>
      <c r="Q542" s="387"/>
      <c r="R542" s="388" t="s">
        <v>5989</v>
      </c>
      <c r="S542" s="389" t="s">
        <v>4575</v>
      </c>
      <c r="T542" s="395" t="s">
        <v>6157</v>
      </c>
    </row>
    <row r="543" spans="1:20" s="356" customFormat="1" ht="16.5" x14ac:dyDescent="0.15">
      <c r="A543" s="448" t="s">
        <v>6158</v>
      </c>
      <c r="B543" s="388" t="s">
        <v>5989</v>
      </c>
      <c r="C543" s="389" t="s">
        <v>4575</v>
      </c>
      <c r="D543" s="387"/>
      <c r="E543" s="2679" cm="1" t="n">
        <f t="array" ref="E543">INDEX('5층_부하량'!D3:D3000,MATCH(1,("5-DaHall 1-PDU-22"='5층_부하량'!A3:A3000)*(15='5층_부하량'!B3:B3000),0))</f>
        <v>0.85</v>
      </c>
      <c r="F543" s="387"/>
      <c r="G543" s="387"/>
      <c r="H543" s="1234" t="s">
        <v>6078</v>
      </c>
      <c r="I543" s="558" t="s">
        <v>4661</v>
      </c>
      <c r="J543" s="1044"/>
      <c r="K543" s="1045"/>
      <c r="L543" s="578" t="s">
        <v>4603</v>
      </c>
      <c r="M543" s="382" t="s">
        <v>5001</v>
      </c>
      <c r="N543" s="387"/>
      <c r="O543" s="2679" cm="1" t="n">
        <f t="array" ref="O543">INDEX('5층_부하량'!D3:D3000,MATCH(1,("5-DaHall 1-PDU-22"='5층_부하량'!A3:A3000)*(16='5층_부하량'!B3:B3000),0))</f>
        <v>0.57</v>
      </c>
      <c r="P543" s="387"/>
      <c r="Q543" s="387"/>
      <c r="R543" s="388" t="s">
        <v>5989</v>
      </c>
      <c r="S543" s="1232" t="s">
        <v>4723</v>
      </c>
      <c r="T543" s="395" t="s">
        <v>6159</v>
      </c>
    </row>
    <row r="544" spans="1:20" s="356" customFormat="1" ht="16.5" x14ac:dyDescent="0.15">
      <c r="A544" s="448" t="s">
        <v>6160</v>
      </c>
      <c r="B544" s="388" t="s">
        <v>5989</v>
      </c>
      <c r="C544" s="389" t="s">
        <v>4575</v>
      </c>
      <c r="D544" s="387"/>
      <c r="E544" s="387"/>
      <c r="F544" s="2679" cm="1" t="n">
        <f t="array" ref="F544">INDEX('5층_부하량'!E3:E3000,MATCH(1,("5-DaHall 1-PDU-22"='5층_부하량'!A3:A3000)*(17='5층_부하량'!B3:B3000),0))</f>
        <v>0.84</v>
      </c>
      <c r="G544" s="387"/>
      <c r="H544" s="1235" t="s">
        <v>4576</v>
      </c>
      <c r="I544" s="558" t="s">
        <v>4665</v>
      </c>
      <c r="J544" s="1044"/>
      <c r="K544" s="1045"/>
      <c r="L544" s="578" t="s">
        <v>4605</v>
      </c>
      <c r="M544" s="382" t="s">
        <v>5001</v>
      </c>
      <c r="N544" s="387"/>
      <c r="O544" s="387"/>
      <c r="P544" s="2679" cm="1" t="n">
        <f t="array" ref="P544">INDEX('5층_부하량'!E3:E3000,MATCH(1,("5-DaHall 1-PDU-22"='5층_부하량'!A3:A3000)*(18='5층_부하량'!B3:B3000),0))</f>
        <v>0.91</v>
      </c>
      <c r="Q544" s="387"/>
      <c r="R544" s="388" t="s">
        <v>5989</v>
      </c>
      <c r="S544" s="1232" t="s">
        <v>4723</v>
      </c>
      <c r="T544" s="395" t="s">
        <v>6161</v>
      </c>
    </row>
    <row r="545" spans="1:20" s="356" customFormat="1" ht="16.5" x14ac:dyDescent="0.15">
      <c r="A545" s="448" t="s">
        <v>6162</v>
      </c>
      <c r="B545" s="388" t="s">
        <v>5989</v>
      </c>
      <c r="C545" s="389" t="s">
        <v>4575</v>
      </c>
      <c r="D545" s="2679" cm="1" t="n">
        <f t="array" ref="D545">INDEX('5층_부하량'!C3:C3000,MATCH(1,("5-DaHall 1-PDU-22"='5층_부하량'!A3:A3000)*(19='5층_부하량'!B3:B3000),0))</f>
        <v>2.27</v>
      </c>
      <c r="E545" s="387"/>
      <c r="F545" s="387"/>
      <c r="G545" s="387"/>
      <c r="H545" s="1235" t="s">
        <v>4576</v>
      </c>
      <c r="I545" s="558" t="s">
        <v>4670</v>
      </c>
      <c r="J545" s="1044"/>
      <c r="K545" s="1045"/>
      <c r="L545" s="578" t="s">
        <v>4609</v>
      </c>
      <c r="M545" s="382" t="s">
        <v>5001</v>
      </c>
      <c r="N545" s="2679" cm="1" t="n">
        <f t="array" ref="N545">INDEX('5층_부하량'!C3:C3000,MATCH(1,("5-DaHall 1-PDU-22"='5층_부하량'!A3:A3000)*(20='5층_부하량'!B3:B3000),0))</f>
        <v>0.59</v>
      </c>
      <c r="O545" s="387"/>
      <c r="P545" s="387"/>
      <c r="Q545" s="387"/>
      <c r="R545" s="388" t="s">
        <v>5989</v>
      </c>
      <c r="S545" s="1232" t="s">
        <v>4723</v>
      </c>
      <c r="T545" s="395" t="s">
        <v>6163</v>
      </c>
    </row>
    <row r="546" spans="1:20" s="356" customFormat="1" ht="16.5" x14ac:dyDescent="0.15">
      <c r="A546" s="448"/>
      <c r="B546" s="388" t="s">
        <v>565</v>
      </c>
      <c r="C546" s="1232" t="s">
        <v>4723</v>
      </c>
      <c r="D546" s="387"/>
      <c r="E546" s="2672" cm="1" t="n">
        <f t="array" ref="E546">INDEX('5층_부하량'!D3:D3000,MATCH(1,("5-DaHall 1-PDU-22"='5층_부하량'!A3:A3000)*(21='5층_부하량'!B3:B3000),0))</f>
        <v>0.0</v>
      </c>
      <c r="F546" s="387"/>
      <c r="G546" s="387"/>
      <c r="H546" s="382" t="s">
        <v>5001</v>
      </c>
      <c r="I546" s="2452" t="s">
        <v>6094</v>
      </c>
      <c r="J546" s="1044"/>
      <c r="K546" s="1045"/>
      <c r="L546" s="589" t="s">
        <v>6095</v>
      </c>
      <c r="M546" s="382" t="s">
        <v>5001</v>
      </c>
      <c r="N546" s="387"/>
      <c r="O546" s="2672" cm="1" t="n">
        <f t="array" ref="O546">INDEX('5층_부하량'!D3:D3000,MATCH(1,("5-DaHall 1-PDU-22"='5층_부하량'!A3:A3000)*(22='5층_부하량'!B3:B3000),0))</f>
        <v>0.59</v>
      </c>
      <c r="P546" s="387"/>
      <c r="Q546" s="387"/>
      <c r="R546" s="388" t="s">
        <v>5989</v>
      </c>
      <c r="S546" s="1232" t="s">
        <v>4723</v>
      </c>
      <c r="T546" s="395" t="s">
        <v>6164</v>
      </c>
    </row>
    <row r="547" spans="1:20" s="356" customFormat="1" ht="17.25" thickBot="1" x14ac:dyDescent="0.2">
      <c r="A547" s="431"/>
      <c r="B547" s="436" t="s">
        <v>4590</v>
      </c>
      <c r="C547" s="432" t="s">
        <v>4642</v>
      </c>
      <c r="D547" s="433"/>
      <c r="E547" s="433"/>
      <c r="F547" s="2680" cm="1" t="n">
        <f t="array" ref="F547">INDEX('5층_부하량'!E3:E3000,MATCH(1,("5-DaHall 1-PDU-22"='5층_부하량'!A3:A3000)*(23='5층_부하량'!B3:B3000),0))</f>
        <v>0.0</v>
      </c>
      <c r="G547" s="433"/>
      <c r="H547" s="432" t="s">
        <v>5001</v>
      </c>
      <c r="I547" s="2453" t="s">
        <v>6097</v>
      </c>
      <c r="J547" s="1229"/>
      <c r="K547" s="1230"/>
      <c r="L547" s="1231" t="s">
        <v>6098</v>
      </c>
      <c r="M547" s="432" t="s">
        <v>5001</v>
      </c>
      <c r="N547" s="433"/>
      <c r="O547" s="433"/>
      <c r="P547" s="2680" cm="1" t="n">
        <f t="array" ref="P547">INDEX('5층_부하량'!E3:E3000,MATCH(1,("5-DaHall 1-PDU-22"='5층_부하량'!A3:A3000)*(24='5층_부하량'!B3:B3000),0))</f>
        <v>0.0</v>
      </c>
      <c r="Q547" s="433"/>
      <c r="R547" s="436" t="s">
        <v>4590</v>
      </c>
      <c r="S547" s="432" t="s">
        <v>4642</v>
      </c>
      <c r="T547" s="438"/>
    </row>
    <row r="548" spans="1:20" s="356" customFormat="1" ht="17.25" thickTop="1" x14ac:dyDescent="0.15">
      <c r="L548" s="2445"/>
      <c r="M548" s="411" t="s">
        <v>5645</v>
      </c>
      <c r="N548" s="412" t="n">
        <f>SUM(D536:D547,N536:N547)</f>
        <v>8.09</v>
      </c>
      <c r="O548" s="412" t="n">
        <f>SUM(E536:E547,O536:O547)</f>
        <v>4.35</v>
      </c>
      <c r="P548" s="412" t="n">
        <f>SUM(F536:F547,P536:P547)</f>
        <v>2.8400000000000003</v>
      </c>
    </row>
    <row r="549" spans="1:20" s="356" customFormat="1" ht="18.75" x14ac:dyDescent="0.15">
      <c r="A549" s="355" t="s">
        <v>6165</v>
      </c>
      <c r="B549" s="358"/>
      <c r="C549" s="451"/>
      <c r="D549" s="452"/>
      <c r="E549" s="452"/>
      <c r="F549" s="452"/>
      <c r="G549" s="452"/>
      <c r="H549" s="358"/>
      <c r="I549" s="358"/>
      <c r="J549" s="453"/>
      <c r="K549" s="453"/>
      <c r="L549" s="586"/>
      <c r="M549" s="411"/>
      <c r="N549" s="452"/>
      <c r="O549" s="452"/>
      <c r="P549" s="452"/>
      <c r="Q549" s="452"/>
      <c r="R549" s="454"/>
      <c r="S549" s="358"/>
      <c r="T549" s="361"/>
    </row>
    <row r="550" spans="1:20" s="356" customFormat="1" ht="17.25" thickBot="1" x14ac:dyDescent="0.2">
      <c r="L550" s="2445"/>
      <c r="M550" s="411"/>
      <c r="N550" s="412"/>
      <c r="O550" s="412"/>
      <c r="P550" s="412"/>
    </row>
    <row r="551" spans="1:20" s="356" customFormat="1" ht="18" thickTop="1" thickBot="1" x14ac:dyDescent="0.2">
      <c r="A551" s="364" t="s">
        <v>4564</v>
      </c>
      <c r="B551" s="365" t="s">
        <v>4565</v>
      </c>
      <c r="C551" s="366" t="s">
        <v>4566</v>
      </c>
      <c r="D551" s="365" t="s">
        <v>4567</v>
      </c>
      <c r="E551" s="365" t="s">
        <v>4568</v>
      </c>
      <c r="F551" s="365" t="s">
        <v>4569</v>
      </c>
      <c r="G551" s="365" t="s">
        <v>4570</v>
      </c>
      <c r="H551" s="367" t="s">
        <v>4571</v>
      </c>
      <c r="I551" s="557"/>
      <c r="J551" s="368" t="s">
        <v>4572</v>
      </c>
      <c r="K551" s="369" t="s">
        <v>4572</v>
      </c>
      <c r="L551" s="575"/>
      <c r="M551" s="367" t="s">
        <v>4571</v>
      </c>
      <c r="N551" s="365" t="s">
        <v>4567</v>
      </c>
      <c r="O551" s="365" t="s">
        <v>4568</v>
      </c>
      <c r="P551" s="365" t="s">
        <v>4569</v>
      </c>
      <c r="Q551" s="365" t="s">
        <v>4570</v>
      </c>
      <c r="R551" s="365" t="s">
        <v>4565</v>
      </c>
      <c r="S551" s="366" t="s">
        <v>4566</v>
      </c>
      <c r="T551" s="370" t="s">
        <v>4564</v>
      </c>
    </row>
    <row r="552" spans="1:20" s="356" customFormat="1" ht="17.25" thickTop="1" x14ac:dyDescent="0.15">
      <c r="A552" s="1324" t="s">
        <v>6166</v>
      </c>
      <c r="B552" s="372" t="s">
        <v>4635</v>
      </c>
      <c r="C552" s="389" t="s">
        <v>4575</v>
      </c>
      <c r="D552" s="377">
        <v>5.6</v>
      </c>
      <c r="E552" s="377">
        <v>7.2</v>
      </c>
      <c r="F552" s="377">
        <v>2.2999999999999998</v>
      </c>
      <c r="G552" s="377">
        <v>3.8</v>
      </c>
      <c r="H552" s="2454" t="s">
        <v>6167</v>
      </c>
      <c r="I552" s="2455" t="s">
        <v>6168</v>
      </c>
      <c r="J552" s="375" t="s">
        <v>6169</v>
      </c>
      <c r="K552" s="376" t="s">
        <v>4309</v>
      </c>
      <c r="L552" s="587" t="s">
        <v>4871</v>
      </c>
      <c r="M552" s="2450" t="s">
        <v>6167</v>
      </c>
      <c r="N552" s="377">
        <v>4.5999999999999996</v>
      </c>
      <c r="O552" s="377">
        <v>5</v>
      </c>
      <c r="P552" s="377">
        <v>1.5</v>
      </c>
      <c r="Q552" s="377">
        <v>2.7</v>
      </c>
      <c r="R552" s="378" t="s">
        <v>4635</v>
      </c>
      <c r="S552" s="389" t="s">
        <v>4575</v>
      </c>
      <c r="T552" s="2456" t="s">
        <v>6170</v>
      </c>
    </row>
    <row r="553" spans="1:20" s="356" customFormat="1" ht="16.5" x14ac:dyDescent="0.15">
      <c r="A553" s="391" t="s">
        <v>6171</v>
      </c>
      <c r="B553" s="382" t="s">
        <v>4631</v>
      </c>
      <c r="C553" s="389" t="s">
        <v>4575</v>
      </c>
      <c r="D553" s="386">
        <v>8.4</v>
      </c>
      <c r="E553" s="386">
        <v>19.2</v>
      </c>
      <c r="F553" s="386">
        <v>9.1999999999999993</v>
      </c>
      <c r="G553" s="386">
        <v>10.7</v>
      </c>
      <c r="H553" s="382" t="s">
        <v>5790</v>
      </c>
      <c r="I553" s="2452" t="s">
        <v>6172</v>
      </c>
      <c r="J553" s="384" t="s">
        <v>6173</v>
      </c>
      <c r="K553" s="385" t="s">
        <v>6174</v>
      </c>
      <c r="L553" s="588" t="s">
        <v>6175</v>
      </c>
      <c r="M553" s="382" t="s">
        <v>5786</v>
      </c>
      <c r="N553" s="386">
        <v>8.6</v>
      </c>
      <c r="O553" s="386">
        <v>8.4</v>
      </c>
      <c r="P553" s="386">
        <v>9</v>
      </c>
      <c r="Q553" s="386">
        <v>2.1</v>
      </c>
      <c r="R553" s="388" t="s">
        <v>4635</v>
      </c>
      <c r="S553" s="389" t="s">
        <v>4575</v>
      </c>
      <c r="T553" s="390" t="s">
        <v>6176</v>
      </c>
    </row>
    <row r="554" spans="1:20" s="356" customFormat="1" ht="17.25" thickBot="1" x14ac:dyDescent="0.2">
      <c r="A554" s="431" t="s">
        <v>6177</v>
      </c>
      <c r="B554" s="432" t="s">
        <v>4635</v>
      </c>
      <c r="C554" s="437" t="s">
        <v>4575</v>
      </c>
      <c r="D554" s="435">
        <v>11.2</v>
      </c>
      <c r="E554" s="435">
        <v>8</v>
      </c>
      <c r="F554" s="435">
        <v>11.6</v>
      </c>
      <c r="G554" s="435">
        <v>4</v>
      </c>
      <c r="H554" s="432" t="s">
        <v>5786</v>
      </c>
      <c r="I554" s="2453" t="s">
        <v>6178</v>
      </c>
      <c r="J554" s="449" t="s">
        <v>6174</v>
      </c>
      <c r="K554" s="441" t="s">
        <v>6174</v>
      </c>
      <c r="L554" s="1231" t="s">
        <v>6179</v>
      </c>
      <c r="M554" s="432" t="s">
        <v>5786</v>
      </c>
      <c r="N554" s="435">
        <v>11.7</v>
      </c>
      <c r="O554" s="435">
        <v>11.5</v>
      </c>
      <c r="P554" s="435">
        <v>11.5</v>
      </c>
      <c r="Q554" s="435">
        <v>1.8</v>
      </c>
      <c r="R554" s="436" t="s">
        <v>4635</v>
      </c>
      <c r="S554" s="437" t="s">
        <v>4575</v>
      </c>
      <c r="T554" s="438" t="s">
        <v>6180</v>
      </c>
    </row>
    <row r="555" spans="1:20" s="356" customFormat="1" ht="17.25" thickTop="1" x14ac:dyDescent="0.15">
      <c r="L555" s="2445"/>
    </row>
    <row r="556" spans="1:20" s="356" customFormat="1" ht="16.5" x14ac:dyDescent="0.15">
      <c r="D556" s="356" t="s">
        <v>4969</v>
      </c>
      <c r="E556" s="356" t="s">
        <v>6181</v>
      </c>
      <c r="L556" s="2445"/>
    </row>
    <row r="557" spans="1:20" s="356" customFormat="1" ht="16.5" x14ac:dyDescent="0.15">
      <c r="B557" s="356" t="s">
        <v>6182</v>
      </c>
      <c r="D557" s="412" t="n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303.08</v>
      </c>
      <c r="E557" s="455" t="n">
        <f t="shared" ref="E557:E564" si="0">D557/$D$564</f>
        <v>0.5734286903545615</v>
      </c>
      <c r="L557" s="2445"/>
      <c r="M557" s="356" t="s">
        <v>6888</v>
      </c>
      <c r="N557" s="412" t="n">
        <f>N53</f>
        <v>25.65</v>
      </c>
      <c r="O557" s="412" t="n">
        <f t="shared" ref="O557:P557" si="1">O53</f>
        <v>27.119999999999997</v>
      </c>
      <c r="P557" s="412" t="n">
        <f t="shared" si="1"/>
        <v>21.47</v>
      </c>
    </row>
    <row r="558" spans="1:20" s="356" customFormat="1" ht="16.5" x14ac:dyDescent="0.15">
      <c r="A558" s="456"/>
      <c r="B558" s="2457" t="s">
        <v>3871</v>
      </c>
      <c r="D558" s="412" t="n">
        <f>SUM(N356:P356,N415:P415,D356:F356,D415:F415,D425:F425)</f>
        <v>27.44</v>
      </c>
      <c r="E558" s="455" t="n">
        <f t="shared" si="0"/>
        <v>0.05191660044651303</v>
      </c>
      <c r="L558" s="2445"/>
      <c r="M558" s="356" t="s">
        <v>6889</v>
      </c>
      <c r="N558" s="412" t="n">
        <f>N83</f>
        <v>24.950000000000003</v>
      </c>
      <c r="O558" s="412" t="n">
        <f t="shared" ref="O558:P558" si="2">O83</f>
        <v>25.609999999999996</v>
      </c>
      <c r="P558" s="412" t="n">
        <f t="shared" si="2"/>
        <v>19.7</v>
      </c>
    </row>
    <row r="559" spans="1:20" s="356" customFormat="1" ht="16.5" x14ac:dyDescent="0.15">
      <c r="A559" s="456"/>
      <c r="B559" s="2457" t="s">
        <v>6183</v>
      </c>
      <c r="D559" s="412" t="n">
        <f>SUM(D553:F554,N553:P554)</f>
        <v>128.3</v>
      </c>
      <c r="E559" s="455" t="n">
        <f t="shared" si="0"/>
        <v>0.24274416316645853</v>
      </c>
      <c r="L559" s="2445"/>
      <c r="M559" s="356" t="s">
        <v>6890</v>
      </c>
      <c r="N559" s="412" t="n">
        <f>N113</f>
        <v>25.56</v>
      </c>
      <c r="O559" s="412" t="n">
        <f t="shared" ref="O559:P559" si="3">O113</f>
        <v>14.860000000000001</v>
      </c>
      <c r="P559" s="412" t="n">
        <f t="shared" si="3"/>
        <v>14.040000000000001</v>
      </c>
    </row>
    <row r="560" spans="1:20" s="356" customFormat="1" ht="16.5" x14ac:dyDescent="0.15">
      <c r="A560" s="456"/>
      <c r="B560" s="2457" t="s">
        <v>6184</v>
      </c>
      <c r="D560" s="1008" t="n">
        <f>SUM(N463:P463)</f>
        <v>1.35</v>
      </c>
      <c r="E560" s="1009" t="n">
        <f t="shared" si="0"/>
        <v>0.0025542059257577477</v>
      </c>
      <c r="L560" s="2445"/>
      <c r="M560" s="356" t="s">
        <v>6891</v>
      </c>
      <c r="N560" s="412" t="n">
        <f>N143</f>
        <v>22.69</v>
      </c>
      <c r="O560" s="412" t="n">
        <f t="shared" ref="O560:P560" si="4">O143</f>
        <v>14.129999999999999</v>
      </c>
      <c r="P560" s="412" t="n">
        <f t="shared" si="4"/>
        <v>13.87</v>
      </c>
    </row>
    <row r="561" spans="1:17" s="356" customFormat="1" ht="16.5" x14ac:dyDescent="0.15">
      <c r="A561" s="456"/>
      <c r="B561" s="2457" t="s">
        <v>6185</v>
      </c>
      <c r="D561" s="1008" t="n">
        <f>SUM(N484:P484)</f>
        <v>0.82</v>
      </c>
      <c r="E561" s="1009" t="n">
        <f t="shared" si="0"/>
        <v>0.0015514435993491502</v>
      </c>
      <c r="F561" s="2458" t="s">
        <v>6186</v>
      </c>
      <c r="G561" s="1010" t="n">
        <f>SUM(E560:E561)</f>
        <v>0.004105649525106898</v>
      </c>
      <c r="H561" s="412"/>
      <c r="L561" s="2445"/>
      <c r="M561" s="356" t="s">
        <v>6892</v>
      </c>
      <c r="N561" s="412" t="n">
        <f>N191</f>
        <v>0.0</v>
      </c>
      <c r="O561" s="412" t="n">
        <f t="shared" ref="O561:P561" si="5">O191</f>
        <v>0.0</v>
      </c>
      <c r="P561" s="412" t="n">
        <f t="shared" si="5"/>
        <v>0.0</v>
      </c>
    </row>
    <row r="562" spans="1:17" s="356" customFormat="1" ht="16.5" x14ac:dyDescent="0.15">
      <c r="A562" s="456"/>
      <c r="B562" s="2457" t="s">
        <v>6187</v>
      </c>
      <c r="D562" s="1008" t="n">
        <f>SUM(D362:F362,D367:F367,D370:F370,D421:F424,D426:F429,N426:P426,N429:P429)</f>
        <v>4.719999999999999</v>
      </c>
      <c r="E562" s="1009" t="n">
        <f t="shared" si="0"/>
        <v>0.008930260718204863</v>
      </c>
      <c r="F562" s="2458"/>
      <c r="G562" s="1010"/>
      <c r="L562" s="2445"/>
      <c r="M562" s="356" t="s">
        <v>6893</v>
      </c>
      <c r="N562" s="412" t="n">
        <f>N222</f>
        <v>0.0</v>
      </c>
      <c r="O562" s="412" t="n">
        <f t="shared" ref="O562:P562" si="6">O222</f>
        <v>0.0</v>
      </c>
      <c r="P562" s="412" t="n">
        <f t="shared" si="6"/>
        <v>0.0</v>
      </c>
    </row>
    <row r="563" spans="1:17" s="356" customFormat="1" ht="16.5" x14ac:dyDescent="0.15">
      <c r="A563" s="456"/>
      <c r="B563" s="1236" t="s">
        <v>6188</v>
      </c>
      <c r="C563" s="1237"/>
      <c r="D563" s="1238" t="n">
        <f>SUM(N500:P500,N516:P516,N532:P532,N548:P548)</f>
        <v>62.830000000000005</v>
      </c>
      <c r="E563" s="1239" t="n">
        <f t="shared" si="0"/>
        <v>0.11887463578915503</v>
      </c>
      <c r="F563" s="2445"/>
      <c r="L563" s="2445"/>
      <c r="M563" s="356" t="s">
        <v>6894</v>
      </c>
      <c r="N563" s="412" t="n">
        <f>N244</f>
        <v>8.04</v>
      </c>
      <c r="O563" s="412" t="n">
        <f t="shared" ref="O563:P563" si="7">O244</f>
        <v>0.4</v>
      </c>
      <c r="P563" s="412" t="n">
        <f t="shared" si="7"/>
        <v>0.0</v>
      </c>
    </row>
    <row r="564" spans="1:17" s="356" customFormat="1" ht="16.5" x14ac:dyDescent="0.15">
      <c r="A564" s="356" t="s">
        <v>6189</v>
      </c>
      <c r="B564" s="356" t="s">
        <v>6182</v>
      </c>
      <c r="D564" s="412" t="n">
        <f>SUM(D557:D563)</f>
        <v>528.5400000000001</v>
      </c>
      <c r="E564" s="457" t="n">
        <f t="shared" si="0"/>
        <v>1.0</v>
      </c>
      <c r="J564" s="412"/>
      <c r="L564" s="2445"/>
      <c r="M564" s="356" t="s">
        <v>6895</v>
      </c>
      <c r="N564" s="412" t="n">
        <f>N289</f>
        <v>1.16</v>
      </c>
      <c r="O564" s="412" t="n">
        <f t="shared" ref="O564:P564" si="8">O289</f>
        <v>0.0</v>
      </c>
      <c r="P564" s="412" t="n">
        <f t="shared" si="8"/>
        <v>0.0</v>
      </c>
    </row>
    <row r="565" spans="1:17" s="356" customFormat="1" ht="16.5" x14ac:dyDescent="0.15">
      <c r="D565" s="412"/>
      <c r="E565" s="412"/>
      <c r="L565" s="2445"/>
      <c r="M565" s="356" t="s">
        <v>6896</v>
      </c>
      <c r="N565" s="412" t="n">
        <f>N267</f>
        <v>0.0</v>
      </c>
      <c r="O565" s="412" t="n">
        <f t="shared" ref="O565:P565" si="9">O267</f>
        <v>0.0</v>
      </c>
      <c r="P565" s="412" t="n">
        <f t="shared" si="9"/>
        <v>0.0</v>
      </c>
    </row>
    <row r="566" spans="1:17" s="356" customFormat="1" ht="16.5" x14ac:dyDescent="0.15">
      <c r="L566" s="2445"/>
      <c r="M566" s="356" t="s">
        <v>6897</v>
      </c>
      <c r="N566" s="412" t="n">
        <f>N312</f>
        <v>0.0</v>
      </c>
      <c r="O566" s="412" t="n">
        <f t="shared" ref="O566:P566" si="10">O312</f>
        <v>0.0</v>
      </c>
      <c r="P566" s="412" t="n">
        <f t="shared" si="10"/>
        <v>0.0</v>
      </c>
    </row>
    <row r="567" spans="1:17" s="356" customFormat="1" ht="16.5" x14ac:dyDescent="0.15">
      <c r="L567" s="2445"/>
      <c r="M567" s="356" t="s">
        <v>6898</v>
      </c>
      <c r="N567" s="412" t="n">
        <f>N332</f>
        <v>0.0</v>
      </c>
      <c r="O567" s="412" t="n">
        <f t="shared" ref="O567:P567" si="11">O332</f>
        <v>0.0</v>
      </c>
      <c r="P567" s="412" t="n">
        <f t="shared" si="11"/>
        <v>3.03</v>
      </c>
    </row>
    <row r="568" spans="1:17" s="356" customFormat="1" ht="17.25" thickBot="1" x14ac:dyDescent="0.2">
      <c r="L568" s="2445"/>
      <c r="M568" s="356" t="s">
        <v>6899</v>
      </c>
      <c r="N568" s="412" t="n">
        <f>N391</f>
        <v>3.48</v>
      </c>
      <c r="O568" s="412" t="n">
        <f t="shared" ref="O568:P568" si="12">O391</f>
        <v>11.03</v>
      </c>
      <c r="P568" s="412" t="n">
        <f t="shared" si="12"/>
        <v>6.16</v>
      </c>
    </row>
    <row r="569" spans="1:17" s="356" customFormat="1" ht="16.5" x14ac:dyDescent="0.15">
      <c r="B569" s="458"/>
      <c r="C569" s="459"/>
      <c r="D569" s="460"/>
      <c r="E569" s="460"/>
      <c r="F569" s="460"/>
      <c r="G569" s="460"/>
      <c r="H569" s="460"/>
      <c r="I569" s="460"/>
      <c r="J569" s="459"/>
      <c r="L569" s="2445"/>
      <c r="M569" s="356" t="s">
        <v>6900</v>
      </c>
      <c r="N569" s="412" t="n">
        <f>N352</f>
        <v>3.91</v>
      </c>
      <c r="O569" s="412" t="n">
        <f t="shared" ref="O569:P569" si="13">O352</f>
        <v>0.0</v>
      </c>
      <c r="P569" s="412" t="n">
        <f t="shared" si="13"/>
        <v>5.84</v>
      </c>
    </row>
    <row r="570" spans="1:17" s="356" customFormat="1" ht="16.5" x14ac:dyDescent="0.15">
      <c r="B570" s="3670" t="s">
        <v>6173</v>
      </c>
      <c r="C570" s="3671"/>
      <c r="J570" s="461"/>
      <c r="L570" s="2445"/>
      <c r="M570" s="356" t="s">
        <v>6391</v>
      </c>
      <c r="N570" s="412" t="n">
        <f>N411</f>
        <v>0.0</v>
      </c>
      <c r="O570" s="412" t="n">
        <f t="shared" ref="O570:P570" si="14">O411</f>
        <v>0.0</v>
      </c>
      <c r="P570" s="412" t="n">
        <f t="shared" si="14"/>
        <v>2.45</v>
      </c>
    </row>
    <row r="571" spans="1:17" s="356" customFormat="1" ht="17.25" thickBot="1" x14ac:dyDescent="0.2">
      <c r="B571" s="462"/>
      <c r="C571" s="463"/>
      <c r="J571" s="461"/>
      <c r="L571" s="2445"/>
      <c r="M571" s="356" t="s">
        <v>6393</v>
      </c>
      <c r="N571" s="412" t="n">
        <f>N371</f>
        <v>6.62</v>
      </c>
      <c r="O571" s="412" t="n">
        <f t="shared" ref="O571:P571" si="15">O371</f>
        <v>1.25</v>
      </c>
      <c r="P571" s="412" t="n">
        <f t="shared" si="15"/>
        <v>10.52</v>
      </c>
    </row>
    <row r="572" spans="1:17" s="356" customFormat="1" ht="16.5" x14ac:dyDescent="0.15">
      <c r="B572" s="464"/>
      <c r="J572" s="461"/>
      <c r="L572" s="2445"/>
      <c r="M572" s="356" t="s">
        <v>6395</v>
      </c>
      <c r="N572" s="412" t="n">
        <f>N430</f>
        <v>9.49</v>
      </c>
      <c r="O572" s="412" t="n">
        <f t="shared" ref="O572:P572" si="16">O430</f>
        <v>5.390000000000001</v>
      </c>
      <c r="P572" s="412" t="n">
        <f t="shared" si="16"/>
        <v>6.82</v>
      </c>
    </row>
    <row r="573" spans="1:17" s="356" customFormat="1" ht="16.5" x14ac:dyDescent="0.15">
      <c r="B573" s="464"/>
      <c r="E573" s="465"/>
      <c r="J573" s="461"/>
      <c r="L573" s="2445"/>
      <c r="M573" s="356" t="s">
        <v>6901</v>
      </c>
      <c r="N573" s="412" t="n">
        <f>N463</f>
        <v>0.6</v>
      </c>
      <c r="O573" s="412" t="n">
        <f t="shared" ref="O573:P573" si="17">O463</f>
        <v>0.75</v>
      </c>
      <c r="P573" s="412" t="n">
        <f t="shared" si="17"/>
        <v>0.0</v>
      </c>
      <c r="Q573" s="412" t="n">
        <f>SUM(N573:P573)</f>
        <v>1.35</v>
      </c>
    </row>
    <row r="574" spans="1:17" s="356" customFormat="1" ht="16.5" x14ac:dyDescent="0.15">
      <c r="B574" s="464"/>
      <c r="E574" s="466"/>
      <c r="J574" s="461"/>
      <c r="L574" s="2445"/>
      <c r="M574" s="356" t="s">
        <v>6902</v>
      </c>
      <c r="N574" s="412" t="n">
        <f>N484</f>
        <v>0.82</v>
      </c>
      <c r="O574" s="412" t="n">
        <f t="shared" ref="O574:P574" si="18">O484</f>
        <v>0.0</v>
      </c>
      <c r="P574" s="412" t="n">
        <f t="shared" si="18"/>
        <v>0.0</v>
      </c>
      <c r="Q574" s="412" t="n">
        <f>SUM(N574:P574)</f>
        <v>0.82</v>
      </c>
    </row>
    <row r="575" spans="1:17" s="356" customFormat="1" ht="16.5" x14ac:dyDescent="0.15">
      <c r="B575" s="464"/>
      <c r="E575" s="466"/>
      <c r="J575" s="461"/>
      <c r="L575" s="2445"/>
      <c r="M575" s="356" t="s">
        <v>6903</v>
      </c>
      <c r="N575" s="412" t="n">
        <f>N500</f>
        <v>6.42</v>
      </c>
      <c r="O575" s="412" t="n">
        <f t="shared" ref="O575:P575" si="19">O500</f>
        <v>4.05</v>
      </c>
      <c r="P575" s="412" t="n">
        <f t="shared" si="19"/>
        <v>5.17</v>
      </c>
    </row>
    <row r="576" spans="1:17" s="356" customFormat="1" ht="16.5" x14ac:dyDescent="0.15">
      <c r="B576" s="464"/>
      <c r="E576" s="467" t="s">
        <v>6190</v>
      </c>
      <c r="J576" s="461"/>
      <c r="L576" s="2445"/>
      <c r="M576" s="356" t="s">
        <v>6904</v>
      </c>
      <c r="N576" s="412" t="n">
        <f>N516</f>
        <v>6.3500000000000005</v>
      </c>
      <c r="O576" s="412" t="n">
        <f t="shared" ref="O576:P576" si="20">O516</f>
        <v>3.76</v>
      </c>
      <c r="P576" s="412" t="n">
        <f t="shared" si="20"/>
        <v>4.859999999999999</v>
      </c>
    </row>
    <row r="577" spans="2:18" s="356" customFormat="1" ht="16.5" x14ac:dyDescent="0.15">
      <c r="B577" s="464"/>
      <c r="E577" s="466"/>
      <c r="J577" s="461"/>
      <c r="L577" s="2445"/>
      <c r="M577" s="356" t="s">
        <v>6905</v>
      </c>
      <c r="N577" s="412" t="n">
        <f>N532</f>
        <v>8.12</v>
      </c>
      <c r="O577" s="412" t="n">
        <f t="shared" ref="O577:P577" si="21">O532</f>
        <v>4.62</v>
      </c>
      <c r="P577" s="412" t="n">
        <f t="shared" si="21"/>
        <v>4.199999999999999</v>
      </c>
    </row>
    <row r="578" spans="2:18" s="356" customFormat="1" ht="16.5" x14ac:dyDescent="0.15">
      <c r="B578" s="464"/>
      <c r="E578" s="466"/>
      <c r="J578" s="461"/>
      <c r="L578" s="2445"/>
      <c r="M578" s="356" t="s">
        <v>6906</v>
      </c>
      <c r="N578" s="412" t="n">
        <f>N548</f>
        <v>8.09</v>
      </c>
      <c r="O578" s="412" t="n">
        <f t="shared" ref="O578:P578" si="22">O548</f>
        <v>4.35</v>
      </c>
      <c r="P578" s="412" t="n">
        <f t="shared" si="22"/>
        <v>2.8400000000000003</v>
      </c>
      <c r="R578" s="412" t="n">
        <f>SUM(N575:P578)</f>
        <v>62.830000000000005</v>
      </c>
    </row>
    <row r="579" spans="2:18" s="356" customFormat="1" ht="17.25" thickBot="1" x14ac:dyDescent="0.2">
      <c r="B579" s="464"/>
      <c r="E579" s="468" t="s">
        <v>6191</v>
      </c>
      <c r="J579" s="461"/>
      <c r="L579" s="2445"/>
      <c r="N579" s="412" t="n">
        <f>SUM(N557:N578)</f>
        <v>161.94999999999996</v>
      </c>
      <c r="O579" s="412" t="n">
        <f t="shared" ref="O579:P579" si="23">SUM(O557:O578)</f>
        <v>117.32</v>
      </c>
      <c r="P579" s="412" t="n">
        <f t="shared" si="23"/>
        <v>120.97000000000001</v>
      </c>
      <c r="Q579" s="412" t="n">
        <f>SUM(N579:P579)</f>
        <v>400.24</v>
      </c>
    </row>
    <row r="580" spans="2:18" s="356" customFormat="1" ht="16.5" x14ac:dyDescent="0.15">
      <c r="B580" s="464"/>
      <c r="J580" s="461"/>
      <c r="L580" s="2445"/>
      <c r="Q580" s="412" t="n">
        <f>SUM(D553:F554)+SUM(N553:P554)</f>
        <v>128.3</v>
      </c>
    </row>
    <row r="581" spans="2:18" s="356" customFormat="1" ht="17.25" thickBot="1" x14ac:dyDescent="0.2">
      <c r="B581" s="464"/>
      <c r="J581" s="461"/>
      <c r="L581" s="2445"/>
      <c r="Q581" s="412" t="n">
        <f>SUM(Q579:Q580)</f>
        <v>528.54</v>
      </c>
    </row>
    <row r="582" spans="2:18" s="356" customFormat="1" ht="16.5" x14ac:dyDescent="0.15">
      <c r="B582" s="464"/>
      <c r="F582" s="458"/>
      <c r="G582" s="459"/>
      <c r="H582" s="469"/>
      <c r="I582" s="469"/>
      <c r="J582" s="469"/>
      <c r="L582" s="2445"/>
    </row>
    <row r="583" spans="2:18" s="356" customFormat="1" ht="16.5" x14ac:dyDescent="0.15">
      <c r="B583" s="464"/>
      <c r="F583" s="3670" t="s">
        <v>6192</v>
      </c>
      <c r="G583" s="3671"/>
      <c r="H583" s="470" t="s">
        <v>6193</v>
      </c>
      <c r="I583" s="470"/>
      <c r="J583" s="470" t="s">
        <v>6194</v>
      </c>
      <c r="L583" s="2445"/>
    </row>
    <row r="584" spans="2:18" s="356" customFormat="1" ht="16.5" x14ac:dyDescent="0.15">
      <c r="B584" s="464"/>
      <c r="F584" s="464"/>
      <c r="G584" s="461"/>
      <c r="H584" s="471"/>
      <c r="I584" s="471"/>
      <c r="J584" s="471"/>
      <c r="L584" s="2445"/>
    </row>
    <row r="585" spans="2:18" s="356" customFormat="1" ht="17.25" thickBot="1" x14ac:dyDescent="0.2">
      <c r="B585" s="462"/>
      <c r="C585" s="472"/>
      <c r="D585" s="472"/>
      <c r="E585" s="472"/>
      <c r="F585" s="462"/>
      <c r="G585" s="463"/>
      <c r="H585" s="473"/>
      <c r="I585" s="473"/>
      <c r="J585" s="473"/>
      <c r="L585" s="2445"/>
    </row>
    <row r="586" spans="2:18" s="356" customFormat="1" ht="16.5" x14ac:dyDescent="0.15">
      <c r="L586" s="2445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1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3.5" x14ac:dyDescent="0.15"/>
  <cols>
    <col min="1" max="1" bestFit="true" customWidth="true" width="20.44140625" collapsed="false"/>
    <col min="2" max="2" customWidth="true" width="31.88671875" collapsed="false"/>
    <col min="3" max="3" bestFit="true" customWidth="true" width="17.6640625" collapsed="false"/>
    <col min="4" max="4" customWidth="true" width="23.21875" collapsed="false"/>
  </cols>
  <sheetData>
    <row r="1" spans="1:4" x14ac:dyDescent="0.15">
      <c r="A1" s="3657" t="s">
        <v>7062</v>
      </c>
      <c r="B1" s="3657" t="s">
        <v>8923</v>
      </c>
    </row>
    <row r="2" spans="1:4" x14ac:dyDescent="0.15">
      <c r="A2" s="3657"/>
      <c r="B2" s="3657"/>
    </row>
    <row r="3" spans="1:4" x14ac:dyDescent="0.15">
      <c r="A3" s="2652" t="s">
        <v>7153</v>
      </c>
      <c r="B3" s="2651" t="s">
        <v>9048</v>
      </c>
      <c r="C3" s="2677" t="s">
        <v>9050</v>
      </c>
      <c r="D3" s="2677" t="s">
        <v>9052</v>
      </c>
    </row>
    <row r="4" spans="1:4" x14ac:dyDescent="0.15">
      <c r="A4" t="s">
        <v>7154</v>
      </c>
      <c r="B4" s="2651" t="s">
        <v>9021</v>
      </c>
    </row>
    <row r="5" spans="1:4" x14ac:dyDescent="0.15">
      <c r="A5" t="s">
        <v>7155</v>
      </c>
      <c r="B5" s="2651" t="s">
        <v>8926</v>
      </c>
    </row>
    <row r="6" spans="1:4" x14ac:dyDescent="0.15">
      <c r="A6" t="s">
        <v>7156</v>
      </c>
      <c r="B6" s="2651" t="s">
        <v>9022</v>
      </c>
    </row>
    <row r="7" spans="1:4" x14ac:dyDescent="0.15">
      <c r="A7" t="s">
        <v>7157</v>
      </c>
      <c r="B7" s="2651" t="s">
        <v>8927</v>
      </c>
    </row>
    <row r="8" spans="1:4" x14ac:dyDescent="0.15">
      <c r="A8" t="s">
        <v>7158</v>
      </c>
      <c r="B8" s="2651" t="s">
        <v>9023</v>
      </c>
    </row>
    <row r="9" spans="1:4" x14ac:dyDescent="0.15">
      <c r="A9" t="s">
        <v>7159</v>
      </c>
      <c r="B9" s="2651" t="s">
        <v>8928</v>
      </c>
    </row>
    <row r="10" spans="1:4" x14ac:dyDescent="0.15">
      <c r="A10" t="s">
        <v>7160</v>
      </c>
      <c r="B10" s="2651" t="s">
        <v>9024</v>
      </c>
    </row>
    <row r="11" spans="1:4" x14ac:dyDescent="0.15">
      <c r="A11" t="s">
        <v>7161</v>
      </c>
      <c r="B11" s="2651" t="s">
        <v>8929</v>
      </c>
    </row>
    <row r="12" spans="1:4" x14ac:dyDescent="0.15">
      <c r="A12" t="s">
        <v>7162</v>
      </c>
      <c r="B12" s="2651" t="s">
        <v>9025</v>
      </c>
    </row>
    <row r="13" spans="1:4" x14ac:dyDescent="0.15">
      <c r="A13" t="s">
        <v>7163</v>
      </c>
      <c r="B13" s="2651" t="s">
        <v>8930</v>
      </c>
    </row>
    <row r="14" spans="1:4" x14ac:dyDescent="0.15">
      <c r="A14" t="s">
        <v>7164</v>
      </c>
      <c r="B14" s="2651" t="s">
        <v>9026</v>
      </c>
    </row>
    <row r="15" spans="1:4" x14ac:dyDescent="0.15">
      <c r="A15" t="s">
        <v>7165</v>
      </c>
      <c r="B15" s="2651" t="s">
        <v>8931</v>
      </c>
    </row>
    <row r="16" spans="1:4" x14ac:dyDescent="0.15">
      <c r="A16" t="s">
        <v>7166</v>
      </c>
      <c r="B16" s="2651" t="s">
        <v>9027</v>
      </c>
    </row>
    <row r="17" spans="1:2" x14ac:dyDescent="0.15">
      <c r="A17" t="s">
        <v>7167</v>
      </c>
      <c r="B17" s="2651" t="s">
        <v>8932</v>
      </c>
    </row>
    <row r="18" spans="1:2" x14ac:dyDescent="0.15">
      <c r="A18" t="s">
        <v>7168</v>
      </c>
      <c r="B18" s="2651" t="s">
        <v>9028</v>
      </c>
    </row>
    <row r="19" spans="1:2" x14ac:dyDescent="0.15">
      <c r="A19" t="s">
        <v>7169</v>
      </c>
      <c r="B19" s="2651" t="s">
        <v>8933</v>
      </c>
    </row>
    <row r="20" spans="1:2" x14ac:dyDescent="0.15">
      <c r="A20" t="s">
        <v>7170</v>
      </c>
      <c r="B20" s="2651" t="s">
        <v>9029</v>
      </c>
    </row>
    <row r="21" spans="1:2" x14ac:dyDescent="0.15">
      <c r="A21" t="s">
        <v>7171</v>
      </c>
      <c r="B21" s="2651" t="s">
        <v>8934</v>
      </c>
    </row>
    <row r="22" spans="1:2" x14ac:dyDescent="0.15">
      <c r="A22" t="s">
        <v>7172</v>
      </c>
      <c r="B22" s="2651" t="s">
        <v>9030</v>
      </c>
    </row>
    <row r="23" spans="1:2" x14ac:dyDescent="0.15">
      <c r="A23" t="s">
        <v>7173</v>
      </c>
      <c r="B23" s="2651" t="s">
        <v>8935</v>
      </c>
    </row>
    <row r="24" spans="1:2" x14ac:dyDescent="0.15">
      <c r="A24" t="s">
        <v>7174</v>
      </c>
      <c r="B24" s="2651" t="s">
        <v>9031</v>
      </c>
    </row>
    <row r="25" spans="1:2" x14ac:dyDescent="0.15">
      <c r="A25" t="s">
        <v>7175</v>
      </c>
      <c r="B25" s="2651" t="s">
        <v>8936</v>
      </c>
    </row>
    <row r="26" spans="1:2" x14ac:dyDescent="0.15">
      <c r="A26" t="s">
        <v>7176</v>
      </c>
      <c r="B26" s="2651" t="s">
        <v>9032</v>
      </c>
    </row>
    <row r="27" spans="1:2" x14ac:dyDescent="0.15">
      <c r="A27" t="s">
        <v>7177</v>
      </c>
      <c r="B27" s="2651" t="s">
        <v>8937</v>
      </c>
    </row>
    <row r="28" spans="1:2" x14ac:dyDescent="0.15">
      <c r="A28" t="s">
        <v>7178</v>
      </c>
      <c r="B28" s="2651" t="s">
        <v>9033</v>
      </c>
    </row>
    <row r="29" spans="1:2" x14ac:dyDescent="0.15">
      <c r="A29" t="s">
        <v>7179</v>
      </c>
      <c r="B29" s="2651" t="s">
        <v>8938</v>
      </c>
    </row>
    <row r="30" spans="1:2" x14ac:dyDescent="0.15">
      <c r="A30" t="s">
        <v>7180</v>
      </c>
      <c r="B30" s="2651" t="s">
        <v>9034</v>
      </c>
    </row>
    <row r="31" spans="1:2" x14ac:dyDescent="0.15">
      <c r="A31" t="s">
        <v>7181</v>
      </c>
      <c r="B31" s="2651" t="s">
        <v>8939</v>
      </c>
    </row>
    <row r="32" spans="1:2" x14ac:dyDescent="0.15">
      <c r="A32" t="s">
        <v>7182</v>
      </c>
      <c r="B32" s="2651" t="s">
        <v>9035</v>
      </c>
    </row>
    <row r="33" spans="1:2" x14ac:dyDescent="0.15">
      <c r="A33" t="s">
        <v>7183</v>
      </c>
      <c r="B33" s="2651" t="s">
        <v>8940</v>
      </c>
    </row>
    <row r="34" spans="1:2" x14ac:dyDescent="0.15">
      <c r="A34" t="s">
        <v>7184</v>
      </c>
      <c r="B34" s="2651" t="s">
        <v>9036</v>
      </c>
    </row>
    <row r="35" spans="1:2" x14ac:dyDescent="0.15">
      <c r="A35" t="s">
        <v>7185</v>
      </c>
      <c r="B35" s="2651" t="s">
        <v>8941</v>
      </c>
    </row>
    <row r="36" spans="1:2" x14ac:dyDescent="0.15">
      <c r="A36" t="s">
        <v>7186</v>
      </c>
      <c r="B36" s="2651" t="s">
        <v>9037</v>
      </c>
    </row>
    <row r="37" spans="1:2" x14ac:dyDescent="0.15">
      <c r="A37" t="s">
        <v>7187</v>
      </c>
      <c r="B37" s="2651" t="s">
        <v>8942</v>
      </c>
    </row>
    <row r="38" spans="1:2" x14ac:dyDescent="0.15">
      <c r="A38" t="s">
        <v>7188</v>
      </c>
      <c r="B38" s="2651" t="s">
        <v>9038</v>
      </c>
    </row>
    <row r="39" spans="1:2" x14ac:dyDescent="0.15">
      <c r="A39" t="s">
        <v>7189</v>
      </c>
      <c r="B39" s="2651" t="s">
        <v>8943</v>
      </c>
    </row>
    <row r="40" spans="1:2" x14ac:dyDescent="0.15">
      <c r="A40" t="s">
        <v>7190</v>
      </c>
      <c r="B40" s="2651" t="s">
        <v>9039</v>
      </c>
    </row>
    <row r="41" spans="1:2" x14ac:dyDescent="0.15">
      <c r="A41" t="s">
        <v>7191</v>
      </c>
      <c r="B41" s="2651" t="s">
        <v>8944</v>
      </c>
    </row>
    <row r="42" spans="1:2" x14ac:dyDescent="0.15">
      <c r="A42" t="s">
        <v>7192</v>
      </c>
      <c r="B42" s="2651" t="s">
        <v>9040</v>
      </c>
    </row>
    <row r="43" spans="1:2" x14ac:dyDescent="0.15">
      <c r="A43" t="s">
        <v>7193</v>
      </c>
      <c r="B43" s="2651" t="s">
        <v>8945</v>
      </c>
    </row>
    <row r="44" spans="1:2" x14ac:dyDescent="0.15">
      <c r="A44" t="s">
        <v>7194</v>
      </c>
      <c r="B44" s="2651" t="s">
        <v>9041</v>
      </c>
    </row>
    <row r="45" spans="1:2" x14ac:dyDescent="0.15">
      <c r="A45" t="s">
        <v>7195</v>
      </c>
      <c r="B45" s="2651" t="s">
        <v>8946</v>
      </c>
    </row>
    <row r="46" spans="1:2" x14ac:dyDescent="0.15">
      <c r="A46" t="s">
        <v>7196</v>
      </c>
      <c r="B46" s="2651" t="s">
        <v>9042</v>
      </c>
    </row>
    <row r="47" spans="1:2" x14ac:dyDescent="0.15">
      <c r="A47" t="s">
        <v>7197</v>
      </c>
      <c r="B47" s="2651" t="s">
        <v>8947</v>
      </c>
    </row>
    <row r="48" spans="1:2" x14ac:dyDescent="0.15">
      <c r="A48" t="s">
        <v>7198</v>
      </c>
      <c r="B48" s="2651" t="s">
        <v>9043</v>
      </c>
    </row>
    <row r="49" spans="1:4" x14ac:dyDescent="0.15">
      <c r="A49" t="s">
        <v>7199</v>
      </c>
      <c r="B49" s="2651" t="s">
        <v>8948</v>
      </c>
    </row>
    <row r="50" spans="1:4" x14ac:dyDescent="0.15">
      <c r="A50" t="s">
        <v>7200</v>
      </c>
      <c r="B50" s="2651" t="s">
        <v>9044</v>
      </c>
    </row>
    <row r="51" spans="1:4" x14ac:dyDescent="0.15">
      <c r="A51" t="s">
        <v>7201</v>
      </c>
      <c r="B51" s="2651" t="s">
        <v>8949</v>
      </c>
    </row>
    <row r="52" spans="1:4" x14ac:dyDescent="0.15">
      <c r="A52" t="s">
        <v>7202</v>
      </c>
      <c r="B52" s="2651" t="s">
        <v>9045</v>
      </c>
    </row>
    <row r="53" spans="1:4" x14ac:dyDescent="0.15">
      <c r="A53" t="s">
        <v>8915</v>
      </c>
      <c r="B53" s="2651" t="s">
        <v>8950</v>
      </c>
    </row>
    <row r="54" spans="1:4" x14ac:dyDescent="0.15">
      <c r="A54" t="s">
        <v>8916</v>
      </c>
      <c r="B54" s="2651" t="s">
        <v>9046</v>
      </c>
    </row>
    <row r="55" spans="1:4" x14ac:dyDescent="0.15">
      <c r="A55" s="2652" t="s">
        <v>7203</v>
      </c>
      <c r="B55" s="2651" t="s">
        <v>9048</v>
      </c>
      <c r="C55" s="2677" t="s">
        <v>9050</v>
      </c>
      <c r="D55" s="2677" t="s">
        <v>9052</v>
      </c>
    </row>
    <row r="56" spans="1:4" x14ac:dyDescent="0.15">
      <c r="A56" t="s">
        <v>7204</v>
      </c>
      <c r="B56" s="2651" t="s">
        <v>9021</v>
      </c>
    </row>
    <row r="57" spans="1:4" x14ac:dyDescent="0.15">
      <c r="A57" t="s">
        <v>7205</v>
      </c>
      <c r="B57" s="2651" t="s">
        <v>8926</v>
      </c>
    </row>
    <row r="58" spans="1:4" x14ac:dyDescent="0.15">
      <c r="A58" t="s">
        <v>7206</v>
      </c>
      <c r="B58" s="2651" t="s">
        <v>9022</v>
      </c>
    </row>
    <row r="59" spans="1:4" x14ac:dyDescent="0.15">
      <c r="A59" t="s">
        <v>7207</v>
      </c>
      <c r="B59" s="2651" t="s">
        <v>8927</v>
      </c>
    </row>
    <row r="60" spans="1:4" x14ac:dyDescent="0.15">
      <c r="A60" t="s">
        <v>7208</v>
      </c>
      <c r="B60" s="2651" t="s">
        <v>9023</v>
      </c>
    </row>
    <row r="61" spans="1:4" x14ac:dyDescent="0.15">
      <c r="A61" t="s">
        <v>7209</v>
      </c>
      <c r="B61" s="2651" t="s">
        <v>8928</v>
      </c>
    </row>
    <row r="62" spans="1:4" x14ac:dyDescent="0.15">
      <c r="A62" t="s">
        <v>7210</v>
      </c>
      <c r="B62" s="2651" t="s">
        <v>9024</v>
      </c>
    </row>
    <row r="63" spans="1:4" x14ac:dyDescent="0.15">
      <c r="A63" t="s">
        <v>7211</v>
      </c>
      <c r="B63" s="2651" t="s">
        <v>8929</v>
      </c>
    </row>
    <row r="64" spans="1:4" x14ac:dyDescent="0.15">
      <c r="A64" t="s">
        <v>7212</v>
      </c>
      <c r="B64" s="2651" t="s">
        <v>9025</v>
      </c>
    </row>
    <row r="65" spans="1:2" x14ac:dyDescent="0.15">
      <c r="A65" t="s">
        <v>7213</v>
      </c>
      <c r="B65" s="2651" t="s">
        <v>8930</v>
      </c>
    </row>
    <row r="66" spans="1:2" x14ac:dyDescent="0.15">
      <c r="A66" t="s">
        <v>7214</v>
      </c>
      <c r="B66" s="2651" t="s">
        <v>9026</v>
      </c>
    </row>
    <row r="67" spans="1:2" x14ac:dyDescent="0.15">
      <c r="A67" t="s">
        <v>7215</v>
      </c>
      <c r="B67" s="2651" t="s">
        <v>8931</v>
      </c>
    </row>
    <row r="68" spans="1:2" x14ac:dyDescent="0.15">
      <c r="A68" t="s">
        <v>7216</v>
      </c>
      <c r="B68" s="2651" t="s">
        <v>9027</v>
      </c>
    </row>
    <row r="69" spans="1:2" x14ac:dyDescent="0.15">
      <c r="A69" t="s">
        <v>7217</v>
      </c>
      <c r="B69" s="2651" t="s">
        <v>8932</v>
      </c>
    </row>
    <row r="70" spans="1:2" x14ac:dyDescent="0.15">
      <c r="A70" t="s">
        <v>7218</v>
      </c>
      <c r="B70" s="2651" t="s">
        <v>9028</v>
      </c>
    </row>
    <row r="71" spans="1:2" x14ac:dyDescent="0.15">
      <c r="A71" t="s">
        <v>7219</v>
      </c>
      <c r="B71" s="2651" t="s">
        <v>8933</v>
      </c>
    </row>
    <row r="72" spans="1:2" x14ac:dyDescent="0.15">
      <c r="A72" t="s">
        <v>7220</v>
      </c>
      <c r="B72" s="2651" t="s">
        <v>9029</v>
      </c>
    </row>
    <row r="73" spans="1:2" x14ac:dyDescent="0.15">
      <c r="A73" t="s">
        <v>7221</v>
      </c>
      <c r="B73" s="2651" t="s">
        <v>8934</v>
      </c>
    </row>
    <row r="74" spans="1:2" x14ac:dyDescent="0.15">
      <c r="A74" t="s">
        <v>7222</v>
      </c>
      <c r="B74" s="2651" t="s">
        <v>9030</v>
      </c>
    </row>
    <row r="75" spans="1:2" x14ac:dyDescent="0.15">
      <c r="A75" t="s">
        <v>7223</v>
      </c>
      <c r="B75" s="2651" t="s">
        <v>8935</v>
      </c>
    </row>
    <row r="76" spans="1:2" x14ac:dyDescent="0.15">
      <c r="A76" t="s">
        <v>7224</v>
      </c>
      <c r="B76" s="2651" t="s">
        <v>9031</v>
      </c>
    </row>
    <row r="77" spans="1:2" x14ac:dyDescent="0.15">
      <c r="A77" t="s">
        <v>7225</v>
      </c>
      <c r="B77" s="2651" t="s">
        <v>8936</v>
      </c>
    </row>
    <row r="78" spans="1:2" x14ac:dyDescent="0.15">
      <c r="A78" t="s">
        <v>7226</v>
      </c>
      <c r="B78" s="2651" t="s">
        <v>9032</v>
      </c>
    </row>
    <row r="79" spans="1:2" x14ac:dyDescent="0.15">
      <c r="A79" t="s">
        <v>7227</v>
      </c>
      <c r="B79" s="2651" t="s">
        <v>8937</v>
      </c>
    </row>
    <row r="80" spans="1:2" x14ac:dyDescent="0.15">
      <c r="A80" t="s">
        <v>7228</v>
      </c>
      <c r="B80" s="2651" t="s">
        <v>9033</v>
      </c>
    </row>
    <row r="81" spans="1:2" x14ac:dyDescent="0.15">
      <c r="A81" t="s">
        <v>7229</v>
      </c>
      <c r="B81" s="2651" t="s">
        <v>8938</v>
      </c>
    </row>
    <row r="82" spans="1:2" x14ac:dyDescent="0.15">
      <c r="A82" t="s">
        <v>7230</v>
      </c>
      <c r="B82" s="2651" t="s">
        <v>9034</v>
      </c>
    </row>
    <row r="83" spans="1:2" x14ac:dyDescent="0.15">
      <c r="A83" t="s">
        <v>7231</v>
      </c>
      <c r="B83" s="2651" t="s">
        <v>8939</v>
      </c>
    </row>
    <row r="84" spans="1:2" x14ac:dyDescent="0.15">
      <c r="A84" t="s">
        <v>7232</v>
      </c>
      <c r="B84" s="2651" t="s">
        <v>9035</v>
      </c>
    </row>
    <row r="85" spans="1:2" x14ac:dyDescent="0.15">
      <c r="A85" t="s">
        <v>7233</v>
      </c>
      <c r="B85" s="2651" t="s">
        <v>8940</v>
      </c>
    </row>
    <row r="86" spans="1:2" x14ac:dyDescent="0.15">
      <c r="A86" t="s">
        <v>7234</v>
      </c>
      <c r="B86" s="2651" t="s">
        <v>9036</v>
      </c>
    </row>
    <row r="87" spans="1:2" x14ac:dyDescent="0.15">
      <c r="A87" t="s">
        <v>7235</v>
      </c>
      <c r="B87" s="2651" t="s">
        <v>8941</v>
      </c>
    </row>
    <row r="88" spans="1:2" x14ac:dyDescent="0.15">
      <c r="A88" t="s">
        <v>7236</v>
      </c>
      <c r="B88" s="2651" t="s">
        <v>9037</v>
      </c>
    </row>
    <row r="89" spans="1:2" x14ac:dyDescent="0.15">
      <c r="A89" t="s">
        <v>7237</v>
      </c>
      <c r="B89" s="2651" t="s">
        <v>8942</v>
      </c>
    </row>
    <row r="90" spans="1:2" x14ac:dyDescent="0.15">
      <c r="A90" t="s">
        <v>7238</v>
      </c>
      <c r="B90" s="2651" t="s">
        <v>9038</v>
      </c>
    </row>
    <row r="91" spans="1:2" x14ac:dyDescent="0.15">
      <c r="A91" t="s">
        <v>7239</v>
      </c>
      <c r="B91" s="2651" t="s">
        <v>8943</v>
      </c>
    </row>
    <row r="92" spans="1:2" x14ac:dyDescent="0.15">
      <c r="A92" t="s">
        <v>7240</v>
      </c>
      <c r="B92" s="2651" t="s">
        <v>9039</v>
      </c>
    </row>
    <row r="93" spans="1:2" x14ac:dyDescent="0.15">
      <c r="A93" t="s">
        <v>7241</v>
      </c>
      <c r="B93" s="2651" t="s">
        <v>8944</v>
      </c>
    </row>
    <row r="94" spans="1:2" x14ac:dyDescent="0.15">
      <c r="A94" t="s">
        <v>7242</v>
      </c>
      <c r="B94" s="2651" t="s">
        <v>9040</v>
      </c>
    </row>
    <row r="95" spans="1:2" x14ac:dyDescent="0.15">
      <c r="A95" t="s">
        <v>7243</v>
      </c>
      <c r="B95" s="2651" t="s">
        <v>8945</v>
      </c>
    </row>
    <row r="96" spans="1:2" x14ac:dyDescent="0.15">
      <c r="A96" t="s">
        <v>7244</v>
      </c>
      <c r="B96" s="2651" t="s">
        <v>9041</v>
      </c>
    </row>
    <row r="97" spans="1:4" x14ac:dyDescent="0.15">
      <c r="A97" t="s">
        <v>7245</v>
      </c>
      <c r="B97" s="2651" t="s">
        <v>8946</v>
      </c>
    </row>
    <row r="98" spans="1:4" x14ac:dyDescent="0.15">
      <c r="A98" t="s">
        <v>7246</v>
      </c>
      <c r="B98" s="2651" t="s">
        <v>9042</v>
      </c>
    </row>
    <row r="99" spans="1:4" x14ac:dyDescent="0.15">
      <c r="A99" t="s">
        <v>7247</v>
      </c>
      <c r="B99" s="2651" t="s">
        <v>8947</v>
      </c>
    </row>
    <row r="100" spans="1:4" x14ac:dyDescent="0.15">
      <c r="A100" t="s">
        <v>7248</v>
      </c>
      <c r="B100" s="2651" t="s">
        <v>9043</v>
      </c>
    </row>
    <row r="101" spans="1:4" x14ac:dyDescent="0.15">
      <c r="A101" t="s">
        <v>7249</v>
      </c>
      <c r="B101" s="2651" t="s">
        <v>8948</v>
      </c>
    </row>
    <row r="102" spans="1:4" x14ac:dyDescent="0.15">
      <c r="A102" t="s">
        <v>7250</v>
      </c>
      <c r="B102" s="2651" t="s">
        <v>9044</v>
      </c>
    </row>
    <row r="103" spans="1:4" x14ac:dyDescent="0.15">
      <c r="A103" t="s">
        <v>7251</v>
      </c>
      <c r="B103" s="2651" t="s">
        <v>8949</v>
      </c>
    </row>
    <row r="104" spans="1:4" x14ac:dyDescent="0.15">
      <c r="A104" t="s">
        <v>7252</v>
      </c>
      <c r="B104" s="2651" t="s">
        <v>9045</v>
      </c>
    </row>
    <row r="105" spans="1:4" x14ac:dyDescent="0.15">
      <c r="A105" t="s">
        <v>8921</v>
      </c>
      <c r="B105" s="2651" t="s">
        <v>8950</v>
      </c>
    </row>
    <row r="106" spans="1:4" x14ac:dyDescent="0.15">
      <c r="A106" t="s">
        <v>8922</v>
      </c>
      <c r="B106" s="2651" t="s">
        <v>9046</v>
      </c>
    </row>
    <row r="107" spans="1:4" x14ac:dyDescent="0.15">
      <c r="A107" s="2652" t="s">
        <v>7253</v>
      </c>
      <c r="B107" s="2651" t="s">
        <v>9048</v>
      </c>
      <c r="C107" s="2677" t="s">
        <v>9050</v>
      </c>
      <c r="D107" s="2677" t="s">
        <v>9052</v>
      </c>
    </row>
    <row r="108" spans="1:4" x14ac:dyDescent="0.15">
      <c r="A108" t="s">
        <v>7254</v>
      </c>
      <c r="B108" s="2651" t="s">
        <v>9021</v>
      </c>
    </row>
    <row r="109" spans="1:4" x14ac:dyDescent="0.15">
      <c r="A109" t="s">
        <v>7255</v>
      </c>
      <c r="B109" s="2651" t="s">
        <v>8926</v>
      </c>
    </row>
    <row r="110" spans="1:4" x14ac:dyDescent="0.15">
      <c r="A110" t="s">
        <v>7256</v>
      </c>
      <c r="B110" s="2651" t="s">
        <v>9022</v>
      </c>
    </row>
    <row r="111" spans="1:4" x14ac:dyDescent="0.15">
      <c r="A111" t="s">
        <v>7257</v>
      </c>
      <c r="B111" s="2651" t="s">
        <v>8927</v>
      </c>
    </row>
    <row r="112" spans="1:4" x14ac:dyDescent="0.15">
      <c r="A112" t="s">
        <v>7258</v>
      </c>
      <c r="B112" s="2651" t="s">
        <v>9023</v>
      </c>
    </row>
    <row r="113" spans="1:2" x14ac:dyDescent="0.15">
      <c r="A113" t="s">
        <v>7259</v>
      </c>
      <c r="B113" s="2651" t="s">
        <v>8928</v>
      </c>
    </row>
    <row r="114" spans="1:2" x14ac:dyDescent="0.15">
      <c r="A114" t="s">
        <v>7260</v>
      </c>
      <c r="B114" s="2651" t="s">
        <v>9024</v>
      </c>
    </row>
    <row r="115" spans="1:2" x14ac:dyDescent="0.15">
      <c r="A115" t="s">
        <v>7261</v>
      </c>
      <c r="B115" s="2651" t="s">
        <v>8929</v>
      </c>
    </row>
    <row r="116" spans="1:2" x14ac:dyDescent="0.15">
      <c r="A116" t="s">
        <v>7262</v>
      </c>
      <c r="B116" s="2651" t="s">
        <v>9025</v>
      </c>
    </row>
    <row r="117" spans="1:2" x14ac:dyDescent="0.15">
      <c r="A117" t="s">
        <v>7263</v>
      </c>
      <c r="B117" s="2651" t="s">
        <v>8930</v>
      </c>
    </row>
    <row r="118" spans="1:2" x14ac:dyDescent="0.15">
      <c r="A118" t="s">
        <v>7264</v>
      </c>
      <c r="B118" s="2651" t="s">
        <v>9026</v>
      </c>
    </row>
    <row r="119" spans="1:2" x14ac:dyDescent="0.15">
      <c r="A119" t="s">
        <v>7265</v>
      </c>
      <c r="B119" s="2651" t="s">
        <v>8931</v>
      </c>
    </row>
    <row r="120" spans="1:2" x14ac:dyDescent="0.15">
      <c r="A120" t="s">
        <v>7266</v>
      </c>
      <c r="B120" s="2651" t="s">
        <v>9027</v>
      </c>
    </row>
    <row r="121" spans="1:2" x14ac:dyDescent="0.15">
      <c r="A121" t="s">
        <v>7267</v>
      </c>
      <c r="B121" s="2651" t="s">
        <v>8932</v>
      </c>
    </row>
    <row r="122" spans="1:2" x14ac:dyDescent="0.15">
      <c r="A122" t="s">
        <v>7268</v>
      </c>
      <c r="B122" s="2651" t="s">
        <v>9028</v>
      </c>
    </row>
    <row r="123" spans="1:2" x14ac:dyDescent="0.15">
      <c r="A123" t="s">
        <v>7269</v>
      </c>
      <c r="B123" s="2651" t="s">
        <v>8933</v>
      </c>
    </row>
    <row r="124" spans="1:2" x14ac:dyDescent="0.15">
      <c r="A124" t="s">
        <v>7270</v>
      </c>
      <c r="B124" s="2651" t="s">
        <v>9029</v>
      </c>
    </row>
    <row r="125" spans="1:2" x14ac:dyDescent="0.15">
      <c r="A125" t="s">
        <v>7271</v>
      </c>
      <c r="B125" s="2651" t="s">
        <v>8934</v>
      </c>
    </row>
    <row r="126" spans="1:2" x14ac:dyDescent="0.15">
      <c r="A126" t="s">
        <v>7272</v>
      </c>
      <c r="B126" s="2651" t="s">
        <v>9030</v>
      </c>
    </row>
    <row r="127" spans="1:2" x14ac:dyDescent="0.15">
      <c r="A127" t="s">
        <v>7273</v>
      </c>
      <c r="B127" s="2651" t="s">
        <v>8935</v>
      </c>
    </row>
    <row r="128" spans="1:2" x14ac:dyDescent="0.15">
      <c r="A128" t="s">
        <v>7274</v>
      </c>
      <c r="B128" s="2651" t="s">
        <v>9031</v>
      </c>
    </row>
    <row r="129" spans="1:2" x14ac:dyDescent="0.15">
      <c r="A129" t="s">
        <v>7275</v>
      </c>
      <c r="B129" s="2651" t="s">
        <v>8936</v>
      </c>
    </row>
    <row r="130" spans="1:2" x14ac:dyDescent="0.15">
      <c r="A130" t="s">
        <v>7276</v>
      </c>
      <c r="B130" s="2651" t="s">
        <v>9032</v>
      </c>
    </row>
    <row r="131" spans="1:2" x14ac:dyDescent="0.15">
      <c r="A131" t="s">
        <v>7277</v>
      </c>
      <c r="B131" s="2651" t="s">
        <v>8937</v>
      </c>
    </row>
    <row r="132" spans="1:2" x14ac:dyDescent="0.15">
      <c r="A132" t="s">
        <v>7278</v>
      </c>
      <c r="B132" s="2651" t="s">
        <v>9033</v>
      </c>
    </row>
    <row r="133" spans="1:2" x14ac:dyDescent="0.15">
      <c r="A133" t="s">
        <v>7279</v>
      </c>
      <c r="B133" s="2651" t="s">
        <v>8938</v>
      </c>
    </row>
    <row r="134" spans="1:2" x14ac:dyDescent="0.15">
      <c r="A134" t="s">
        <v>7280</v>
      </c>
      <c r="B134" s="2651" t="s">
        <v>9034</v>
      </c>
    </row>
    <row r="135" spans="1:2" x14ac:dyDescent="0.15">
      <c r="A135" t="s">
        <v>7281</v>
      </c>
      <c r="B135" s="2651" t="s">
        <v>8939</v>
      </c>
    </row>
    <row r="136" spans="1:2" x14ac:dyDescent="0.15">
      <c r="A136" t="s">
        <v>7282</v>
      </c>
      <c r="B136" s="2651" t="s">
        <v>9035</v>
      </c>
    </row>
    <row r="137" spans="1:2" x14ac:dyDescent="0.15">
      <c r="A137" t="s">
        <v>7283</v>
      </c>
      <c r="B137" s="2651" t="s">
        <v>8940</v>
      </c>
    </row>
    <row r="138" spans="1:2" x14ac:dyDescent="0.15">
      <c r="A138" t="s">
        <v>7284</v>
      </c>
      <c r="B138" s="2651" t="s">
        <v>9036</v>
      </c>
    </row>
    <row r="139" spans="1:2" x14ac:dyDescent="0.15">
      <c r="A139" t="s">
        <v>7285</v>
      </c>
      <c r="B139" s="2651" t="s">
        <v>8941</v>
      </c>
    </row>
    <row r="140" spans="1:2" x14ac:dyDescent="0.15">
      <c r="A140" t="s">
        <v>7286</v>
      </c>
      <c r="B140" s="2651" t="s">
        <v>9037</v>
      </c>
    </row>
    <row r="141" spans="1:2" x14ac:dyDescent="0.15">
      <c r="A141" t="s">
        <v>7287</v>
      </c>
      <c r="B141" s="2651" t="s">
        <v>8942</v>
      </c>
    </row>
    <row r="142" spans="1:2" x14ac:dyDescent="0.15">
      <c r="A142" t="s">
        <v>7288</v>
      </c>
      <c r="B142" s="2651" t="s">
        <v>9038</v>
      </c>
    </row>
    <row r="143" spans="1:2" x14ac:dyDescent="0.15">
      <c r="A143" t="s">
        <v>7289</v>
      </c>
      <c r="B143" s="2651" t="s">
        <v>8943</v>
      </c>
    </row>
    <row r="144" spans="1:2" x14ac:dyDescent="0.15">
      <c r="A144" t="s">
        <v>7290</v>
      </c>
      <c r="B144" s="2651" t="s">
        <v>9039</v>
      </c>
    </row>
    <row r="145" spans="1:4" x14ac:dyDescent="0.15">
      <c r="A145" t="s">
        <v>7291</v>
      </c>
      <c r="B145" s="2651" t="s">
        <v>8944</v>
      </c>
    </row>
    <row r="146" spans="1:4" x14ac:dyDescent="0.15">
      <c r="A146" t="s">
        <v>7292</v>
      </c>
      <c r="B146" s="2651" t="s">
        <v>9040</v>
      </c>
    </row>
    <row r="147" spans="1:4" x14ac:dyDescent="0.15">
      <c r="A147" t="s">
        <v>7293</v>
      </c>
      <c r="B147" s="2651" t="s">
        <v>8945</v>
      </c>
    </row>
    <row r="148" spans="1:4" x14ac:dyDescent="0.15">
      <c r="A148" t="s">
        <v>7294</v>
      </c>
      <c r="B148" s="2651" t="s">
        <v>9041</v>
      </c>
    </row>
    <row r="149" spans="1:4" x14ac:dyDescent="0.15">
      <c r="A149" t="s">
        <v>7295</v>
      </c>
      <c r="B149" s="2651" t="s">
        <v>8946</v>
      </c>
    </row>
    <row r="150" spans="1:4" x14ac:dyDescent="0.15">
      <c r="A150" t="s">
        <v>7296</v>
      </c>
      <c r="B150" s="2651" t="s">
        <v>9042</v>
      </c>
    </row>
    <row r="151" spans="1:4" x14ac:dyDescent="0.15">
      <c r="A151" t="s">
        <v>7297</v>
      </c>
      <c r="B151" s="2651" t="s">
        <v>8947</v>
      </c>
    </row>
    <row r="152" spans="1:4" x14ac:dyDescent="0.15">
      <c r="A152" t="s">
        <v>7298</v>
      </c>
      <c r="B152" s="2651" t="s">
        <v>9043</v>
      </c>
    </row>
    <row r="153" spans="1:4" x14ac:dyDescent="0.15">
      <c r="A153" t="s">
        <v>7299</v>
      </c>
      <c r="B153" s="2651" t="s">
        <v>8948</v>
      </c>
    </row>
    <row r="154" spans="1:4" x14ac:dyDescent="0.15">
      <c r="A154" t="s">
        <v>7300</v>
      </c>
      <c r="B154" s="2651" t="s">
        <v>9044</v>
      </c>
    </row>
    <row r="155" spans="1:4" x14ac:dyDescent="0.15">
      <c r="A155" t="s">
        <v>7301</v>
      </c>
      <c r="B155" s="2651" t="s">
        <v>8949</v>
      </c>
    </row>
    <row r="156" spans="1:4" x14ac:dyDescent="0.15">
      <c r="A156" t="s">
        <v>7302</v>
      </c>
      <c r="B156" s="2651" t="s">
        <v>9045</v>
      </c>
    </row>
    <row r="157" spans="1:4" x14ac:dyDescent="0.15">
      <c r="A157" t="s">
        <v>8919</v>
      </c>
      <c r="B157" s="2651" t="s">
        <v>8950</v>
      </c>
    </row>
    <row r="158" spans="1:4" x14ac:dyDescent="0.15">
      <c r="A158" t="s">
        <v>8920</v>
      </c>
      <c r="B158" s="2651" t="s">
        <v>9046</v>
      </c>
    </row>
    <row r="159" spans="1:4" x14ac:dyDescent="0.15">
      <c r="A159" s="2652" t="s">
        <v>7303</v>
      </c>
      <c r="B159" s="2651" t="s">
        <v>9048</v>
      </c>
      <c r="C159" s="2677" t="s">
        <v>9050</v>
      </c>
      <c r="D159" s="2677" t="s">
        <v>9052</v>
      </c>
    </row>
    <row r="160" spans="1:4" x14ac:dyDescent="0.15">
      <c r="A160" t="s">
        <v>7304</v>
      </c>
      <c r="B160" s="2651" t="s">
        <v>9021</v>
      </c>
    </row>
    <row r="161" spans="1:2" x14ac:dyDescent="0.15">
      <c r="A161" t="s">
        <v>7305</v>
      </c>
      <c r="B161" s="2651" t="s">
        <v>8926</v>
      </c>
    </row>
    <row r="162" spans="1:2" x14ac:dyDescent="0.15">
      <c r="A162" t="s">
        <v>7306</v>
      </c>
      <c r="B162" s="2651" t="s">
        <v>9022</v>
      </c>
    </row>
    <row r="163" spans="1:2" x14ac:dyDescent="0.15">
      <c r="A163" t="s">
        <v>7307</v>
      </c>
      <c r="B163" s="2651" t="s">
        <v>8927</v>
      </c>
    </row>
    <row r="164" spans="1:2" x14ac:dyDescent="0.15">
      <c r="A164" t="s">
        <v>7308</v>
      </c>
      <c r="B164" s="2651" t="s">
        <v>9023</v>
      </c>
    </row>
    <row r="165" spans="1:2" x14ac:dyDescent="0.15">
      <c r="A165" t="s">
        <v>7309</v>
      </c>
      <c r="B165" s="2651" t="s">
        <v>8928</v>
      </c>
    </row>
    <row r="166" spans="1:2" x14ac:dyDescent="0.15">
      <c r="A166" t="s">
        <v>7310</v>
      </c>
      <c r="B166" s="2651" t="s">
        <v>9024</v>
      </c>
    </row>
    <row r="167" spans="1:2" x14ac:dyDescent="0.15">
      <c r="A167" t="s">
        <v>7311</v>
      </c>
      <c r="B167" s="2651" t="s">
        <v>8929</v>
      </c>
    </row>
    <row r="168" spans="1:2" x14ac:dyDescent="0.15">
      <c r="A168" t="s">
        <v>7312</v>
      </c>
      <c r="B168" s="2651" t="s">
        <v>9025</v>
      </c>
    </row>
    <row r="169" spans="1:2" x14ac:dyDescent="0.15">
      <c r="A169" t="s">
        <v>7313</v>
      </c>
      <c r="B169" s="2651" t="s">
        <v>8930</v>
      </c>
    </row>
    <row r="170" spans="1:2" x14ac:dyDescent="0.15">
      <c r="A170" t="s">
        <v>7314</v>
      </c>
      <c r="B170" s="2651" t="s">
        <v>9026</v>
      </c>
    </row>
    <row r="171" spans="1:2" x14ac:dyDescent="0.15">
      <c r="A171" t="s">
        <v>7315</v>
      </c>
      <c r="B171" s="2651" t="s">
        <v>8931</v>
      </c>
    </row>
    <row r="172" spans="1:2" x14ac:dyDescent="0.15">
      <c r="A172" t="s">
        <v>7316</v>
      </c>
      <c r="B172" s="2651" t="s">
        <v>9027</v>
      </c>
    </row>
    <row r="173" spans="1:2" x14ac:dyDescent="0.15">
      <c r="A173" t="s">
        <v>7317</v>
      </c>
      <c r="B173" s="2651" t="s">
        <v>8932</v>
      </c>
    </row>
    <row r="174" spans="1:2" x14ac:dyDescent="0.15">
      <c r="A174" t="s">
        <v>7318</v>
      </c>
      <c r="B174" s="2651" t="s">
        <v>9028</v>
      </c>
    </row>
    <row r="175" spans="1:2" x14ac:dyDescent="0.15">
      <c r="A175" t="s">
        <v>7319</v>
      </c>
      <c r="B175" s="2651" t="s">
        <v>8933</v>
      </c>
    </row>
    <row r="176" spans="1:2" x14ac:dyDescent="0.15">
      <c r="A176" t="s">
        <v>7320</v>
      </c>
      <c r="B176" s="2651" t="s">
        <v>9029</v>
      </c>
    </row>
    <row r="177" spans="1:2" x14ac:dyDescent="0.15">
      <c r="A177" t="s">
        <v>7321</v>
      </c>
      <c r="B177" s="2651" t="s">
        <v>8934</v>
      </c>
    </row>
    <row r="178" spans="1:2" x14ac:dyDescent="0.15">
      <c r="A178" t="s">
        <v>7322</v>
      </c>
      <c r="B178" s="2651" t="s">
        <v>9030</v>
      </c>
    </row>
    <row r="179" spans="1:2" x14ac:dyDescent="0.15">
      <c r="A179" t="s">
        <v>7323</v>
      </c>
      <c r="B179" s="2651" t="s">
        <v>8935</v>
      </c>
    </row>
    <row r="180" spans="1:2" x14ac:dyDescent="0.15">
      <c r="A180" t="s">
        <v>7324</v>
      </c>
      <c r="B180" s="2651" t="s">
        <v>9031</v>
      </c>
    </row>
    <row r="181" spans="1:2" x14ac:dyDescent="0.15">
      <c r="A181" t="s">
        <v>7325</v>
      </c>
      <c r="B181" s="2651" t="s">
        <v>8936</v>
      </c>
    </row>
    <row r="182" spans="1:2" x14ac:dyDescent="0.15">
      <c r="A182" t="s">
        <v>7326</v>
      </c>
      <c r="B182" s="2651" t="s">
        <v>9032</v>
      </c>
    </row>
    <row r="183" spans="1:2" x14ac:dyDescent="0.15">
      <c r="A183" t="s">
        <v>7327</v>
      </c>
      <c r="B183" s="2651" t="s">
        <v>8937</v>
      </c>
    </row>
    <row r="184" spans="1:2" x14ac:dyDescent="0.15">
      <c r="A184" t="s">
        <v>7328</v>
      </c>
      <c r="B184" s="2651" t="s">
        <v>9033</v>
      </c>
    </row>
    <row r="185" spans="1:2" x14ac:dyDescent="0.15">
      <c r="A185" t="s">
        <v>7329</v>
      </c>
      <c r="B185" s="2651" t="s">
        <v>8938</v>
      </c>
    </row>
    <row r="186" spans="1:2" x14ac:dyDescent="0.15">
      <c r="A186" t="s">
        <v>7330</v>
      </c>
      <c r="B186" s="2651" t="s">
        <v>9034</v>
      </c>
    </row>
    <row r="187" spans="1:2" x14ac:dyDescent="0.15">
      <c r="A187" t="s">
        <v>7331</v>
      </c>
      <c r="B187" s="2651" t="s">
        <v>8939</v>
      </c>
    </row>
    <row r="188" spans="1:2" x14ac:dyDescent="0.15">
      <c r="A188" t="s">
        <v>7332</v>
      </c>
      <c r="B188" s="2651" t="s">
        <v>9035</v>
      </c>
    </row>
    <row r="189" spans="1:2" x14ac:dyDescent="0.15">
      <c r="A189" t="s">
        <v>7333</v>
      </c>
      <c r="B189" s="2651" t="s">
        <v>8940</v>
      </c>
    </row>
    <row r="190" spans="1:2" x14ac:dyDescent="0.15">
      <c r="A190" t="s">
        <v>7334</v>
      </c>
      <c r="B190" s="2651" t="s">
        <v>9036</v>
      </c>
    </row>
    <row r="191" spans="1:2" x14ac:dyDescent="0.15">
      <c r="A191" t="s">
        <v>7335</v>
      </c>
      <c r="B191" s="2651" t="s">
        <v>8941</v>
      </c>
    </row>
    <row r="192" spans="1:2" x14ac:dyDescent="0.15">
      <c r="A192" t="s">
        <v>7336</v>
      </c>
      <c r="B192" s="2651" t="s">
        <v>9037</v>
      </c>
    </row>
    <row r="193" spans="1:2" x14ac:dyDescent="0.15">
      <c r="A193" t="s">
        <v>7337</v>
      </c>
      <c r="B193" s="2651" t="s">
        <v>8942</v>
      </c>
    </row>
    <row r="194" spans="1:2" x14ac:dyDescent="0.15">
      <c r="A194" t="s">
        <v>7338</v>
      </c>
      <c r="B194" s="2651" t="s">
        <v>9038</v>
      </c>
    </row>
    <row r="195" spans="1:2" x14ac:dyDescent="0.15">
      <c r="A195" t="s">
        <v>7339</v>
      </c>
      <c r="B195" s="2651" t="s">
        <v>8943</v>
      </c>
    </row>
    <row r="196" spans="1:2" x14ac:dyDescent="0.15">
      <c r="A196" t="s">
        <v>7340</v>
      </c>
      <c r="B196" s="2651" t="s">
        <v>9039</v>
      </c>
    </row>
    <row r="197" spans="1:2" x14ac:dyDescent="0.15">
      <c r="A197" t="s">
        <v>7341</v>
      </c>
      <c r="B197" s="2651" t="s">
        <v>8944</v>
      </c>
    </row>
    <row r="198" spans="1:2" x14ac:dyDescent="0.15">
      <c r="A198" t="s">
        <v>7342</v>
      </c>
      <c r="B198" s="2651" t="s">
        <v>9040</v>
      </c>
    </row>
    <row r="199" spans="1:2" x14ac:dyDescent="0.15">
      <c r="A199" t="s">
        <v>7343</v>
      </c>
      <c r="B199" s="2651" t="s">
        <v>8945</v>
      </c>
    </row>
    <row r="200" spans="1:2" x14ac:dyDescent="0.15">
      <c r="A200" t="s">
        <v>7344</v>
      </c>
      <c r="B200" s="2651" t="s">
        <v>9041</v>
      </c>
    </row>
    <row r="201" spans="1:2" x14ac:dyDescent="0.15">
      <c r="A201" t="s">
        <v>7345</v>
      </c>
      <c r="B201" s="2651" t="s">
        <v>8946</v>
      </c>
    </row>
    <row r="202" spans="1:2" x14ac:dyDescent="0.15">
      <c r="A202" t="s">
        <v>7346</v>
      </c>
      <c r="B202" s="2651" t="s">
        <v>9042</v>
      </c>
    </row>
    <row r="203" spans="1:2" x14ac:dyDescent="0.15">
      <c r="A203" t="s">
        <v>7347</v>
      </c>
      <c r="B203" s="2651" t="s">
        <v>8947</v>
      </c>
    </row>
    <row r="204" spans="1:2" x14ac:dyDescent="0.15">
      <c r="A204" t="s">
        <v>7348</v>
      </c>
      <c r="B204" s="2651" t="s">
        <v>9043</v>
      </c>
    </row>
    <row r="205" spans="1:2" x14ac:dyDescent="0.15">
      <c r="A205" t="s">
        <v>7349</v>
      </c>
      <c r="B205" s="2651" t="s">
        <v>8948</v>
      </c>
    </row>
    <row r="206" spans="1:2" x14ac:dyDescent="0.15">
      <c r="A206" t="s">
        <v>7350</v>
      </c>
      <c r="B206" s="2651" t="s">
        <v>9044</v>
      </c>
    </row>
    <row r="207" spans="1:2" x14ac:dyDescent="0.15">
      <c r="A207" t="s">
        <v>7351</v>
      </c>
      <c r="B207" s="2651" t="s">
        <v>8949</v>
      </c>
    </row>
    <row r="208" spans="1:2" x14ac:dyDescent="0.15">
      <c r="A208" t="s">
        <v>7352</v>
      </c>
      <c r="B208" s="2651" t="s">
        <v>9045</v>
      </c>
    </row>
    <row r="209" spans="1:2" x14ac:dyDescent="0.15">
      <c r="A209" t="s">
        <v>8917</v>
      </c>
      <c r="B209" s="2651" t="s">
        <v>8950</v>
      </c>
    </row>
    <row r="210" spans="1:2" x14ac:dyDescent="0.15">
      <c r="A210" t="s">
        <v>8918</v>
      </c>
      <c r="B210" s="2651" t="s">
        <v>9046</v>
      </c>
    </row>
    <row r="211" spans="1:2" x14ac:dyDescent="0.15">
      <c r="A211" s="2652" t="s">
        <v>7353</v>
      </c>
      <c r="B211" s="2651" t="s">
        <v>8924</v>
      </c>
    </row>
    <row r="212" spans="1:2" x14ac:dyDescent="0.15">
      <c r="A212" t="s">
        <v>7354</v>
      </c>
      <c r="B212" s="2651" t="s">
        <v>8926</v>
      </c>
    </row>
    <row r="213" spans="1:2" x14ac:dyDescent="0.15">
      <c r="A213" t="s">
        <v>7355</v>
      </c>
      <c r="B213" s="2651" t="s">
        <v>8927</v>
      </c>
    </row>
    <row r="214" spans="1:2" x14ac:dyDescent="0.15">
      <c r="A214" t="s">
        <v>7356</v>
      </c>
      <c r="B214" s="2651" t="s">
        <v>8928</v>
      </c>
    </row>
    <row r="215" spans="1:2" x14ac:dyDescent="0.15">
      <c r="A215" t="s">
        <v>7357</v>
      </c>
      <c r="B215" s="2651" t="s">
        <v>8929</v>
      </c>
    </row>
    <row r="216" spans="1:2" x14ac:dyDescent="0.15">
      <c r="A216" t="s">
        <v>7358</v>
      </c>
      <c r="B216" s="2651" t="s">
        <v>8930</v>
      </c>
    </row>
    <row r="217" spans="1:2" x14ac:dyDescent="0.15">
      <c r="A217" t="s">
        <v>7359</v>
      </c>
      <c r="B217" s="2651" t="s">
        <v>8931</v>
      </c>
    </row>
    <row r="218" spans="1:2" x14ac:dyDescent="0.15">
      <c r="A218" t="s">
        <v>7360</v>
      </c>
      <c r="B218" s="2651" t="s">
        <v>8932</v>
      </c>
    </row>
    <row r="219" spans="1:2" x14ac:dyDescent="0.15">
      <c r="A219" t="s">
        <v>7361</v>
      </c>
      <c r="B219" s="2651" t="s">
        <v>8933</v>
      </c>
    </row>
    <row r="220" spans="1:2" x14ac:dyDescent="0.15">
      <c r="A220" t="s">
        <v>7362</v>
      </c>
      <c r="B220" s="2651" t="s">
        <v>8934</v>
      </c>
    </row>
    <row r="221" spans="1:2" x14ac:dyDescent="0.15">
      <c r="A221" t="s">
        <v>7363</v>
      </c>
      <c r="B221" s="2651" t="s">
        <v>8935</v>
      </c>
    </row>
    <row r="222" spans="1:2" x14ac:dyDescent="0.15">
      <c r="A222" t="s">
        <v>7364</v>
      </c>
      <c r="B222" s="2651" t="s">
        <v>8936</v>
      </c>
    </row>
    <row r="223" spans="1:2" x14ac:dyDescent="0.15">
      <c r="A223" t="s">
        <v>7365</v>
      </c>
      <c r="B223" s="2651" t="s">
        <v>8937</v>
      </c>
    </row>
    <row r="224" spans="1:2" x14ac:dyDescent="0.15">
      <c r="A224" t="s">
        <v>7366</v>
      </c>
      <c r="B224" s="2651" t="s">
        <v>8938</v>
      </c>
    </row>
    <row r="225" spans="1:2" x14ac:dyDescent="0.15">
      <c r="A225" t="s">
        <v>7367</v>
      </c>
      <c r="B225" s="2651" t="s">
        <v>8939</v>
      </c>
    </row>
    <row r="226" spans="1:2" x14ac:dyDescent="0.15">
      <c r="A226" t="s">
        <v>7368</v>
      </c>
      <c r="B226" s="2651" t="s">
        <v>8940</v>
      </c>
    </row>
    <row r="227" spans="1:2" x14ac:dyDescent="0.15">
      <c r="A227" t="s">
        <v>7369</v>
      </c>
      <c r="B227" s="2651" t="s">
        <v>8941</v>
      </c>
    </row>
    <row r="228" spans="1:2" x14ac:dyDescent="0.15">
      <c r="A228" t="s">
        <v>7370</v>
      </c>
      <c r="B228" s="2651" t="s">
        <v>8942</v>
      </c>
    </row>
    <row r="229" spans="1:2" x14ac:dyDescent="0.15">
      <c r="A229" t="s">
        <v>7371</v>
      </c>
      <c r="B229" s="2651" t="s">
        <v>8943</v>
      </c>
    </row>
    <row r="230" spans="1:2" x14ac:dyDescent="0.15">
      <c r="A230" t="s">
        <v>7372</v>
      </c>
      <c r="B230" s="2651" t="s">
        <v>8944</v>
      </c>
    </row>
    <row r="231" spans="1:2" x14ac:dyDescent="0.15">
      <c r="A231" t="s">
        <v>7373</v>
      </c>
      <c r="B231" s="2651" t="s">
        <v>8945</v>
      </c>
    </row>
    <row r="232" spans="1:2" x14ac:dyDescent="0.15">
      <c r="A232" t="s">
        <v>7374</v>
      </c>
      <c r="B232" s="2651" t="s">
        <v>8946</v>
      </c>
    </row>
    <row r="233" spans="1:2" x14ac:dyDescent="0.15">
      <c r="A233" t="s">
        <v>7375</v>
      </c>
      <c r="B233" s="2651" t="s">
        <v>8947</v>
      </c>
    </row>
    <row r="234" spans="1:2" x14ac:dyDescent="0.15">
      <c r="A234" t="s">
        <v>7376</v>
      </c>
      <c r="B234" s="2651" t="s">
        <v>8948</v>
      </c>
    </row>
    <row r="235" spans="1:2" x14ac:dyDescent="0.15">
      <c r="A235" t="s">
        <v>7377</v>
      </c>
      <c r="B235" s="2651" t="s">
        <v>8949</v>
      </c>
    </row>
    <row r="236" spans="1:2" x14ac:dyDescent="0.15">
      <c r="A236" t="s">
        <v>7378</v>
      </c>
      <c r="B236" s="2651" t="s">
        <v>8950</v>
      </c>
    </row>
    <row r="237" spans="1:2" x14ac:dyDescent="0.15">
      <c r="A237" t="s">
        <v>7379</v>
      </c>
      <c r="B237" s="2651" t="s">
        <v>8951</v>
      </c>
    </row>
    <row r="238" spans="1:2" x14ac:dyDescent="0.15">
      <c r="A238" t="s">
        <v>7380</v>
      </c>
      <c r="B238" s="2651" t="s">
        <v>8952</v>
      </c>
    </row>
    <row r="239" spans="1:2" x14ac:dyDescent="0.15">
      <c r="A239" t="s">
        <v>7381</v>
      </c>
      <c r="B239" s="2651" t="s">
        <v>8953</v>
      </c>
    </row>
    <row r="240" spans="1:2" x14ac:dyDescent="0.15">
      <c r="A240" t="s">
        <v>7382</v>
      </c>
      <c r="B240" s="2651" t="s">
        <v>8954</v>
      </c>
    </row>
    <row r="241" spans="1:2" x14ac:dyDescent="0.15">
      <c r="A241" t="s">
        <v>7383</v>
      </c>
      <c r="B241" s="2651" t="s">
        <v>8955</v>
      </c>
    </row>
    <row r="242" spans="1:2" x14ac:dyDescent="0.15">
      <c r="A242" t="s">
        <v>7384</v>
      </c>
      <c r="B242" s="2651" t="s">
        <v>8956</v>
      </c>
    </row>
    <row r="243" spans="1:2" x14ac:dyDescent="0.15">
      <c r="A243" t="s">
        <v>7385</v>
      </c>
      <c r="B243" s="2651" t="s">
        <v>8957</v>
      </c>
    </row>
    <row r="244" spans="1:2" x14ac:dyDescent="0.15">
      <c r="A244" t="s">
        <v>7386</v>
      </c>
      <c r="B244" s="2651" t="s">
        <v>8958</v>
      </c>
    </row>
    <row r="245" spans="1:2" x14ac:dyDescent="0.15">
      <c r="A245" t="s">
        <v>7387</v>
      </c>
      <c r="B245" s="2651" t="s">
        <v>8959</v>
      </c>
    </row>
    <row r="246" spans="1:2" x14ac:dyDescent="0.15">
      <c r="A246" t="s">
        <v>7388</v>
      </c>
      <c r="B246" s="2651" t="s">
        <v>8960</v>
      </c>
    </row>
    <row r="247" spans="1:2" x14ac:dyDescent="0.15">
      <c r="A247" t="s">
        <v>7389</v>
      </c>
      <c r="B247" s="2651" t="s">
        <v>8961</v>
      </c>
    </row>
    <row r="248" spans="1:2" x14ac:dyDescent="0.15">
      <c r="A248" t="s">
        <v>7390</v>
      </c>
      <c r="B248" s="2651" t="s">
        <v>8962</v>
      </c>
    </row>
    <row r="249" spans="1:2" x14ac:dyDescent="0.15">
      <c r="A249" t="s">
        <v>7391</v>
      </c>
      <c r="B249" s="2651" t="s">
        <v>8963</v>
      </c>
    </row>
    <row r="250" spans="1:2" x14ac:dyDescent="0.15">
      <c r="A250" t="s">
        <v>7392</v>
      </c>
      <c r="B250" s="2651" t="s">
        <v>8964</v>
      </c>
    </row>
    <row r="251" spans="1:2" x14ac:dyDescent="0.15">
      <c r="A251" t="s">
        <v>7393</v>
      </c>
      <c r="B251" s="2651" t="s">
        <v>8965</v>
      </c>
    </row>
    <row r="252" spans="1:2" x14ac:dyDescent="0.15">
      <c r="A252" t="s">
        <v>7394</v>
      </c>
      <c r="B252" s="2651" t="s">
        <v>8966</v>
      </c>
    </row>
    <row r="253" spans="1:2" x14ac:dyDescent="0.15">
      <c r="A253" t="s">
        <v>7395</v>
      </c>
      <c r="B253" s="2651" t="s">
        <v>8967</v>
      </c>
    </row>
    <row r="254" spans="1:2" x14ac:dyDescent="0.15">
      <c r="A254" t="s">
        <v>7396</v>
      </c>
      <c r="B254" s="2651" t="s">
        <v>8968</v>
      </c>
    </row>
    <row r="255" spans="1:2" x14ac:dyDescent="0.15">
      <c r="A255" t="s">
        <v>7397</v>
      </c>
      <c r="B255" s="2651" t="s">
        <v>8969</v>
      </c>
    </row>
    <row r="256" spans="1:2" x14ac:dyDescent="0.15">
      <c r="A256" t="s">
        <v>7398</v>
      </c>
      <c r="B256" s="2651" t="s">
        <v>8970</v>
      </c>
    </row>
    <row r="257" spans="1:2" x14ac:dyDescent="0.15">
      <c r="A257" t="s">
        <v>7399</v>
      </c>
      <c r="B257" s="2651" t="s">
        <v>8971</v>
      </c>
    </row>
    <row r="258" spans="1:2" x14ac:dyDescent="0.15">
      <c r="A258" t="s">
        <v>7400</v>
      </c>
      <c r="B258" s="2651" t="s">
        <v>8972</v>
      </c>
    </row>
    <row r="259" spans="1:2" x14ac:dyDescent="0.15">
      <c r="A259" t="s">
        <v>7401</v>
      </c>
      <c r="B259" s="2651" t="s">
        <v>8973</v>
      </c>
    </row>
    <row r="260" spans="1:2" x14ac:dyDescent="0.15">
      <c r="A260" t="s">
        <v>7402</v>
      </c>
      <c r="B260" s="2651" t="s">
        <v>8974</v>
      </c>
    </row>
    <row r="261" spans="1:2" x14ac:dyDescent="0.15">
      <c r="A261" t="s">
        <v>7403</v>
      </c>
      <c r="B261" s="2651" t="s">
        <v>8975</v>
      </c>
    </row>
    <row r="262" spans="1:2" x14ac:dyDescent="0.15">
      <c r="A262" t="s">
        <v>7404</v>
      </c>
      <c r="B262" s="2651" t="s">
        <v>8976</v>
      </c>
    </row>
    <row r="263" spans="1:2" x14ac:dyDescent="0.15">
      <c r="A263" t="s">
        <v>7405</v>
      </c>
      <c r="B263" s="2651" t="s">
        <v>8977</v>
      </c>
    </row>
    <row r="264" spans="1:2" x14ac:dyDescent="0.15">
      <c r="A264" t="s">
        <v>7406</v>
      </c>
      <c r="B264" s="2651" t="s">
        <v>8978</v>
      </c>
    </row>
    <row r="265" spans="1:2" x14ac:dyDescent="0.15">
      <c r="A265" s="2652" t="s">
        <v>7407</v>
      </c>
      <c r="B265" s="2651" t="s">
        <v>8924</v>
      </c>
    </row>
    <row r="266" spans="1:2" x14ac:dyDescent="0.15">
      <c r="A266" t="s">
        <v>7408</v>
      </c>
      <c r="B266" s="2651" t="s">
        <v>8926</v>
      </c>
    </row>
    <row r="267" spans="1:2" x14ac:dyDescent="0.15">
      <c r="A267" t="s">
        <v>7409</v>
      </c>
      <c r="B267" s="2651" t="s">
        <v>8927</v>
      </c>
    </row>
    <row r="268" spans="1:2" x14ac:dyDescent="0.15">
      <c r="A268" t="s">
        <v>7410</v>
      </c>
      <c r="B268" s="2651" t="s">
        <v>8928</v>
      </c>
    </row>
    <row r="269" spans="1:2" x14ac:dyDescent="0.15">
      <c r="A269" t="s">
        <v>7411</v>
      </c>
      <c r="B269" s="2651" t="s">
        <v>8929</v>
      </c>
    </row>
    <row r="270" spans="1:2" x14ac:dyDescent="0.15">
      <c r="A270" t="s">
        <v>7412</v>
      </c>
      <c r="B270" s="2651" t="s">
        <v>8930</v>
      </c>
    </row>
    <row r="271" spans="1:2" x14ac:dyDescent="0.15">
      <c r="A271" t="s">
        <v>7413</v>
      </c>
      <c r="B271" s="2651" t="s">
        <v>8931</v>
      </c>
    </row>
    <row r="272" spans="1:2" x14ac:dyDescent="0.15">
      <c r="A272" t="s">
        <v>7414</v>
      </c>
      <c r="B272" s="2651" t="s">
        <v>8932</v>
      </c>
    </row>
    <row r="273" spans="1:2" x14ac:dyDescent="0.15">
      <c r="A273" t="s">
        <v>7415</v>
      </c>
      <c r="B273" s="2651" t="s">
        <v>8933</v>
      </c>
    </row>
    <row r="274" spans="1:2" x14ac:dyDescent="0.15">
      <c r="A274" t="s">
        <v>7416</v>
      </c>
      <c r="B274" s="2651" t="s">
        <v>8934</v>
      </c>
    </row>
    <row r="275" spans="1:2" x14ac:dyDescent="0.15">
      <c r="A275" t="s">
        <v>7417</v>
      </c>
      <c r="B275" s="2651" t="s">
        <v>8935</v>
      </c>
    </row>
    <row r="276" spans="1:2" x14ac:dyDescent="0.15">
      <c r="A276" t="s">
        <v>7418</v>
      </c>
      <c r="B276" s="2651" t="s">
        <v>8936</v>
      </c>
    </row>
    <row r="277" spans="1:2" x14ac:dyDescent="0.15">
      <c r="A277" t="s">
        <v>7419</v>
      </c>
      <c r="B277" s="2651" t="s">
        <v>8937</v>
      </c>
    </row>
    <row r="278" spans="1:2" x14ac:dyDescent="0.15">
      <c r="A278" t="s">
        <v>7420</v>
      </c>
      <c r="B278" s="2651" t="s">
        <v>8938</v>
      </c>
    </row>
    <row r="279" spans="1:2" x14ac:dyDescent="0.15">
      <c r="A279" t="s">
        <v>7421</v>
      </c>
      <c r="B279" s="2651" t="s">
        <v>8939</v>
      </c>
    </row>
    <row r="280" spans="1:2" x14ac:dyDescent="0.15">
      <c r="A280" t="s">
        <v>7422</v>
      </c>
      <c r="B280" s="2651" t="s">
        <v>8940</v>
      </c>
    </row>
    <row r="281" spans="1:2" x14ac:dyDescent="0.15">
      <c r="A281" t="s">
        <v>7423</v>
      </c>
      <c r="B281" s="2651" t="s">
        <v>8941</v>
      </c>
    </row>
    <row r="282" spans="1:2" x14ac:dyDescent="0.15">
      <c r="A282" t="s">
        <v>7424</v>
      </c>
      <c r="B282" s="2651" t="s">
        <v>8942</v>
      </c>
    </row>
    <row r="283" spans="1:2" x14ac:dyDescent="0.15">
      <c r="A283" t="s">
        <v>7425</v>
      </c>
      <c r="B283" s="2651" t="s">
        <v>8943</v>
      </c>
    </row>
    <row r="284" spans="1:2" x14ac:dyDescent="0.15">
      <c r="A284" t="s">
        <v>7426</v>
      </c>
      <c r="B284" s="2651" t="s">
        <v>8944</v>
      </c>
    </row>
    <row r="285" spans="1:2" x14ac:dyDescent="0.15">
      <c r="A285" t="s">
        <v>7427</v>
      </c>
      <c r="B285" s="2651" t="s">
        <v>8945</v>
      </c>
    </row>
    <row r="286" spans="1:2" x14ac:dyDescent="0.15">
      <c r="A286" t="s">
        <v>7428</v>
      </c>
      <c r="B286" s="2651" t="s">
        <v>8946</v>
      </c>
    </row>
    <row r="287" spans="1:2" x14ac:dyDescent="0.15">
      <c r="A287" t="s">
        <v>7429</v>
      </c>
      <c r="B287" s="2651" t="s">
        <v>8947</v>
      </c>
    </row>
    <row r="288" spans="1:2" x14ac:dyDescent="0.15">
      <c r="A288" t="s">
        <v>7430</v>
      </c>
      <c r="B288" s="2651" t="s">
        <v>8948</v>
      </c>
    </row>
    <row r="289" spans="1:2" x14ac:dyDescent="0.15">
      <c r="A289" t="s">
        <v>7431</v>
      </c>
      <c r="B289" s="2651" t="s">
        <v>8949</v>
      </c>
    </row>
    <row r="290" spans="1:2" x14ac:dyDescent="0.15">
      <c r="A290" t="s">
        <v>7432</v>
      </c>
      <c r="B290" s="2651" t="s">
        <v>8950</v>
      </c>
    </row>
    <row r="291" spans="1:2" x14ac:dyDescent="0.15">
      <c r="A291" t="s">
        <v>7433</v>
      </c>
      <c r="B291" s="2651" t="s">
        <v>8951</v>
      </c>
    </row>
    <row r="292" spans="1:2" x14ac:dyDescent="0.15">
      <c r="A292" t="s">
        <v>7434</v>
      </c>
      <c r="B292" s="2651" t="s">
        <v>8952</v>
      </c>
    </row>
    <row r="293" spans="1:2" x14ac:dyDescent="0.15">
      <c r="A293" t="s">
        <v>7435</v>
      </c>
      <c r="B293" s="2651" t="s">
        <v>8953</v>
      </c>
    </row>
    <row r="294" spans="1:2" x14ac:dyDescent="0.15">
      <c r="A294" t="s">
        <v>7436</v>
      </c>
      <c r="B294" s="2651" t="s">
        <v>8954</v>
      </c>
    </row>
    <row r="295" spans="1:2" x14ac:dyDescent="0.15">
      <c r="A295" t="s">
        <v>7437</v>
      </c>
      <c r="B295" s="2651" t="s">
        <v>8955</v>
      </c>
    </row>
    <row r="296" spans="1:2" x14ac:dyDescent="0.15">
      <c r="A296" t="s">
        <v>7438</v>
      </c>
      <c r="B296" s="2651" t="s">
        <v>8956</v>
      </c>
    </row>
    <row r="297" spans="1:2" x14ac:dyDescent="0.15">
      <c r="A297" t="s">
        <v>7439</v>
      </c>
      <c r="B297" s="2651" t="s">
        <v>8957</v>
      </c>
    </row>
    <row r="298" spans="1:2" x14ac:dyDescent="0.15">
      <c r="A298" t="s">
        <v>7440</v>
      </c>
      <c r="B298" s="2651" t="s">
        <v>8958</v>
      </c>
    </row>
    <row r="299" spans="1:2" x14ac:dyDescent="0.15">
      <c r="A299" t="s">
        <v>7441</v>
      </c>
      <c r="B299" s="2651" t="s">
        <v>8959</v>
      </c>
    </row>
    <row r="300" spans="1:2" x14ac:dyDescent="0.15">
      <c r="A300" t="s">
        <v>7442</v>
      </c>
      <c r="B300" s="2651" t="s">
        <v>8960</v>
      </c>
    </row>
    <row r="301" spans="1:2" x14ac:dyDescent="0.15">
      <c r="A301" t="s">
        <v>7443</v>
      </c>
      <c r="B301" s="2651" t="s">
        <v>8961</v>
      </c>
    </row>
    <row r="302" spans="1:2" x14ac:dyDescent="0.15">
      <c r="A302" t="s">
        <v>7444</v>
      </c>
      <c r="B302" s="2651" t="s">
        <v>8962</v>
      </c>
    </row>
    <row r="303" spans="1:2" x14ac:dyDescent="0.15">
      <c r="A303" t="s">
        <v>7445</v>
      </c>
      <c r="B303" s="2651" t="s">
        <v>8963</v>
      </c>
    </row>
    <row r="304" spans="1:2" x14ac:dyDescent="0.15">
      <c r="A304" t="s">
        <v>7446</v>
      </c>
      <c r="B304" s="2651" t="s">
        <v>8964</v>
      </c>
    </row>
    <row r="305" spans="1:2" x14ac:dyDescent="0.15">
      <c r="A305" t="s">
        <v>7447</v>
      </c>
      <c r="B305" s="2651" t="s">
        <v>8965</v>
      </c>
    </row>
    <row r="306" spans="1:2" x14ac:dyDescent="0.15">
      <c r="A306" t="s">
        <v>7448</v>
      </c>
      <c r="B306" s="2651" t="s">
        <v>8966</v>
      </c>
    </row>
    <row r="307" spans="1:2" x14ac:dyDescent="0.15">
      <c r="A307" t="s">
        <v>7449</v>
      </c>
      <c r="B307" s="2651" t="s">
        <v>8967</v>
      </c>
    </row>
    <row r="308" spans="1:2" x14ac:dyDescent="0.15">
      <c r="A308" t="s">
        <v>7450</v>
      </c>
      <c r="B308" s="2651" t="s">
        <v>8968</v>
      </c>
    </row>
    <row r="309" spans="1:2" x14ac:dyDescent="0.15">
      <c r="A309" t="s">
        <v>7451</v>
      </c>
      <c r="B309" s="2651" t="s">
        <v>8969</v>
      </c>
    </row>
    <row r="310" spans="1:2" x14ac:dyDescent="0.15">
      <c r="A310" t="s">
        <v>7452</v>
      </c>
      <c r="B310" s="2651" t="s">
        <v>8970</v>
      </c>
    </row>
    <row r="311" spans="1:2" x14ac:dyDescent="0.15">
      <c r="A311" t="s">
        <v>7453</v>
      </c>
      <c r="B311" s="2651" t="s">
        <v>8971</v>
      </c>
    </row>
    <row r="312" spans="1:2" x14ac:dyDescent="0.15">
      <c r="A312" t="s">
        <v>7454</v>
      </c>
      <c r="B312" s="2651" t="s">
        <v>8972</v>
      </c>
    </row>
    <row r="313" spans="1:2" x14ac:dyDescent="0.15">
      <c r="A313" t="s">
        <v>7455</v>
      </c>
      <c r="B313" s="2651" t="s">
        <v>8973</v>
      </c>
    </row>
    <row r="314" spans="1:2" x14ac:dyDescent="0.15">
      <c r="A314" t="s">
        <v>7456</v>
      </c>
      <c r="B314" s="2651" t="s">
        <v>8974</v>
      </c>
    </row>
    <row r="315" spans="1:2" x14ac:dyDescent="0.15">
      <c r="A315" t="s">
        <v>7457</v>
      </c>
      <c r="B315" s="2651" t="s">
        <v>8975</v>
      </c>
    </row>
    <row r="316" spans="1:2" x14ac:dyDescent="0.15">
      <c r="A316" t="s">
        <v>7458</v>
      </c>
      <c r="B316" s="2651" t="s">
        <v>8976</v>
      </c>
    </row>
    <row r="317" spans="1:2" x14ac:dyDescent="0.15">
      <c r="A317" t="s">
        <v>7459</v>
      </c>
      <c r="B317" s="2651" t="s">
        <v>8977</v>
      </c>
    </row>
    <row r="318" spans="1:2" x14ac:dyDescent="0.15">
      <c r="A318" t="s">
        <v>7460</v>
      </c>
      <c r="B318" s="2651" t="s">
        <v>8978</v>
      </c>
    </row>
    <row r="319" spans="1:2" x14ac:dyDescent="0.15">
      <c r="A319" s="2652" t="s">
        <v>7461</v>
      </c>
      <c r="B319" s="2651" t="s">
        <v>8924</v>
      </c>
    </row>
    <row r="320" spans="1:2" x14ac:dyDescent="0.15">
      <c r="A320" t="s">
        <v>7462</v>
      </c>
      <c r="B320" s="2651" t="s">
        <v>8926</v>
      </c>
    </row>
    <row r="321" spans="1:2" x14ac:dyDescent="0.15">
      <c r="A321" t="s">
        <v>7463</v>
      </c>
      <c r="B321" s="2651" t="s">
        <v>8927</v>
      </c>
    </row>
    <row r="322" spans="1:2" x14ac:dyDescent="0.15">
      <c r="A322" t="s">
        <v>7464</v>
      </c>
      <c r="B322" s="2651" t="s">
        <v>8928</v>
      </c>
    </row>
    <row r="323" spans="1:2" x14ac:dyDescent="0.15">
      <c r="A323" t="s">
        <v>7465</v>
      </c>
      <c r="B323" s="2651" t="s">
        <v>8929</v>
      </c>
    </row>
    <row r="324" spans="1:2" x14ac:dyDescent="0.15">
      <c r="A324" t="s">
        <v>7466</v>
      </c>
      <c r="B324" s="2651" t="s">
        <v>8930</v>
      </c>
    </row>
    <row r="325" spans="1:2" x14ac:dyDescent="0.15">
      <c r="A325" t="s">
        <v>7467</v>
      </c>
      <c r="B325" s="2651" t="s">
        <v>8931</v>
      </c>
    </row>
    <row r="326" spans="1:2" x14ac:dyDescent="0.15">
      <c r="A326" t="s">
        <v>7468</v>
      </c>
      <c r="B326" s="2651" t="s">
        <v>8932</v>
      </c>
    </row>
    <row r="327" spans="1:2" x14ac:dyDescent="0.15">
      <c r="A327" t="s">
        <v>7469</v>
      </c>
      <c r="B327" s="2651" t="s">
        <v>8933</v>
      </c>
    </row>
    <row r="328" spans="1:2" x14ac:dyDescent="0.15">
      <c r="A328" t="s">
        <v>7470</v>
      </c>
      <c r="B328" s="2651" t="s">
        <v>8934</v>
      </c>
    </row>
    <row r="329" spans="1:2" x14ac:dyDescent="0.15">
      <c r="A329" t="s">
        <v>7471</v>
      </c>
      <c r="B329" s="2651" t="s">
        <v>8935</v>
      </c>
    </row>
    <row r="330" spans="1:2" x14ac:dyDescent="0.15">
      <c r="A330" t="s">
        <v>7472</v>
      </c>
      <c r="B330" s="2651" t="s">
        <v>8936</v>
      </c>
    </row>
    <row r="331" spans="1:2" x14ac:dyDescent="0.15">
      <c r="A331" t="s">
        <v>7473</v>
      </c>
      <c r="B331" s="2651" t="s">
        <v>8937</v>
      </c>
    </row>
    <row r="332" spans="1:2" x14ac:dyDescent="0.15">
      <c r="A332" t="s">
        <v>7474</v>
      </c>
      <c r="B332" s="2651" t="s">
        <v>8938</v>
      </c>
    </row>
    <row r="333" spans="1:2" x14ac:dyDescent="0.15">
      <c r="A333" t="s">
        <v>7475</v>
      </c>
      <c r="B333" s="2651" t="s">
        <v>8939</v>
      </c>
    </row>
    <row r="334" spans="1:2" x14ac:dyDescent="0.15">
      <c r="A334" t="s">
        <v>7476</v>
      </c>
      <c r="B334" s="2651" t="s">
        <v>8940</v>
      </c>
    </row>
    <row r="335" spans="1:2" x14ac:dyDescent="0.15">
      <c r="A335" t="s">
        <v>7477</v>
      </c>
      <c r="B335" s="2651" t="s">
        <v>8941</v>
      </c>
    </row>
    <row r="336" spans="1:2" x14ac:dyDescent="0.15">
      <c r="A336" t="s">
        <v>7478</v>
      </c>
      <c r="B336" s="2651" t="s">
        <v>8942</v>
      </c>
    </row>
    <row r="337" spans="1:2" x14ac:dyDescent="0.15">
      <c r="A337" t="s">
        <v>7479</v>
      </c>
      <c r="B337" s="2651" t="s">
        <v>8943</v>
      </c>
    </row>
    <row r="338" spans="1:2" x14ac:dyDescent="0.15">
      <c r="A338" t="s">
        <v>7480</v>
      </c>
      <c r="B338" s="2651" t="s">
        <v>8944</v>
      </c>
    </row>
    <row r="339" spans="1:2" x14ac:dyDescent="0.15">
      <c r="A339" t="s">
        <v>7481</v>
      </c>
      <c r="B339" s="2651" t="s">
        <v>8945</v>
      </c>
    </row>
    <row r="340" spans="1:2" x14ac:dyDescent="0.15">
      <c r="A340" t="s">
        <v>7482</v>
      </c>
      <c r="B340" s="2651" t="s">
        <v>8946</v>
      </c>
    </row>
    <row r="341" spans="1:2" x14ac:dyDescent="0.15">
      <c r="A341" t="s">
        <v>7483</v>
      </c>
      <c r="B341" s="2651" t="s">
        <v>8947</v>
      </c>
    </row>
    <row r="342" spans="1:2" x14ac:dyDescent="0.15">
      <c r="A342" t="s">
        <v>7484</v>
      </c>
      <c r="B342" s="2651" t="s">
        <v>8948</v>
      </c>
    </row>
    <row r="343" spans="1:2" x14ac:dyDescent="0.15">
      <c r="A343" t="s">
        <v>7485</v>
      </c>
      <c r="B343" s="2651" t="s">
        <v>8949</v>
      </c>
    </row>
    <row r="344" spans="1:2" x14ac:dyDescent="0.15">
      <c r="A344" t="s">
        <v>7486</v>
      </c>
      <c r="B344" s="2651" t="s">
        <v>8950</v>
      </c>
    </row>
    <row r="345" spans="1:2" x14ac:dyDescent="0.15">
      <c r="A345" t="s">
        <v>7487</v>
      </c>
      <c r="B345" s="2651" t="s">
        <v>8951</v>
      </c>
    </row>
    <row r="346" spans="1:2" x14ac:dyDescent="0.15">
      <c r="A346" t="s">
        <v>7488</v>
      </c>
      <c r="B346" s="2651" t="s">
        <v>8952</v>
      </c>
    </row>
    <row r="347" spans="1:2" x14ac:dyDescent="0.15">
      <c r="A347" t="s">
        <v>7489</v>
      </c>
      <c r="B347" s="2651" t="s">
        <v>8953</v>
      </c>
    </row>
    <row r="348" spans="1:2" x14ac:dyDescent="0.15">
      <c r="A348" t="s">
        <v>7490</v>
      </c>
      <c r="B348" s="2651" t="s">
        <v>8954</v>
      </c>
    </row>
    <row r="349" spans="1:2" x14ac:dyDescent="0.15">
      <c r="A349" t="s">
        <v>7491</v>
      </c>
      <c r="B349" s="2651" t="s">
        <v>8955</v>
      </c>
    </row>
    <row r="350" spans="1:2" x14ac:dyDescent="0.15">
      <c r="A350" t="s">
        <v>7492</v>
      </c>
      <c r="B350" s="2651" t="s">
        <v>8956</v>
      </c>
    </row>
    <row r="351" spans="1:2" x14ac:dyDescent="0.15">
      <c r="A351" t="s">
        <v>7493</v>
      </c>
      <c r="B351" s="2651" t="s">
        <v>8957</v>
      </c>
    </row>
    <row r="352" spans="1:2" x14ac:dyDescent="0.15">
      <c r="A352" t="s">
        <v>7494</v>
      </c>
      <c r="B352" s="2651" t="s">
        <v>8958</v>
      </c>
    </row>
    <row r="353" spans="1:2" x14ac:dyDescent="0.15">
      <c r="A353" t="s">
        <v>7495</v>
      </c>
      <c r="B353" s="2651" t="s">
        <v>8959</v>
      </c>
    </row>
    <row r="354" spans="1:2" x14ac:dyDescent="0.15">
      <c r="A354" t="s">
        <v>7496</v>
      </c>
      <c r="B354" s="2651" t="s">
        <v>8960</v>
      </c>
    </row>
    <row r="355" spans="1:2" x14ac:dyDescent="0.15">
      <c r="A355" s="2652" t="s">
        <v>7497</v>
      </c>
      <c r="B355" s="2651" t="s">
        <v>8924</v>
      </c>
    </row>
    <row r="356" spans="1:2" x14ac:dyDescent="0.15">
      <c r="A356" t="s">
        <v>7498</v>
      </c>
      <c r="B356" s="2651" t="s">
        <v>8926</v>
      </c>
    </row>
    <row r="357" spans="1:2" x14ac:dyDescent="0.15">
      <c r="A357" t="s">
        <v>7499</v>
      </c>
      <c r="B357" s="2651" t="s">
        <v>8927</v>
      </c>
    </row>
    <row r="358" spans="1:2" x14ac:dyDescent="0.15">
      <c r="A358" t="s">
        <v>7500</v>
      </c>
      <c r="B358" s="2651" t="s">
        <v>8928</v>
      </c>
    </row>
    <row r="359" spans="1:2" x14ac:dyDescent="0.15">
      <c r="A359" t="s">
        <v>7501</v>
      </c>
      <c r="B359" s="2651" t="s">
        <v>8929</v>
      </c>
    </row>
    <row r="360" spans="1:2" x14ac:dyDescent="0.15">
      <c r="A360" t="s">
        <v>7502</v>
      </c>
      <c r="B360" s="2651" t="s">
        <v>8930</v>
      </c>
    </row>
    <row r="361" spans="1:2" x14ac:dyDescent="0.15">
      <c r="A361" t="s">
        <v>7503</v>
      </c>
      <c r="B361" s="2651" t="s">
        <v>8931</v>
      </c>
    </row>
    <row r="362" spans="1:2" x14ac:dyDescent="0.15">
      <c r="A362" t="s">
        <v>7504</v>
      </c>
      <c r="B362" s="2651" t="s">
        <v>8932</v>
      </c>
    </row>
    <row r="363" spans="1:2" x14ac:dyDescent="0.15">
      <c r="A363" t="s">
        <v>7505</v>
      </c>
      <c r="B363" s="2651" t="s">
        <v>8933</v>
      </c>
    </row>
    <row r="364" spans="1:2" x14ac:dyDescent="0.15">
      <c r="A364" t="s">
        <v>7506</v>
      </c>
      <c r="B364" s="2651" t="s">
        <v>8934</v>
      </c>
    </row>
    <row r="365" spans="1:2" x14ac:dyDescent="0.15">
      <c r="A365" t="s">
        <v>7507</v>
      </c>
      <c r="B365" s="2651" t="s">
        <v>8935</v>
      </c>
    </row>
    <row r="366" spans="1:2" x14ac:dyDescent="0.15">
      <c r="A366" t="s">
        <v>7508</v>
      </c>
      <c r="B366" s="2651" t="s">
        <v>8936</v>
      </c>
    </row>
    <row r="367" spans="1:2" x14ac:dyDescent="0.15">
      <c r="A367" t="s">
        <v>7509</v>
      </c>
      <c r="B367" s="2651" t="s">
        <v>8937</v>
      </c>
    </row>
    <row r="368" spans="1:2" x14ac:dyDescent="0.15">
      <c r="A368" t="s">
        <v>7510</v>
      </c>
      <c r="B368" s="2651" t="s">
        <v>8938</v>
      </c>
    </row>
    <row r="369" spans="1:2" x14ac:dyDescent="0.15">
      <c r="A369" t="s">
        <v>7511</v>
      </c>
      <c r="B369" s="2651" t="s">
        <v>8939</v>
      </c>
    </row>
    <row r="370" spans="1:2" x14ac:dyDescent="0.15">
      <c r="A370" t="s">
        <v>7512</v>
      </c>
      <c r="B370" s="2651" t="s">
        <v>8940</v>
      </c>
    </row>
    <row r="371" spans="1:2" x14ac:dyDescent="0.15">
      <c r="A371" t="s">
        <v>7513</v>
      </c>
      <c r="B371" s="2651" t="s">
        <v>8941</v>
      </c>
    </row>
    <row r="372" spans="1:2" x14ac:dyDescent="0.15">
      <c r="A372" t="s">
        <v>7514</v>
      </c>
      <c r="B372" s="2651" t="s">
        <v>8942</v>
      </c>
    </row>
    <row r="373" spans="1:2" x14ac:dyDescent="0.15">
      <c r="A373" t="s">
        <v>7515</v>
      </c>
      <c r="B373" s="2651" t="s">
        <v>8943</v>
      </c>
    </row>
    <row r="374" spans="1:2" x14ac:dyDescent="0.15">
      <c r="A374" t="s">
        <v>7516</v>
      </c>
      <c r="B374" s="2651" t="s">
        <v>8944</v>
      </c>
    </row>
    <row r="375" spans="1:2" x14ac:dyDescent="0.15">
      <c r="A375" t="s">
        <v>7517</v>
      </c>
      <c r="B375" s="2651" t="s">
        <v>8945</v>
      </c>
    </row>
    <row r="376" spans="1:2" x14ac:dyDescent="0.15">
      <c r="A376" t="s">
        <v>7518</v>
      </c>
      <c r="B376" s="2651" t="s">
        <v>8946</v>
      </c>
    </row>
    <row r="377" spans="1:2" x14ac:dyDescent="0.15">
      <c r="A377" t="s">
        <v>7519</v>
      </c>
      <c r="B377" s="2651" t="s">
        <v>8947</v>
      </c>
    </row>
    <row r="378" spans="1:2" x14ac:dyDescent="0.15">
      <c r="A378" t="s">
        <v>7520</v>
      </c>
      <c r="B378" s="2651" t="s">
        <v>8948</v>
      </c>
    </row>
    <row r="379" spans="1:2" x14ac:dyDescent="0.15">
      <c r="A379" t="s">
        <v>7521</v>
      </c>
      <c r="B379" s="2651" t="s">
        <v>8949</v>
      </c>
    </row>
    <row r="380" spans="1:2" x14ac:dyDescent="0.15">
      <c r="A380" t="s">
        <v>7522</v>
      </c>
      <c r="B380" s="2651" t="s">
        <v>8950</v>
      </c>
    </row>
    <row r="381" spans="1:2" x14ac:dyDescent="0.15">
      <c r="A381" t="s">
        <v>7523</v>
      </c>
      <c r="B381" s="2651" t="s">
        <v>8951</v>
      </c>
    </row>
    <row r="382" spans="1:2" x14ac:dyDescent="0.15">
      <c r="A382" t="s">
        <v>7524</v>
      </c>
      <c r="B382" s="2651" t="s">
        <v>8952</v>
      </c>
    </row>
    <row r="383" spans="1:2" x14ac:dyDescent="0.15">
      <c r="A383" t="s">
        <v>7525</v>
      </c>
      <c r="B383" s="2651" t="s">
        <v>8953</v>
      </c>
    </row>
    <row r="384" spans="1:2" x14ac:dyDescent="0.15">
      <c r="A384" t="s">
        <v>7526</v>
      </c>
      <c r="B384" s="2651" t="s">
        <v>8954</v>
      </c>
    </row>
    <row r="385" spans="1:2" x14ac:dyDescent="0.15">
      <c r="A385" t="s">
        <v>7527</v>
      </c>
      <c r="B385" s="2651" t="s">
        <v>8955</v>
      </c>
    </row>
    <row r="386" spans="1:2" x14ac:dyDescent="0.15">
      <c r="A386" t="s">
        <v>7528</v>
      </c>
      <c r="B386" s="2651" t="s">
        <v>8956</v>
      </c>
    </row>
    <row r="387" spans="1:2" x14ac:dyDescent="0.15">
      <c r="A387" t="s">
        <v>7529</v>
      </c>
      <c r="B387" s="2651" t="s">
        <v>8957</v>
      </c>
    </row>
    <row r="388" spans="1:2" x14ac:dyDescent="0.15">
      <c r="A388" t="s">
        <v>7530</v>
      </c>
      <c r="B388" s="2651" t="s">
        <v>8958</v>
      </c>
    </row>
    <row r="389" spans="1:2" x14ac:dyDescent="0.15">
      <c r="A389" t="s">
        <v>7531</v>
      </c>
      <c r="B389" s="2651" t="s">
        <v>8959</v>
      </c>
    </row>
    <row r="390" spans="1:2" x14ac:dyDescent="0.15">
      <c r="A390" t="s">
        <v>7532</v>
      </c>
      <c r="B390" s="2651" t="s">
        <v>8960</v>
      </c>
    </row>
    <row r="391" spans="1:2" x14ac:dyDescent="0.15">
      <c r="A391" s="2652" t="s">
        <v>7533</v>
      </c>
      <c r="B391" s="2651" t="s">
        <v>8924</v>
      </c>
    </row>
    <row r="392" spans="1:2" x14ac:dyDescent="0.15">
      <c r="A392" t="s">
        <v>7534</v>
      </c>
      <c r="B392" s="2651" t="s">
        <v>8926</v>
      </c>
    </row>
    <row r="393" spans="1:2" x14ac:dyDescent="0.15">
      <c r="A393" t="s">
        <v>7535</v>
      </c>
      <c r="B393" s="2651" t="s">
        <v>8927</v>
      </c>
    </row>
    <row r="394" spans="1:2" x14ac:dyDescent="0.15">
      <c r="A394" t="s">
        <v>7536</v>
      </c>
      <c r="B394" s="2651" t="s">
        <v>8928</v>
      </c>
    </row>
    <row r="395" spans="1:2" x14ac:dyDescent="0.15">
      <c r="A395" t="s">
        <v>7537</v>
      </c>
      <c r="B395" s="2651" t="s">
        <v>8929</v>
      </c>
    </row>
    <row r="396" spans="1:2" x14ac:dyDescent="0.15">
      <c r="A396" t="s">
        <v>7538</v>
      </c>
      <c r="B396" s="2651" t="s">
        <v>8930</v>
      </c>
    </row>
    <row r="397" spans="1:2" x14ac:dyDescent="0.15">
      <c r="A397" t="s">
        <v>7539</v>
      </c>
      <c r="B397" s="2651" t="s">
        <v>8931</v>
      </c>
    </row>
    <row r="398" spans="1:2" x14ac:dyDescent="0.15">
      <c r="A398" t="s">
        <v>7540</v>
      </c>
      <c r="B398" s="2651" t="s">
        <v>8932</v>
      </c>
    </row>
    <row r="399" spans="1:2" x14ac:dyDescent="0.15">
      <c r="A399" t="s">
        <v>7541</v>
      </c>
      <c r="B399" s="2651" t="s">
        <v>8933</v>
      </c>
    </row>
    <row r="400" spans="1:2" x14ac:dyDescent="0.15">
      <c r="A400" t="s">
        <v>7542</v>
      </c>
      <c r="B400" s="2651" t="s">
        <v>8934</v>
      </c>
    </row>
    <row r="401" spans="1:2" x14ac:dyDescent="0.15">
      <c r="A401" t="s">
        <v>7543</v>
      </c>
      <c r="B401" s="2651" t="s">
        <v>8935</v>
      </c>
    </row>
    <row r="402" spans="1:2" x14ac:dyDescent="0.15">
      <c r="A402" t="s">
        <v>7544</v>
      </c>
      <c r="B402" s="2651" t="s">
        <v>8936</v>
      </c>
    </row>
    <row r="403" spans="1:2" x14ac:dyDescent="0.15">
      <c r="A403" t="s">
        <v>7545</v>
      </c>
      <c r="B403" s="2651" t="s">
        <v>8937</v>
      </c>
    </row>
    <row r="404" spans="1:2" x14ac:dyDescent="0.15">
      <c r="A404" t="s">
        <v>7546</v>
      </c>
      <c r="B404" s="2651" t="s">
        <v>8938</v>
      </c>
    </row>
    <row r="405" spans="1:2" x14ac:dyDescent="0.15">
      <c r="A405" t="s">
        <v>7547</v>
      </c>
      <c r="B405" s="2651" t="s">
        <v>8939</v>
      </c>
    </row>
    <row r="406" spans="1:2" x14ac:dyDescent="0.15">
      <c r="A406" t="s">
        <v>7548</v>
      </c>
      <c r="B406" s="2651" t="s">
        <v>8940</v>
      </c>
    </row>
    <row r="407" spans="1:2" x14ac:dyDescent="0.15">
      <c r="A407" t="s">
        <v>7549</v>
      </c>
      <c r="B407" s="2651" t="s">
        <v>8941</v>
      </c>
    </row>
    <row r="408" spans="1:2" x14ac:dyDescent="0.15">
      <c r="A408" t="s">
        <v>7550</v>
      </c>
      <c r="B408" s="2651" t="s">
        <v>8942</v>
      </c>
    </row>
    <row r="409" spans="1:2" x14ac:dyDescent="0.15">
      <c r="A409" t="s">
        <v>7551</v>
      </c>
      <c r="B409" s="2651" t="s">
        <v>8943</v>
      </c>
    </row>
    <row r="410" spans="1:2" x14ac:dyDescent="0.15">
      <c r="A410" t="s">
        <v>7552</v>
      </c>
      <c r="B410" s="2651" t="s">
        <v>8944</v>
      </c>
    </row>
    <row r="411" spans="1:2" x14ac:dyDescent="0.15">
      <c r="A411" t="s">
        <v>7553</v>
      </c>
      <c r="B411" s="2651" t="s">
        <v>8945</v>
      </c>
    </row>
    <row r="412" spans="1:2" x14ac:dyDescent="0.15">
      <c r="A412" t="s">
        <v>7554</v>
      </c>
      <c r="B412" s="2651" t="s">
        <v>8946</v>
      </c>
    </row>
    <row r="413" spans="1:2" x14ac:dyDescent="0.15">
      <c r="A413" t="s">
        <v>7555</v>
      </c>
      <c r="B413" s="2651" t="s">
        <v>8947</v>
      </c>
    </row>
    <row r="414" spans="1:2" x14ac:dyDescent="0.15">
      <c r="A414" t="s">
        <v>7556</v>
      </c>
      <c r="B414" s="2651" t="s">
        <v>8948</v>
      </c>
    </row>
    <row r="415" spans="1:2" x14ac:dyDescent="0.15">
      <c r="A415" t="s">
        <v>7557</v>
      </c>
      <c r="B415" s="2651" t="s">
        <v>8949</v>
      </c>
    </row>
    <row r="416" spans="1:2" x14ac:dyDescent="0.15">
      <c r="A416" t="s">
        <v>7558</v>
      </c>
      <c r="B416" s="2651" t="s">
        <v>8950</v>
      </c>
    </row>
    <row r="417" spans="1:2" x14ac:dyDescent="0.15">
      <c r="A417" t="s">
        <v>7559</v>
      </c>
      <c r="B417" s="2651" t="s">
        <v>8951</v>
      </c>
    </row>
    <row r="418" spans="1:2" x14ac:dyDescent="0.15">
      <c r="A418" t="s">
        <v>7560</v>
      </c>
      <c r="B418" s="2651" t="s">
        <v>8952</v>
      </c>
    </row>
    <row r="419" spans="1:2" x14ac:dyDescent="0.15">
      <c r="A419" t="s">
        <v>7561</v>
      </c>
      <c r="B419" s="2651" t="s">
        <v>8953</v>
      </c>
    </row>
    <row r="420" spans="1:2" x14ac:dyDescent="0.15">
      <c r="A420" t="s">
        <v>7562</v>
      </c>
      <c r="B420" s="2651" t="s">
        <v>8954</v>
      </c>
    </row>
    <row r="421" spans="1:2" x14ac:dyDescent="0.15">
      <c r="A421" t="s">
        <v>7563</v>
      </c>
      <c r="B421" s="2651" t="s">
        <v>8955</v>
      </c>
    </row>
    <row r="422" spans="1:2" x14ac:dyDescent="0.15">
      <c r="A422" t="s">
        <v>7564</v>
      </c>
      <c r="B422" s="2651" t="s">
        <v>8956</v>
      </c>
    </row>
    <row r="423" spans="1:2" x14ac:dyDescent="0.15">
      <c r="A423" t="s">
        <v>7565</v>
      </c>
      <c r="B423" s="2651" t="s">
        <v>8957</v>
      </c>
    </row>
    <row r="424" spans="1:2" x14ac:dyDescent="0.15">
      <c r="A424" t="s">
        <v>7566</v>
      </c>
      <c r="B424" s="2651" t="s">
        <v>8958</v>
      </c>
    </row>
    <row r="425" spans="1:2" x14ac:dyDescent="0.15">
      <c r="A425" t="s">
        <v>7567</v>
      </c>
      <c r="B425" s="2651" t="s">
        <v>8959</v>
      </c>
    </row>
    <row r="426" spans="1:2" x14ac:dyDescent="0.15">
      <c r="A426" t="s">
        <v>7568</v>
      </c>
      <c r="B426" s="2651" t="s">
        <v>8960</v>
      </c>
    </row>
    <row r="427" spans="1:2" x14ac:dyDescent="0.15">
      <c r="A427" t="s">
        <v>7569</v>
      </c>
      <c r="B427" s="2651" t="s">
        <v>8961</v>
      </c>
    </row>
    <row r="428" spans="1:2" x14ac:dyDescent="0.15">
      <c r="A428" t="s">
        <v>7570</v>
      </c>
      <c r="B428" s="2651" t="s">
        <v>8962</v>
      </c>
    </row>
    <row r="429" spans="1:2" x14ac:dyDescent="0.15">
      <c r="A429" s="2652" t="s">
        <v>7571</v>
      </c>
      <c r="B429" s="2651" t="s">
        <v>8924</v>
      </c>
    </row>
    <row r="430" spans="1:2" x14ac:dyDescent="0.15">
      <c r="A430" t="s">
        <v>7572</v>
      </c>
      <c r="B430" s="2651" t="s">
        <v>8926</v>
      </c>
    </row>
    <row r="431" spans="1:2" x14ac:dyDescent="0.15">
      <c r="A431" t="s">
        <v>7573</v>
      </c>
      <c r="B431" s="2651" t="s">
        <v>8927</v>
      </c>
    </row>
    <row r="432" spans="1:2" x14ac:dyDescent="0.15">
      <c r="A432" t="s">
        <v>7574</v>
      </c>
      <c r="B432" s="2651" t="s">
        <v>8928</v>
      </c>
    </row>
    <row r="433" spans="1:2" x14ac:dyDescent="0.15">
      <c r="A433" t="s">
        <v>7575</v>
      </c>
      <c r="B433" s="2651" t="s">
        <v>8929</v>
      </c>
    </row>
    <row r="434" spans="1:2" x14ac:dyDescent="0.15">
      <c r="A434" t="s">
        <v>7576</v>
      </c>
      <c r="B434" s="2651" t="s">
        <v>8930</v>
      </c>
    </row>
    <row r="435" spans="1:2" x14ac:dyDescent="0.15">
      <c r="A435" t="s">
        <v>7577</v>
      </c>
      <c r="B435" s="2651" t="s">
        <v>8931</v>
      </c>
    </row>
    <row r="436" spans="1:2" x14ac:dyDescent="0.15">
      <c r="A436" t="s">
        <v>7578</v>
      </c>
      <c r="B436" s="2651" t="s">
        <v>8932</v>
      </c>
    </row>
    <row r="437" spans="1:2" x14ac:dyDescent="0.15">
      <c r="A437" t="s">
        <v>7579</v>
      </c>
      <c r="B437" s="2651" t="s">
        <v>8933</v>
      </c>
    </row>
    <row r="438" spans="1:2" x14ac:dyDescent="0.15">
      <c r="A438" t="s">
        <v>7580</v>
      </c>
      <c r="B438" s="2651" t="s">
        <v>8934</v>
      </c>
    </row>
    <row r="439" spans="1:2" x14ac:dyDescent="0.15">
      <c r="A439" t="s">
        <v>7581</v>
      </c>
      <c r="B439" s="2651" t="s">
        <v>8935</v>
      </c>
    </row>
    <row r="440" spans="1:2" x14ac:dyDescent="0.15">
      <c r="A440" t="s">
        <v>7582</v>
      </c>
      <c r="B440" s="2651" t="s">
        <v>8936</v>
      </c>
    </row>
    <row r="441" spans="1:2" x14ac:dyDescent="0.15">
      <c r="A441" t="s">
        <v>7583</v>
      </c>
      <c r="B441" s="2651" t="s">
        <v>8937</v>
      </c>
    </row>
    <row r="442" spans="1:2" x14ac:dyDescent="0.15">
      <c r="A442" t="s">
        <v>7584</v>
      </c>
      <c r="B442" s="2651" t="s">
        <v>8938</v>
      </c>
    </row>
    <row r="443" spans="1:2" x14ac:dyDescent="0.15">
      <c r="A443" t="s">
        <v>7585</v>
      </c>
      <c r="B443" s="2651" t="s">
        <v>8939</v>
      </c>
    </row>
    <row r="444" spans="1:2" x14ac:dyDescent="0.15">
      <c r="A444" t="s">
        <v>7586</v>
      </c>
      <c r="B444" s="2651" t="s">
        <v>8940</v>
      </c>
    </row>
    <row r="445" spans="1:2" x14ac:dyDescent="0.15">
      <c r="A445" t="s">
        <v>7587</v>
      </c>
      <c r="B445" s="2651" t="s">
        <v>8941</v>
      </c>
    </row>
    <row r="446" spans="1:2" x14ac:dyDescent="0.15">
      <c r="A446" t="s">
        <v>7588</v>
      </c>
      <c r="B446" s="2651" t="s">
        <v>8942</v>
      </c>
    </row>
    <row r="447" spans="1:2" x14ac:dyDescent="0.15">
      <c r="A447" t="s">
        <v>7589</v>
      </c>
      <c r="B447" s="2651" t="s">
        <v>8943</v>
      </c>
    </row>
    <row r="448" spans="1:2" x14ac:dyDescent="0.15">
      <c r="A448" t="s">
        <v>7590</v>
      </c>
      <c r="B448" s="2651" t="s">
        <v>8944</v>
      </c>
    </row>
    <row r="449" spans="1:2" x14ac:dyDescent="0.15">
      <c r="A449" t="s">
        <v>7591</v>
      </c>
      <c r="B449" s="2651" t="s">
        <v>8945</v>
      </c>
    </row>
    <row r="450" spans="1:2" x14ac:dyDescent="0.15">
      <c r="A450" t="s">
        <v>7592</v>
      </c>
      <c r="B450" s="2651" t="s">
        <v>8946</v>
      </c>
    </row>
    <row r="451" spans="1:2" x14ac:dyDescent="0.15">
      <c r="A451" t="s">
        <v>7593</v>
      </c>
      <c r="B451" s="2651" t="s">
        <v>8947</v>
      </c>
    </row>
    <row r="452" spans="1:2" x14ac:dyDescent="0.15">
      <c r="A452" t="s">
        <v>7594</v>
      </c>
      <c r="B452" s="2651" t="s">
        <v>8948</v>
      </c>
    </row>
    <row r="453" spans="1:2" x14ac:dyDescent="0.15">
      <c r="A453" t="s">
        <v>7595</v>
      </c>
      <c r="B453" s="2651" t="s">
        <v>8949</v>
      </c>
    </row>
    <row r="454" spans="1:2" x14ac:dyDescent="0.15">
      <c r="A454" t="s">
        <v>7596</v>
      </c>
      <c r="B454" s="2651" t="s">
        <v>8950</v>
      </c>
    </row>
    <row r="455" spans="1:2" x14ac:dyDescent="0.15">
      <c r="A455" t="s">
        <v>7597</v>
      </c>
      <c r="B455" s="2651" t="s">
        <v>8951</v>
      </c>
    </row>
    <row r="456" spans="1:2" x14ac:dyDescent="0.15">
      <c r="A456" t="s">
        <v>7598</v>
      </c>
      <c r="B456" s="2651" t="s">
        <v>8952</v>
      </c>
    </row>
    <row r="457" spans="1:2" x14ac:dyDescent="0.15">
      <c r="A457" t="s">
        <v>7599</v>
      </c>
      <c r="B457" s="2651" t="s">
        <v>8953</v>
      </c>
    </row>
    <row r="458" spans="1:2" x14ac:dyDescent="0.15">
      <c r="A458" t="s">
        <v>7600</v>
      </c>
      <c r="B458" s="2651" t="s">
        <v>8954</v>
      </c>
    </row>
    <row r="459" spans="1:2" x14ac:dyDescent="0.15">
      <c r="A459" t="s">
        <v>7601</v>
      </c>
      <c r="B459" s="2651" t="s">
        <v>8955</v>
      </c>
    </row>
    <row r="460" spans="1:2" x14ac:dyDescent="0.15">
      <c r="A460" t="s">
        <v>7602</v>
      </c>
      <c r="B460" s="2651" t="s">
        <v>8956</v>
      </c>
    </row>
    <row r="461" spans="1:2" x14ac:dyDescent="0.15">
      <c r="A461" t="s">
        <v>7603</v>
      </c>
      <c r="B461" s="2651" t="s">
        <v>8957</v>
      </c>
    </row>
    <row r="462" spans="1:2" x14ac:dyDescent="0.15">
      <c r="A462" t="s">
        <v>7604</v>
      </c>
      <c r="B462" s="2651" t="s">
        <v>8958</v>
      </c>
    </row>
    <row r="463" spans="1:2" x14ac:dyDescent="0.15">
      <c r="A463" t="s">
        <v>7605</v>
      </c>
      <c r="B463" s="2651" t="s">
        <v>8959</v>
      </c>
    </row>
    <row r="464" spans="1:2" x14ac:dyDescent="0.15">
      <c r="A464" t="s">
        <v>7606</v>
      </c>
      <c r="B464" s="2651" t="s">
        <v>8960</v>
      </c>
    </row>
    <row r="465" spans="1:4" x14ac:dyDescent="0.15">
      <c r="A465" t="s">
        <v>7607</v>
      </c>
      <c r="B465" s="2651" t="s">
        <v>8961</v>
      </c>
    </row>
    <row r="466" spans="1:4" x14ac:dyDescent="0.15">
      <c r="A466" t="s">
        <v>7608</v>
      </c>
      <c r="B466" s="2651" t="s">
        <v>8962</v>
      </c>
    </row>
    <row r="467" spans="1:4" x14ac:dyDescent="0.15">
      <c r="A467" s="2652" t="s">
        <v>7609</v>
      </c>
      <c r="B467" s="2651" t="s">
        <v>9048</v>
      </c>
      <c r="C467" s="2677" t="s">
        <v>9050</v>
      </c>
      <c r="D467" s="2677" t="s">
        <v>9052</v>
      </c>
    </row>
    <row r="468" spans="1:4" x14ac:dyDescent="0.15">
      <c r="A468" t="s">
        <v>7610</v>
      </c>
      <c r="B468" s="2651" t="s">
        <v>8926</v>
      </c>
    </row>
    <row r="469" spans="1:4" x14ac:dyDescent="0.15">
      <c r="A469" t="s">
        <v>7611</v>
      </c>
      <c r="B469" s="2651" t="s">
        <v>8927</v>
      </c>
    </row>
    <row r="470" spans="1:4" x14ac:dyDescent="0.15">
      <c r="A470" t="s">
        <v>7612</v>
      </c>
      <c r="B470" s="2651" t="s">
        <v>8928</v>
      </c>
    </row>
    <row r="471" spans="1:4" x14ac:dyDescent="0.15">
      <c r="A471" t="s">
        <v>7613</v>
      </c>
      <c r="B471" s="2651" t="s">
        <v>8929</v>
      </c>
    </row>
    <row r="472" spans="1:4" x14ac:dyDescent="0.15">
      <c r="A472" t="s">
        <v>7614</v>
      </c>
      <c r="B472" s="2651" t="s">
        <v>8930</v>
      </c>
    </row>
    <row r="473" spans="1:4" x14ac:dyDescent="0.15">
      <c r="A473" t="s">
        <v>7615</v>
      </c>
      <c r="B473" s="2651" t="s">
        <v>8931</v>
      </c>
    </row>
    <row r="474" spans="1:4" x14ac:dyDescent="0.15">
      <c r="A474" t="s">
        <v>7616</v>
      </c>
      <c r="B474" s="2651" t="s">
        <v>8932</v>
      </c>
    </row>
    <row r="475" spans="1:4" x14ac:dyDescent="0.15">
      <c r="A475" t="s">
        <v>7617</v>
      </c>
      <c r="B475" s="2651" t="s">
        <v>8933</v>
      </c>
    </row>
    <row r="476" spans="1:4" x14ac:dyDescent="0.15">
      <c r="A476" t="s">
        <v>7618</v>
      </c>
      <c r="B476" s="2651" t="s">
        <v>8934</v>
      </c>
    </row>
    <row r="477" spans="1:4" x14ac:dyDescent="0.15">
      <c r="A477" t="s">
        <v>7619</v>
      </c>
      <c r="B477" s="2651" t="s">
        <v>8935</v>
      </c>
    </row>
    <row r="478" spans="1:4" x14ac:dyDescent="0.15">
      <c r="A478" t="s">
        <v>7620</v>
      </c>
      <c r="B478" s="2651" t="s">
        <v>8936</v>
      </c>
    </row>
    <row r="479" spans="1:4" x14ac:dyDescent="0.15">
      <c r="A479" t="s">
        <v>7621</v>
      </c>
      <c r="B479" s="2651" t="s">
        <v>8937</v>
      </c>
    </row>
    <row r="480" spans="1:4" x14ac:dyDescent="0.15">
      <c r="A480" t="s">
        <v>7622</v>
      </c>
      <c r="B480" s="2651" t="s">
        <v>8938</v>
      </c>
    </row>
    <row r="481" spans="1:2" x14ac:dyDescent="0.15">
      <c r="A481" t="s">
        <v>7623</v>
      </c>
      <c r="B481" s="2651" t="s">
        <v>8939</v>
      </c>
    </row>
    <row r="482" spans="1:2" x14ac:dyDescent="0.15">
      <c r="A482" t="s">
        <v>7624</v>
      </c>
      <c r="B482" s="2651" t="s">
        <v>8940</v>
      </c>
    </row>
    <row r="483" spans="1:2" x14ac:dyDescent="0.15">
      <c r="A483" t="s">
        <v>7625</v>
      </c>
      <c r="B483" s="2651" t="s">
        <v>8941</v>
      </c>
    </row>
    <row r="484" spans="1:2" x14ac:dyDescent="0.15">
      <c r="A484" t="s">
        <v>7626</v>
      </c>
      <c r="B484" s="2651" t="s">
        <v>8942</v>
      </c>
    </row>
    <row r="485" spans="1:2" x14ac:dyDescent="0.15">
      <c r="A485" t="s">
        <v>7627</v>
      </c>
      <c r="B485" s="2651" t="s">
        <v>8943</v>
      </c>
    </row>
    <row r="486" spans="1:2" x14ac:dyDescent="0.15">
      <c r="A486" t="s">
        <v>7628</v>
      </c>
      <c r="B486" s="2651" t="s">
        <v>8944</v>
      </c>
    </row>
    <row r="487" spans="1:2" x14ac:dyDescent="0.15">
      <c r="A487" t="s">
        <v>7629</v>
      </c>
      <c r="B487" s="2651" t="s">
        <v>8945</v>
      </c>
    </row>
    <row r="488" spans="1:2" x14ac:dyDescent="0.15">
      <c r="A488" t="s">
        <v>7630</v>
      </c>
      <c r="B488" s="2651" t="s">
        <v>8946</v>
      </c>
    </row>
    <row r="489" spans="1:2" x14ac:dyDescent="0.15">
      <c r="A489" t="s">
        <v>7631</v>
      </c>
      <c r="B489" s="2651" t="s">
        <v>8947</v>
      </c>
    </row>
    <row r="490" spans="1:2" x14ac:dyDescent="0.15">
      <c r="A490" t="s">
        <v>7632</v>
      </c>
      <c r="B490" s="2651" t="s">
        <v>8948</v>
      </c>
    </row>
    <row r="491" spans="1:2" x14ac:dyDescent="0.15">
      <c r="A491" t="s">
        <v>7633</v>
      </c>
      <c r="B491" s="2651" t="s">
        <v>8949</v>
      </c>
    </row>
    <row r="492" spans="1:2" x14ac:dyDescent="0.15">
      <c r="A492" t="s">
        <v>7634</v>
      </c>
      <c r="B492" s="2651" t="s">
        <v>8950</v>
      </c>
    </row>
    <row r="493" spans="1:2" x14ac:dyDescent="0.15">
      <c r="A493" t="s">
        <v>7635</v>
      </c>
      <c r="B493" s="2651" t="s">
        <v>8951</v>
      </c>
    </row>
    <row r="494" spans="1:2" x14ac:dyDescent="0.15">
      <c r="A494" t="s">
        <v>7636</v>
      </c>
      <c r="B494" s="2651" t="s">
        <v>8952</v>
      </c>
    </row>
    <row r="495" spans="1:2" x14ac:dyDescent="0.15">
      <c r="A495" t="s">
        <v>7637</v>
      </c>
      <c r="B495" s="2651" t="s">
        <v>8953</v>
      </c>
    </row>
    <row r="496" spans="1:2" x14ac:dyDescent="0.15">
      <c r="A496" t="s">
        <v>7638</v>
      </c>
      <c r="B496" s="2651" t="s">
        <v>8954</v>
      </c>
    </row>
    <row r="497" spans="1:4" x14ac:dyDescent="0.15">
      <c r="A497" t="s">
        <v>7639</v>
      </c>
      <c r="B497" s="2651" t="s">
        <v>8955</v>
      </c>
    </row>
    <row r="498" spans="1:4" x14ac:dyDescent="0.15">
      <c r="A498" t="s">
        <v>7640</v>
      </c>
      <c r="B498" s="2651" t="s">
        <v>8956</v>
      </c>
    </row>
    <row r="499" spans="1:4" x14ac:dyDescent="0.15">
      <c r="A499" s="2652" t="s">
        <v>7641</v>
      </c>
      <c r="B499" s="2651" t="s">
        <v>9048</v>
      </c>
      <c r="C499" s="2677" t="s">
        <v>9050</v>
      </c>
      <c r="D499" s="2677" t="s">
        <v>9052</v>
      </c>
    </row>
    <row r="500" spans="1:4" x14ac:dyDescent="0.15">
      <c r="A500" t="s">
        <v>7642</v>
      </c>
      <c r="B500" s="2651" t="s">
        <v>8926</v>
      </c>
    </row>
    <row r="501" spans="1:4" x14ac:dyDescent="0.15">
      <c r="A501" t="s">
        <v>7643</v>
      </c>
      <c r="B501" s="2651" t="s">
        <v>8927</v>
      </c>
    </row>
    <row r="502" spans="1:4" x14ac:dyDescent="0.15">
      <c r="A502" t="s">
        <v>7644</v>
      </c>
      <c r="B502" s="2651" t="s">
        <v>8928</v>
      </c>
    </row>
    <row r="503" spans="1:4" x14ac:dyDescent="0.15">
      <c r="A503" t="s">
        <v>7645</v>
      </c>
      <c r="B503" s="2651" t="s">
        <v>8929</v>
      </c>
    </row>
    <row r="504" spans="1:4" x14ac:dyDescent="0.15">
      <c r="A504" t="s">
        <v>7646</v>
      </c>
      <c r="B504" s="2651" t="s">
        <v>8930</v>
      </c>
    </row>
    <row r="505" spans="1:4" x14ac:dyDescent="0.15">
      <c r="A505" t="s">
        <v>7647</v>
      </c>
      <c r="B505" s="2651" t="s">
        <v>8931</v>
      </c>
    </row>
    <row r="506" spans="1:4" x14ac:dyDescent="0.15">
      <c r="A506" t="s">
        <v>7648</v>
      </c>
      <c r="B506" s="2651" t="s">
        <v>8932</v>
      </c>
    </row>
    <row r="507" spans="1:4" x14ac:dyDescent="0.15">
      <c r="A507" t="s">
        <v>7649</v>
      </c>
      <c r="B507" s="2651" t="s">
        <v>8933</v>
      </c>
    </row>
    <row r="508" spans="1:4" x14ac:dyDescent="0.15">
      <c r="A508" t="s">
        <v>7650</v>
      </c>
      <c r="B508" s="2651" t="s">
        <v>8934</v>
      </c>
    </row>
    <row r="509" spans="1:4" x14ac:dyDescent="0.15">
      <c r="A509" t="s">
        <v>7651</v>
      </c>
      <c r="B509" s="2651" t="s">
        <v>8935</v>
      </c>
    </row>
    <row r="510" spans="1:4" x14ac:dyDescent="0.15">
      <c r="A510" t="s">
        <v>7652</v>
      </c>
      <c r="B510" s="2651" t="s">
        <v>8936</v>
      </c>
    </row>
    <row r="511" spans="1:4" x14ac:dyDescent="0.15">
      <c r="A511" t="s">
        <v>7653</v>
      </c>
      <c r="B511" s="2651" t="s">
        <v>8937</v>
      </c>
    </row>
    <row r="512" spans="1:4" x14ac:dyDescent="0.15">
      <c r="A512" t="s">
        <v>7654</v>
      </c>
      <c r="B512" s="2651" t="s">
        <v>8938</v>
      </c>
    </row>
    <row r="513" spans="1:2" x14ac:dyDescent="0.15">
      <c r="A513" t="s">
        <v>7655</v>
      </c>
      <c r="B513" s="2651" t="s">
        <v>8939</v>
      </c>
    </row>
    <row r="514" spans="1:2" x14ac:dyDescent="0.15">
      <c r="A514" t="s">
        <v>7656</v>
      </c>
      <c r="B514" s="2651" t="s">
        <v>8940</v>
      </c>
    </row>
    <row r="515" spans="1:2" x14ac:dyDescent="0.15">
      <c r="A515" t="s">
        <v>7657</v>
      </c>
      <c r="B515" s="2651" t="s">
        <v>8941</v>
      </c>
    </row>
    <row r="516" spans="1:2" x14ac:dyDescent="0.15">
      <c r="A516" t="s">
        <v>7658</v>
      </c>
      <c r="B516" s="2651" t="s">
        <v>8942</v>
      </c>
    </row>
    <row r="517" spans="1:2" x14ac:dyDescent="0.15">
      <c r="A517" t="s">
        <v>7659</v>
      </c>
      <c r="B517" s="2651" t="s">
        <v>8943</v>
      </c>
    </row>
    <row r="518" spans="1:2" x14ac:dyDescent="0.15">
      <c r="A518" t="s">
        <v>7660</v>
      </c>
      <c r="B518" s="2651" t="s">
        <v>8944</v>
      </c>
    </row>
    <row r="519" spans="1:2" x14ac:dyDescent="0.15">
      <c r="A519" t="s">
        <v>7661</v>
      </c>
      <c r="B519" s="2651" t="s">
        <v>8945</v>
      </c>
    </row>
    <row r="520" spans="1:2" x14ac:dyDescent="0.15">
      <c r="A520" t="s">
        <v>7662</v>
      </c>
      <c r="B520" s="2651" t="s">
        <v>8946</v>
      </c>
    </row>
    <row r="521" spans="1:2" x14ac:dyDescent="0.15">
      <c r="A521" t="s">
        <v>7663</v>
      </c>
      <c r="B521" s="2651" t="s">
        <v>8947</v>
      </c>
    </row>
    <row r="522" spans="1:2" x14ac:dyDescent="0.15">
      <c r="A522" t="s">
        <v>7664</v>
      </c>
      <c r="B522" s="2651" t="s">
        <v>8948</v>
      </c>
    </row>
    <row r="523" spans="1:2" x14ac:dyDescent="0.15">
      <c r="A523" t="s">
        <v>7665</v>
      </c>
      <c r="B523" s="2651" t="s">
        <v>8949</v>
      </c>
    </row>
    <row r="524" spans="1:2" x14ac:dyDescent="0.15">
      <c r="A524" t="s">
        <v>7666</v>
      </c>
      <c r="B524" s="2651" t="s">
        <v>8950</v>
      </c>
    </row>
    <row r="525" spans="1:2" x14ac:dyDescent="0.15">
      <c r="A525" t="s">
        <v>7667</v>
      </c>
      <c r="B525" s="2651" t="s">
        <v>8951</v>
      </c>
    </row>
    <row r="526" spans="1:2" x14ac:dyDescent="0.15">
      <c r="A526" t="s">
        <v>7668</v>
      </c>
      <c r="B526" s="2651" t="s">
        <v>8952</v>
      </c>
    </row>
    <row r="527" spans="1:2" x14ac:dyDescent="0.15">
      <c r="A527" t="s">
        <v>7669</v>
      </c>
      <c r="B527" s="2651" t="s">
        <v>8953</v>
      </c>
    </row>
    <row r="528" spans="1:2" x14ac:dyDescent="0.15">
      <c r="A528" t="s">
        <v>7670</v>
      </c>
      <c r="B528" s="2651" t="s">
        <v>8954</v>
      </c>
    </row>
    <row r="529" spans="1:4" x14ac:dyDescent="0.15">
      <c r="A529" t="s">
        <v>7671</v>
      </c>
      <c r="B529" s="2651" t="s">
        <v>8955</v>
      </c>
    </row>
    <row r="530" spans="1:4" x14ac:dyDescent="0.15">
      <c r="A530" t="s">
        <v>7672</v>
      </c>
      <c r="B530" s="2651" t="s">
        <v>8956</v>
      </c>
    </row>
    <row r="531" spans="1:4" x14ac:dyDescent="0.15">
      <c r="A531" s="2652" t="s">
        <v>7673</v>
      </c>
      <c r="B531" s="2651" t="s">
        <v>9048</v>
      </c>
      <c r="C531" s="2677" t="s">
        <v>9050</v>
      </c>
      <c r="D531" s="2677" t="s">
        <v>9052</v>
      </c>
    </row>
    <row r="532" spans="1:4" x14ac:dyDescent="0.15">
      <c r="A532" t="s">
        <v>7674</v>
      </c>
      <c r="B532" s="2651" t="s">
        <v>8926</v>
      </c>
    </row>
    <row r="533" spans="1:4" x14ac:dyDescent="0.15">
      <c r="A533" t="s">
        <v>7675</v>
      </c>
      <c r="B533" s="2651" t="s">
        <v>8927</v>
      </c>
    </row>
    <row r="534" spans="1:4" x14ac:dyDescent="0.15">
      <c r="A534" t="s">
        <v>7676</v>
      </c>
      <c r="B534" s="2651" t="s">
        <v>8928</v>
      </c>
    </row>
    <row r="535" spans="1:4" x14ac:dyDescent="0.15">
      <c r="A535" t="s">
        <v>7677</v>
      </c>
      <c r="B535" s="2651" t="s">
        <v>8929</v>
      </c>
    </row>
    <row r="536" spans="1:4" x14ac:dyDescent="0.15">
      <c r="A536" t="s">
        <v>7678</v>
      </c>
      <c r="B536" s="2651" t="s">
        <v>8930</v>
      </c>
    </row>
    <row r="537" spans="1:4" x14ac:dyDescent="0.15">
      <c r="A537" t="s">
        <v>7679</v>
      </c>
      <c r="B537" s="2651" t="s">
        <v>8931</v>
      </c>
    </row>
    <row r="538" spans="1:4" x14ac:dyDescent="0.15">
      <c r="A538" t="s">
        <v>7680</v>
      </c>
      <c r="B538" s="2651" t="s">
        <v>8932</v>
      </c>
    </row>
    <row r="539" spans="1:4" x14ac:dyDescent="0.15">
      <c r="A539" t="s">
        <v>7681</v>
      </c>
      <c r="B539" s="2651" t="s">
        <v>8933</v>
      </c>
    </row>
    <row r="540" spans="1:4" x14ac:dyDescent="0.15">
      <c r="A540" t="s">
        <v>7682</v>
      </c>
      <c r="B540" s="2651" t="s">
        <v>8934</v>
      </c>
    </row>
    <row r="541" spans="1:4" x14ac:dyDescent="0.15">
      <c r="A541" t="s">
        <v>7683</v>
      </c>
      <c r="B541" s="2651" t="s">
        <v>8935</v>
      </c>
    </row>
    <row r="542" spans="1:4" x14ac:dyDescent="0.15">
      <c r="A542" t="s">
        <v>7684</v>
      </c>
      <c r="B542" s="2651" t="s">
        <v>8936</v>
      </c>
    </row>
    <row r="543" spans="1:4" x14ac:dyDescent="0.15">
      <c r="A543" t="s">
        <v>7685</v>
      </c>
      <c r="B543" s="2651" t="s">
        <v>8937</v>
      </c>
    </row>
    <row r="544" spans="1:4" x14ac:dyDescent="0.15">
      <c r="A544" t="s">
        <v>7686</v>
      </c>
      <c r="B544" s="2651" t="s">
        <v>8938</v>
      </c>
    </row>
    <row r="545" spans="1:2" x14ac:dyDescent="0.15">
      <c r="A545" t="s">
        <v>7687</v>
      </c>
      <c r="B545" s="2651" t="s">
        <v>8939</v>
      </c>
    </row>
    <row r="546" spans="1:2" x14ac:dyDescent="0.15">
      <c r="A546" t="s">
        <v>7688</v>
      </c>
      <c r="B546" s="2651" t="s">
        <v>8940</v>
      </c>
    </row>
    <row r="547" spans="1:2" x14ac:dyDescent="0.15">
      <c r="A547" t="s">
        <v>7689</v>
      </c>
      <c r="B547" s="2651" t="s">
        <v>8941</v>
      </c>
    </row>
    <row r="548" spans="1:2" x14ac:dyDescent="0.15">
      <c r="A548" t="s">
        <v>7690</v>
      </c>
      <c r="B548" s="2651" t="s">
        <v>8942</v>
      </c>
    </row>
    <row r="549" spans="1:2" x14ac:dyDescent="0.15">
      <c r="A549" t="s">
        <v>7691</v>
      </c>
      <c r="B549" s="2651" t="s">
        <v>8943</v>
      </c>
    </row>
    <row r="550" spans="1:2" x14ac:dyDescent="0.15">
      <c r="A550" t="s">
        <v>7692</v>
      </c>
      <c r="B550" s="2651" t="s">
        <v>8944</v>
      </c>
    </row>
    <row r="551" spans="1:2" x14ac:dyDescent="0.15">
      <c r="A551" t="s">
        <v>7693</v>
      </c>
      <c r="B551" s="2651" t="s">
        <v>8945</v>
      </c>
    </row>
    <row r="552" spans="1:2" x14ac:dyDescent="0.15">
      <c r="A552" t="s">
        <v>7694</v>
      </c>
      <c r="B552" s="2651" t="s">
        <v>8946</v>
      </c>
    </row>
    <row r="553" spans="1:2" x14ac:dyDescent="0.15">
      <c r="A553" t="s">
        <v>7695</v>
      </c>
      <c r="B553" s="2651" t="s">
        <v>8947</v>
      </c>
    </row>
    <row r="554" spans="1:2" x14ac:dyDescent="0.15">
      <c r="A554" t="s">
        <v>7696</v>
      </c>
      <c r="B554" s="2651" t="s">
        <v>8948</v>
      </c>
    </row>
    <row r="555" spans="1:2" x14ac:dyDescent="0.15">
      <c r="A555" t="s">
        <v>7697</v>
      </c>
      <c r="B555" s="2651" t="s">
        <v>8949</v>
      </c>
    </row>
    <row r="556" spans="1:2" x14ac:dyDescent="0.15">
      <c r="A556" t="s">
        <v>7698</v>
      </c>
      <c r="B556" s="2651" t="s">
        <v>8950</v>
      </c>
    </row>
    <row r="557" spans="1:2" x14ac:dyDescent="0.15">
      <c r="A557" t="s">
        <v>7699</v>
      </c>
      <c r="B557" s="2651" t="s">
        <v>8951</v>
      </c>
    </row>
    <row r="558" spans="1:2" x14ac:dyDescent="0.15">
      <c r="A558" t="s">
        <v>7700</v>
      </c>
      <c r="B558" s="2651" t="s">
        <v>8952</v>
      </c>
    </row>
    <row r="559" spans="1:2" x14ac:dyDescent="0.15">
      <c r="A559" t="s">
        <v>7701</v>
      </c>
      <c r="B559" s="2651" t="s">
        <v>8953</v>
      </c>
    </row>
    <row r="560" spans="1:2" x14ac:dyDescent="0.15">
      <c r="A560" t="s">
        <v>7702</v>
      </c>
      <c r="B560" s="2651" t="s">
        <v>8954</v>
      </c>
    </row>
    <row r="561" spans="1:4" x14ac:dyDescent="0.15">
      <c r="A561" t="s">
        <v>7703</v>
      </c>
      <c r="B561" s="2651" t="s">
        <v>8955</v>
      </c>
    </row>
    <row r="562" spans="1:4" x14ac:dyDescent="0.15">
      <c r="A562" t="s">
        <v>7704</v>
      </c>
      <c r="B562" s="2651" t="s">
        <v>8956</v>
      </c>
    </row>
    <row r="563" spans="1:4" x14ac:dyDescent="0.15">
      <c r="A563" s="2652" t="s">
        <v>7705</v>
      </c>
      <c r="B563" s="2651" t="s">
        <v>9048</v>
      </c>
      <c r="C563" s="2677" t="s">
        <v>9050</v>
      </c>
      <c r="D563" s="2677" t="s">
        <v>9052</v>
      </c>
    </row>
    <row r="564" spans="1:4" x14ac:dyDescent="0.15">
      <c r="A564" t="s">
        <v>7706</v>
      </c>
      <c r="B564" s="2651" t="s">
        <v>8926</v>
      </c>
    </row>
    <row r="565" spans="1:4" x14ac:dyDescent="0.15">
      <c r="A565" t="s">
        <v>7707</v>
      </c>
      <c r="B565" s="2651" t="s">
        <v>8927</v>
      </c>
    </row>
    <row r="566" spans="1:4" x14ac:dyDescent="0.15">
      <c r="A566" t="s">
        <v>7708</v>
      </c>
      <c r="B566" s="2651" t="s">
        <v>8928</v>
      </c>
    </row>
    <row r="567" spans="1:4" x14ac:dyDescent="0.15">
      <c r="A567" t="s">
        <v>7709</v>
      </c>
      <c r="B567" s="2651" t="s">
        <v>8929</v>
      </c>
    </row>
    <row r="568" spans="1:4" x14ac:dyDescent="0.15">
      <c r="A568" t="s">
        <v>7710</v>
      </c>
      <c r="B568" s="2651" t="s">
        <v>8930</v>
      </c>
    </row>
    <row r="569" spans="1:4" x14ac:dyDescent="0.15">
      <c r="A569" t="s">
        <v>7711</v>
      </c>
      <c r="B569" s="2651" t="s">
        <v>8931</v>
      </c>
    </row>
    <row r="570" spans="1:4" x14ac:dyDescent="0.15">
      <c r="A570" t="s">
        <v>7712</v>
      </c>
      <c r="B570" s="2651" t="s">
        <v>8932</v>
      </c>
    </row>
    <row r="571" spans="1:4" x14ac:dyDescent="0.15">
      <c r="A571" t="s">
        <v>7713</v>
      </c>
      <c r="B571" s="2651" t="s">
        <v>8933</v>
      </c>
    </row>
    <row r="572" spans="1:4" x14ac:dyDescent="0.15">
      <c r="A572" t="s">
        <v>7714</v>
      </c>
      <c r="B572" s="2651" t="s">
        <v>8934</v>
      </c>
    </row>
    <row r="573" spans="1:4" x14ac:dyDescent="0.15">
      <c r="A573" t="s">
        <v>7715</v>
      </c>
      <c r="B573" s="2651" t="s">
        <v>8935</v>
      </c>
    </row>
    <row r="574" spans="1:4" x14ac:dyDescent="0.15">
      <c r="A574" t="s">
        <v>7716</v>
      </c>
      <c r="B574" s="2651" t="s">
        <v>8936</v>
      </c>
    </row>
    <row r="575" spans="1:4" x14ac:dyDescent="0.15">
      <c r="A575" t="s">
        <v>7717</v>
      </c>
      <c r="B575" s="2651" t="s">
        <v>8937</v>
      </c>
    </row>
    <row r="576" spans="1:4" x14ac:dyDescent="0.15">
      <c r="A576" t="s">
        <v>7718</v>
      </c>
      <c r="B576" s="2651" t="s">
        <v>8938</v>
      </c>
    </row>
    <row r="577" spans="1:2" x14ac:dyDescent="0.15">
      <c r="A577" t="s">
        <v>7719</v>
      </c>
      <c r="B577" s="2651" t="s">
        <v>8939</v>
      </c>
    </row>
    <row r="578" spans="1:2" x14ac:dyDescent="0.15">
      <c r="A578" t="s">
        <v>7720</v>
      </c>
      <c r="B578" s="2651" t="s">
        <v>8940</v>
      </c>
    </row>
    <row r="579" spans="1:2" x14ac:dyDescent="0.15">
      <c r="A579" t="s">
        <v>7721</v>
      </c>
      <c r="B579" s="2651" t="s">
        <v>8941</v>
      </c>
    </row>
    <row r="580" spans="1:2" x14ac:dyDescent="0.15">
      <c r="A580" t="s">
        <v>7722</v>
      </c>
      <c r="B580" s="2651" t="s">
        <v>8942</v>
      </c>
    </row>
    <row r="581" spans="1:2" x14ac:dyDescent="0.15">
      <c r="A581" t="s">
        <v>7723</v>
      </c>
      <c r="B581" s="2651" t="s">
        <v>8943</v>
      </c>
    </row>
    <row r="582" spans="1:2" x14ac:dyDescent="0.15">
      <c r="A582" t="s">
        <v>7724</v>
      </c>
      <c r="B582" s="2651" t="s">
        <v>8944</v>
      </c>
    </row>
    <row r="583" spans="1:2" x14ac:dyDescent="0.15">
      <c r="A583" t="s">
        <v>7725</v>
      </c>
      <c r="B583" s="2651" t="s">
        <v>8945</v>
      </c>
    </row>
    <row r="584" spans="1:2" x14ac:dyDescent="0.15">
      <c r="A584" t="s">
        <v>7726</v>
      </c>
      <c r="B584" s="2651" t="s">
        <v>8946</v>
      </c>
    </row>
    <row r="585" spans="1:2" x14ac:dyDescent="0.15">
      <c r="A585" t="s">
        <v>7727</v>
      </c>
      <c r="B585" s="2651" t="s">
        <v>8947</v>
      </c>
    </row>
    <row r="586" spans="1:2" x14ac:dyDescent="0.15">
      <c r="A586" t="s">
        <v>7728</v>
      </c>
      <c r="B586" s="2651" t="s">
        <v>8948</v>
      </c>
    </row>
    <row r="587" spans="1:2" x14ac:dyDescent="0.15">
      <c r="A587" t="s">
        <v>7729</v>
      </c>
      <c r="B587" s="2651" t="s">
        <v>8949</v>
      </c>
    </row>
    <row r="588" spans="1:2" x14ac:dyDescent="0.15">
      <c r="A588" t="s">
        <v>7730</v>
      </c>
      <c r="B588" s="2651" t="s">
        <v>8950</v>
      </c>
    </row>
    <row r="589" spans="1:2" x14ac:dyDescent="0.15">
      <c r="A589" t="s">
        <v>7731</v>
      </c>
      <c r="B589" s="2651" t="s">
        <v>8951</v>
      </c>
    </row>
    <row r="590" spans="1:2" x14ac:dyDescent="0.15">
      <c r="A590" t="s">
        <v>7732</v>
      </c>
      <c r="B590" s="2651" t="s">
        <v>8952</v>
      </c>
    </row>
    <row r="591" spans="1:2" x14ac:dyDescent="0.15">
      <c r="A591" t="s">
        <v>7733</v>
      </c>
      <c r="B591" s="2651" t="s">
        <v>8953</v>
      </c>
    </row>
    <row r="592" spans="1:2" x14ac:dyDescent="0.15">
      <c r="A592" t="s">
        <v>7734</v>
      </c>
      <c r="B592" s="2651" t="s">
        <v>8954</v>
      </c>
    </row>
    <row r="593" spans="1:4" x14ac:dyDescent="0.15">
      <c r="A593" t="s">
        <v>7735</v>
      </c>
      <c r="B593" s="2651" t="s">
        <v>8955</v>
      </c>
    </row>
    <row r="594" spans="1:4" x14ac:dyDescent="0.15">
      <c r="A594" t="s">
        <v>7736</v>
      </c>
      <c r="B594" s="2651" t="s">
        <v>8956</v>
      </c>
    </row>
    <row r="595" spans="1:4" x14ac:dyDescent="0.15">
      <c r="A595" s="2652" t="s">
        <v>7737</v>
      </c>
      <c r="B595" s="2651" t="s">
        <v>9048</v>
      </c>
      <c r="C595" s="2677" t="s">
        <v>9050</v>
      </c>
      <c r="D595" s="2677" t="s">
        <v>9052</v>
      </c>
    </row>
    <row r="596" spans="1:4" x14ac:dyDescent="0.15">
      <c r="A596" t="s">
        <v>7738</v>
      </c>
      <c r="B596" s="2651" t="s">
        <v>9053</v>
      </c>
      <c r="C596" s="2651" t="s">
        <v>9062</v>
      </c>
      <c r="D596" s="2651" t="s">
        <v>9071</v>
      </c>
    </row>
    <row r="597" spans="1:4" x14ac:dyDescent="0.15">
      <c r="A597" t="s">
        <v>7739</v>
      </c>
      <c r="B597" s="2651" t="s">
        <v>9054</v>
      </c>
      <c r="C597" s="2651" t="s">
        <v>9063</v>
      </c>
      <c r="D597" s="2651" t="s">
        <v>9072</v>
      </c>
    </row>
    <row r="598" spans="1:4" x14ac:dyDescent="0.15">
      <c r="A598" t="s">
        <v>7740</v>
      </c>
      <c r="B598" s="2651" t="s">
        <v>9055</v>
      </c>
      <c r="C598" s="2651" t="s">
        <v>9064</v>
      </c>
      <c r="D598" s="2651" t="s">
        <v>9073</v>
      </c>
    </row>
    <row r="599" spans="1:4" x14ac:dyDescent="0.15">
      <c r="A599" t="s">
        <v>7741</v>
      </c>
      <c r="B599" s="2651" t="s">
        <v>9056</v>
      </c>
      <c r="C599" s="2651" t="s">
        <v>9065</v>
      </c>
      <c r="D599" s="2651" t="s">
        <v>9074</v>
      </c>
    </row>
    <row r="600" spans="1:4" x14ac:dyDescent="0.15">
      <c r="A600" t="s">
        <v>7742</v>
      </c>
      <c r="B600" s="2651" t="s">
        <v>9057</v>
      </c>
      <c r="C600" s="2651" t="s">
        <v>9066</v>
      </c>
      <c r="D600" s="2651" t="s">
        <v>9075</v>
      </c>
    </row>
    <row r="601" spans="1:4" x14ac:dyDescent="0.15">
      <c r="A601" t="s">
        <v>7743</v>
      </c>
      <c r="B601" s="2651" t="s">
        <v>8931</v>
      </c>
    </row>
    <row r="602" spans="1:4" x14ac:dyDescent="0.15">
      <c r="A602" t="s">
        <v>7744</v>
      </c>
      <c r="B602" s="2651" t="s">
        <v>8932</v>
      </c>
    </row>
    <row r="603" spans="1:4" x14ac:dyDescent="0.15">
      <c r="A603" t="s">
        <v>7745</v>
      </c>
      <c r="B603" s="2651" t="s">
        <v>8933</v>
      </c>
    </row>
    <row r="604" spans="1:4" x14ac:dyDescent="0.15">
      <c r="A604" t="s">
        <v>7746</v>
      </c>
      <c r="B604" s="2651" t="s">
        <v>8934</v>
      </c>
    </row>
    <row r="605" spans="1:4" x14ac:dyDescent="0.15">
      <c r="A605" t="s">
        <v>7747</v>
      </c>
      <c r="B605" s="2651" t="s">
        <v>8935</v>
      </c>
    </row>
    <row r="606" spans="1:4" x14ac:dyDescent="0.15">
      <c r="A606" t="s">
        <v>7748</v>
      </c>
      <c r="B606" s="2651" t="s">
        <v>8936</v>
      </c>
    </row>
    <row r="607" spans="1:4" x14ac:dyDescent="0.15">
      <c r="A607" t="s">
        <v>7749</v>
      </c>
      <c r="B607" s="2651" t="s">
        <v>8937</v>
      </c>
    </row>
    <row r="608" spans="1:4" x14ac:dyDescent="0.15">
      <c r="A608" t="s">
        <v>7750</v>
      </c>
      <c r="B608" s="2651" t="s">
        <v>8938</v>
      </c>
    </row>
    <row r="609" spans="1:2" x14ac:dyDescent="0.15">
      <c r="A609" t="s">
        <v>7751</v>
      </c>
      <c r="B609" s="2651" t="s">
        <v>8939</v>
      </c>
    </row>
    <row r="610" spans="1:2" x14ac:dyDescent="0.15">
      <c r="A610" t="s">
        <v>7752</v>
      </c>
      <c r="B610" s="2651" t="s">
        <v>8940</v>
      </c>
    </row>
    <row r="611" spans="1:2" x14ac:dyDescent="0.15">
      <c r="A611" t="s">
        <v>7753</v>
      </c>
      <c r="B611" s="2651" t="s">
        <v>8941</v>
      </c>
    </row>
    <row r="612" spans="1:2" x14ac:dyDescent="0.15">
      <c r="A612" t="s">
        <v>7754</v>
      </c>
      <c r="B612" s="2651" t="s">
        <v>8942</v>
      </c>
    </row>
    <row r="613" spans="1:2" x14ac:dyDescent="0.15">
      <c r="A613" t="s">
        <v>7755</v>
      </c>
      <c r="B613" s="2651" t="s">
        <v>8943</v>
      </c>
    </row>
    <row r="614" spans="1:2" x14ac:dyDescent="0.15">
      <c r="A614" t="s">
        <v>7756</v>
      </c>
      <c r="B614" s="2651" t="s">
        <v>8944</v>
      </c>
    </row>
    <row r="615" spans="1:2" x14ac:dyDescent="0.15">
      <c r="A615" t="s">
        <v>7757</v>
      </c>
      <c r="B615" s="2651" t="s">
        <v>8945</v>
      </c>
    </row>
    <row r="616" spans="1:2" x14ac:dyDescent="0.15">
      <c r="A616" t="s">
        <v>7758</v>
      </c>
      <c r="B616" s="2651" t="s">
        <v>8946</v>
      </c>
    </row>
    <row r="617" spans="1:2" x14ac:dyDescent="0.15">
      <c r="A617" t="s">
        <v>7759</v>
      </c>
      <c r="B617" s="2651" t="s">
        <v>8947</v>
      </c>
    </row>
    <row r="618" spans="1:2" x14ac:dyDescent="0.15">
      <c r="A618" t="s">
        <v>7760</v>
      </c>
      <c r="B618" s="2651" t="s">
        <v>8948</v>
      </c>
    </row>
    <row r="619" spans="1:2" x14ac:dyDescent="0.15">
      <c r="A619" t="s">
        <v>7761</v>
      </c>
      <c r="B619" s="2651" t="s">
        <v>8949</v>
      </c>
    </row>
    <row r="620" spans="1:2" x14ac:dyDescent="0.15">
      <c r="A620" t="s">
        <v>7762</v>
      </c>
      <c r="B620" s="2651" t="s">
        <v>8950</v>
      </c>
    </row>
    <row r="621" spans="1:2" x14ac:dyDescent="0.15">
      <c r="A621" t="s">
        <v>7763</v>
      </c>
      <c r="B621" s="2651" t="s">
        <v>8951</v>
      </c>
    </row>
    <row r="622" spans="1:2" x14ac:dyDescent="0.15">
      <c r="A622" t="s">
        <v>7764</v>
      </c>
      <c r="B622" s="2651" t="s">
        <v>8952</v>
      </c>
    </row>
    <row r="623" spans="1:2" x14ac:dyDescent="0.15">
      <c r="A623" t="s">
        <v>7765</v>
      </c>
      <c r="B623" s="2651" t="s">
        <v>8953</v>
      </c>
    </row>
    <row r="624" spans="1:2" x14ac:dyDescent="0.15">
      <c r="A624" t="s">
        <v>7766</v>
      </c>
      <c r="B624" s="2651" t="s">
        <v>8954</v>
      </c>
    </row>
    <row r="625" spans="1:4" x14ac:dyDescent="0.15">
      <c r="A625" s="2652" t="s">
        <v>7767</v>
      </c>
      <c r="B625" s="2651" t="s">
        <v>9048</v>
      </c>
      <c r="C625" s="2677" t="s">
        <v>9050</v>
      </c>
      <c r="D625" s="2677" t="s">
        <v>9052</v>
      </c>
    </row>
    <row r="626" spans="1:4" x14ac:dyDescent="0.15">
      <c r="A626" t="s">
        <v>7768</v>
      </c>
      <c r="B626" s="2651" t="s">
        <v>9053</v>
      </c>
      <c r="C626" s="2651" t="s">
        <v>9062</v>
      </c>
      <c r="D626" s="2651" t="s">
        <v>9071</v>
      </c>
    </row>
    <row r="627" spans="1:4" x14ac:dyDescent="0.15">
      <c r="A627" t="s">
        <v>7769</v>
      </c>
      <c r="B627" s="2651" t="s">
        <v>9054</v>
      </c>
      <c r="C627" s="2651" t="s">
        <v>9063</v>
      </c>
      <c r="D627" s="2651" t="s">
        <v>9072</v>
      </c>
    </row>
    <row r="628" spans="1:4" x14ac:dyDescent="0.15">
      <c r="A628" t="s">
        <v>7770</v>
      </c>
      <c r="B628" s="2651" t="s">
        <v>9055</v>
      </c>
      <c r="C628" s="2651" t="s">
        <v>9064</v>
      </c>
      <c r="D628" s="2651" t="s">
        <v>9073</v>
      </c>
    </row>
    <row r="629" spans="1:4" x14ac:dyDescent="0.15">
      <c r="A629" t="s">
        <v>7771</v>
      </c>
      <c r="B629" s="2651" t="s">
        <v>9056</v>
      </c>
      <c r="C629" s="2651" t="s">
        <v>9065</v>
      </c>
      <c r="D629" s="2651" t="s">
        <v>9074</v>
      </c>
    </row>
    <row r="630" spans="1:4" x14ac:dyDescent="0.15">
      <c r="A630" t="s">
        <v>7772</v>
      </c>
      <c r="B630" s="2651" t="s">
        <v>9057</v>
      </c>
      <c r="C630" s="2651" t="s">
        <v>9066</v>
      </c>
      <c r="D630" s="2651" t="s">
        <v>9075</v>
      </c>
    </row>
    <row r="631" spans="1:4" x14ac:dyDescent="0.15">
      <c r="A631" t="s">
        <v>7773</v>
      </c>
      <c r="B631" s="2651" t="s">
        <v>8931</v>
      </c>
    </row>
    <row r="632" spans="1:4" x14ac:dyDescent="0.15">
      <c r="A632" t="s">
        <v>7774</v>
      </c>
      <c r="B632" s="2651" t="s">
        <v>8932</v>
      </c>
    </row>
    <row r="633" spans="1:4" x14ac:dyDescent="0.15">
      <c r="A633" t="s">
        <v>7775</v>
      </c>
      <c r="B633" s="2651" t="s">
        <v>8933</v>
      </c>
    </row>
    <row r="634" spans="1:4" x14ac:dyDescent="0.15">
      <c r="A634" t="s">
        <v>7776</v>
      </c>
      <c r="B634" s="2651" t="s">
        <v>8934</v>
      </c>
    </row>
    <row r="635" spans="1:4" x14ac:dyDescent="0.15">
      <c r="A635" t="s">
        <v>7777</v>
      </c>
      <c r="B635" s="2651" t="s">
        <v>8935</v>
      </c>
    </row>
    <row r="636" spans="1:4" x14ac:dyDescent="0.15">
      <c r="A636" t="s">
        <v>7778</v>
      </c>
      <c r="B636" s="2651" t="s">
        <v>8936</v>
      </c>
    </row>
    <row r="637" spans="1:4" x14ac:dyDescent="0.15">
      <c r="A637" t="s">
        <v>7779</v>
      </c>
      <c r="B637" s="2651" t="s">
        <v>8937</v>
      </c>
    </row>
    <row r="638" spans="1:4" x14ac:dyDescent="0.15">
      <c r="A638" t="s">
        <v>7780</v>
      </c>
      <c r="B638" s="2651" t="s">
        <v>8938</v>
      </c>
    </row>
    <row r="639" spans="1:4" x14ac:dyDescent="0.15">
      <c r="A639" t="s">
        <v>7781</v>
      </c>
      <c r="B639" s="2651" t="s">
        <v>8939</v>
      </c>
    </row>
    <row r="640" spans="1:4" x14ac:dyDescent="0.15">
      <c r="A640" t="s">
        <v>7782</v>
      </c>
      <c r="B640" s="2651" t="s">
        <v>8940</v>
      </c>
    </row>
    <row r="641" spans="1:2" x14ac:dyDescent="0.15">
      <c r="A641" t="s">
        <v>7783</v>
      </c>
      <c r="B641" s="2651" t="s">
        <v>8941</v>
      </c>
    </row>
    <row r="642" spans="1:2" x14ac:dyDescent="0.15">
      <c r="A642" t="s">
        <v>7784</v>
      </c>
      <c r="B642" s="2651" t="s">
        <v>8942</v>
      </c>
    </row>
    <row r="643" spans="1:2" x14ac:dyDescent="0.15">
      <c r="A643" t="s">
        <v>7785</v>
      </c>
      <c r="B643" s="2651" t="s">
        <v>8943</v>
      </c>
    </row>
    <row r="644" spans="1:2" x14ac:dyDescent="0.15">
      <c r="A644" t="s">
        <v>7786</v>
      </c>
      <c r="B644" s="2651" t="s">
        <v>8944</v>
      </c>
    </row>
    <row r="645" spans="1:2" x14ac:dyDescent="0.15">
      <c r="A645" t="s">
        <v>7787</v>
      </c>
      <c r="B645" s="2651" t="s">
        <v>8945</v>
      </c>
    </row>
    <row r="646" spans="1:2" x14ac:dyDescent="0.15">
      <c r="A646" t="s">
        <v>7788</v>
      </c>
      <c r="B646" s="2651" t="s">
        <v>8946</v>
      </c>
    </row>
    <row r="647" spans="1:2" x14ac:dyDescent="0.15">
      <c r="A647" t="s">
        <v>7789</v>
      </c>
      <c r="B647" s="2651" t="s">
        <v>8947</v>
      </c>
    </row>
    <row r="648" spans="1:2" x14ac:dyDescent="0.15">
      <c r="A648" t="s">
        <v>7790</v>
      </c>
      <c r="B648" s="2651" t="s">
        <v>8948</v>
      </c>
    </row>
    <row r="649" spans="1:2" x14ac:dyDescent="0.15">
      <c r="A649" t="s">
        <v>7791</v>
      </c>
      <c r="B649" s="2651" t="s">
        <v>8949</v>
      </c>
    </row>
    <row r="650" spans="1:2" x14ac:dyDescent="0.15">
      <c r="A650" t="s">
        <v>7792</v>
      </c>
      <c r="B650" s="2651" t="s">
        <v>8950</v>
      </c>
    </row>
    <row r="651" spans="1:2" x14ac:dyDescent="0.15">
      <c r="A651" t="s">
        <v>7793</v>
      </c>
      <c r="B651" s="2651" t="s">
        <v>8951</v>
      </c>
    </row>
    <row r="652" spans="1:2" x14ac:dyDescent="0.15">
      <c r="A652" t="s">
        <v>7794</v>
      </c>
      <c r="B652" s="2651" t="s">
        <v>8952</v>
      </c>
    </row>
    <row r="653" spans="1:2" x14ac:dyDescent="0.15">
      <c r="A653" t="s">
        <v>7795</v>
      </c>
      <c r="B653" s="2651" t="s">
        <v>8953</v>
      </c>
    </row>
    <row r="654" spans="1:2" x14ac:dyDescent="0.15">
      <c r="A654" t="s">
        <v>7796</v>
      </c>
      <c r="B654" s="2651" t="s">
        <v>8954</v>
      </c>
    </row>
    <row r="655" spans="1:2" x14ac:dyDescent="0.15">
      <c r="A655" s="2652" t="s">
        <v>7797</v>
      </c>
      <c r="B655" s="2651" t="s">
        <v>8987</v>
      </c>
    </row>
    <row r="656" spans="1:2" x14ac:dyDescent="0.15">
      <c r="A656" t="s">
        <v>7798</v>
      </c>
      <c r="B656" s="2651" t="s">
        <v>8988</v>
      </c>
    </row>
    <row r="657" spans="1:2" x14ac:dyDescent="0.15">
      <c r="A657" t="s">
        <v>7799</v>
      </c>
      <c r="B657" s="2651" t="s">
        <v>8989</v>
      </c>
    </row>
    <row r="658" spans="1:2" x14ac:dyDescent="0.15">
      <c r="A658" t="s">
        <v>7800</v>
      </c>
      <c r="B658" s="2651" t="s">
        <v>8990</v>
      </c>
    </row>
    <row r="659" spans="1:2" x14ac:dyDescent="0.15">
      <c r="A659" t="s">
        <v>7801</v>
      </c>
      <c r="B659" s="2651" t="s">
        <v>8991</v>
      </c>
    </row>
    <row r="660" spans="1:2" x14ac:dyDescent="0.15">
      <c r="A660" t="s">
        <v>7802</v>
      </c>
      <c r="B660" s="2651" t="s">
        <v>8992</v>
      </c>
    </row>
    <row r="661" spans="1:2" x14ac:dyDescent="0.15">
      <c r="A661" t="s">
        <v>7803</v>
      </c>
      <c r="B661" s="2651" t="s">
        <v>8993</v>
      </c>
    </row>
    <row r="662" spans="1:2" x14ac:dyDescent="0.15">
      <c r="A662" t="s">
        <v>7804</v>
      </c>
      <c r="B662" s="2651" t="s">
        <v>8994</v>
      </c>
    </row>
    <row r="663" spans="1:2" x14ac:dyDescent="0.15">
      <c r="A663" t="s">
        <v>7805</v>
      </c>
      <c r="B663" s="2651" t="s">
        <v>8995</v>
      </c>
    </row>
    <row r="664" spans="1:2" x14ac:dyDescent="0.15">
      <c r="A664" t="s">
        <v>7806</v>
      </c>
      <c r="B664" s="2651" t="s">
        <v>8996</v>
      </c>
    </row>
    <row r="665" spans="1:2" x14ac:dyDescent="0.15">
      <c r="A665" t="s">
        <v>7807</v>
      </c>
      <c r="B665" s="2651" t="s">
        <v>8997</v>
      </c>
    </row>
    <row r="666" spans="1:2" x14ac:dyDescent="0.15">
      <c r="A666" t="s">
        <v>7808</v>
      </c>
      <c r="B666" s="2651" t="s">
        <v>8998</v>
      </c>
    </row>
    <row r="667" spans="1:2" x14ac:dyDescent="0.15">
      <c r="A667" t="s">
        <v>7809</v>
      </c>
      <c r="B667" s="2651" t="s">
        <v>8999</v>
      </c>
    </row>
    <row r="668" spans="1:2" x14ac:dyDescent="0.15">
      <c r="A668" t="s">
        <v>7810</v>
      </c>
      <c r="B668" s="2651" t="s">
        <v>9000</v>
      </c>
    </row>
    <row r="669" spans="1:2" x14ac:dyDescent="0.15">
      <c r="A669" t="s">
        <v>7811</v>
      </c>
      <c r="B669" s="2651" t="s">
        <v>9001</v>
      </c>
    </row>
    <row r="670" spans="1:2" x14ac:dyDescent="0.15">
      <c r="A670" t="s">
        <v>7812</v>
      </c>
      <c r="B670" s="2651" t="s">
        <v>9002</v>
      </c>
    </row>
    <row r="671" spans="1:2" x14ac:dyDescent="0.15">
      <c r="A671" t="s">
        <v>7813</v>
      </c>
      <c r="B671" s="2651" t="s">
        <v>9003</v>
      </c>
    </row>
    <row r="672" spans="1:2" x14ac:dyDescent="0.15">
      <c r="A672" t="s">
        <v>7814</v>
      </c>
      <c r="B672" s="2651" t="s">
        <v>9004</v>
      </c>
    </row>
    <row r="673" spans="1:2" x14ac:dyDescent="0.15">
      <c r="A673" t="s">
        <v>7815</v>
      </c>
      <c r="B673" s="2651" t="s">
        <v>9005</v>
      </c>
    </row>
    <row r="674" spans="1:2" x14ac:dyDescent="0.15">
      <c r="A674" t="s">
        <v>7816</v>
      </c>
      <c r="B674" s="2651" t="s">
        <v>9006</v>
      </c>
    </row>
    <row r="675" spans="1:2" x14ac:dyDescent="0.15">
      <c r="A675" t="s">
        <v>7817</v>
      </c>
      <c r="B675" s="2651" t="s">
        <v>9007</v>
      </c>
    </row>
    <row r="676" spans="1:2" x14ac:dyDescent="0.15">
      <c r="A676" t="s">
        <v>7818</v>
      </c>
      <c r="B676" s="2651" t="s">
        <v>9008</v>
      </c>
    </row>
    <row r="677" spans="1:2" x14ac:dyDescent="0.15">
      <c r="A677" t="s">
        <v>7819</v>
      </c>
      <c r="B677" s="2651" t="s">
        <v>9009</v>
      </c>
    </row>
    <row r="678" spans="1:2" x14ac:dyDescent="0.15">
      <c r="A678" t="s">
        <v>7820</v>
      </c>
      <c r="B678" s="2651" t="s">
        <v>9010</v>
      </c>
    </row>
    <row r="679" spans="1:2" x14ac:dyDescent="0.15">
      <c r="A679" t="s">
        <v>7821</v>
      </c>
      <c r="B679" s="2651" t="s">
        <v>9011</v>
      </c>
    </row>
    <row r="680" spans="1:2" x14ac:dyDescent="0.15">
      <c r="A680" t="s">
        <v>7822</v>
      </c>
      <c r="B680" s="2651" t="s">
        <v>9012</v>
      </c>
    </row>
    <row r="681" spans="1:2" x14ac:dyDescent="0.15">
      <c r="A681" t="s">
        <v>7823</v>
      </c>
      <c r="B681" s="2651" t="s">
        <v>9013</v>
      </c>
    </row>
    <row r="682" spans="1:2" x14ac:dyDescent="0.15">
      <c r="A682" t="s">
        <v>7824</v>
      </c>
      <c r="B682" s="2651" t="s">
        <v>9014</v>
      </c>
    </row>
    <row r="683" spans="1:2" x14ac:dyDescent="0.15">
      <c r="A683" t="s">
        <v>7825</v>
      </c>
      <c r="B683" s="2651" t="s">
        <v>9015</v>
      </c>
    </row>
    <row r="684" spans="1:2" x14ac:dyDescent="0.15">
      <c r="A684" t="s">
        <v>7826</v>
      </c>
      <c r="B684" s="2651" t="s">
        <v>9016</v>
      </c>
    </row>
    <row r="685" spans="1:2" x14ac:dyDescent="0.15">
      <c r="A685" t="s">
        <v>7827</v>
      </c>
      <c r="B685" s="2651" t="s">
        <v>9017</v>
      </c>
    </row>
    <row r="686" spans="1:2" x14ac:dyDescent="0.15">
      <c r="A686" t="s">
        <v>7828</v>
      </c>
      <c r="B686" s="2651" t="s">
        <v>9018</v>
      </c>
    </row>
    <row r="687" spans="1:2" x14ac:dyDescent="0.15">
      <c r="A687" t="s">
        <v>7829</v>
      </c>
      <c r="B687" s="2651" t="s">
        <v>9019</v>
      </c>
    </row>
    <row r="688" spans="1:2" x14ac:dyDescent="0.15">
      <c r="A688" t="s">
        <v>7830</v>
      </c>
      <c r="B688" s="2651" t="s">
        <v>9020</v>
      </c>
    </row>
    <row r="689" spans="1:2" x14ac:dyDescent="0.15">
      <c r="A689" s="2652" t="s">
        <v>7831</v>
      </c>
      <c r="B689" s="2651" t="s">
        <v>8987</v>
      </c>
    </row>
    <row r="690" spans="1:2" x14ac:dyDescent="0.15">
      <c r="A690" t="s">
        <v>7832</v>
      </c>
      <c r="B690" s="2651" t="s">
        <v>8988</v>
      </c>
    </row>
    <row r="691" spans="1:2" x14ac:dyDescent="0.15">
      <c r="A691" t="s">
        <v>7833</v>
      </c>
      <c r="B691" s="2651" t="s">
        <v>8989</v>
      </c>
    </row>
    <row r="692" spans="1:2" x14ac:dyDescent="0.15">
      <c r="A692" t="s">
        <v>7834</v>
      </c>
      <c r="B692" s="2651" t="s">
        <v>8990</v>
      </c>
    </row>
    <row r="693" spans="1:2" x14ac:dyDescent="0.15">
      <c r="A693" t="s">
        <v>7835</v>
      </c>
      <c r="B693" s="2651" t="s">
        <v>8991</v>
      </c>
    </row>
    <row r="694" spans="1:2" x14ac:dyDescent="0.15">
      <c r="A694" t="s">
        <v>7836</v>
      </c>
      <c r="B694" s="2651" t="s">
        <v>8992</v>
      </c>
    </row>
    <row r="695" spans="1:2" x14ac:dyDescent="0.15">
      <c r="A695" t="s">
        <v>7837</v>
      </c>
      <c r="B695" s="2651" t="s">
        <v>8993</v>
      </c>
    </row>
    <row r="696" spans="1:2" x14ac:dyDescent="0.15">
      <c r="A696" t="s">
        <v>7838</v>
      </c>
      <c r="B696" s="2651" t="s">
        <v>8994</v>
      </c>
    </row>
    <row r="697" spans="1:2" x14ac:dyDescent="0.15">
      <c r="A697" t="s">
        <v>7839</v>
      </c>
      <c r="B697" s="2651" t="s">
        <v>8995</v>
      </c>
    </row>
    <row r="698" spans="1:2" x14ac:dyDescent="0.15">
      <c r="A698" t="s">
        <v>7840</v>
      </c>
      <c r="B698" s="2651" t="s">
        <v>8996</v>
      </c>
    </row>
    <row r="699" spans="1:2" x14ac:dyDescent="0.15">
      <c r="A699" t="s">
        <v>7841</v>
      </c>
      <c r="B699" s="2651" t="s">
        <v>8997</v>
      </c>
    </row>
    <row r="700" spans="1:2" x14ac:dyDescent="0.15">
      <c r="A700" t="s">
        <v>7842</v>
      </c>
      <c r="B700" s="2651" t="s">
        <v>8998</v>
      </c>
    </row>
    <row r="701" spans="1:2" x14ac:dyDescent="0.15">
      <c r="A701" t="s">
        <v>7843</v>
      </c>
      <c r="B701" s="2651" t="s">
        <v>8999</v>
      </c>
    </row>
    <row r="702" spans="1:2" x14ac:dyDescent="0.15">
      <c r="A702" t="s">
        <v>7844</v>
      </c>
      <c r="B702" s="2651" t="s">
        <v>9000</v>
      </c>
    </row>
    <row r="703" spans="1:2" x14ac:dyDescent="0.15">
      <c r="A703" t="s">
        <v>7845</v>
      </c>
      <c r="B703" s="2651" t="s">
        <v>9001</v>
      </c>
    </row>
    <row r="704" spans="1:2" x14ac:dyDescent="0.15">
      <c r="A704" t="s">
        <v>7846</v>
      </c>
      <c r="B704" s="2651" t="s">
        <v>9002</v>
      </c>
    </row>
    <row r="705" spans="1:2" x14ac:dyDescent="0.15">
      <c r="A705" t="s">
        <v>7847</v>
      </c>
      <c r="B705" s="2651" t="s">
        <v>9003</v>
      </c>
    </row>
    <row r="706" spans="1:2" x14ac:dyDescent="0.15">
      <c r="A706" t="s">
        <v>7848</v>
      </c>
      <c r="B706" s="2651" t="s">
        <v>9004</v>
      </c>
    </row>
    <row r="707" spans="1:2" x14ac:dyDescent="0.15">
      <c r="A707" t="s">
        <v>7849</v>
      </c>
      <c r="B707" s="2651" t="s">
        <v>9005</v>
      </c>
    </row>
    <row r="708" spans="1:2" x14ac:dyDescent="0.15">
      <c r="A708" t="s">
        <v>7850</v>
      </c>
      <c r="B708" s="2651" t="s">
        <v>9006</v>
      </c>
    </row>
    <row r="709" spans="1:2" x14ac:dyDescent="0.15">
      <c r="A709" t="s">
        <v>7851</v>
      </c>
      <c r="B709" s="2651" t="s">
        <v>9007</v>
      </c>
    </row>
    <row r="710" spans="1:2" x14ac:dyDescent="0.15">
      <c r="A710" t="s">
        <v>7852</v>
      </c>
      <c r="B710" s="2651" t="s">
        <v>9008</v>
      </c>
    </row>
    <row r="711" spans="1:2" x14ac:dyDescent="0.15">
      <c r="A711" t="s">
        <v>7853</v>
      </c>
      <c r="B711" s="2651" t="s">
        <v>9009</v>
      </c>
    </row>
    <row r="712" spans="1:2" x14ac:dyDescent="0.15">
      <c r="A712" t="s">
        <v>7854</v>
      </c>
      <c r="B712" s="2651" t="s">
        <v>9010</v>
      </c>
    </row>
    <row r="713" spans="1:2" x14ac:dyDescent="0.15">
      <c r="A713" t="s">
        <v>7855</v>
      </c>
      <c r="B713" s="2651" t="s">
        <v>9011</v>
      </c>
    </row>
    <row r="714" spans="1:2" x14ac:dyDescent="0.15">
      <c r="A714" t="s">
        <v>7856</v>
      </c>
      <c r="B714" s="2651" t="s">
        <v>9012</v>
      </c>
    </row>
    <row r="715" spans="1:2" x14ac:dyDescent="0.15">
      <c r="A715" t="s">
        <v>7857</v>
      </c>
      <c r="B715" s="2651" t="s">
        <v>9013</v>
      </c>
    </row>
    <row r="716" spans="1:2" x14ac:dyDescent="0.15">
      <c r="A716" t="s">
        <v>7858</v>
      </c>
      <c r="B716" s="2651" t="s">
        <v>9014</v>
      </c>
    </row>
    <row r="717" spans="1:2" x14ac:dyDescent="0.15">
      <c r="A717" t="s">
        <v>7859</v>
      </c>
      <c r="B717" s="2651" t="s">
        <v>9015</v>
      </c>
    </row>
    <row r="718" spans="1:2" x14ac:dyDescent="0.15">
      <c r="A718" t="s">
        <v>7860</v>
      </c>
      <c r="B718" s="2651" t="s">
        <v>9016</v>
      </c>
    </row>
    <row r="719" spans="1:2" x14ac:dyDescent="0.15">
      <c r="A719" t="s">
        <v>7861</v>
      </c>
      <c r="B719" s="2651" t="s">
        <v>9017</v>
      </c>
    </row>
    <row r="720" spans="1:2" x14ac:dyDescent="0.15">
      <c r="A720" t="s">
        <v>7862</v>
      </c>
      <c r="B720" s="2651" t="s">
        <v>9018</v>
      </c>
    </row>
    <row r="721" spans="1:2" x14ac:dyDescent="0.15">
      <c r="A721" t="s">
        <v>7863</v>
      </c>
      <c r="B721" s="2651" t="s">
        <v>9019</v>
      </c>
    </row>
    <row r="722" spans="1:2" x14ac:dyDescent="0.15">
      <c r="A722" t="s">
        <v>7864</v>
      </c>
      <c r="B722" s="2651" t="s">
        <v>9020</v>
      </c>
    </row>
    <row r="723" spans="1:2" x14ac:dyDescent="0.15">
      <c r="A723" s="2652" t="s">
        <v>7865</v>
      </c>
      <c r="B723" s="2651" t="s">
        <v>8987</v>
      </c>
    </row>
    <row r="724" spans="1:2" x14ac:dyDescent="0.15">
      <c r="A724" t="s">
        <v>7866</v>
      </c>
      <c r="B724" s="2651" t="s">
        <v>8988</v>
      </c>
    </row>
    <row r="725" spans="1:2" x14ac:dyDescent="0.15">
      <c r="A725" t="s">
        <v>7867</v>
      </c>
      <c r="B725" s="2651" t="s">
        <v>8989</v>
      </c>
    </row>
    <row r="726" spans="1:2" x14ac:dyDescent="0.15">
      <c r="A726" t="s">
        <v>7868</v>
      </c>
      <c r="B726" s="2651" t="s">
        <v>8990</v>
      </c>
    </row>
    <row r="727" spans="1:2" x14ac:dyDescent="0.15">
      <c r="A727" t="s">
        <v>7869</v>
      </c>
      <c r="B727" s="2651" t="s">
        <v>8991</v>
      </c>
    </row>
    <row r="728" spans="1:2" x14ac:dyDescent="0.15">
      <c r="A728" t="s">
        <v>7870</v>
      </c>
      <c r="B728" s="2651" t="s">
        <v>8992</v>
      </c>
    </row>
    <row r="729" spans="1:2" x14ac:dyDescent="0.15">
      <c r="A729" t="s">
        <v>7871</v>
      </c>
      <c r="B729" s="2651" t="s">
        <v>8993</v>
      </c>
    </row>
    <row r="730" spans="1:2" x14ac:dyDescent="0.15">
      <c r="A730" t="s">
        <v>7872</v>
      </c>
      <c r="B730" s="2651" t="s">
        <v>8994</v>
      </c>
    </row>
    <row r="731" spans="1:2" x14ac:dyDescent="0.15">
      <c r="A731" t="s">
        <v>7873</v>
      </c>
      <c r="B731" s="2651" t="s">
        <v>8995</v>
      </c>
    </row>
    <row r="732" spans="1:2" x14ac:dyDescent="0.15">
      <c r="A732" t="s">
        <v>7874</v>
      </c>
      <c r="B732" s="2651" t="s">
        <v>8996</v>
      </c>
    </row>
    <row r="733" spans="1:2" x14ac:dyDescent="0.15">
      <c r="A733" t="s">
        <v>7875</v>
      </c>
      <c r="B733" s="2651" t="s">
        <v>8997</v>
      </c>
    </row>
    <row r="734" spans="1:2" x14ac:dyDescent="0.15">
      <c r="A734" t="s">
        <v>7876</v>
      </c>
      <c r="B734" s="2651" t="s">
        <v>8998</v>
      </c>
    </row>
    <row r="735" spans="1:2" x14ac:dyDescent="0.15">
      <c r="A735" t="s">
        <v>7877</v>
      </c>
      <c r="B735" s="2651" t="s">
        <v>8999</v>
      </c>
    </row>
    <row r="736" spans="1:2" x14ac:dyDescent="0.15">
      <c r="A736" t="s">
        <v>7878</v>
      </c>
      <c r="B736" s="2651" t="s">
        <v>9000</v>
      </c>
    </row>
    <row r="737" spans="1:2" x14ac:dyDescent="0.15">
      <c r="A737" t="s">
        <v>7879</v>
      </c>
      <c r="B737" s="2651" t="s">
        <v>9001</v>
      </c>
    </row>
    <row r="738" spans="1:2" x14ac:dyDescent="0.15">
      <c r="A738" t="s">
        <v>7880</v>
      </c>
      <c r="B738" s="2651" t="s">
        <v>9002</v>
      </c>
    </row>
    <row r="739" spans="1:2" x14ac:dyDescent="0.15">
      <c r="A739" t="s">
        <v>7881</v>
      </c>
      <c r="B739" s="2651" t="s">
        <v>9003</v>
      </c>
    </row>
    <row r="740" spans="1:2" x14ac:dyDescent="0.15">
      <c r="A740" t="s">
        <v>7882</v>
      </c>
      <c r="B740" s="2651" t="s">
        <v>9004</v>
      </c>
    </row>
    <row r="741" spans="1:2" x14ac:dyDescent="0.15">
      <c r="A741" t="s">
        <v>7883</v>
      </c>
      <c r="B741" s="2651" t="s">
        <v>9005</v>
      </c>
    </row>
    <row r="742" spans="1:2" x14ac:dyDescent="0.15">
      <c r="A742" t="s">
        <v>7884</v>
      </c>
      <c r="B742" s="2651" t="s">
        <v>9006</v>
      </c>
    </row>
    <row r="743" spans="1:2" x14ac:dyDescent="0.15">
      <c r="A743" t="s">
        <v>7885</v>
      </c>
      <c r="B743" s="2651" t="s">
        <v>9007</v>
      </c>
    </row>
    <row r="744" spans="1:2" x14ac:dyDescent="0.15">
      <c r="A744" t="s">
        <v>7886</v>
      </c>
      <c r="B744" s="2651" t="s">
        <v>9008</v>
      </c>
    </row>
    <row r="745" spans="1:2" x14ac:dyDescent="0.15">
      <c r="A745" t="s">
        <v>7887</v>
      </c>
      <c r="B745" s="2651" t="s">
        <v>9009</v>
      </c>
    </row>
    <row r="746" spans="1:2" x14ac:dyDescent="0.15">
      <c r="A746" t="s">
        <v>7888</v>
      </c>
      <c r="B746" s="2651" t="s">
        <v>9010</v>
      </c>
    </row>
    <row r="747" spans="1:2" x14ac:dyDescent="0.15">
      <c r="A747" s="2652" t="s">
        <v>7889</v>
      </c>
      <c r="B747" s="2651" t="s">
        <v>8987</v>
      </c>
    </row>
    <row r="748" spans="1:2" x14ac:dyDescent="0.15">
      <c r="A748" t="s">
        <v>7890</v>
      </c>
      <c r="B748" s="2651" t="s">
        <v>8988</v>
      </c>
    </row>
    <row r="749" spans="1:2" x14ac:dyDescent="0.15">
      <c r="A749" t="s">
        <v>7891</v>
      </c>
      <c r="B749" s="2651" t="s">
        <v>8989</v>
      </c>
    </row>
    <row r="750" spans="1:2" x14ac:dyDescent="0.15">
      <c r="A750" t="s">
        <v>7892</v>
      </c>
      <c r="B750" s="2651" t="s">
        <v>8990</v>
      </c>
    </row>
    <row r="751" spans="1:2" x14ac:dyDescent="0.15">
      <c r="A751" t="s">
        <v>7893</v>
      </c>
      <c r="B751" s="2651" t="s">
        <v>8991</v>
      </c>
    </row>
    <row r="752" spans="1:2" x14ac:dyDescent="0.15">
      <c r="A752" t="s">
        <v>7894</v>
      </c>
      <c r="B752" s="2651" t="s">
        <v>8992</v>
      </c>
    </row>
    <row r="753" spans="1:2" x14ac:dyDescent="0.15">
      <c r="A753" t="s">
        <v>7895</v>
      </c>
      <c r="B753" s="2651" t="s">
        <v>8993</v>
      </c>
    </row>
    <row r="754" spans="1:2" x14ac:dyDescent="0.15">
      <c r="A754" t="s">
        <v>7896</v>
      </c>
      <c r="B754" s="2651" t="s">
        <v>8994</v>
      </c>
    </row>
    <row r="755" spans="1:2" x14ac:dyDescent="0.15">
      <c r="A755" t="s">
        <v>7897</v>
      </c>
      <c r="B755" s="2651" t="s">
        <v>8995</v>
      </c>
    </row>
    <row r="756" spans="1:2" x14ac:dyDescent="0.15">
      <c r="A756" t="s">
        <v>7898</v>
      </c>
      <c r="B756" s="2651" t="s">
        <v>8996</v>
      </c>
    </row>
    <row r="757" spans="1:2" x14ac:dyDescent="0.15">
      <c r="A757" t="s">
        <v>7899</v>
      </c>
      <c r="B757" s="2651" t="s">
        <v>8997</v>
      </c>
    </row>
    <row r="758" spans="1:2" x14ac:dyDescent="0.15">
      <c r="A758" t="s">
        <v>7900</v>
      </c>
      <c r="B758" s="2651" t="s">
        <v>8998</v>
      </c>
    </row>
    <row r="759" spans="1:2" x14ac:dyDescent="0.15">
      <c r="A759" t="s">
        <v>7901</v>
      </c>
      <c r="B759" s="2651" t="s">
        <v>8999</v>
      </c>
    </row>
    <row r="760" spans="1:2" x14ac:dyDescent="0.15">
      <c r="A760" t="s">
        <v>7902</v>
      </c>
      <c r="B760" s="2651" t="s">
        <v>9000</v>
      </c>
    </row>
    <row r="761" spans="1:2" x14ac:dyDescent="0.15">
      <c r="A761" t="s">
        <v>7903</v>
      </c>
      <c r="B761" s="2651" t="s">
        <v>9001</v>
      </c>
    </row>
    <row r="762" spans="1:2" x14ac:dyDescent="0.15">
      <c r="A762" t="s">
        <v>7904</v>
      </c>
      <c r="B762" s="2651" t="s">
        <v>9002</v>
      </c>
    </row>
    <row r="763" spans="1:2" x14ac:dyDescent="0.15">
      <c r="A763" t="s">
        <v>7905</v>
      </c>
      <c r="B763" s="2651" t="s">
        <v>9003</v>
      </c>
    </row>
    <row r="764" spans="1:2" x14ac:dyDescent="0.15">
      <c r="A764" t="s">
        <v>7906</v>
      </c>
      <c r="B764" s="2651" t="s">
        <v>9004</v>
      </c>
    </row>
    <row r="765" spans="1:2" x14ac:dyDescent="0.15">
      <c r="A765" t="s">
        <v>7907</v>
      </c>
      <c r="B765" s="2651" t="s">
        <v>9005</v>
      </c>
    </row>
    <row r="766" spans="1:2" x14ac:dyDescent="0.15">
      <c r="A766" t="s">
        <v>7908</v>
      </c>
      <c r="B766" s="2651" t="s">
        <v>9006</v>
      </c>
    </row>
    <row r="767" spans="1:2" x14ac:dyDescent="0.15">
      <c r="A767" t="s">
        <v>7909</v>
      </c>
      <c r="B767" s="2651" t="s">
        <v>9007</v>
      </c>
    </row>
    <row r="768" spans="1:2" x14ac:dyDescent="0.15">
      <c r="A768" t="s">
        <v>7910</v>
      </c>
      <c r="B768" s="2651" t="s">
        <v>9008</v>
      </c>
    </row>
    <row r="769" spans="1:2" x14ac:dyDescent="0.15">
      <c r="A769" t="s">
        <v>7911</v>
      </c>
      <c r="B769" s="2651" t="s">
        <v>9009</v>
      </c>
    </row>
    <row r="770" spans="1:2" x14ac:dyDescent="0.15">
      <c r="A770" t="s">
        <v>7912</v>
      </c>
      <c r="B770" s="2651" t="s">
        <v>9010</v>
      </c>
    </row>
    <row r="771" spans="1:2" x14ac:dyDescent="0.15">
      <c r="A771" s="2652" t="s">
        <v>7913</v>
      </c>
      <c r="B771" s="2651" t="s">
        <v>8987</v>
      </c>
    </row>
    <row r="772" spans="1:2" x14ac:dyDescent="0.15">
      <c r="A772" t="s">
        <v>7914</v>
      </c>
      <c r="B772" s="2651" t="s">
        <v>8988</v>
      </c>
    </row>
    <row r="773" spans="1:2" x14ac:dyDescent="0.15">
      <c r="A773" t="s">
        <v>7915</v>
      </c>
      <c r="B773" s="2651" t="s">
        <v>8989</v>
      </c>
    </row>
    <row r="774" spans="1:2" x14ac:dyDescent="0.15">
      <c r="A774" t="s">
        <v>7916</v>
      </c>
      <c r="B774" s="2651" t="s">
        <v>8990</v>
      </c>
    </row>
    <row r="775" spans="1:2" x14ac:dyDescent="0.15">
      <c r="A775" t="s">
        <v>7917</v>
      </c>
      <c r="B775" s="2651" t="s">
        <v>8991</v>
      </c>
    </row>
    <row r="776" spans="1:2" x14ac:dyDescent="0.15">
      <c r="A776" t="s">
        <v>7918</v>
      </c>
      <c r="B776" s="2651" t="s">
        <v>8992</v>
      </c>
    </row>
    <row r="777" spans="1:2" x14ac:dyDescent="0.15">
      <c r="A777" t="s">
        <v>7919</v>
      </c>
      <c r="B777" s="2651" t="s">
        <v>8993</v>
      </c>
    </row>
    <row r="778" spans="1:2" x14ac:dyDescent="0.15">
      <c r="A778" t="s">
        <v>7920</v>
      </c>
      <c r="B778" s="2651" t="s">
        <v>8994</v>
      </c>
    </row>
    <row r="779" spans="1:2" x14ac:dyDescent="0.15">
      <c r="A779" t="s">
        <v>7921</v>
      </c>
      <c r="B779" s="2651" t="s">
        <v>8995</v>
      </c>
    </row>
    <row r="780" spans="1:2" x14ac:dyDescent="0.15">
      <c r="A780" t="s">
        <v>7922</v>
      </c>
      <c r="B780" s="2651" t="s">
        <v>8996</v>
      </c>
    </row>
    <row r="781" spans="1:2" x14ac:dyDescent="0.15">
      <c r="A781" t="s">
        <v>7923</v>
      </c>
      <c r="B781" s="2651" t="s">
        <v>8997</v>
      </c>
    </row>
    <row r="782" spans="1:2" x14ac:dyDescent="0.15">
      <c r="A782" t="s">
        <v>7924</v>
      </c>
      <c r="B782" s="2651" t="s">
        <v>8998</v>
      </c>
    </row>
    <row r="783" spans="1:2" x14ac:dyDescent="0.15">
      <c r="A783" t="s">
        <v>7925</v>
      </c>
      <c r="B783" s="2651" t="s">
        <v>8999</v>
      </c>
    </row>
    <row r="784" spans="1:2" x14ac:dyDescent="0.15">
      <c r="A784" t="s">
        <v>7926</v>
      </c>
      <c r="B784" s="2651" t="s">
        <v>9000</v>
      </c>
    </row>
    <row r="785" spans="1:2" x14ac:dyDescent="0.15">
      <c r="A785" t="s">
        <v>7927</v>
      </c>
      <c r="B785" s="2651" t="s">
        <v>9001</v>
      </c>
    </row>
    <row r="786" spans="1:2" x14ac:dyDescent="0.15">
      <c r="A786" t="s">
        <v>7928</v>
      </c>
      <c r="B786" s="2651" t="s">
        <v>9002</v>
      </c>
    </row>
    <row r="787" spans="1:2" x14ac:dyDescent="0.15">
      <c r="A787" t="s">
        <v>7929</v>
      </c>
      <c r="B787" s="2651" t="s">
        <v>9003</v>
      </c>
    </row>
    <row r="788" spans="1:2" x14ac:dyDescent="0.15">
      <c r="A788" t="s">
        <v>7930</v>
      </c>
      <c r="B788" s="2651" t="s">
        <v>9004</v>
      </c>
    </row>
    <row r="789" spans="1:2" x14ac:dyDescent="0.15">
      <c r="A789" t="s">
        <v>7931</v>
      </c>
      <c r="B789" s="2651" t="s">
        <v>9005</v>
      </c>
    </row>
    <row r="790" spans="1:2" x14ac:dyDescent="0.15">
      <c r="A790" t="s">
        <v>7932</v>
      </c>
      <c r="B790" s="2651" t="s">
        <v>9006</v>
      </c>
    </row>
    <row r="791" spans="1:2" x14ac:dyDescent="0.15">
      <c r="A791" t="s">
        <v>7933</v>
      </c>
      <c r="B791" s="2651" t="s">
        <v>9007</v>
      </c>
    </row>
    <row r="792" spans="1:2" x14ac:dyDescent="0.15">
      <c r="A792" t="s">
        <v>7934</v>
      </c>
      <c r="B792" s="2651" t="s">
        <v>9008</v>
      </c>
    </row>
    <row r="793" spans="1:2" x14ac:dyDescent="0.15">
      <c r="A793" t="s">
        <v>7935</v>
      </c>
      <c r="B793" s="2651" t="s">
        <v>9009</v>
      </c>
    </row>
    <row r="794" spans="1:2" x14ac:dyDescent="0.15">
      <c r="A794" t="s">
        <v>7936</v>
      </c>
      <c r="B794" s="2651" t="s">
        <v>9010</v>
      </c>
    </row>
    <row r="795" spans="1:2" x14ac:dyDescent="0.15">
      <c r="A795" s="2652" t="s">
        <v>7937</v>
      </c>
      <c r="B795" s="2651" t="s">
        <v>8987</v>
      </c>
    </row>
    <row r="796" spans="1:2" x14ac:dyDescent="0.15">
      <c r="A796" t="s">
        <v>7938</v>
      </c>
      <c r="B796" s="2651" t="s">
        <v>8988</v>
      </c>
    </row>
    <row r="797" spans="1:2" x14ac:dyDescent="0.15">
      <c r="A797" t="s">
        <v>7939</v>
      </c>
      <c r="B797" s="2651" t="s">
        <v>8989</v>
      </c>
    </row>
    <row r="798" spans="1:2" x14ac:dyDescent="0.15">
      <c r="A798" t="s">
        <v>7940</v>
      </c>
      <c r="B798" s="2651" t="s">
        <v>8990</v>
      </c>
    </row>
    <row r="799" spans="1:2" x14ac:dyDescent="0.15">
      <c r="A799" t="s">
        <v>7941</v>
      </c>
      <c r="B799" s="2651" t="s">
        <v>8991</v>
      </c>
    </row>
    <row r="800" spans="1:2" x14ac:dyDescent="0.15">
      <c r="A800" t="s">
        <v>7942</v>
      </c>
      <c r="B800" s="2651" t="s">
        <v>8992</v>
      </c>
    </row>
    <row r="801" spans="1:2" x14ac:dyDescent="0.15">
      <c r="A801" t="s">
        <v>7943</v>
      </c>
      <c r="B801" s="2651" t="s">
        <v>8993</v>
      </c>
    </row>
    <row r="802" spans="1:2" x14ac:dyDescent="0.15">
      <c r="A802" t="s">
        <v>7944</v>
      </c>
      <c r="B802" s="2651" t="s">
        <v>8994</v>
      </c>
    </row>
    <row r="803" spans="1:2" x14ac:dyDescent="0.15">
      <c r="A803" t="s">
        <v>7945</v>
      </c>
      <c r="B803" s="2651" t="s">
        <v>8995</v>
      </c>
    </row>
    <row r="804" spans="1:2" x14ac:dyDescent="0.15">
      <c r="A804" t="s">
        <v>7946</v>
      </c>
      <c r="B804" s="2651" t="s">
        <v>8996</v>
      </c>
    </row>
    <row r="805" spans="1:2" x14ac:dyDescent="0.15">
      <c r="A805" t="s">
        <v>7947</v>
      </c>
      <c r="B805" s="2651" t="s">
        <v>8997</v>
      </c>
    </row>
    <row r="806" spans="1:2" x14ac:dyDescent="0.15">
      <c r="A806" t="s">
        <v>7948</v>
      </c>
      <c r="B806" s="2651" t="s">
        <v>8998</v>
      </c>
    </row>
    <row r="807" spans="1:2" x14ac:dyDescent="0.15">
      <c r="A807" t="s">
        <v>7949</v>
      </c>
      <c r="B807" s="2651" t="s">
        <v>8999</v>
      </c>
    </row>
    <row r="808" spans="1:2" x14ac:dyDescent="0.15">
      <c r="A808" t="s">
        <v>7950</v>
      </c>
      <c r="B808" s="2651" t="s">
        <v>9000</v>
      </c>
    </row>
    <row r="809" spans="1:2" x14ac:dyDescent="0.15">
      <c r="A809" t="s">
        <v>7951</v>
      </c>
      <c r="B809" s="2651" t="s">
        <v>9001</v>
      </c>
    </row>
    <row r="810" spans="1:2" x14ac:dyDescent="0.15">
      <c r="A810" t="s">
        <v>7952</v>
      </c>
      <c r="B810" s="2651" t="s">
        <v>9002</v>
      </c>
    </row>
    <row r="811" spans="1:2" x14ac:dyDescent="0.15">
      <c r="A811" t="s">
        <v>7953</v>
      </c>
      <c r="B811" s="2651" t="s">
        <v>9003</v>
      </c>
    </row>
    <row r="812" spans="1:2" x14ac:dyDescent="0.15">
      <c r="A812" t="s">
        <v>7954</v>
      </c>
      <c r="B812" s="2651" t="s">
        <v>9004</v>
      </c>
    </row>
    <row r="813" spans="1:2" x14ac:dyDescent="0.15">
      <c r="A813" t="s">
        <v>7955</v>
      </c>
      <c r="B813" s="2651" t="s">
        <v>9005</v>
      </c>
    </row>
    <row r="814" spans="1:2" x14ac:dyDescent="0.15">
      <c r="A814" t="s">
        <v>7956</v>
      </c>
      <c r="B814" s="2651" t="s">
        <v>9006</v>
      </c>
    </row>
    <row r="815" spans="1:2" x14ac:dyDescent="0.15">
      <c r="A815" t="s">
        <v>7957</v>
      </c>
      <c r="B815" s="2651" t="s">
        <v>9007</v>
      </c>
    </row>
    <row r="816" spans="1:2" x14ac:dyDescent="0.15">
      <c r="A816" t="s">
        <v>7958</v>
      </c>
      <c r="B816" s="2651" t="s">
        <v>9008</v>
      </c>
    </row>
    <row r="817" spans="1:4" x14ac:dyDescent="0.15">
      <c r="A817" t="s">
        <v>7959</v>
      </c>
      <c r="B817" s="2651" t="s">
        <v>9009</v>
      </c>
    </row>
    <row r="818" spans="1:4" x14ac:dyDescent="0.15">
      <c r="A818" t="s">
        <v>7960</v>
      </c>
      <c r="B818" s="2651" t="s">
        <v>9010</v>
      </c>
    </row>
    <row r="819" spans="1:4" x14ac:dyDescent="0.15">
      <c r="A819" t="s">
        <v>9109</v>
      </c>
      <c r="B819" s="2651" t="s">
        <v>9048</v>
      </c>
      <c r="C819" s="2677" t="s">
        <v>9050</v>
      </c>
      <c r="D819" s="2677" t="s">
        <v>9052</v>
      </c>
    </row>
    <row r="820" spans="1:4" x14ac:dyDescent="0.15">
      <c r="A820" t="s">
        <v>9110</v>
      </c>
      <c r="B820" s="2651" t="s">
        <v>9053</v>
      </c>
      <c r="C820" s="2651" t="s">
        <v>9062</v>
      </c>
      <c r="D820" s="2651" t="s">
        <v>9071</v>
      </c>
    </row>
    <row r="821" spans="1:4" x14ac:dyDescent="0.15">
      <c r="A821" t="s">
        <v>9111</v>
      </c>
      <c r="B821" s="2651" t="s">
        <v>9054</v>
      </c>
      <c r="C821" s="2651" t="s">
        <v>9063</v>
      </c>
      <c r="D821" s="2651" t="s">
        <v>9072</v>
      </c>
    </row>
    <row r="822" spans="1:4" x14ac:dyDescent="0.15">
      <c r="A822" t="s">
        <v>9112</v>
      </c>
      <c r="B822" s="2651" t="s">
        <v>9055</v>
      </c>
      <c r="C822" s="2651" t="s">
        <v>9064</v>
      </c>
      <c r="D822" s="2651" t="s">
        <v>9073</v>
      </c>
    </row>
    <row r="823" spans="1:4" x14ac:dyDescent="0.15">
      <c r="A823" t="s">
        <v>9113</v>
      </c>
      <c r="B823" s="2651" t="s">
        <v>9056</v>
      </c>
      <c r="C823" s="2651" t="s">
        <v>9065</v>
      </c>
      <c r="D823" s="2651" t="s">
        <v>9074</v>
      </c>
    </row>
    <row r="824" spans="1:4" x14ac:dyDescent="0.15">
      <c r="A824" t="s">
        <v>9114</v>
      </c>
      <c r="B824" s="2651" t="s">
        <v>9057</v>
      </c>
      <c r="C824" s="2651" t="s">
        <v>9066</v>
      </c>
      <c r="D824" s="2651" t="s">
        <v>9075</v>
      </c>
    </row>
    <row r="825" spans="1:4" x14ac:dyDescent="0.15">
      <c r="A825" t="s">
        <v>9115</v>
      </c>
      <c r="B825" s="2651" t="s">
        <v>9058</v>
      </c>
      <c r="C825" s="2651" t="s">
        <v>9067</v>
      </c>
      <c r="D825" s="2651" t="s">
        <v>9076</v>
      </c>
    </row>
    <row r="826" spans="1:4" x14ac:dyDescent="0.15">
      <c r="A826" t="s">
        <v>9116</v>
      </c>
      <c r="B826" s="2651" t="s">
        <v>9059</v>
      </c>
      <c r="C826" s="2651" t="s">
        <v>9068</v>
      </c>
      <c r="D826" s="2651" t="s">
        <v>9077</v>
      </c>
    </row>
    <row r="827" spans="1:4" x14ac:dyDescent="0.15">
      <c r="A827" t="s">
        <v>9117</v>
      </c>
      <c r="B827" s="2651" t="s">
        <v>9060</v>
      </c>
      <c r="C827" s="2651" t="s">
        <v>9069</v>
      </c>
      <c r="D827" s="2651" t="s">
        <v>9078</v>
      </c>
    </row>
    <row r="828" spans="1:4" x14ac:dyDescent="0.15">
      <c r="A828" t="s">
        <v>9118</v>
      </c>
      <c r="B828" s="2651" t="s">
        <v>9061</v>
      </c>
      <c r="C828" s="2651" t="s">
        <v>9070</v>
      </c>
      <c r="D828" s="2651" t="s">
        <v>9079</v>
      </c>
    </row>
    <row r="829" spans="1:4" x14ac:dyDescent="0.15">
      <c r="A829" t="s">
        <v>9119</v>
      </c>
      <c r="B829" s="2651" t="s">
        <v>9082</v>
      </c>
      <c r="C829" s="2651" t="s">
        <v>9081</v>
      </c>
      <c r="D829" s="2651" t="s">
        <v>9080</v>
      </c>
    </row>
    <row r="830" spans="1:4" x14ac:dyDescent="0.15">
      <c r="A830" t="s">
        <v>9120</v>
      </c>
      <c r="B830" s="2651" t="s">
        <v>9106</v>
      </c>
      <c r="C830" s="2651" t="s">
        <v>9107</v>
      </c>
      <c r="D830" s="2651" t="s">
        <v>9108</v>
      </c>
    </row>
    <row r="831" spans="1:4" x14ac:dyDescent="0.15">
      <c r="A831" t="s">
        <v>9121</v>
      </c>
      <c r="B831" s="2651" t="s">
        <v>8936</v>
      </c>
    </row>
    <row r="832" spans="1:4" x14ac:dyDescent="0.15">
      <c r="A832" t="s">
        <v>9122</v>
      </c>
      <c r="B832" s="2651" t="s">
        <v>8937</v>
      </c>
    </row>
    <row r="833" spans="1:4" x14ac:dyDescent="0.15">
      <c r="A833" t="s">
        <v>9123</v>
      </c>
      <c r="B833" s="2651" t="s">
        <v>8938</v>
      </c>
    </row>
    <row r="834" spans="1:4" x14ac:dyDescent="0.15">
      <c r="A834" t="s">
        <v>9124</v>
      </c>
      <c r="B834" s="2651" t="s">
        <v>8939</v>
      </c>
    </row>
    <row r="835" spans="1:4" x14ac:dyDescent="0.15">
      <c r="A835" t="s">
        <v>9125</v>
      </c>
      <c r="B835" s="2651" t="s">
        <v>8940</v>
      </c>
    </row>
    <row r="836" spans="1:4" x14ac:dyDescent="0.15">
      <c r="A836" t="s">
        <v>9126</v>
      </c>
      <c r="B836" s="2651" t="s">
        <v>8941</v>
      </c>
    </row>
    <row r="837" spans="1:4" x14ac:dyDescent="0.15">
      <c r="A837" t="s">
        <v>9127</v>
      </c>
      <c r="B837" s="2651" t="s">
        <v>9140</v>
      </c>
      <c r="C837" s="2677" t="s">
        <v>9141</v>
      </c>
      <c r="D837" s="2677" t="s">
        <v>9142</v>
      </c>
    </row>
    <row r="838" spans="1:4" x14ac:dyDescent="0.15">
      <c r="A838" t="s">
        <v>9128</v>
      </c>
      <c r="B838" s="2651" t="s">
        <v>9137</v>
      </c>
      <c r="C838" s="2651" t="s">
        <v>9134</v>
      </c>
      <c r="D838" s="2651" t="s">
        <v>9131</v>
      </c>
    </row>
    <row r="839" spans="1:4" x14ac:dyDescent="0.15">
      <c r="A839" t="s">
        <v>9129</v>
      </c>
      <c r="B839" s="2651" t="s">
        <v>9138</v>
      </c>
      <c r="C839" s="2651" t="s">
        <v>9135</v>
      </c>
      <c r="D839" s="2651" t="s">
        <v>9132</v>
      </c>
    </row>
    <row r="840" spans="1:4" x14ac:dyDescent="0.15">
      <c r="A840" t="s">
        <v>9130</v>
      </c>
      <c r="B840" s="2651" t="s">
        <v>9139</v>
      </c>
      <c r="C840" s="2651" t="s">
        <v>9136</v>
      </c>
      <c r="D840" s="2651" t="s">
        <v>9133</v>
      </c>
    </row>
  </sheetData>
  <mergeCells count="2">
    <mergeCell ref="A1:A2"/>
    <mergeCell ref="B1:B2"/>
  </mergeCells>
  <phoneticPr fontId="1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3.5" x14ac:dyDescent="0.15"/>
  <cols>
    <col min="1" max="1" customWidth="true" width="27.33203125" collapsed="false"/>
    <col min="2" max="3" customWidth="true" width="7.33203125" collapsed="false"/>
    <col min="4" max="7" customWidth="true" width="8.109375" collapsed="false"/>
    <col min="8" max="8" customWidth="true" width="10.33203125" collapsed="false"/>
    <col min="9" max="9" bestFit="true" customWidth="true" width="4.6640625" collapsed="false"/>
    <col min="10" max="11" customWidth="true" width="10.44140625" collapsed="false"/>
    <col min="12" max="12" bestFit="true" customWidth="true" width="4.6640625" collapsed="false"/>
    <col min="13" max="13" customWidth="true" width="10.33203125" collapsed="false"/>
    <col min="14" max="17" customWidth="true" width="8.109375" collapsed="false"/>
    <col min="18" max="19" customWidth="true" width="7.33203125" collapsed="false"/>
    <col min="20" max="20" customWidth="true" width="28.109375" collapsed="false"/>
    <col min="21" max="21" customWidth="true" width="1.88671875" collapsed="false"/>
  </cols>
  <sheetData>
    <row r="1" spans="1:22" x14ac:dyDescent="0.15">
      <c r="A1" s="2694" t="s">
        <v>9602</v>
      </c>
    </row>
    <row r="2" spans="1:22" ht="18" customHeight="1" thickBot="1" x14ac:dyDescent="0.2">
      <c r="V2" s="2147"/>
    </row>
    <row r="3" spans="1:22" ht="18" customHeight="1" thickTop="1" thickBot="1" x14ac:dyDescent="0.2">
      <c r="A3" s="2474" t="s">
        <v>6943</v>
      </c>
      <c r="D3" s="53"/>
      <c r="E3" s="53"/>
      <c r="F3" s="53"/>
      <c r="G3" s="53"/>
      <c r="H3" s="124"/>
      <c r="I3" s="124"/>
      <c r="J3" s="3661" t="s">
        <v>4989</v>
      </c>
      <c r="K3" s="3667"/>
      <c r="L3" s="124"/>
      <c r="M3" s="124"/>
      <c r="N3" s="53"/>
      <c r="O3" s="53"/>
      <c r="P3" s="53"/>
      <c r="Q3" s="53"/>
      <c r="R3" s="53"/>
      <c r="S3" s="53"/>
    </row>
    <row r="4" spans="1:22" ht="18" customHeight="1" thickTop="1" thickBot="1" x14ac:dyDescent="0.2">
      <c r="A4" s="3"/>
      <c r="D4" s="54"/>
      <c r="E4" s="54"/>
      <c r="F4" s="54"/>
      <c r="G4" s="54"/>
      <c r="H4" s="4"/>
      <c r="I4" s="4"/>
      <c r="K4" s="56"/>
      <c r="L4" s="565"/>
      <c r="M4" s="1371" t="s">
        <v>4562</v>
      </c>
      <c r="N4" s="1368">
        <v>62.2</v>
      </c>
      <c r="O4" s="1369">
        <v>67</v>
      </c>
      <c r="P4" s="1370">
        <v>61.8</v>
      </c>
      <c r="Q4" s="508" t="s">
        <v>4563</v>
      </c>
      <c r="R4" s="133"/>
      <c r="S4" s="128"/>
      <c r="T4" s="528">
        <v>-1</v>
      </c>
    </row>
    <row r="5" spans="1:22" ht="18" customHeight="1" thickTop="1" thickBot="1" x14ac:dyDescent="0.2">
      <c r="A5" s="5" t="s">
        <v>4564</v>
      </c>
      <c r="B5" s="6" t="s">
        <v>4565</v>
      </c>
      <c r="C5" s="7" t="s">
        <v>4566</v>
      </c>
      <c r="D5" s="6" t="s">
        <v>4567</v>
      </c>
      <c r="E5" s="6" t="s">
        <v>4568</v>
      </c>
      <c r="F5" s="6" t="s">
        <v>4569</v>
      </c>
      <c r="G5" s="6" t="s">
        <v>4570</v>
      </c>
      <c r="H5" s="100" t="s">
        <v>4571</v>
      </c>
      <c r="I5" s="554"/>
      <c r="J5" s="58" t="s">
        <v>4572</v>
      </c>
      <c r="K5" s="59" t="s">
        <v>4572</v>
      </c>
      <c r="L5" s="566"/>
      <c r="M5" s="8" t="s">
        <v>4571</v>
      </c>
      <c r="N5" s="6" t="s">
        <v>4567</v>
      </c>
      <c r="O5" s="6" t="s">
        <v>4568</v>
      </c>
      <c r="P5" s="6" t="s">
        <v>4569</v>
      </c>
      <c r="Q5" s="6" t="s">
        <v>4570</v>
      </c>
      <c r="R5" s="6" t="s">
        <v>4565</v>
      </c>
      <c r="S5" s="7" t="s">
        <v>4566</v>
      </c>
      <c r="T5" s="60" t="s">
        <v>4564</v>
      </c>
    </row>
    <row r="6" spans="1:22" ht="24.75" thickTop="1" x14ac:dyDescent="0.15">
      <c r="A6" s="2539" t="s">
        <v>6983</v>
      </c>
      <c r="B6" s="11" t="s">
        <v>4635</v>
      </c>
      <c r="C6" s="18" t="s">
        <v>4575</v>
      </c>
      <c r="D6" s="2670" cm="1" t="n">
        <f t="array" ref="D6">INDEX('5층_부하량'!F3:F3000,MATCH(1,("5-DaHall 1-CEP-05"='5층_부하량'!A3:A3000)*(1='5층_부하량'!B3:B3000),0))</f>
        <v>0.0</v>
      </c>
      <c r="E6" s="2670" cm="1" t="n">
        <f t="array" ref="E6">INDEX('5층_부하량'!G3:G3000,MATCH(1,("5-DaHall 1-CEP-05"='5층_부하량'!A3:A3000)*(1='5층_부하량'!B3:B3000),0))</f>
        <v>0.0</v>
      </c>
      <c r="F6" s="2670" cm="1" t="n">
        <f t="array" ref="F6">INDEX('5층_부하량'!H3:H3000,MATCH(1,("5-DaHall 1-CEP-05"='5층_부하량'!A3:A3000)*(1='5층_부하량'!B3:B3000),0))</f>
        <v>0.0</v>
      </c>
      <c r="G6" s="21"/>
      <c r="H6" s="11" t="s">
        <v>4996</v>
      </c>
      <c r="I6" s="548" t="s">
        <v>4633</v>
      </c>
      <c r="J6" s="61" t="s">
        <v>5643</v>
      </c>
      <c r="K6" s="62" t="s">
        <v>5643</v>
      </c>
      <c r="L6" s="548" t="s">
        <v>4578</v>
      </c>
      <c r="M6" s="11" t="s">
        <v>4996</v>
      </c>
      <c r="N6" s="2669" cm="1" t="n">
        <f t="array" ref="N6">INDEX('5층_부하량'!F3:F3000,MATCH(1,("5-DaHall 1-CEP-05"='5층_부하량'!A3:A3000)*(2='5층_부하량'!B3:B3000),0))</f>
        <v>0.0</v>
      </c>
      <c r="O6" s="2669" cm="1" t="n">
        <f t="array" ref="O6">INDEX('5층_부하량'!G3:G3000,MATCH(1,("5-DaHall 1-CEP-05"='5층_부하량'!A3:A3000)*(2='5층_부하량'!B3:B3000),0))</f>
        <v>0.0</v>
      </c>
      <c r="P6" s="2669" cm="1" t="n">
        <f t="array" ref="P6">INDEX('5층_부하량'!H3:H3000,MATCH(1,("5-DaHall 1-CEP-05"='5층_부하량'!A3:A3000)*(2='5층_부하량'!B3:B3000),0))</f>
        <v>0.0</v>
      </c>
      <c r="Q6" s="21"/>
      <c r="R6" s="13" t="s">
        <v>4635</v>
      </c>
      <c r="S6" s="97" t="s">
        <v>4575</v>
      </c>
      <c r="T6" s="101" t="s">
        <v>6996</v>
      </c>
    </row>
    <row r="7" spans="1:22" ht="24" x14ac:dyDescent="0.15">
      <c r="A7" s="22" t="s">
        <v>6984</v>
      </c>
      <c r="B7" s="17" t="s">
        <v>4635</v>
      </c>
      <c r="C7" s="18" t="s">
        <v>4575</v>
      </c>
      <c r="D7" s="2670" cm="1" t="n">
        <f t="array" ref="D7">INDEX('5층_부하량'!F3:F3000,MATCH(1,("5-DaHall 1-CEP-05"='5층_부하량'!A3:A3000)*(3='5층_부하량'!B3:B3000),0))</f>
        <v>21.31</v>
      </c>
      <c r="E7" s="2670" cm="1" t="n">
        <f t="array" ref="E7">INDEX('5층_부하량'!G3:G3000,MATCH(1,("5-DaHall 1-CEP-05"='5층_부하량'!A3:A3000)*(3='5층_부하량'!B3:B3000),0))</f>
        <v>21.47</v>
      </c>
      <c r="F7" s="2670" cm="1" t="n">
        <f t="array" ref="F7">INDEX('5층_부하량'!H3:H3000,MATCH(1,("5-DaHall 1-CEP-05"='5층_부하량'!A3:A3000)*(3='5층_부하량'!B3:B3000),0))</f>
        <v>20.96</v>
      </c>
      <c r="G7" s="350"/>
      <c r="H7" s="17" t="s">
        <v>4996</v>
      </c>
      <c r="I7" s="549" t="s">
        <v>4638</v>
      </c>
      <c r="J7" s="65" t="s">
        <v>5643</v>
      </c>
      <c r="K7" s="66" t="s">
        <v>5643</v>
      </c>
      <c r="L7" s="549" t="s">
        <v>4583</v>
      </c>
      <c r="M7" s="17" t="s">
        <v>4996</v>
      </c>
      <c r="N7" s="2670" cm="1" t="n">
        <f t="array" ref="N7">INDEX('5층_부하량'!F3:F3000,MATCH(1,("5-DaHall 1-CEP-05"='5층_부하량'!A3:A3000)*(4='5층_부하량'!B3:B3000),0))</f>
        <v>23.99</v>
      </c>
      <c r="O7" s="2670" cm="1" t="n">
        <f t="array" ref="O7">INDEX('5층_부하량'!G3:G3000,MATCH(1,("5-DaHall 1-CEP-05"='5층_부하량'!A3:A3000)*(4='5층_부하량'!B3:B3000),0))</f>
        <v>23.98</v>
      </c>
      <c r="P7" s="2670" cm="1" t="n">
        <f t="array" ref="P7">INDEX('5층_부하량'!H3:H3000,MATCH(1,("5-DaHall 1-CEP-05"='5층_부하량'!A3:A3000)*(4='5층_부하량'!B3:B3000),0))</f>
        <v>23.54</v>
      </c>
      <c r="Q7" s="349"/>
      <c r="R7" s="17" t="s">
        <v>4635</v>
      </c>
      <c r="S7" s="18" t="s">
        <v>4575</v>
      </c>
      <c r="T7" s="70" t="s">
        <v>6989</v>
      </c>
    </row>
    <row r="8" spans="1:22" ht="24" x14ac:dyDescent="0.15">
      <c r="A8" s="22" t="s">
        <v>6985</v>
      </c>
      <c r="B8" s="17" t="s">
        <v>4635</v>
      </c>
      <c r="C8" s="322" t="s">
        <v>4575</v>
      </c>
      <c r="D8" s="2672" cm="1" t="n">
        <f t="array" ref="D8">INDEX('5층_부하량'!F3:F3000,MATCH(1,("5-DaHall 1-CEP-05"='5층_부하량'!A3:A3000)*(5='5층_부하량'!B3:B3000),0))</f>
        <v>22.58</v>
      </c>
      <c r="E8" s="2672" cm="1" t="n">
        <f t="array" ref="E8">INDEX('5층_부하량'!G3:G3000,MATCH(1,("5-DaHall 1-CEP-05"='5층_부하량'!A3:A3000)*(5='5층_부하량'!B3:B3000),0))</f>
        <v>22.85</v>
      </c>
      <c r="F8" s="2672" cm="1" t="n">
        <f t="array" ref="F8">INDEX('5층_부하량'!H3:H3000,MATCH(1,("5-DaHall 1-CEP-05"='5층_부하량'!A3:A3000)*(5='5층_부하량'!B3:B3000),0))</f>
        <v>22.19</v>
      </c>
      <c r="G8" s="350"/>
      <c r="H8" s="17" t="s">
        <v>4996</v>
      </c>
      <c r="I8" s="549" t="s">
        <v>4641</v>
      </c>
      <c r="J8" s="65" t="s">
        <v>5643</v>
      </c>
      <c r="K8" s="66" t="s">
        <v>5643</v>
      </c>
      <c r="L8" s="550" t="s">
        <v>4588</v>
      </c>
      <c r="M8" s="72" t="s">
        <v>4996</v>
      </c>
      <c r="N8" s="2672" cm="1" t="n">
        <f t="array" ref="N8">INDEX('5층_부하량'!F3:F3000,MATCH(1,("5-DaHall 1-CEP-05"='5층_부하량'!A3:A3000)*(6='5층_부하량'!B3:B3000),0))</f>
        <v>25.26</v>
      </c>
      <c r="O8" s="2672" cm="1" t="n">
        <f t="array" ref="O8">INDEX('5층_부하량'!G3:G3000,MATCH(1,("5-DaHall 1-CEP-05"='5층_부하량'!A3:A3000)*(6='5층_부하량'!B3:B3000),0))</f>
        <v>24.86</v>
      </c>
      <c r="P8" s="2672" cm="1" t="n">
        <f t="array" ref="P8">INDEX('5층_부하량'!H3:H3000,MATCH(1,("5-DaHall 1-CEP-05"='5층_부하량'!A3:A3000)*(6='5층_부하량'!B3:B3000),0))</f>
        <v>25.16</v>
      </c>
      <c r="Q8" s="350"/>
      <c r="R8" s="17" t="s">
        <v>4635</v>
      </c>
      <c r="S8" s="18" t="s">
        <v>4575</v>
      </c>
      <c r="T8" s="70" t="s">
        <v>6990</v>
      </c>
    </row>
    <row r="9" spans="1:22" ht="24" x14ac:dyDescent="0.15">
      <c r="A9" s="22" t="s">
        <v>6986</v>
      </c>
      <c r="B9" s="17" t="s">
        <v>4635</v>
      </c>
      <c r="C9" s="18" t="s">
        <v>4575</v>
      </c>
      <c r="D9" s="2672" cm="1" t="n">
        <f t="array" ref="D9">INDEX('5층_부하량'!F3:F3000,MATCH(1,("5-DaHall 1-CEP-05"='5층_부하량'!A3:A3000)*(7='5층_부하량'!B3:B3000),0))</f>
        <v>24.42</v>
      </c>
      <c r="E9" s="2672" cm="1" t="n">
        <f t="array" ref="E9">INDEX('5층_부하량'!G3:G3000,MATCH(1,("5-DaHall 1-CEP-05"='5층_부하량'!A3:A3000)*(7='5층_부하량'!B3:B3000),0))</f>
        <v>24.4</v>
      </c>
      <c r="F9" s="2672" cm="1" t="n">
        <f t="array" ref="F9">INDEX('5층_부하량'!H3:H3000,MATCH(1,("5-DaHall 1-CEP-05"='5층_부하량'!A3:A3000)*(7='5층_부하량'!B3:B3000),0))</f>
        <v>24.07</v>
      </c>
      <c r="G9" s="350"/>
      <c r="H9" s="17" t="s">
        <v>4996</v>
      </c>
      <c r="I9" s="549" t="s">
        <v>4645</v>
      </c>
      <c r="J9" s="65" t="s">
        <v>5643</v>
      </c>
      <c r="K9" s="66" t="s">
        <v>5643</v>
      </c>
      <c r="L9" s="549" t="s">
        <v>4593</v>
      </c>
      <c r="M9" s="17" t="s">
        <v>4996</v>
      </c>
      <c r="N9" s="2672" cm="1" t="n">
        <f t="array" ref="N9">INDEX('5층_부하량'!F3:F3000,MATCH(1,("5-DaHall 1-CEP-05"='5층_부하량'!A3:A3000)*(8='5층_부하량'!B3:B3000),0))</f>
        <v>24.3</v>
      </c>
      <c r="O9" s="2672" cm="1" t="n">
        <f t="array" ref="O9">INDEX('5층_부하량'!G3:G3000,MATCH(1,("5-DaHall 1-CEP-05"='5층_부하량'!A3:A3000)*(8='5층_부하량'!B3:B3000),0))</f>
        <v>24.7</v>
      </c>
      <c r="P9" s="2672" cm="1" t="n">
        <f t="array" ref="P9">INDEX('5층_부하량'!H3:H3000,MATCH(1,("5-DaHall 1-CEP-05"='5층_부하량'!A3:A3000)*(8='5층_부하량'!B3:B3000),0))</f>
        <v>24.07</v>
      </c>
      <c r="Q9" s="350"/>
      <c r="R9" s="17" t="s">
        <v>4635</v>
      </c>
      <c r="S9" s="18" t="s">
        <v>4575</v>
      </c>
      <c r="T9" s="70" t="s">
        <v>6991</v>
      </c>
    </row>
    <row r="10" spans="1:22" ht="24" x14ac:dyDescent="0.15">
      <c r="A10" s="22" t="s">
        <v>6987</v>
      </c>
      <c r="B10" s="17" t="s">
        <v>4635</v>
      </c>
      <c r="C10" s="18" t="s">
        <v>4575</v>
      </c>
      <c r="D10" s="2672" cm="1" t="n">
        <f t="array" ref="D10">INDEX('5층_부하량'!F3:F3000,MATCH(1,("5-DaHall 1-CEP-05"='5층_부하량'!A3:A3000)*(9='5층_부하량'!B3:B3000),0))</f>
        <v>20.68</v>
      </c>
      <c r="E10" s="2672" cm="1" t="n">
        <f t="array" ref="E10">INDEX('5층_부하량'!G3:G3000,MATCH(1,("5-DaHall 1-CEP-05"='5층_부하량'!A3:A3000)*(9='5층_부하량'!B3:B3000),0))</f>
        <v>21.0</v>
      </c>
      <c r="F10" s="2672" cm="1" t="n">
        <f t="array" ref="F10">INDEX('5층_부하량'!H3:H3000,MATCH(1,("5-DaHall 1-CEP-05"='5층_부하량'!A3:A3000)*(9='5층_부하량'!B3:B3000),0))</f>
        <v>20.43</v>
      </c>
      <c r="G10" s="350"/>
      <c r="H10" s="17" t="s">
        <v>4996</v>
      </c>
      <c r="I10" s="549" t="s">
        <v>4648</v>
      </c>
      <c r="J10" s="65" t="s">
        <v>5643</v>
      </c>
      <c r="K10" s="66" t="s">
        <v>5643</v>
      </c>
      <c r="L10" s="550" t="s">
        <v>4596</v>
      </c>
      <c r="M10" s="72" t="s">
        <v>4996</v>
      </c>
      <c r="N10" s="2672" cm="1" t="n">
        <f t="array" ref="N10">INDEX('5층_부하량'!F3:F3000,MATCH(1,("5-DaHall 1-CEP-05"='5층_부하량'!A3:A3000)*(10='5층_부하량'!B3:B3000),0))</f>
        <v>20.46</v>
      </c>
      <c r="O10" s="2672" cm="1" t="n">
        <f t="array" ref="O10">INDEX('5층_부하량'!G3:G3000,MATCH(1,("5-DaHall 1-CEP-05"='5층_부하량'!A3:A3000)*(10='5층_부하량'!B3:B3000),0))</f>
        <v>20.84</v>
      </c>
      <c r="P10" s="2672" cm="1" t="n">
        <f t="array" ref="P10">INDEX('5층_부하량'!H3:H3000,MATCH(1,("5-DaHall 1-CEP-05"='5층_부하량'!A3:A3000)*(10='5층_부하량'!B3:B3000),0))</f>
        <v>20.36</v>
      </c>
      <c r="Q10" s="350"/>
      <c r="R10" s="17" t="s">
        <v>4635</v>
      </c>
      <c r="S10" s="18" t="s">
        <v>4575</v>
      </c>
      <c r="T10" s="70" t="s">
        <v>6992</v>
      </c>
    </row>
    <row r="11" spans="1:22" ht="24.75" thickBot="1" x14ac:dyDescent="0.2">
      <c r="A11" s="22" t="s">
        <v>6988</v>
      </c>
      <c r="B11" s="17" t="s">
        <v>4635</v>
      </c>
      <c r="C11" s="18" t="s">
        <v>4575</v>
      </c>
      <c r="D11" s="2673" cm="1" t="n">
        <f t="array" ref="D11">INDEX('5층_부하량'!F3:F3000,MATCH(1,("5-DaHall 1-CEP-05"='5층_부하량'!A3:A3000)*(11='5층_부하량'!B3:B3000),0))</f>
        <v>22.85</v>
      </c>
      <c r="E11" s="2673" cm="1" t="n">
        <f t="array" ref="E11">INDEX('5층_부하량'!G3:G3000,MATCH(1,("5-DaHall 1-CEP-05"='5층_부하량'!A3:A3000)*(11='5층_부하량'!B3:B3000),0))</f>
        <v>23.52</v>
      </c>
      <c r="F11" s="2673" cm="1" t="n">
        <f t="array" ref="F11">INDEX('5층_부하량'!H3:H3000,MATCH(1,("5-DaHall 1-CEP-05"='5층_부하량'!A3:A3000)*(11='5층_부하량'!B3:B3000),0))</f>
        <v>22.77</v>
      </c>
      <c r="G11" s="347"/>
      <c r="H11" s="23" t="s">
        <v>4996</v>
      </c>
      <c r="I11" s="555" t="s">
        <v>4653</v>
      </c>
      <c r="J11" s="102" t="s">
        <v>5643</v>
      </c>
      <c r="K11" s="103" t="s">
        <v>5643</v>
      </c>
      <c r="L11" s="555" t="s">
        <v>4599</v>
      </c>
      <c r="M11" s="23" t="s">
        <v>4996</v>
      </c>
      <c r="N11" s="2673" cm="1" t="n">
        <f t="array" ref="N11">INDEX('5층_부하량'!F3:F3000,MATCH(1,("5-DaHall 1-CEP-05"='5층_부하량'!A3:A3000)*(12='5층_부하량'!B3:B3000),0))</f>
        <v>24.59</v>
      </c>
      <c r="O11" s="2673" cm="1" t="n">
        <f t="array" ref="O11">INDEX('5층_부하량'!G3:G3000,MATCH(1,("5-DaHall 1-CEP-05"='5층_부하량'!A3:A3000)*(12='5층_부하량'!B3:B3000),0))</f>
        <v>23.85</v>
      </c>
      <c r="P11" s="2673" cm="1" t="n">
        <f t="array" ref="P11">INDEX('5층_부하량'!H3:H3000,MATCH(1,("5-DaHall 1-CEP-05"='5층_부하량'!A3:A3000)*(12='5층_부하량'!B3:B3000),0))</f>
        <v>24.56</v>
      </c>
      <c r="Q11" s="347"/>
      <c r="R11" s="17" t="s">
        <v>4635</v>
      </c>
      <c r="S11" s="18" t="s">
        <v>4575</v>
      </c>
      <c r="T11" s="70" t="s">
        <v>6993</v>
      </c>
    </row>
    <row r="12" spans="1:22" ht="18" customHeight="1" thickTop="1" x14ac:dyDescent="0.15">
      <c r="A12" s="10" t="s">
        <v>4998</v>
      </c>
      <c r="B12" s="11" t="s">
        <v>4590</v>
      </c>
      <c r="C12" s="11" t="s">
        <v>4642</v>
      </c>
      <c r="D12" s="2690" cm="1" t="n">
        <f t="array" ref="D12">INDEX('5층_부하량'!F3:F3000,MATCH(1,("5-DaHall 1-CEP-05"='5층_부하량'!A3:A3000)*(13='5층_부하량'!B3:B3000),0))</f>
        <v>72.62</v>
      </c>
      <c r="E12" s="105"/>
      <c r="F12" s="105"/>
      <c r="G12" s="105"/>
      <c r="H12" s="11" t="s">
        <v>4576</v>
      </c>
      <c r="I12" s="548" t="s">
        <v>4657</v>
      </c>
      <c r="J12" s="61" t="s">
        <v>4961</v>
      </c>
      <c r="K12" s="62" t="s">
        <v>4961</v>
      </c>
      <c r="L12" s="548" t="s">
        <v>4601</v>
      </c>
      <c r="M12" s="11" t="s">
        <v>4576</v>
      </c>
      <c r="N12" s="2690" cm="1" t="n">
        <f t="array" ref="N12">INDEX('5층_부하량'!F3:F3000,MATCH(1,("5-DaHall 1-CEP-05"='5층_부하량'!A3:A3000)*(14='5층_부하량'!B3:B3000),0))</f>
        <v>0.0</v>
      </c>
      <c r="O12" s="105"/>
      <c r="P12" s="105"/>
      <c r="Q12" s="105"/>
      <c r="R12" s="106" t="s">
        <v>4590</v>
      </c>
      <c r="S12" s="11" t="s">
        <v>4642</v>
      </c>
      <c r="T12" s="101" t="s">
        <v>4998</v>
      </c>
    </row>
    <row r="13" spans="1:22" ht="24" x14ac:dyDescent="0.15">
      <c r="A13" s="321" t="s">
        <v>4998</v>
      </c>
      <c r="B13" s="17" t="s">
        <v>4590</v>
      </c>
      <c r="C13" s="17" t="s">
        <v>4642</v>
      </c>
      <c r="D13" s="21"/>
      <c r="E13" s="2672" cm="1" t="n">
        <f t="array" ref="E13">INDEX('5층_부하량'!G3:G3000,MATCH(1,("5-DaHall 1-CEP-05"='5층_부하량'!A3:A3000)*(15='5층_부하량'!B3:B3000),0))</f>
        <v>0.0</v>
      </c>
      <c r="F13" s="21"/>
      <c r="G13" s="21"/>
      <c r="H13" s="17" t="s">
        <v>5644</v>
      </c>
      <c r="I13" s="549" t="s">
        <v>4661</v>
      </c>
      <c r="J13" s="65" t="s">
        <v>4961</v>
      </c>
      <c r="K13" s="66" t="s">
        <v>4961</v>
      </c>
      <c r="L13" s="549" t="s">
        <v>4603</v>
      </c>
      <c r="M13" s="143" t="s">
        <v>5001</v>
      </c>
      <c r="N13" s="157"/>
      <c r="O13" s="2656" cm="1" t="n">
        <f t="array" ref="O13">INDEX('5층_부하량'!G3:G3000,MATCH(1,("5-DaHall 1-CEP-05"='5층_부하량'!A3:A3000)*(16='5층_부하량'!B3:B3000),0))</f>
        <v>14.37</v>
      </c>
      <c r="P13" s="157"/>
      <c r="Q13" s="157"/>
      <c r="R13" s="157" t="s">
        <v>4635</v>
      </c>
      <c r="S13" s="309" t="s">
        <v>4575</v>
      </c>
      <c r="T13" s="70" t="s">
        <v>6994</v>
      </c>
    </row>
    <row r="14" spans="1:22" ht="24.75" thickBot="1" x14ac:dyDescent="0.2">
      <c r="A14" s="38" t="s">
        <v>4998</v>
      </c>
      <c r="B14" s="35" t="s">
        <v>4590</v>
      </c>
      <c r="C14" s="35" t="s">
        <v>4642</v>
      </c>
      <c r="D14" s="36"/>
      <c r="E14" s="36"/>
      <c r="F14" s="2671" cm="1" t="n">
        <f t="array" ref="F14">INDEX('5층_부하량'!H3:H3000,MATCH(1,("5-DaHall 1-CEP-05"='5층_부하량'!A3:A3000)*(17='5층_부하량'!B3:B3000),0))</f>
        <v>13.92</v>
      </c>
      <c r="G14" s="36"/>
      <c r="H14" s="35" t="s">
        <v>5644</v>
      </c>
      <c r="I14" s="551" t="s">
        <v>4665</v>
      </c>
      <c r="J14" s="76" t="s">
        <v>4961</v>
      </c>
      <c r="K14" s="77" t="s">
        <v>4961</v>
      </c>
      <c r="L14" s="551" t="s">
        <v>4605</v>
      </c>
      <c r="M14" s="166" t="s">
        <v>5001</v>
      </c>
      <c r="N14" s="167"/>
      <c r="O14" s="167"/>
      <c r="P14" s="2659" cm="1" t="n">
        <f t="array" ref="P14">INDEX('5층_부하량'!H3:H3000,MATCH(1,("5-DaHall 1-CEP-05"='5층_부하량'!A3:A3000)*(18='5층_부하량'!B3:B3000),0))</f>
        <v>17.77</v>
      </c>
      <c r="Q14" s="167"/>
      <c r="R14" s="166" t="s">
        <v>4579</v>
      </c>
      <c r="S14" s="288" t="s">
        <v>4575</v>
      </c>
      <c r="T14" s="79" t="s">
        <v>6995</v>
      </c>
    </row>
    <row r="15" spans="1:22" ht="18" customHeight="1" thickTop="1" thickBot="1" x14ac:dyDescent="0.2">
      <c r="M15" s="80" t="s">
        <v>5645</v>
      </c>
      <c r="N15" s="33" t="n">
        <f>SUM(D6:D14,N6:N14)</f>
        <v>303.05999999999995</v>
      </c>
      <c r="O15" s="33" t="n">
        <f>SUM(E6:E14,O6:O14)</f>
        <v>245.83999999999997</v>
      </c>
      <c r="P15" s="33" t="n">
        <f>SUM(F6:F14,P6:P14)</f>
        <v>259.79999999999995</v>
      </c>
    </row>
    <row r="16" spans="1:22" ht="18" customHeight="1" thickTop="1" thickBot="1" x14ac:dyDescent="0.2">
      <c r="A16" s="2" t="s">
        <v>6944</v>
      </c>
      <c r="D16" s="53"/>
      <c r="E16" s="53"/>
      <c r="F16" s="53"/>
      <c r="G16" s="53"/>
      <c r="H16" s="124"/>
      <c r="I16" s="124"/>
      <c r="J16" s="3661" t="s">
        <v>5646</v>
      </c>
      <c r="K16" s="3667"/>
      <c r="L16" s="124"/>
      <c r="M16" s="124"/>
      <c r="N16" s="53"/>
      <c r="O16" s="53"/>
      <c r="P16" s="53"/>
      <c r="Q16" s="53"/>
      <c r="R16" s="53"/>
      <c r="S16" s="53"/>
    </row>
    <row r="17" spans="1:20" ht="18" customHeight="1" thickTop="1" thickBot="1" x14ac:dyDescent="0.2">
      <c r="A17" s="3"/>
      <c r="D17" s="511"/>
      <c r="E17" s="511"/>
      <c r="F17" s="511"/>
      <c r="G17" s="511"/>
      <c r="H17" s="1305"/>
      <c r="I17" s="4"/>
      <c r="K17" s="56"/>
      <c r="L17" s="565"/>
      <c r="M17" s="1371" t="s">
        <v>4562</v>
      </c>
      <c r="N17" s="1368">
        <v>0.7</v>
      </c>
      <c r="O17" s="1369">
        <v>0</v>
      </c>
      <c r="P17" s="1370">
        <v>0.7</v>
      </c>
      <c r="Q17" s="508" t="s">
        <v>4563</v>
      </c>
      <c r="R17" s="133"/>
      <c r="S17" s="128"/>
      <c r="T17" s="528"/>
    </row>
    <row r="18" spans="1:20" ht="18" customHeight="1" thickTop="1" thickBot="1" x14ac:dyDescent="0.2">
      <c r="A18" s="1295"/>
      <c r="B18" s="1296"/>
      <c r="C18" s="495"/>
      <c r="D18" s="1296"/>
      <c r="E18" s="1296"/>
      <c r="F18" s="1296"/>
      <c r="G18" s="1296"/>
      <c r="H18" s="1295"/>
      <c r="I18" s="1295"/>
      <c r="J18" s="1304"/>
      <c r="K18" s="5" t="s">
        <v>4572</v>
      </c>
      <c r="L18" s="566"/>
      <c r="M18" s="8" t="s">
        <v>4571</v>
      </c>
      <c r="N18" s="6" t="s">
        <v>4567</v>
      </c>
      <c r="O18" s="6" t="s">
        <v>4568</v>
      </c>
      <c r="P18" s="6" t="s">
        <v>4569</v>
      </c>
      <c r="Q18" s="6" t="s">
        <v>4570</v>
      </c>
      <c r="R18" s="6" t="s">
        <v>4565</v>
      </c>
      <c r="S18" s="7" t="s">
        <v>4566</v>
      </c>
      <c r="T18" s="60" t="s">
        <v>4564</v>
      </c>
    </row>
    <row r="19" spans="1:20" ht="18" customHeight="1" thickTop="1" x14ac:dyDescent="0.15">
      <c r="A19" s="495"/>
      <c r="B19" s="124"/>
      <c r="C19" s="1297"/>
      <c r="D19" s="1298"/>
      <c r="E19" s="1298"/>
      <c r="F19" s="1298"/>
      <c r="G19" s="1299"/>
      <c r="H19" s="124"/>
      <c r="I19" s="124"/>
      <c r="J19" s="1304"/>
      <c r="K19" s="1301" t="s">
        <v>5643</v>
      </c>
      <c r="L19" s="548" t="s">
        <v>4577</v>
      </c>
      <c r="M19" s="11" t="s">
        <v>5647</v>
      </c>
      <c r="N19" s="2669" cm="1" t="n">
        <f t="array" ref="N19">INDEX('5층_부하량'!F3:F3000,MATCH(1,("5-DaHall 1-CEP-06"='5층_부하량'!A3:A3000)*(1='5층_부하량'!B3:B3000),0))</f>
        <v>20.19</v>
      </c>
      <c r="O19" s="2669" cm="1" t="n">
        <f t="array" ref="O19">INDEX('5층_부하량'!G3:G3000,MATCH(1,("5-DaHall 1-CEP-06"='5층_부하량'!A3:A3000)*(1='5층_부하량'!B3:B3000),0))</f>
        <v>19.6</v>
      </c>
      <c r="P19" s="2669" cm="1" t="n">
        <f t="array" ref="P19">INDEX('5층_부하량'!H3:H3000,MATCH(1,("5-DaHall 1-CEP-06"='5층_부하량'!A3:A3000)*(1='5층_부하량'!B3:B3000),0))</f>
        <v>19.23</v>
      </c>
      <c r="Q19" s="350"/>
      <c r="R19" s="13" t="s">
        <v>4635</v>
      </c>
      <c r="S19" s="97" t="s">
        <v>4575</v>
      </c>
      <c r="T19" s="101" t="s">
        <v>5648</v>
      </c>
    </row>
    <row r="20" spans="1:20" ht="18" customHeight="1" x14ac:dyDescent="0.15">
      <c r="A20" s="495"/>
      <c r="B20" s="124"/>
      <c r="C20" s="1297"/>
      <c r="D20" s="1298"/>
      <c r="E20" s="1298"/>
      <c r="F20" s="1298"/>
      <c r="G20" s="1299"/>
      <c r="H20" s="124"/>
      <c r="I20" s="124"/>
      <c r="J20" s="1304"/>
      <c r="K20" s="1302" t="s">
        <v>5643</v>
      </c>
      <c r="L20" s="549" t="s">
        <v>4863</v>
      </c>
      <c r="M20" s="17" t="s">
        <v>5647</v>
      </c>
      <c r="N20" s="2670" cm="1" t="n">
        <f t="array" ref="N20">INDEX('5층_부하량'!F3:F3000,MATCH(1,("5-DaHall 1-CEP-06"='5층_부하량'!A3:A3000)*(2='5층_부하량'!B3:B3000),0))</f>
        <v>20.8</v>
      </c>
      <c r="O20" s="2670" cm="1" t="n">
        <f t="array" ref="O20">INDEX('5층_부하량'!G3:G3000,MATCH(1,("5-DaHall 1-CEP-06"='5층_부하량'!A3:A3000)*(2='5층_부하량'!B3:B3000),0))</f>
        <v>20.48</v>
      </c>
      <c r="P20" s="2670" cm="1" t="n">
        <f t="array" ref="P20">INDEX('5층_부하량'!H3:H3000,MATCH(1,("5-DaHall 1-CEP-06"='5층_부하량'!A3:A3000)*(2='5층_부하량'!B3:B3000),0))</f>
        <v>20.24</v>
      </c>
      <c r="Q20" s="349"/>
      <c r="R20" s="17" t="s">
        <v>4635</v>
      </c>
      <c r="S20" s="18" t="s">
        <v>4575</v>
      </c>
      <c r="T20" s="70" t="s">
        <v>5649</v>
      </c>
    </row>
    <row r="21" spans="1:20" ht="18" customHeight="1" x14ac:dyDescent="0.15">
      <c r="A21" s="495"/>
      <c r="B21" s="124"/>
      <c r="C21" s="1300"/>
      <c r="D21" s="1299"/>
      <c r="E21" s="1299"/>
      <c r="F21" s="1299"/>
      <c r="G21" s="1299"/>
      <c r="H21" s="124"/>
      <c r="I21" s="124"/>
      <c r="J21" s="1304"/>
      <c r="K21" s="1302" t="s">
        <v>5643</v>
      </c>
      <c r="L21" s="550" t="s">
        <v>4582</v>
      </c>
      <c r="M21" s="72" t="s">
        <v>5647</v>
      </c>
      <c r="N21" s="2672" cm="1" t="n">
        <f t="array" ref="N21">INDEX('5층_부하량'!F3:F3000,MATCH(1,("5-DaHall 1-CEP-06"='5층_부하량'!A3:A3000)*(3='5층_부하량'!B3:B3000),0))</f>
        <v>20.05</v>
      </c>
      <c r="O21" s="2672" cm="1" t="n">
        <f t="array" ref="O21">INDEX('5층_부하량'!G3:G3000,MATCH(1,("5-DaHall 1-CEP-06"='5층_부하량'!A3:A3000)*(3='5층_부하량'!B3:B3000),0))</f>
        <v>19.64</v>
      </c>
      <c r="P21" s="2672" cm="1" t="n">
        <f t="array" ref="P21">INDEX('5층_부하량'!H3:H3000,MATCH(1,("5-DaHall 1-CEP-06"='5층_부하량'!A3:A3000)*(3='5층_부하량'!B3:B3000),0))</f>
        <v>19.62</v>
      </c>
      <c r="Q21" s="350"/>
      <c r="R21" s="17" t="s">
        <v>4635</v>
      </c>
      <c r="S21" s="18" t="s">
        <v>4575</v>
      </c>
      <c r="T21" s="70" t="s">
        <v>5650</v>
      </c>
    </row>
    <row r="22" spans="1:20" ht="18" customHeight="1" thickBot="1" x14ac:dyDescent="0.2">
      <c r="A22" s="495"/>
      <c r="B22" s="124"/>
      <c r="C22" s="1297"/>
      <c r="D22" s="1299"/>
      <c r="E22" s="1299"/>
      <c r="F22" s="1299"/>
      <c r="G22" s="1299"/>
      <c r="H22" s="124"/>
      <c r="I22" s="124"/>
      <c r="J22" s="1304"/>
      <c r="K22" s="1303" t="s">
        <v>5643</v>
      </c>
      <c r="L22" s="551" t="s">
        <v>4865</v>
      </c>
      <c r="M22" s="35" t="s">
        <v>5647</v>
      </c>
      <c r="N22" s="2671" cm="1" t="n">
        <f t="array" ref="N22">INDEX('5층_부하량'!F3:F3000,MATCH(1,("5-DaHall 1-CEP-06"='5층_부하량'!A3:A3000)*(4='5층_부하량'!B3:B3000),0))</f>
        <v>0.0</v>
      </c>
      <c r="O22" s="2671" cm="1" t="n">
        <f t="array" ref="O22">INDEX('5층_부하량'!G3:G3000,MATCH(1,("5-DaHall 1-CEP-06"='5층_부하량'!A3:A3000)*(4='5층_부하량'!B3:B3000),0))</f>
        <v>0.0</v>
      </c>
      <c r="P22" s="2671" cm="1" t="n">
        <f t="array" ref="P22">INDEX('5층_부하량'!H3:H3000,MATCH(1,("5-DaHall 1-CEP-06"='5층_부하량'!A3:A3000)*(4='5층_부하량'!B3:B3000),0))</f>
        <v>0.0</v>
      </c>
      <c r="Q22" s="36"/>
      <c r="R22" s="78" t="s">
        <v>4590</v>
      </c>
      <c r="S22" s="35" t="s">
        <v>4642</v>
      </c>
      <c r="T22" s="79" t="s">
        <v>4998</v>
      </c>
    </row>
    <row r="23" spans="1:20" ht="18" customHeight="1" thickTop="1" thickBot="1" x14ac:dyDescent="0.2">
      <c r="M23" s="80" t="s">
        <v>5645</v>
      </c>
      <c r="N23" s="33" t="n">
        <f>SUM(D19:D22,N19:N22)</f>
        <v>61.040000000000006</v>
      </c>
      <c r="O23" s="33" t="n">
        <f>SUM(E19:E22,O19:O22)</f>
        <v>59.72</v>
      </c>
      <c r="P23" s="33" t="n">
        <f>SUM(F19:F22,P19:P22)</f>
        <v>59.09</v>
      </c>
    </row>
    <row r="24" spans="1:20" ht="18" customHeight="1" thickTop="1" thickBot="1" x14ac:dyDescent="0.2">
      <c r="A24" s="2" t="s">
        <v>6945</v>
      </c>
      <c r="C24" s="3660" t="s">
        <v>5652</v>
      </c>
      <c r="D24" s="3660"/>
      <c r="E24" s="3660"/>
      <c r="F24" s="3660"/>
      <c r="G24" s="53"/>
      <c r="H24" s="124"/>
      <c r="I24" s="124"/>
      <c r="J24" s="3661" t="s">
        <v>5653</v>
      </c>
      <c r="K24" s="3667"/>
      <c r="L24" s="124"/>
      <c r="M24" s="124"/>
      <c r="N24" s="53"/>
      <c r="O24" s="53"/>
      <c r="P24" s="53"/>
      <c r="Q24" s="53"/>
      <c r="R24" s="53"/>
      <c r="S24" s="53"/>
    </row>
    <row r="25" spans="1:20" ht="18" customHeight="1" thickTop="1" thickBot="1" x14ac:dyDescent="0.2">
      <c r="A25" s="3"/>
      <c r="D25" s="54"/>
      <c r="E25" s="54"/>
      <c r="F25" s="54"/>
      <c r="G25" s="54"/>
      <c r="H25" s="4"/>
      <c r="I25" s="4"/>
      <c r="K25" s="56"/>
      <c r="L25" s="565"/>
      <c r="M25" s="1371" t="s">
        <v>4562</v>
      </c>
      <c r="N25" s="1368">
        <v>34.6</v>
      </c>
      <c r="O25" s="1369">
        <v>37.799999999999997</v>
      </c>
      <c r="P25" s="1370">
        <v>27.4</v>
      </c>
      <c r="Q25" s="508" t="s">
        <v>4563</v>
      </c>
      <c r="R25" s="133"/>
      <c r="S25" s="128"/>
      <c r="T25" s="528"/>
    </row>
    <row r="26" spans="1:20" ht="18" customHeight="1" thickTop="1" thickBot="1" x14ac:dyDescent="0.2">
      <c r="A26" s="5" t="s">
        <v>4629</v>
      </c>
      <c r="B26" s="6" t="s">
        <v>4565</v>
      </c>
      <c r="C26" s="7" t="s">
        <v>4566</v>
      </c>
      <c r="D26" s="6" t="s">
        <v>4567</v>
      </c>
      <c r="E26" s="6" t="s">
        <v>4568</v>
      </c>
      <c r="F26" s="6" t="s">
        <v>4569</v>
      </c>
      <c r="G26" s="6" t="s">
        <v>4570</v>
      </c>
      <c r="H26" s="8" t="s">
        <v>4571</v>
      </c>
      <c r="I26" s="547"/>
      <c r="J26" s="58" t="s">
        <v>4572</v>
      </c>
      <c r="K26" s="59" t="s">
        <v>4572</v>
      </c>
      <c r="L26" s="566"/>
      <c r="M26" s="8" t="s">
        <v>4571</v>
      </c>
      <c r="N26" s="6" t="s">
        <v>4567</v>
      </c>
      <c r="O26" s="6" t="s">
        <v>4568</v>
      </c>
      <c r="P26" s="6" t="s">
        <v>4569</v>
      </c>
      <c r="Q26" s="6" t="s">
        <v>4570</v>
      </c>
      <c r="R26" s="6" t="s">
        <v>4565</v>
      </c>
      <c r="S26" s="7" t="s">
        <v>4566</v>
      </c>
      <c r="T26" s="60" t="s">
        <v>4629</v>
      </c>
    </row>
    <row r="27" spans="1:20" ht="18" customHeight="1" thickTop="1" x14ac:dyDescent="0.15">
      <c r="A27" s="10"/>
      <c r="B27" s="11" t="s">
        <v>4590</v>
      </c>
      <c r="C27" s="13" t="s">
        <v>4723</v>
      </c>
      <c r="D27" s="2669" cm="1" t="n">
        <f t="array" ref="D27">INDEX('5층_부하량'!F3:F3000,MATCH(1,("5-DaHall 1-PDU-01"='5층_부하량'!A3:A3000)*(1='5층_부하량'!B3:B3000),0))</f>
        <v>0.0</v>
      </c>
      <c r="E27" s="2669" cm="1" t="n">
        <f t="array" ref="E27">INDEX('5층_부하량'!G3:G3000,MATCH(1,("5-DaHall 1-PDU-01"='5층_부하량'!A3:A3000)*(1='5층_부하량'!B3:B3000),0))</f>
        <v>0.0</v>
      </c>
      <c r="F27" s="2669" cm="1" t="n">
        <f t="array" ref="F27">INDEX('5층_부하량'!H3:H3000,MATCH(1,("5-DaHall 1-PDU-01"='5층_부하량'!A3:A3000)*(1='5층_부하량'!B3:B3000),0))</f>
        <v>0.0</v>
      </c>
      <c r="G27" s="15"/>
      <c r="H27" s="11" t="s">
        <v>5654</v>
      </c>
      <c r="I27" s="1443" t="s">
        <v>5655</v>
      </c>
      <c r="J27" s="61"/>
      <c r="K27" s="62"/>
      <c r="L27" s="567" t="s">
        <v>5656</v>
      </c>
      <c r="M27" s="11" t="s">
        <v>5654</v>
      </c>
      <c r="N27" s="2669" cm="1" t="n">
        <f t="array" ref="N27">INDEX('5층_부하량'!F3:F3000,MATCH(1,("5-DaHall 1-PDU-01"='5층_부하량'!A3:A3000)*(55='5층_부하량'!B3:B3000),0))</f>
        <v>0.0</v>
      </c>
      <c r="O27" s="2669" cm="1" t="n">
        <f t="array" ref="O27">INDEX('5층_부하량'!G3:G3000,MATCH(1,("5-DaHall 1-PDU-01"='5층_부하량'!A3:A3000)*(55='5층_부하량'!B3:B3000),0))</f>
        <v>0.6</v>
      </c>
      <c r="P27" s="2669" cm="1" t="n">
        <f t="array" ref="P27">INDEX('5층_부하량'!H3:H3000,MATCH(1,("5-DaHall 1-PDU-01"='5층_부하량'!A3:A3000)*(55='5층_부하량'!B3:B3000),0))</f>
        <v>0.76</v>
      </c>
      <c r="Q27" s="348"/>
      <c r="R27" s="63" t="s">
        <v>4631</v>
      </c>
      <c r="S27" s="12" t="s">
        <v>4575</v>
      </c>
      <c r="T27" s="98" t="s">
        <v>5657</v>
      </c>
    </row>
    <row r="28" spans="1:20" ht="18" customHeight="1" x14ac:dyDescent="0.15">
      <c r="A28" s="16" t="s">
        <v>6887</v>
      </c>
      <c r="B28" s="17" t="s">
        <v>4631</v>
      </c>
      <c r="C28" s="18" t="s">
        <v>4575</v>
      </c>
      <c r="D28" s="2672" cm="1" t="n">
        <f t="array" ref="D28">INDEX('5층_부하량'!F3:F3000,MATCH(1,("5-DaHall 1-PDU-01"='5층_부하량'!A3:A3000)*(2='5층_부하량'!B3:B3000),0))</f>
        <v>0.0</v>
      </c>
      <c r="E28" s="19"/>
      <c r="F28" s="19"/>
      <c r="G28" s="19"/>
      <c r="H28" s="17" t="s">
        <v>4576</v>
      </c>
      <c r="I28" s="549" t="s">
        <v>4633</v>
      </c>
      <c r="J28" s="65" t="s">
        <v>5658</v>
      </c>
      <c r="K28" s="66"/>
      <c r="L28" s="549" t="s">
        <v>4578</v>
      </c>
      <c r="M28" s="17" t="s">
        <v>4576</v>
      </c>
      <c r="N28" s="2672" cm="1" t="n">
        <f t="array" ref="N28">INDEX('5층_부하량'!F3:F3000,MATCH(1,("5-DaHall 1-PDU-01"='5층_부하량'!A3:A3000)*(56='5층_부하량'!B3:B3000),0))</f>
        <v>0.0</v>
      </c>
      <c r="O28" s="19"/>
      <c r="P28" s="19"/>
      <c r="Q28" s="19"/>
      <c r="R28" s="67" t="s">
        <v>4631</v>
      </c>
      <c r="S28" s="17" t="s">
        <v>4642</v>
      </c>
      <c r="T28" s="603" t="s">
        <v>5659</v>
      </c>
    </row>
    <row r="29" spans="1:20" ht="18" customHeight="1" x14ac:dyDescent="0.15">
      <c r="A29" s="321" t="s">
        <v>2825</v>
      </c>
      <c r="B29" s="17" t="s">
        <v>4631</v>
      </c>
      <c r="C29" s="2112" t="s">
        <v>5660</v>
      </c>
      <c r="D29" s="21"/>
      <c r="E29" s="2672" cm="1" t="n">
        <f t="array" ref="E29">INDEX('5층_부하량'!G3:G3000,MATCH(1,("5-DaHall 1-PDU-01"='5층_부하량'!A3:A3000)*(3='5층_부하량'!B3:B3000),0))</f>
        <v>0.0</v>
      </c>
      <c r="F29" s="21"/>
      <c r="G29" s="21"/>
      <c r="H29" s="17" t="s">
        <v>4576</v>
      </c>
      <c r="I29" s="549" t="s">
        <v>4638</v>
      </c>
      <c r="J29" s="65" t="s">
        <v>5661</v>
      </c>
      <c r="K29" s="638" t="s">
        <v>5662</v>
      </c>
      <c r="L29" s="549" t="s">
        <v>4583</v>
      </c>
      <c r="M29" s="17" t="s">
        <v>4576</v>
      </c>
      <c r="N29" s="21"/>
      <c r="O29" s="2672" cm="1" t="n">
        <f t="array" ref="O29">INDEX('5층_부하량'!G3:G3000,MATCH(1,("5-DaHall 1-PDU-01"='5층_부하량'!A3:A3000)*(57='5층_부하량'!B3:B3000),0))</f>
        <v>0.0</v>
      </c>
      <c r="P29" s="21"/>
      <c r="Q29" s="21"/>
      <c r="R29" s="69" t="s">
        <v>4631</v>
      </c>
      <c r="S29" s="597" t="s">
        <v>4575</v>
      </c>
      <c r="T29" s="603" t="s">
        <v>3648</v>
      </c>
    </row>
    <row r="30" spans="1:20" ht="18" customHeight="1" x14ac:dyDescent="0.15">
      <c r="A30" s="71" t="s">
        <v>2831</v>
      </c>
      <c r="B30" s="17" t="s">
        <v>4631</v>
      </c>
      <c r="C30" s="2112" t="s">
        <v>5660</v>
      </c>
      <c r="D30" s="21"/>
      <c r="E30" s="21"/>
      <c r="F30" s="2672" cm="1" t="n">
        <f t="array" ref="F30">INDEX('5층_부하량'!H3:H3000,MATCH(1,("5-DaHall 1-PDU-01"='5층_부하량'!A3:A3000)*(4='5층_부하량'!B3:B3000),0))</f>
        <v>0.0</v>
      </c>
      <c r="G30" s="21"/>
      <c r="H30" s="17" t="s">
        <v>4576</v>
      </c>
      <c r="I30" s="549" t="s">
        <v>4641</v>
      </c>
      <c r="J30" s="65" t="s">
        <v>5661</v>
      </c>
      <c r="K30" s="638" t="s">
        <v>5663</v>
      </c>
      <c r="L30" s="549" t="s">
        <v>4588</v>
      </c>
      <c r="M30" s="17" t="s">
        <v>4576</v>
      </c>
      <c r="N30" s="21"/>
      <c r="O30" s="21"/>
      <c r="P30" s="2672" cm="1" t="n">
        <f t="array" ref="P30">INDEX('5층_부하량'!H3:H3000,MATCH(1,("5-DaHall 1-PDU-01"='5층_부하량'!A3:A3000)*(58='5층_부하량'!B3:B3000),0))</f>
        <v>1.55</v>
      </c>
      <c r="Q30" s="21"/>
      <c r="R30" s="69" t="s">
        <v>4631</v>
      </c>
      <c r="S30" s="597" t="s">
        <v>4575</v>
      </c>
      <c r="T30" s="603" t="s">
        <v>3655</v>
      </c>
    </row>
    <row r="31" spans="1:20" ht="18" customHeight="1" x14ac:dyDescent="0.15">
      <c r="A31" s="321" t="s">
        <v>2840</v>
      </c>
      <c r="B31" s="17" t="s">
        <v>4631</v>
      </c>
      <c r="C31" s="2112" t="s">
        <v>5660</v>
      </c>
      <c r="D31" s="2672" cm="1" t="n">
        <f t="array" ref="D31">INDEX('5층_부하량'!F3:F3000,MATCH(1,("5-DaHall 1-PDU-01"='5층_부하량'!A3:A3000)*(5='5층_부하량'!B3:B3000),0))</f>
        <v>0.0</v>
      </c>
      <c r="E31" s="19"/>
      <c r="F31" s="19"/>
      <c r="G31" s="21"/>
      <c r="H31" s="17" t="s">
        <v>4576</v>
      </c>
      <c r="I31" s="549" t="s">
        <v>4645</v>
      </c>
      <c r="J31" s="65" t="s">
        <v>5661</v>
      </c>
      <c r="K31" s="66"/>
      <c r="L31" s="549" t="s">
        <v>4593</v>
      </c>
      <c r="M31" s="17" t="s">
        <v>4597</v>
      </c>
      <c r="N31" s="2672" cm="1" t="n">
        <f t="array" ref="N31">INDEX('5층_부하량'!F3:F3000,MATCH(1,("5-DaHall 1-PDU-01"='5층_부하량'!A3:A3000)*(59='5층_부하량'!B3:B3000),0))</f>
        <v>0.0</v>
      </c>
      <c r="O31" s="19"/>
      <c r="P31" s="19"/>
      <c r="Q31" s="21"/>
      <c r="R31" s="69" t="s">
        <v>4631</v>
      </c>
      <c r="S31" s="17" t="s">
        <v>4642</v>
      </c>
      <c r="T31" s="603" t="s">
        <v>5664</v>
      </c>
    </row>
    <row r="32" spans="1:20" ht="18" customHeight="1" x14ac:dyDescent="0.15">
      <c r="A32" s="2110" t="s">
        <v>5665</v>
      </c>
      <c r="B32" s="17" t="s">
        <v>4631</v>
      </c>
      <c r="C32" s="18" t="s">
        <v>4575</v>
      </c>
      <c r="D32" s="21"/>
      <c r="E32" s="2672" cm="1" t="n">
        <f t="array" ref="E32">INDEX('5층_부하량'!G3:G3000,MATCH(1,("5-DaHall 1-PDU-01"='5층_부하량'!A3:A3000)*(6='5층_부하량'!B3:B3000),0))</f>
        <v>15.96</v>
      </c>
      <c r="F32" s="21"/>
      <c r="G32" s="21"/>
      <c r="H32" s="17" t="s">
        <v>4576</v>
      </c>
      <c r="I32" s="549" t="s">
        <v>4648</v>
      </c>
      <c r="J32" s="590" t="s">
        <v>5666</v>
      </c>
      <c r="K32" s="639" t="s">
        <v>5667</v>
      </c>
      <c r="L32" s="549" t="s">
        <v>4596</v>
      </c>
      <c r="M32" s="17" t="s">
        <v>4597</v>
      </c>
      <c r="N32" s="21"/>
      <c r="O32" s="2672" cm="1" t="n">
        <f t="array" ref="O32">INDEX('5층_부하량'!G3:G3000,MATCH(1,("5-DaHall 1-PDU-01"='5층_부하량'!A3:A3000)*(60='5층_부하량'!B3:B3000),0))</f>
        <v>0.0</v>
      </c>
      <c r="P32" s="21"/>
      <c r="Q32" s="21"/>
      <c r="R32" s="69" t="s">
        <v>4631</v>
      </c>
      <c r="S32" s="597" t="s">
        <v>4575</v>
      </c>
      <c r="T32" s="603" t="s">
        <v>3661</v>
      </c>
    </row>
    <row r="33" spans="1:20" ht="18" customHeight="1" x14ac:dyDescent="0.15">
      <c r="A33" s="2111" t="s">
        <v>5668</v>
      </c>
      <c r="B33" s="17" t="s">
        <v>4631</v>
      </c>
      <c r="C33" s="18" t="s">
        <v>4575</v>
      </c>
      <c r="D33" s="21"/>
      <c r="E33" s="21"/>
      <c r="F33" s="2672" cm="1" t="n">
        <f t="array" ref="F33">INDEX('5층_부하량'!H3:H3000,MATCH(1,("5-DaHall 1-PDU-01"='5층_부하량'!A3:A3000)*(7='5층_부하량'!B3:B3000),0))</f>
        <v>12.94</v>
      </c>
      <c r="G33" s="21"/>
      <c r="H33" s="17" t="s">
        <v>4597</v>
      </c>
      <c r="I33" s="549" t="s">
        <v>4653</v>
      </c>
      <c r="J33" s="590" t="s">
        <v>5666</v>
      </c>
      <c r="K33" s="594" t="s">
        <v>5669</v>
      </c>
      <c r="L33" s="549" t="s">
        <v>4599</v>
      </c>
      <c r="M33" s="17" t="s">
        <v>4597</v>
      </c>
      <c r="N33" s="21"/>
      <c r="O33" s="21"/>
      <c r="P33" s="2672" cm="1" t="n">
        <f t="array" ref="P33">INDEX('5층_부하량'!H3:H3000,MATCH(1,("5-DaHall 1-PDU-01"='5층_부하량'!A3:A3000)*(61='5층_부하량'!B3:B3000),0))</f>
        <v>0.0</v>
      </c>
      <c r="Q33" s="21"/>
      <c r="R33" s="69" t="s">
        <v>4631</v>
      </c>
      <c r="S33" s="17" t="s">
        <v>4642</v>
      </c>
      <c r="T33" s="604" t="s">
        <v>5670</v>
      </c>
    </row>
    <row r="34" spans="1:20" ht="18" customHeight="1" x14ac:dyDescent="0.15">
      <c r="A34" s="2110" t="s">
        <v>5671</v>
      </c>
      <c r="B34" s="17" t="s">
        <v>4631</v>
      </c>
      <c r="C34" s="18" t="s">
        <v>4575</v>
      </c>
      <c r="D34" s="2672" cm="1" t="n">
        <f t="array" ref="D34">INDEX('5층_부하량'!F3:F3000,MATCH(1,("5-DaHall 1-PDU-01"='5층_부하량'!A3:A3000)*(8='5층_부하량'!B3:B3000),0))</f>
        <v>15.76</v>
      </c>
      <c r="E34" s="19"/>
      <c r="F34" s="19"/>
      <c r="G34" s="21"/>
      <c r="H34" s="17" t="s">
        <v>4597</v>
      </c>
      <c r="I34" s="549" t="s">
        <v>4657</v>
      </c>
      <c r="J34" s="590" t="s">
        <v>5666</v>
      </c>
      <c r="K34" s="594" t="s">
        <v>5669</v>
      </c>
      <c r="L34" s="549" t="s">
        <v>4601</v>
      </c>
      <c r="M34" s="17" t="s">
        <v>4597</v>
      </c>
      <c r="N34" s="2672" cm="1" t="n">
        <f t="array" ref="N34">INDEX('5층_부하량'!F3:F3000,MATCH(1,("5-DaHall 1-PDU-01"='5층_부하량'!A3:A3000)*(62='5층_부하량'!B3:B3000),0))</f>
        <v>0.0</v>
      </c>
      <c r="O34" s="19"/>
      <c r="P34" s="19"/>
      <c r="Q34" s="21"/>
      <c r="R34" s="69" t="s">
        <v>4631</v>
      </c>
      <c r="S34" s="17" t="s">
        <v>4642</v>
      </c>
      <c r="T34" s="604" t="s">
        <v>3736</v>
      </c>
    </row>
    <row r="35" spans="1:20" ht="18" customHeight="1" x14ac:dyDescent="0.15">
      <c r="A35" s="2111" t="s">
        <v>5672</v>
      </c>
      <c r="B35" s="17" t="s">
        <v>4631</v>
      </c>
      <c r="C35" s="18" t="s">
        <v>4575</v>
      </c>
      <c r="D35" s="21"/>
      <c r="E35" s="2672" cm="1" t="n">
        <f t="array" ref="E35">INDEX('5층_부하량'!G3:G3000,MATCH(1,("5-DaHall 1-PDU-01"='5층_부하량'!A3:A3000)*(9='5층_부하량'!B3:B3000),0))</f>
        <v>0.0</v>
      </c>
      <c r="F35" s="21"/>
      <c r="G35" s="21"/>
      <c r="H35" s="17" t="s">
        <v>4597</v>
      </c>
      <c r="I35" s="549" t="s">
        <v>4661</v>
      </c>
      <c r="J35" s="590" t="s">
        <v>5666</v>
      </c>
      <c r="K35" s="594" t="s">
        <v>5669</v>
      </c>
      <c r="L35" s="549" t="s">
        <v>4603</v>
      </c>
      <c r="M35" s="17" t="s">
        <v>4597</v>
      </c>
      <c r="N35" s="21"/>
      <c r="O35" s="2672" cm="1" t="n">
        <f t="array" ref="O35">INDEX('5층_부하량'!G3:G3000,MATCH(1,("5-DaHall 1-PDU-01"='5층_부하량'!A3:A3000)*(63='5층_부하량'!B3:B3000),0))</f>
        <v>0.0</v>
      </c>
      <c r="P35" s="21"/>
      <c r="Q35" s="21"/>
      <c r="R35" s="69" t="s">
        <v>4631</v>
      </c>
      <c r="S35" s="17" t="s">
        <v>4642</v>
      </c>
      <c r="T35" s="604" t="s">
        <v>3741</v>
      </c>
    </row>
    <row r="36" spans="1:20" ht="18" customHeight="1" x14ac:dyDescent="0.15">
      <c r="A36" s="2111" t="s">
        <v>5673</v>
      </c>
      <c r="B36" s="17" t="s">
        <v>4631</v>
      </c>
      <c r="C36" s="18" t="s">
        <v>4575</v>
      </c>
      <c r="D36" s="21"/>
      <c r="E36" s="21"/>
      <c r="F36" s="2672" cm="1" t="n">
        <f t="array" ref="F36">INDEX('5층_부하량'!H3:H3000,MATCH(1,("5-DaHall 1-PDU-01"='5층_부하량'!A3:A3000)*(10='5층_부하량'!B3:B3000),0))</f>
        <v>0.0</v>
      </c>
      <c r="G36" s="21"/>
      <c r="H36" s="17" t="s">
        <v>4597</v>
      </c>
      <c r="I36" s="549" t="s">
        <v>4665</v>
      </c>
      <c r="J36" s="590" t="s">
        <v>5666</v>
      </c>
      <c r="K36" s="594" t="s">
        <v>5669</v>
      </c>
      <c r="L36" s="549" t="s">
        <v>4605</v>
      </c>
      <c r="M36" s="17" t="s">
        <v>4597</v>
      </c>
      <c r="N36" s="21"/>
      <c r="O36" s="21"/>
      <c r="P36" s="2672" cm="1" t="n">
        <f t="array" ref="P36">INDEX('5층_부하량'!H3:H3000,MATCH(1,("5-DaHall 1-PDU-01"='5층_부하량'!A3:A3000)*(64='5층_부하량'!B3:B3000),0))</f>
        <v>0.0</v>
      </c>
      <c r="Q36" s="21"/>
      <c r="R36" s="69" t="s">
        <v>4631</v>
      </c>
      <c r="S36" s="17" t="s">
        <v>4642</v>
      </c>
      <c r="T36" s="604" t="s">
        <v>3746</v>
      </c>
    </row>
    <row r="37" spans="1:20" ht="18" customHeight="1" x14ac:dyDescent="0.15">
      <c r="A37" s="321" t="s">
        <v>3616</v>
      </c>
      <c r="B37" s="17" t="s">
        <v>4631</v>
      </c>
      <c r="C37" s="18" t="s">
        <v>4575</v>
      </c>
      <c r="D37" s="2672" cm="1" t="n">
        <f t="array" ref="D37">INDEX('5층_부하량'!F3:F3000,MATCH(1,("5-DaHall 1-PDU-01"='5층_부하량'!A3:A3000)*(11='5층_부하량'!B3:B3000),0))</f>
        <v>1.06</v>
      </c>
      <c r="E37" s="21"/>
      <c r="F37" s="21"/>
      <c r="G37" s="21"/>
      <c r="H37" s="17" t="s">
        <v>4597</v>
      </c>
      <c r="I37" s="549" t="s">
        <v>4670</v>
      </c>
      <c r="J37" s="637" t="s">
        <v>5674</v>
      </c>
      <c r="K37" s="594" t="s">
        <v>5669</v>
      </c>
      <c r="L37" s="549" t="s">
        <v>4609</v>
      </c>
      <c r="M37" s="17" t="s">
        <v>4597</v>
      </c>
      <c r="N37" s="2672" cm="1" t="n">
        <f t="array" ref="N37">INDEX('5층_부하량'!F3:F3000,MATCH(1,("5-DaHall 1-PDU-01"='5층_부하량'!A3:A3000)*(65='5층_부하량'!B3:B3000),0))</f>
        <v>0.0</v>
      </c>
      <c r="O37" s="21"/>
      <c r="P37" s="21"/>
      <c r="Q37" s="21"/>
      <c r="R37" s="69" t="s">
        <v>4631</v>
      </c>
      <c r="S37" s="17" t="s">
        <v>4642</v>
      </c>
      <c r="T37" s="604" t="s">
        <v>3751</v>
      </c>
    </row>
    <row r="38" spans="1:20" ht="18" customHeight="1" x14ac:dyDescent="0.15">
      <c r="A38" s="321" t="s">
        <v>3622</v>
      </c>
      <c r="B38" s="17" t="s">
        <v>4631</v>
      </c>
      <c r="C38" s="18" t="s">
        <v>4575</v>
      </c>
      <c r="D38" s="21"/>
      <c r="E38" s="2672" cm="1" t="n">
        <f t="array" ref="E38">INDEX('5층_부하량'!G3:G3000,MATCH(1,("5-DaHall 1-PDU-01"='5층_부하량'!A3:A3000)*(12='5층_부하량'!B3:B3000),0))</f>
        <v>1.55</v>
      </c>
      <c r="F38" s="21"/>
      <c r="G38" s="21"/>
      <c r="H38" s="17" t="s">
        <v>4597</v>
      </c>
      <c r="I38" s="549" t="s">
        <v>4674</v>
      </c>
      <c r="J38" s="637" t="s">
        <v>5675</v>
      </c>
      <c r="K38" s="594" t="s">
        <v>5669</v>
      </c>
      <c r="L38" s="549" t="s">
        <v>4613</v>
      </c>
      <c r="M38" s="17" t="s">
        <v>4597</v>
      </c>
      <c r="N38" s="21"/>
      <c r="O38" s="2672" cm="1" t="n">
        <f t="array" ref="O38">INDEX('5층_부하량'!G3:G3000,MATCH(1,("5-DaHall 1-PDU-01"='5층_부하량'!A3:A3000)*(66='5층_부하량'!B3:B3000),0))</f>
        <v>0.0</v>
      </c>
      <c r="P38" s="21"/>
      <c r="Q38" s="21"/>
      <c r="R38" s="69" t="s">
        <v>4631</v>
      </c>
      <c r="S38" s="17" t="s">
        <v>4642</v>
      </c>
      <c r="T38" s="604" t="s">
        <v>3756</v>
      </c>
    </row>
    <row r="39" spans="1:20" ht="18" customHeight="1" x14ac:dyDescent="0.15">
      <c r="A39" s="321" t="s">
        <v>3628</v>
      </c>
      <c r="B39" s="17" t="s">
        <v>4631</v>
      </c>
      <c r="C39" s="18" t="s">
        <v>4575</v>
      </c>
      <c r="D39" s="21"/>
      <c r="E39" s="21"/>
      <c r="F39" s="2672" cm="1" t="n">
        <f t="array" ref="F39">INDEX('5층_부하량'!H3:H3000,MATCH(1,("5-DaHall 1-PDU-01"='5층_부하량'!A3:A3000)*(13='5층_부하량'!B3:B3000),0))</f>
        <v>1.6099999999999999</v>
      </c>
      <c r="G39" s="21"/>
      <c r="H39" s="17" t="s">
        <v>4597</v>
      </c>
      <c r="I39" s="549" t="s">
        <v>4678</v>
      </c>
      <c r="J39" s="637" t="s">
        <v>5676</v>
      </c>
      <c r="K39" s="594" t="s">
        <v>5669</v>
      </c>
      <c r="L39" s="549" t="s">
        <v>4680</v>
      </c>
      <c r="M39" s="17" t="s">
        <v>4597</v>
      </c>
      <c r="N39" s="21"/>
      <c r="O39" s="21"/>
      <c r="P39" s="2672" cm="1" t="n">
        <f t="array" ref="P39">INDEX('5층_부하량'!H3:H3000,MATCH(1,("5-DaHall 1-PDU-01"='5층_부하량'!A3:A3000)*(67='5층_부하량'!B3:B3000),0))</f>
        <v>0.0</v>
      </c>
      <c r="Q39" s="21"/>
      <c r="R39" s="69" t="s">
        <v>4631</v>
      </c>
      <c r="S39" s="17" t="s">
        <v>4642</v>
      </c>
      <c r="T39" s="604" t="s">
        <v>5677</v>
      </c>
    </row>
    <row r="40" spans="1:20" ht="18" customHeight="1" x14ac:dyDescent="0.15">
      <c r="A40" s="321" t="s">
        <v>3634</v>
      </c>
      <c r="B40" s="17" t="s">
        <v>4631</v>
      </c>
      <c r="C40" s="18" t="s">
        <v>4575</v>
      </c>
      <c r="D40" s="2672" cm="1" t="n">
        <f t="array" ref="D40">INDEX('5층_부하량'!F3:F3000,MATCH(1,("5-DaHall 1-PDU-01"='5층_부하량'!A3:A3000)*(14='5층_부하량'!B3:B3000),0))</f>
        <v>0.0</v>
      </c>
      <c r="E40" s="19"/>
      <c r="F40" s="19"/>
      <c r="G40" s="21"/>
      <c r="H40" s="17" t="s">
        <v>4597</v>
      </c>
      <c r="I40" s="549" t="s">
        <v>4683</v>
      </c>
      <c r="J40" s="637" t="s">
        <v>5678</v>
      </c>
      <c r="K40" s="594" t="s">
        <v>5669</v>
      </c>
      <c r="L40" s="549" t="s">
        <v>4685</v>
      </c>
      <c r="M40" s="17" t="s">
        <v>4597</v>
      </c>
      <c r="N40" s="2672" cm="1" t="n">
        <f t="array" ref="N40">INDEX('5층_부하량'!F3:F3000,MATCH(1,("5-DaHall 1-PDU-01"='5층_부하량'!A3:A3000)*(68='5층_부하량'!B3:B3000),0))</f>
        <v>0.0</v>
      </c>
      <c r="O40" s="19"/>
      <c r="P40" s="19"/>
      <c r="Q40" s="21"/>
      <c r="R40" s="69" t="s">
        <v>4631</v>
      </c>
      <c r="S40" s="17" t="s">
        <v>4642</v>
      </c>
      <c r="T40" s="604" t="s">
        <v>3766</v>
      </c>
    </row>
    <row r="41" spans="1:20" ht="18" customHeight="1" x14ac:dyDescent="0.15">
      <c r="A41" s="321" t="s">
        <v>3819</v>
      </c>
      <c r="B41" s="72" t="s">
        <v>4631</v>
      </c>
      <c r="C41" s="17" t="s">
        <v>4642</v>
      </c>
      <c r="D41" s="21"/>
      <c r="E41" s="2672" cm="1" t="n">
        <f t="array" ref="E41">INDEX('5층_부하량'!G3:G3000,MATCH(1,("5-DaHall 1-PDU-01"='5층_부하량'!A3:A3000)*(15='5층_부하량'!B3:B3000),0))</f>
        <v>0.0</v>
      </c>
      <c r="F41" s="21"/>
      <c r="G41" s="74"/>
      <c r="H41" s="72" t="s">
        <v>4597</v>
      </c>
      <c r="I41" s="550" t="s">
        <v>4688</v>
      </c>
      <c r="J41" s="65"/>
      <c r="K41" s="594" t="s">
        <v>5669</v>
      </c>
      <c r="L41" s="550" t="s">
        <v>4689</v>
      </c>
      <c r="M41" s="72" t="s">
        <v>4597</v>
      </c>
      <c r="N41" s="21"/>
      <c r="O41" s="2672" cm="1" t="n">
        <f t="array" ref="O41">INDEX('5층_부하량'!G3:G3000,MATCH(1,("5-DaHall 1-PDU-01"='5층_부하량'!A3:A3000)*(69='5층_부하량'!B3:B3000),0))</f>
        <v>0.0</v>
      </c>
      <c r="P41" s="21"/>
      <c r="Q41" s="74"/>
      <c r="R41" s="75" t="s">
        <v>4631</v>
      </c>
      <c r="S41" s="17" t="s">
        <v>4642</v>
      </c>
      <c r="T41" s="605" t="s">
        <v>3771</v>
      </c>
    </row>
    <row r="42" spans="1:20" ht="18" customHeight="1" x14ac:dyDescent="0.15">
      <c r="A42" s="321" t="s">
        <v>3823</v>
      </c>
      <c r="B42" s="17" t="s">
        <v>4631</v>
      </c>
      <c r="C42" s="17" t="s">
        <v>4642</v>
      </c>
      <c r="D42" s="21"/>
      <c r="E42" s="21"/>
      <c r="F42" s="2672" cm="1" t="n">
        <f t="array" ref="F42">INDEX('5층_부하량'!H3:H3000,MATCH(1,("5-DaHall 1-PDU-01"='5층_부하량'!A3:A3000)*(16='5층_부하량'!B3:B3000),0))</f>
        <v>0.0</v>
      </c>
      <c r="G42" s="21"/>
      <c r="H42" s="17" t="s">
        <v>4597</v>
      </c>
      <c r="I42" s="549" t="s">
        <v>4691</v>
      </c>
      <c r="J42" s="65"/>
      <c r="K42" s="66"/>
      <c r="L42" s="549" t="s">
        <v>4692</v>
      </c>
      <c r="M42" s="17" t="s">
        <v>4597</v>
      </c>
      <c r="N42" s="21"/>
      <c r="O42" s="21"/>
      <c r="P42" s="2672" cm="1" t="n">
        <f t="array" ref="P42">INDEX('5층_부하량'!H3:H3000,MATCH(1,("5-DaHall 1-PDU-01"='5층_부하량'!A3:A3000)*(70='5층_부하량'!B3:B3000),0))</f>
        <v>0.0</v>
      </c>
      <c r="Q42" s="21"/>
      <c r="R42" s="69" t="s">
        <v>4631</v>
      </c>
      <c r="S42" s="17" t="s">
        <v>4642</v>
      </c>
      <c r="T42" s="606" t="s">
        <v>5679</v>
      </c>
    </row>
    <row r="43" spans="1:20" ht="18" customHeight="1" x14ac:dyDescent="0.15">
      <c r="A43" s="2111" t="s">
        <v>5680</v>
      </c>
      <c r="B43" s="17" t="s">
        <v>4631</v>
      </c>
      <c r="C43" s="18" t="s">
        <v>4575</v>
      </c>
      <c r="D43" s="2672" cm="1" t="n">
        <f t="array" ref="D43">INDEX('5층_부하량'!F3:F3000,MATCH(1,("5-DaHall 1-PDU-01"='5층_부하량'!A3:A3000)*(17='5층_부하량'!B3:B3000),0))</f>
        <v>12.07</v>
      </c>
      <c r="E43" s="19"/>
      <c r="F43" s="19"/>
      <c r="G43" s="21"/>
      <c r="H43" s="17" t="s">
        <v>4597</v>
      </c>
      <c r="I43" s="549" t="s">
        <v>4693</v>
      </c>
      <c r="J43" s="590" t="s">
        <v>5666</v>
      </c>
      <c r="K43" s="66"/>
      <c r="L43" s="549" t="s">
        <v>4694</v>
      </c>
      <c r="M43" s="17" t="s">
        <v>4597</v>
      </c>
      <c r="N43" s="2672" cm="1" t="n">
        <f t="array" ref="N43">INDEX('5층_부하량'!F3:F3000,MATCH(1,("5-DaHall 1-PDU-01"='5층_부하량'!A3:A3000)*(71='5층_부하량'!B3:B3000),0))</f>
        <v>0.0</v>
      </c>
      <c r="O43" s="19"/>
      <c r="P43" s="19"/>
      <c r="Q43" s="21"/>
      <c r="R43" s="69" t="s">
        <v>4631</v>
      </c>
      <c r="S43" s="17" t="s">
        <v>4642</v>
      </c>
      <c r="T43" s="606" t="s">
        <v>5681</v>
      </c>
    </row>
    <row r="44" spans="1:20" ht="18" customHeight="1" x14ac:dyDescent="0.15">
      <c r="A44" s="2111" t="s">
        <v>5682</v>
      </c>
      <c r="B44" s="17" t="s">
        <v>4631</v>
      </c>
      <c r="C44" s="18" t="s">
        <v>4575</v>
      </c>
      <c r="D44" s="21"/>
      <c r="E44" s="2672" cm="1" t="n">
        <f t="array" ref="E44">INDEX('5층_부하량'!G3:G3000,MATCH(1,("5-DaHall 1-PDU-01"='5층_부하량'!A3:A3000)*(18='5층_부하량'!B3:B3000),0))</f>
        <v>11.03</v>
      </c>
      <c r="F44" s="21"/>
      <c r="G44" s="21"/>
      <c r="H44" s="17" t="s">
        <v>4597</v>
      </c>
      <c r="I44" s="549" t="s">
        <v>4697</v>
      </c>
      <c r="J44" s="590" t="s">
        <v>5683</v>
      </c>
      <c r="K44" s="66"/>
      <c r="L44" s="549" t="s">
        <v>4698</v>
      </c>
      <c r="M44" s="17" t="s">
        <v>4597</v>
      </c>
      <c r="N44" s="21"/>
      <c r="O44" s="2672" cm="1" t="n">
        <f t="array" ref="O44">INDEX('5층_부하량'!G3:G3000,MATCH(1,("5-DaHall 1-PDU-01"='5층_부하량'!A3:A3000)*(72='5층_부하량'!B3:B3000),0))</f>
        <v>0.0</v>
      </c>
      <c r="P44" s="21"/>
      <c r="Q44" s="21"/>
      <c r="R44" s="69" t="s">
        <v>4631</v>
      </c>
      <c r="S44" s="17" t="s">
        <v>4642</v>
      </c>
      <c r="T44" s="606" t="s">
        <v>5684</v>
      </c>
    </row>
    <row r="45" spans="1:20" ht="18" customHeight="1" x14ac:dyDescent="0.15">
      <c r="A45" s="2111" t="s">
        <v>5685</v>
      </c>
      <c r="B45" s="17" t="s">
        <v>4631</v>
      </c>
      <c r="C45" s="18" t="s">
        <v>4575</v>
      </c>
      <c r="D45" s="21"/>
      <c r="E45" s="19"/>
      <c r="F45" s="2670" cm="1" t="n">
        <f t="array" ref="F45">INDEX('5층_부하량'!H3:H3000,MATCH(1,("5-DaHall 1-PDU-01"='5층_부하량'!A3:A3000)*(19='5층_부하량'!B3:B3000),0))</f>
        <v>13.11</v>
      </c>
      <c r="G45" s="21"/>
      <c r="H45" s="17" t="s">
        <v>4597</v>
      </c>
      <c r="I45" s="549" t="s">
        <v>4701</v>
      </c>
      <c r="J45" s="590" t="s">
        <v>5683</v>
      </c>
      <c r="K45" s="66"/>
      <c r="L45" s="549" t="s">
        <v>4703</v>
      </c>
      <c r="M45" s="17" t="s">
        <v>4597</v>
      </c>
      <c r="N45" s="21"/>
      <c r="O45" s="19"/>
      <c r="P45" s="2670" cm="1" t="n">
        <f t="array" ref="P45">INDEX('5층_부하량'!H3:H3000,MATCH(1,("5-DaHall 1-PDU-01"='5층_부하량'!A3:A3000)*(73='5층_부하량'!B3:B3000),0))</f>
        <v>0.0</v>
      </c>
      <c r="Q45" s="21"/>
      <c r="R45" s="69" t="s">
        <v>4631</v>
      </c>
      <c r="S45" s="17" t="s">
        <v>4642</v>
      </c>
      <c r="T45" s="606" t="s">
        <v>5686</v>
      </c>
    </row>
    <row r="46" spans="1:20" ht="18" customHeight="1" x14ac:dyDescent="0.15">
      <c r="A46" s="2111" t="s">
        <v>5687</v>
      </c>
      <c r="B46" s="17" t="s">
        <v>4631</v>
      </c>
      <c r="C46" s="18" t="s">
        <v>4575</v>
      </c>
      <c r="D46" s="2672" cm="1" t="n">
        <f t="array" ref="D46">INDEX('5층_부하량'!F3:F3000,MATCH(1,("5-DaHall 1-PDU-01"='5층_부하량'!A3:A3000)*(20='5층_부하량'!B3:B3000),0))</f>
        <v>10.53</v>
      </c>
      <c r="E46" s="19"/>
      <c r="F46" s="19"/>
      <c r="G46" s="21"/>
      <c r="H46" s="17" t="s">
        <v>4597</v>
      </c>
      <c r="I46" s="549" t="s">
        <v>4706</v>
      </c>
      <c r="J46" s="590" t="s">
        <v>5683</v>
      </c>
      <c r="K46" s="66"/>
      <c r="L46" s="549" t="s">
        <v>4707</v>
      </c>
      <c r="M46" s="17" t="s">
        <v>4597</v>
      </c>
      <c r="N46" s="2672" cm="1" t="n">
        <f t="array" ref="N46">INDEX('5층_부하량'!F3:F3000,MATCH(1,("5-DaHall 1-PDU-01"='5층_부하량'!A3:A3000)*(74='5층_부하량'!B3:B3000),0))</f>
        <v>0.0</v>
      </c>
      <c r="O46" s="19"/>
      <c r="P46" s="19"/>
      <c r="Q46" s="21"/>
      <c r="R46" s="69" t="s">
        <v>4631</v>
      </c>
      <c r="S46" s="17" t="s">
        <v>4642</v>
      </c>
      <c r="T46" s="606" t="s">
        <v>5688</v>
      </c>
    </row>
    <row r="47" spans="1:20" ht="18" customHeight="1" x14ac:dyDescent="0.15">
      <c r="A47" s="2111" t="s">
        <v>5689</v>
      </c>
      <c r="B47" s="17" t="s">
        <v>4631</v>
      </c>
      <c r="C47" s="18" t="s">
        <v>4575</v>
      </c>
      <c r="D47" s="21"/>
      <c r="E47" s="2672" cm="1" t="n">
        <f t="array" ref="E47">INDEX('5층_부하량'!G3:G3000,MATCH(1,("5-DaHall 1-PDU-01"='5층_부하량'!A3:A3000)*(21='5층_부하량'!B3:B3000),0))</f>
        <v>13.42</v>
      </c>
      <c r="F47" s="19"/>
      <c r="G47" s="21"/>
      <c r="H47" s="17" t="s">
        <v>4597</v>
      </c>
      <c r="I47" s="549" t="s">
        <v>4710</v>
      </c>
      <c r="J47" s="590" t="s">
        <v>5683</v>
      </c>
      <c r="K47" s="594" t="s">
        <v>4637</v>
      </c>
      <c r="L47" s="1444" t="s">
        <v>4711</v>
      </c>
      <c r="M47" s="17" t="s">
        <v>4597</v>
      </c>
      <c r="N47" s="21"/>
      <c r="O47" s="2672" cm="1" t="n">
        <f t="array" ref="O47">INDEX('5층_부하량'!G3:G3000,MATCH(1,("5-DaHall 1-PDU-01"='5층_부하량'!A3:A3000)*(75='5층_부하량'!B3:B3000),0))</f>
        <v>0.0</v>
      </c>
      <c r="P47" s="19"/>
      <c r="Q47" s="21"/>
      <c r="R47" s="1445" t="s">
        <v>565</v>
      </c>
      <c r="S47" s="17" t="s">
        <v>4642</v>
      </c>
      <c r="T47" s="604"/>
    </row>
    <row r="48" spans="1:20" ht="18" customHeight="1" x14ac:dyDescent="0.15">
      <c r="A48" s="321" t="s">
        <v>3595</v>
      </c>
      <c r="B48" s="17" t="s">
        <v>4631</v>
      </c>
      <c r="C48" s="2112" t="s">
        <v>3381</v>
      </c>
      <c r="D48" s="21"/>
      <c r="E48" s="19"/>
      <c r="F48" s="2672" cm="1" t="n">
        <f t="array" ref="F48">INDEX('5층_부하량'!H3:H3000,MATCH(1,("5-DaHall 1-PDU-01"='5층_부하량'!A3:A3000)*(22='5층_부하량'!B3:B3000),0))</f>
        <v>0.0</v>
      </c>
      <c r="G48" s="21"/>
      <c r="H48" s="17" t="s">
        <v>4597</v>
      </c>
      <c r="I48" s="549" t="s">
        <v>5055</v>
      </c>
      <c r="J48" s="65" t="s">
        <v>5661</v>
      </c>
      <c r="K48" s="595" t="s">
        <v>5690</v>
      </c>
      <c r="L48" s="549" t="s">
        <v>4843</v>
      </c>
      <c r="M48" s="17" t="s">
        <v>4597</v>
      </c>
      <c r="N48" s="21"/>
      <c r="O48" s="19"/>
      <c r="P48" s="2672" cm="1" t="n">
        <f t="array" ref="P48">INDEX('5층_부하량'!H3:H3000,MATCH(1,("5-DaHall 1-PDU-01"='5층_부하량'!A3:A3000)*(76='5층_부하량'!B3:B3000),0))</f>
        <v>0.0</v>
      </c>
      <c r="Q48" s="21"/>
      <c r="R48" s="69" t="s">
        <v>4631</v>
      </c>
      <c r="S48" s="17" t="s">
        <v>4642</v>
      </c>
      <c r="T48" s="604" t="s">
        <v>5691</v>
      </c>
    </row>
    <row r="49" spans="1:20" ht="18" customHeight="1" x14ac:dyDescent="0.15">
      <c r="A49" s="321" t="s">
        <v>3600</v>
      </c>
      <c r="B49" s="17" t="s">
        <v>4631</v>
      </c>
      <c r="C49" s="2112" t="s">
        <v>3381</v>
      </c>
      <c r="D49" s="2672" cm="1" t="n">
        <f t="array" ref="D49">INDEX('5층_부하량'!F3:F3000,MATCH(1,("5-DaHall 1-PDU-01"='5층_부하량'!A3:A3000)*(23='5층_부하량'!B3:B3000),0))</f>
        <v>0.0</v>
      </c>
      <c r="E49" s="19"/>
      <c r="F49" s="19"/>
      <c r="G49" s="21"/>
      <c r="H49" s="17" t="s">
        <v>4597</v>
      </c>
      <c r="I49" s="549" t="s">
        <v>4845</v>
      </c>
      <c r="J49" s="65" t="s">
        <v>5661</v>
      </c>
      <c r="K49" s="595" t="s">
        <v>5690</v>
      </c>
      <c r="L49" s="549" t="s">
        <v>4846</v>
      </c>
      <c r="M49" s="17" t="s">
        <v>4597</v>
      </c>
      <c r="N49" s="2672" cm="1" t="n">
        <f t="array" ref="N49">INDEX('5층_부하량'!F3:F3000,MATCH(1,("5-DaHall 1-PDU-01"='5층_부하량'!A3:A3000)*(77='5층_부하량'!B3:B3000),0))</f>
        <v>0.0</v>
      </c>
      <c r="O49" s="19"/>
      <c r="P49" s="19"/>
      <c r="Q49" s="21"/>
      <c r="R49" s="69" t="s">
        <v>4631</v>
      </c>
      <c r="S49" s="17" t="s">
        <v>4642</v>
      </c>
      <c r="T49" s="604" t="s">
        <v>3642</v>
      </c>
    </row>
    <row r="50" spans="1:20" ht="18" customHeight="1" x14ac:dyDescent="0.15">
      <c r="A50" s="321" t="s">
        <v>3605</v>
      </c>
      <c r="B50" s="17" t="s">
        <v>4631</v>
      </c>
      <c r="C50" s="2112" t="s">
        <v>3381</v>
      </c>
      <c r="D50" s="21"/>
      <c r="E50" s="2672" cm="1" t="n">
        <f t="array" ref="E50">INDEX('5층_부하량'!G3:G3000,MATCH(1,("5-DaHall 1-PDU-01"='5층_부하량'!A3:A3000)*(24='5층_부하량'!B3:B3000),0))</f>
        <v>0.0</v>
      </c>
      <c r="F50" s="21"/>
      <c r="G50" s="21"/>
      <c r="H50" s="17" t="s">
        <v>4597</v>
      </c>
      <c r="I50" s="549" t="s">
        <v>4847</v>
      </c>
      <c r="J50" s="65" t="s">
        <v>5661</v>
      </c>
      <c r="K50" s="595" t="s">
        <v>5690</v>
      </c>
      <c r="L50" s="1444" t="s">
        <v>4848</v>
      </c>
      <c r="M50" s="17" t="s">
        <v>4597</v>
      </c>
      <c r="N50" s="21"/>
      <c r="O50" s="2672" cm="1" t="n">
        <f t="array" ref="O50">INDEX('5층_부하량'!G3:G3000,MATCH(1,("5-DaHall 1-PDU-01"='5층_부하량'!A3:A3000)*(78='5층_부하량'!B3:B3000),0))</f>
        <v>0.7</v>
      </c>
      <c r="P50" s="21"/>
      <c r="Q50" s="21"/>
      <c r="R50" s="69" t="s">
        <v>4631</v>
      </c>
      <c r="S50" s="597" t="s">
        <v>4575</v>
      </c>
      <c r="T50" s="604" t="s">
        <v>3177</v>
      </c>
    </row>
    <row r="51" spans="1:20" ht="18" customHeight="1" x14ac:dyDescent="0.15">
      <c r="A51" s="321" t="s">
        <v>3610</v>
      </c>
      <c r="B51" s="17" t="s">
        <v>4631</v>
      </c>
      <c r="C51" s="2112" t="s">
        <v>3381</v>
      </c>
      <c r="D51" s="21"/>
      <c r="E51" s="21"/>
      <c r="F51" s="2672" cm="1" t="n">
        <f t="array" ref="F51">INDEX('5층_부하량'!H3:H3000,MATCH(1,("5-DaHall 1-PDU-01"='5층_부하량'!A3:A3000)*(25='5층_부하량'!B3:B3000),0))</f>
        <v>0.0</v>
      </c>
      <c r="G51" s="21"/>
      <c r="H51" s="17" t="s">
        <v>4597</v>
      </c>
      <c r="I51" s="549" t="s">
        <v>4849</v>
      </c>
      <c r="J51" s="65" t="s">
        <v>5661</v>
      </c>
      <c r="K51" s="596" t="s">
        <v>5692</v>
      </c>
      <c r="L51" s="549" t="s">
        <v>4850</v>
      </c>
      <c r="M51" s="17" t="s">
        <v>4597</v>
      </c>
      <c r="N51" s="21"/>
      <c r="O51" s="21"/>
      <c r="P51" s="2672" cm="1" t="n">
        <f t="array" ref="P51">INDEX('5층_부하량'!H3:H3000,MATCH(1,("5-DaHall 1-PDU-01"='5층_부하량'!A3:A3000)*(79='5층_부하량'!B3:B3000),0))</f>
        <v>1.76</v>
      </c>
      <c r="Q51" s="21"/>
      <c r="R51" s="69" t="s">
        <v>4631</v>
      </c>
      <c r="S51" s="597" t="s">
        <v>4575</v>
      </c>
      <c r="T51" s="70" t="s">
        <v>5693</v>
      </c>
    </row>
    <row r="52" spans="1:20" ht="18" customHeight="1" thickBot="1" x14ac:dyDescent="0.2">
      <c r="A52" s="600" t="s">
        <v>5694</v>
      </c>
      <c r="B52" s="35" t="s">
        <v>4631</v>
      </c>
      <c r="C52" s="35" t="s">
        <v>4642</v>
      </c>
      <c r="D52" s="2671" cm="1" t="n">
        <f t="array" ref="D52">INDEX('5층_부하량'!F3:F3000,MATCH(1,("5-DaHall 1-PDU-01"='5층_부하량'!A3:A3000)*(26='5층_부하량'!B3:B3000),0))</f>
        <v>0.0</v>
      </c>
      <c r="E52" s="36"/>
      <c r="F52" s="36"/>
      <c r="G52" s="36"/>
      <c r="H52" s="35" t="s">
        <v>4597</v>
      </c>
      <c r="I52" s="551" t="s">
        <v>4851</v>
      </c>
      <c r="J52" s="76"/>
      <c r="K52" s="77" t="s">
        <v>5695</v>
      </c>
      <c r="L52" s="551" t="s">
        <v>4852</v>
      </c>
      <c r="M52" s="35" t="s">
        <v>4597</v>
      </c>
      <c r="N52" s="2671" cm="1" t="n">
        <f t="array" ref="N52">INDEX('5층_부하량'!F3:F3000,MATCH(1,("5-DaHall 1-PDU-01"='5층_부하량'!A3:A3000)*(80='5층_부하량'!B3:B3000),0))</f>
        <v>0.0</v>
      </c>
      <c r="O52" s="36"/>
      <c r="P52" s="36"/>
      <c r="Q52" s="36"/>
      <c r="R52" s="78" t="s">
        <v>4631</v>
      </c>
      <c r="S52" s="598" t="s">
        <v>4575</v>
      </c>
      <c r="T52" s="79" t="s">
        <v>5696</v>
      </c>
    </row>
    <row r="53" spans="1:20" ht="18" customHeight="1" thickTop="1" thickBot="1" x14ac:dyDescent="0.2">
      <c r="M53" s="80" t="s">
        <v>5645</v>
      </c>
      <c r="N53" s="33" t="n">
        <f>SUM(D27:D52,N27:N52)</f>
        <v>39.42</v>
      </c>
      <c r="O53" s="33" t="n">
        <f>SUM(E27:E52,O27:O52)</f>
        <v>43.260000000000005</v>
      </c>
      <c r="P53" s="33" t="n">
        <f>SUM(F27:F52,P27:P52)</f>
        <v>31.73</v>
      </c>
    </row>
    <row r="54" spans="1:20" ht="18" customHeight="1" thickTop="1" thickBot="1" x14ac:dyDescent="0.2">
      <c r="A54" s="2" t="s">
        <v>6946</v>
      </c>
      <c r="C54" s="3660" t="s">
        <v>5697</v>
      </c>
      <c r="D54" s="3660"/>
      <c r="E54" s="3660"/>
      <c r="F54" s="3660"/>
      <c r="G54" s="53"/>
      <c r="H54" s="124"/>
      <c r="I54" s="124"/>
      <c r="J54" s="3661" t="s">
        <v>5653</v>
      </c>
      <c r="K54" s="3667"/>
      <c r="L54" s="124"/>
      <c r="M54" s="124"/>
      <c r="N54" s="53"/>
      <c r="O54" s="53"/>
      <c r="P54" s="53"/>
      <c r="Q54" s="53"/>
      <c r="R54" s="53"/>
      <c r="S54" s="53"/>
    </row>
    <row r="55" spans="1:20" ht="18" customHeight="1" thickTop="1" thickBot="1" x14ac:dyDescent="0.2">
      <c r="A55" s="3"/>
      <c r="D55" s="54"/>
      <c r="E55" s="54"/>
      <c r="F55" s="54"/>
      <c r="G55" s="54"/>
      <c r="H55" s="4"/>
      <c r="I55" s="4"/>
      <c r="K55" s="56"/>
      <c r="L55" s="565"/>
      <c r="M55" s="1371" t="s">
        <v>4562</v>
      </c>
      <c r="N55" s="1368">
        <v>34.6</v>
      </c>
      <c r="O55" s="1369">
        <v>35.200000000000003</v>
      </c>
      <c r="P55" s="1370">
        <v>26.3</v>
      </c>
      <c r="Q55" s="508" t="s">
        <v>4563</v>
      </c>
      <c r="R55" s="133"/>
      <c r="S55" s="128"/>
      <c r="T55" s="528"/>
    </row>
    <row r="56" spans="1:20" ht="18" customHeight="1" thickTop="1" thickBot="1" x14ac:dyDescent="0.2">
      <c r="A56" s="5" t="s">
        <v>4564</v>
      </c>
      <c r="B56" s="6" t="s">
        <v>4565</v>
      </c>
      <c r="C56" s="7" t="s">
        <v>4566</v>
      </c>
      <c r="D56" s="6" t="s">
        <v>4567</v>
      </c>
      <c r="E56" s="6" t="s">
        <v>4568</v>
      </c>
      <c r="F56" s="6" t="s">
        <v>4569</v>
      </c>
      <c r="G56" s="6" t="s">
        <v>4570</v>
      </c>
      <c r="H56" s="8" t="s">
        <v>4571</v>
      </c>
      <c r="I56" s="547"/>
      <c r="J56" s="58" t="s">
        <v>4572</v>
      </c>
      <c r="K56" s="59" t="s">
        <v>4572</v>
      </c>
      <c r="L56" s="566"/>
      <c r="M56" s="8" t="s">
        <v>4571</v>
      </c>
      <c r="N56" s="6" t="s">
        <v>4567</v>
      </c>
      <c r="O56" s="6" t="s">
        <v>4568</v>
      </c>
      <c r="P56" s="6" t="s">
        <v>4569</v>
      </c>
      <c r="Q56" s="6" t="s">
        <v>4570</v>
      </c>
      <c r="R56" s="6" t="s">
        <v>4565</v>
      </c>
      <c r="S56" s="7" t="s">
        <v>4566</v>
      </c>
      <c r="T56" s="60" t="s">
        <v>4564</v>
      </c>
    </row>
    <row r="57" spans="1:20" ht="18" customHeight="1" thickTop="1" x14ac:dyDescent="0.15">
      <c r="A57" s="10"/>
      <c r="B57" s="11" t="s">
        <v>4590</v>
      </c>
      <c r="C57" s="13" t="s">
        <v>4723</v>
      </c>
      <c r="D57" s="2669" cm="1" t="n">
        <f t="array" ref="D57">INDEX('5층_부하량'!F3:F3000,MATCH(1,("5-DaHall 1-PDU-02"='5층_부하량'!A3:A3000)*(1='5층_부하량'!B3:B3000),0))</f>
        <v>0.0</v>
      </c>
      <c r="E57" s="2669" cm="1" t="n">
        <f t="array" ref="E57">INDEX('5층_부하량'!G3:G3000,MATCH(1,("5-DaHall 1-PDU-02"='5층_부하량'!A3:A3000)*(1='5층_부하량'!B3:B3000),0))</f>
        <v>0.0</v>
      </c>
      <c r="F57" s="2669" cm="1" t="n">
        <f t="array" ref="F57">INDEX('5층_부하량'!H3:H3000,MATCH(1,("5-DaHall 1-PDU-02"='5층_부하량'!A3:A3000)*(1='5층_부하량'!B3:B3000),0))</f>
        <v>0.0</v>
      </c>
      <c r="G57" s="15"/>
      <c r="H57" s="11" t="s">
        <v>5654</v>
      </c>
      <c r="I57" s="1443" t="s">
        <v>5655</v>
      </c>
      <c r="J57" s="61"/>
      <c r="K57" s="62"/>
      <c r="L57" s="567" t="s">
        <v>5656</v>
      </c>
      <c r="M57" s="11" t="s">
        <v>5654</v>
      </c>
      <c r="N57" s="2669" cm="1" t="n">
        <f t="array" ref="N57">INDEX('5층_부하량'!F3:F3000,MATCH(1,("5-DaHall 1-PDU-02"='5층_부하량'!A3:A3000)*(55='5층_부하량'!B3:B3000),0))</f>
        <v>0.0</v>
      </c>
      <c r="O57" s="2669" cm="1" t="n">
        <f t="array" ref="O57">INDEX('5층_부하량'!G3:G3000,MATCH(1,("5-DaHall 1-PDU-02"='5층_부하량'!A3:A3000)*(55='5층_부하량'!B3:B3000),0))</f>
        <v>0.67</v>
      </c>
      <c r="P57" s="2669" cm="1" t="n">
        <f t="array" ref="P57">INDEX('5층_부하량'!H3:H3000,MATCH(1,("5-DaHall 1-PDU-02"='5층_부하량'!A3:A3000)*(55='5층_부하량'!B3:B3000),0))</f>
        <v>0.75</v>
      </c>
      <c r="Q57" s="348"/>
      <c r="R57" s="63" t="s">
        <v>4631</v>
      </c>
      <c r="S57" s="12" t="s">
        <v>4575</v>
      </c>
      <c r="T57" s="98" t="s">
        <v>5698</v>
      </c>
    </row>
    <row r="58" spans="1:20" ht="18" customHeight="1" x14ac:dyDescent="0.15">
      <c r="A58" s="16" t="s">
        <v>3522</v>
      </c>
      <c r="B58" s="17" t="s">
        <v>4631</v>
      </c>
      <c r="C58" s="2112" t="s">
        <v>3381</v>
      </c>
      <c r="D58" s="2672" cm="1" t="n">
        <f t="array" ref="D58">INDEX('5층_부하량'!F3:F3000,MATCH(1,("5-DaHall 1-PDU-02"='5층_부하량'!A3:A3000)*(2='5층_부하량'!B3:B3000),0))</f>
        <v>0.0</v>
      </c>
      <c r="E58" s="19"/>
      <c r="F58" s="19"/>
      <c r="G58" s="19"/>
      <c r="H58" s="17" t="s">
        <v>4576</v>
      </c>
      <c r="I58" s="549" t="s">
        <v>4633</v>
      </c>
      <c r="J58" s="65" t="s">
        <v>5661</v>
      </c>
      <c r="K58" s="66"/>
      <c r="L58" s="549" t="s">
        <v>4578</v>
      </c>
      <c r="M58" s="17" t="s">
        <v>4576</v>
      </c>
      <c r="N58" s="2672" cm="1" t="n">
        <f t="array" ref="N58">INDEX('5층_부하량'!F3:F3000,MATCH(1,("5-DaHall 1-PDU-02"='5층_부하량'!A3:A3000)*(56='5층_부하량'!B3:B3000),0))</f>
        <v>0.0</v>
      </c>
      <c r="O58" s="19"/>
      <c r="P58" s="19"/>
      <c r="Q58" s="19"/>
      <c r="R58" s="67" t="s">
        <v>4631</v>
      </c>
      <c r="S58" s="17" t="s">
        <v>4642</v>
      </c>
      <c r="T58" s="603" t="s">
        <v>5699</v>
      </c>
    </row>
    <row r="59" spans="1:20" ht="18" customHeight="1" x14ac:dyDescent="0.15">
      <c r="A59" s="321" t="s">
        <v>2826</v>
      </c>
      <c r="B59" s="17" t="s">
        <v>4631</v>
      </c>
      <c r="C59" s="2112" t="s">
        <v>3381</v>
      </c>
      <c r="D59" s="21"/>
      <c r="E59" s="2672" cm="1" t="n">
        <f t="array" ref="E59">INDEX('5층_부하량'!G3:G3000,MATCH(1,("5-DaHall 1-PDU-02"='5층_부하량'!A3:A3000)*(3='5층_부하량'!B3:B3000),0))</f>
        <v>0.0</v>
      </c>
      <c r="F59" s="21"/>
      <c r="G59" s="21"/>
      <c r="H59" s="17" t="s">
        <v>4576</v>
      </c>
      <c r="I59" s="549" t="s">
        <v>4638</v>
      </c>
      <c r="J59" s="65" t="s">
        <v>5661</v>
      </c>
      <c r="K59" s="638" t="s">
        <v>5662</v>
      </c>
      <c r="L59" s="549" t="s">
        <v>4583</v>
      </c>
      <c r="M59" s="17" t="s">
        <v>4576</v>
      </c>
      <c r="N59" s="21"/>
      <c r="O59" s="2672" cm="1" t="n">
        <f t="array" ref="O59">INDEX('5층_부하량'!G3:G3000,MATCH(1,("5-DaHall 1-PDU-02"='5층_부하량'!A3:A3000)*(57='5층_부하량'!B3:B3000),0))</f>
        <v>0.0</v>
      </c>
      <c r="P59" s="21"/>
      <c r="Q59" s="21"/>
      <c r="R59" s="69" t="s">
        <v>4631</v>
      </c>
      <c r="S59" s="597" t="s">
        <v>4575</v>
      </c>
      <c r="T59" s="603" t="s">
        <v>3649</v>
      </c>
    </row>
    <row r="60" spans="1:20" ht="18" customHeight="1" x14ac:dyDescent="0.15">
      <c r="A60" s="71" t="s">
        <v>2832</v>
      </c>
      <c r="B60" s="17" t="s">
        <v>4631</v>
      </c>
      <c r="C60" s="2112" t="s">
        <v>3381</v>
      </c>
      <c r="D60" s="21"/>
      <c r="E60" s="21"/>
      <c r="F60" s="2672" cm="1" t="n">
        <f t="array" ref="F60">INDEX('5층_부하량'!H3:H3000,MATCH(1,("5-DaHall 1-PDU-02"='5층_부하량'!A3:A3000)*(4='5층_부하량'!B3:B3000),0))</f>
        <v>0.0</v>
      </c>
      <c r="G60" s="21"/>
      <c r="H60" s="17" t="s">
        <v>4576</v>
      </c>
      <c r="I60" s="549" t="s">
        <v>4641</v>
      </c>
      <c r="J60" s="65" t="s">
        <v>5661</v>
      </c>
      <c r="K60" s="638" t="s">
        <v>5663</v>
      </c>
      <c r="L60" s="549" t="s">
        <v>4588</v>
      </c>
      <c r="M60" s="17" t="s">
        <v>4576</v>
      </c>
      <c r="N60" s="21"/>
      <c r="O60" s="21"/>
      <c r="P60" s="2672" cm="1" t="n">
        <f t="array" ref="P60">INDEX('5층_부하량'!H3:H3000,MATCH(1,("5-DaHall 1-PDU-02"='5층_부하량'!A3:A3000)*(58='5층_부하량'!B3:B3000),0))</f>
        <v>1.26</v>
      </c>
      <c r="Q60" s="21"/>
      <c r="R60" s="69" t="s">
        <v>4631</v>
      </c>
      <c r="S60" s="597" t="s">
        <v>4575</v>
      </c>
      <c r="T60" s="603" t="s">
        <v>3656</v>
      </c>
    </row>
    <row r="61" spans="1:20" ht="18" customHeight="1" x14ac:dyDescent="0.15">
      <c r="A61" s="321" t="s">
        <v>2841</v>
      </c>
      <c r="B61" s="17" t="s">
        <v>4631</v>
      </c>
      <c r="C61" s="2112" t="s">
        <v>3381</v>
      </c>
      <c r="D61" s="2672" cm="1" t="n">
        <f t="array" ref="D61">INDEX('5층_부하량'!F3:F3000,MATCH(1,("5-DaHall 1-PDU-02"='5층_부하량'!A3:A3000)*(5='5층_부하량'!B3:B3000),0))</f>
        <v>0.0</v>
      </c>
      <c r="E61" s="19"/>
      <c r="F61" s="19"/>
      <c r="G61" s="21"/>
      <c r="H61" s="17" t="s">
        <v>4576</v>
      </c>
      <c r="I61" s="549" t="s">
        <v>4645</v>
      </c>
      <c r="J61" s="65" t="s">
        <v>5661</v>
      </c>
      <c r="K61" s="66"/>
      <c r="L61" s="549" t="s">
        <v>4593</v>
      </c>
      <c r="M61" s="17" t="s">
        <v>4597</v>
      </c>
      <c r="N61" s="2672" cm="1" t="n">
        <f t="array" ref="N61">INDEX('5층_부하량'!F3:F3000,MATCH(1,("5-DaHall 1-PDU-02"='5층_부하량'!A3:A3000)*(59='5층_부하량'!B3:B3000),0))</f>
        <v>0.0</v>
      </c>
      <c r="O61" s="19"/>
      <c r="P61" s="19"/>
      <c r="Q61" s="21"/>
      <c r="R61" s="69" t="s">
        <v>4631</v>
      </c>
      <c r="S61" s="17" t="s">
        <v>4642</v>
      </c>
      <c r="T61" s="603" t="s">
        <v>5700</v>
      </c>
    </row>
    <row r="62" spans="1:20" ht="18" customHeight="1" x14ac:dyDescent="0.15">
      <c r="A62" s="2110" t="s">
        <v>5701</v>
      </c>
      <c r="B62" s="17" t="s">
        <v>4631</v>
      </c>
      <c r="C62" s="18" t="s">
        <v>4575</v>
      </c>
      <c r="D62" s="21"/>
      <c r="E62" s="2672" cm="1" t="n">
        <f t="array" ref="E62">INDEX('5층_부하량'!G3:G3000,MATCH(1,("5-DaHall 1-PDU-02"='5층_부하량'!A3:A3000)*(6='5층_부하량'!B3:B3000),0))</f>
        <v>13.34</v>
      </c>
      <c r="F62" s="21"/>
      <c r="G62" s="21"/>
      <c r="H62" s="17" t="s">
        <v>4576</v>
      </c>
      <c r="I62" s="549" t="s">
        <v>4648</v>
      </c>
      <c r="J62" s="590" t="s">
        <v>5666</v>
      </c>
      <c r="K62" s="640" t="s">
        <v>5702</v>
      </c>
      <c r="L62" s="549" t="s">
        <v>4596</v>
      </c>
      <c r="M62" s="17" t="s">
        <v>4597</v>
      </c>
      <c r="N62" s="21"/>
      <c r="O62" s="2672" cm="1" t="n">
        <f t="array" ref="O62">INDEX('5층_부하량'!G3:G3000,MATCH(1,("5-DaHall 1-PDU-02"='5층_부하량'!A3:A3000)*(60='5층_부하량'!B3:B3000),0))</f>
        <v>0.0</v>
      </c>
      <c r="P62" s="21"/>
      <c r="Q62" s="21"/>
      <c r="R62" s="69" t="s">
        <v>4631</v>
      </c>
      <c r="S62" s="597" t="s">
        <v>4575</v>
      </c>
      <c r="T62" s="603" t="s">
        <v>3664</v>
      </c>
    </row>
    <row r="63" spans="1:20" ht="18" customHeight="1" x14ac:dyDescent="0.15">
      <c r="A63" s="2111" t="s">
        <v>5703</v>
      </c>
      <c r="B63" s="17" t="s">
        <v>4631</v>
      </c>
      <c r="C63" s="18" t="s">
        <v>4575</v>
      </c>
      <c r="D63" s="21"/>
      <c r="E63" s="21"/>
      <c r="F63" s="2672" cm="1" t="n">
        <f t="array" ref="F63">INDEX('5층_부하량'!H3:H3000,MATCH(1,("5-DaHall 1-PDU-02"='5층_부하량'!A3:A3000)*(7='5층_부하량'!B3:B3000),0))</f>
        <v>14.84</v>
      </c>
      <c r="G63" s="21"/>
      <c r="H63" s="17" t="s">
        <v>4597</v>
      </c>
      <c r="I63" s="549" t="s">
        <v>4653</v>
      </c>
      <c r="J63" s="590" t="s">
        <v>5666</v>
      </c>
      <c r="K63" s="594"/>
      <c r="L63" s="549" t="s">
        <v>4599</v>
      </c>
      <c r="M63" s="17" t="s">
        <v>4597</v>
      </c>
      <c r="N63" s="21"/>
      <c r="O63" s="21"/>
      <c r="P63" s="2672" cm="1" t="n">
        <f t="array" ref="P63">INDEX('5층_부하량'!H3:H3000,MATCH(1,("5-DaHall 1-PDU-02"='5층_부하량'!A3:A3000)*(61='5층_부하량'!B3:B3000),0))</f>
        <v>0.0</v>
      </c>
      <c r="Q63" s="21"/>
      <c r="R63" s="69" t="s">
        <v>4631</v>
      </c>
      <c r="S63" s="17" t="s">
        <v>4642</v>
      </c>
      <c r="T63" s="604" t="s">
        <v>5704</v>
      </c>
    </row>
    <row r="64" spans="1:20" ht="18" customHeight="1" x14ac:dyDescent="0.15">
      <c r="A64" s="2110" t="s">
        <v>5705</v>
      </c>
      <c r="B64" s="17" t="s">
        <v>4631</v>
      </c>
      <c r="C64" s="18" t="s">
        <v>4575</v>
      </c>
      <c r="D64" s="2672" cm="1" t="n">
        <f t="array" ref="D64">INDEX('5층_부하량'!F3:F3000,MATCH(1,("5-DaHall 1-PDU-02"='5층_부하량'!A3:A3000)*(8='5층_부하량'!B3:B3000),0))</f>
        <v>13.06</v>
      </c>
      <c r="E64" s="19"/>
      <c r="F64" s="19"/>
      <c r="G64" s="21"/>
      <c r="H64" s="17" t="s">
        <v>4597</v>
      </c>
      <c r="I64" s="549" t="s">
        <v>4657</v>
      </c>
      <c r="J64" s="590" t="s">
        <v>5666</v>
      </c>
      <c r="K64" s="594"/>
      <c r="L64" s="549" t="s">
        <v>4601</v>
      </c>
      <c r="M64" s="17" t="s">
        <v>4597</v>
      </c>
      <c r="N64" s="2672" cm="1" t="n">
        <f t="array" ref="N64">INDEX('5층_부하량'!F3:F3000,MATCH(1,("5-DaHall 1-PDU-02"='5층_부하량'!A3:A3000)*(62='5층_부하량'!B3:B3000),0))</f>
        <v>0.0</v>
      </c>
      <c r="O64" s="19"/>
      <c r="P64" s="19"/>
      <c r="Q64" s="21"/>
      <c r="R64" s="69" t="s">
        <v>4631</v>
      </c>
      <c r="S64" s="597" t="s">
        <v>4575</v>
      </c>
      <c r="T64" s="604" t="s">
        <v>3737</v>
      </c>
    </row>
    <row r="65" spans="1:20" ht="18" customHeight="1" x14ac:dyDescent="0.15">
      <c r="A65" s="2111" t="s">
        <v>5706</v>
      </c>
      <c r="B65" s="17" t="s">
        <v>4631</v>
      </c>
      <c r="C65" s="18" t="s">
        <v>4575</v>
      </c>
      <c r="D65" s="21"/>
      <c r="E65" s="2672" cm="1" t="n">
        <f t="array" ref="E65">INDEX('5층_부하량'!G3:G3000,MATCH(1,("5-DaHall 1-PDU-02"='5층_부하량'!A3:A3000)*(9='5층_부하량'!B3:B3000),0))</f>
        <v>0.0</v>
      </c>
      <c r="F65" s="21"/>
      <c r="G65" s="21"/>
      <c r="H65" s="17" t="s">
        <v>4597</v>
      </c>
      <c r="I65" s="549" t="s">
        <v>4661</v>
      </c>
      <c r="J65" s="590" t="s">
        <v>5666</v>
      </c>
      <c r="K65" s="594"/>
      <c r="L65" s="549" t="s">
        <v>4603</v>
      </c>
      <c r="M65" s="17" t="s">
        <v>4597</v>
      </c>
      <c r="N65" s="21"/>
      <c r="O65" s="2672" cm="1" t="n">
        <f t="array" ref="O65">INDEX('5층_부하량'!G3:G3000,MATCH(1,("5-DaHall 1-PDU-02"='5층_부하량'!A3:A3000)*(63='5층_부하량'!B3:B3000),0))</f>
        <v>0.0</v>
      </c>
      <c r="P65" s="21"/>
      <c r="Q65" s="21"/>
      <c r="R65" s="69" t="s">
        <v>4631</v>
      </c>
      <c r="S65" s="597" t="s">
        <v>4575</v>
      </c>
      <c r="T65" s="604" t="s">
        <v>3742</v>
      </c>
    </row>
    <row r="66" spans="1:20" ht="18" customHeight="1" x14ac:dyDescent="0.15">
      <c r="A66" s="2111" t="s">
        <v>5707</v>
      </c>
      <c r="B66" s="17" t="s">
        <v>4631</v>
      </c>
      <c r="C66" s="18" t="s">
        <v>4575</v>
      </c>
      <c r="D66" s="21"/>
      <c r="E66" s="21"/>
      <c r="F66" s="2672" cm="1" t="n">
        <f t="array" ref="F66">INDEX('5층_부하량'!H3:H3000,MATCH(1,("5-DaHall 1-PDU-02"='5층_부하량'!A3:A3000)*(10='5층_부하량'!B3:B3000),0))</f>
        <v>0.0</v>
      </c>
      <c r="G66" s="21"/>
      <c r="H66" s="17" t="s">
        <v>4597</v>
      </c>
      <c r="I66" s="549" t="s">
        <v>4665</v>
      </c>
      <c r="J66" s="590" t="s">
        <v>5666</v>
      </c>
      <c r="K66" s="594"/>
      <c r="L66" s="549" t="s">
        <v>4605</v>
      </c>
      <c r="M66" s="17" t="s">
        <v>4597</v>
      </c>
      <c r="N66" s="21"/>
      <c r="O66" s="21"/>
      <c r="P66" s="2672" cm="1" t="n">
        <f t="array" ref="P66">INDEX('5층_부하량'!H3:H3000,MATCH(1,("5-DaHall 1-PDU-02"='5층_부하량'!A3:A3000)*(64='5층_부하량'!B3:B3000),0))</f>
        <v>0.0</v>
      </c>
      <c r="Q66" s="21"/>
      <c r="R66" s="69" t="s">
        <v>4631</v>
      </c>
      <c r="S66" s="597" t="s">
        <v>4575</v>
      </c>
      <c r="T66" s="604" t="s">
        <v>3747</v>
      </c>
    </row>
    <row r="67" spans="1:20" ht="18" customHeight="1" x14ac:dyDescent="0.15">
      <c r="A67" s="321" t="s">
        <v>3617</v>
      </c>
      <c r="B67" s="17" t="s">
        <v>4631</v>
      </c>
      <c r="C67" s="18" t="s">
        <v>4575</v>
      </c>
      <c r="D67" s="2672" cm="1" t="n">
        <f t="array" ref="D67">INDEX('5층_부하량'!F3:F3000,MATCH(1,("5-DaHall 1-PDU-02"='5층_부하량'!A3:A3000)*(11='5층_부하량'!B3:B3000),0))</f>
        <v>0.0</v>
      </c>
      <c r="E67" s="21"/>
      <c r="F67" s="21"/>
      <c r="G67" s="21"/>
      <c r="H67" s="17" t="s">
        <v>4597</v>
      </c>
      <c r="I67" s="549" t="s">
        <v>4670</v>
      </c>
      <c r="J67" s="637" t="s">
        <v>5674</v>
      </c>
      <c r="K67" s="594"/>
      <c r="L67" s="549" t="s">
        <v>4609</v>
      </c>
      <c r="M67" s="17" t="s">
        <v>4597</v>
      </c>
      <c r="N67" s="2672" cm="1" t="n">
        <f t="array" ref="N67">INDEX('5층_부하량'!F3:F3000,MATCH(1,("5-DaHall 1-PDU-02"='5층_부하량'!A3:A3000)*(65='5층_부하량'!B3:B3000),0))</f>
        <v>0.0</v>
      </c>
      <c r="O67" s="21"/>
      <c r="P67" s="21"/>
      <c r="Q67" s="21"/>
      <c r="R67" s="69" t="s">
        <v>4631</v>
      </c>
      <c r="S67" s="597" t="s">
        <v>4575</v>
      </c>
      <c r="T67" s="604" t="s">
        <v>3752</v>
      </c>
    </row>
    <row r="68" spans="1:20" ht="18" customHeight="1" x14ac:dyDescent="0.15">
      <c r="A68" s="321" t="s">
        <v>3623</v>
      </c>
      <c r="B68" s="17" t="s">
        <v>4631</v>
      </c>
      <c r="C68" s="18" t="s">
        <v>4575</v>
      </c>
      <c r="D68" s="21"/>
      <c r="E68" s="2672" cm="1" t="n">
        <f t="array" ref="E68">INDEX('5층_부하량'!G3:G3000,MATCH(1,("5-DaHall 1-PDU-02"='5층_부하량'!A3:A3000)*(12='5층_부하량'!B3:B3000),0))</f>
        <v>1.69</v>
      </c>
      <c r="F68" s="21"/>
      <c r="G68" s="21"/>
      <c r="H68" s="17" t="s">
        <v>4597</v>
      </c>
      <c r="I68" s="549" t="s">
        <v>4674</v>
      </c>
      <c r="J68" s="637" t="s">
        <v>5675</v>
      </c>
      <c r="K68" s="594"/>
      <c r="L68" s="549" t="s">
        <v>4613</v>
      </c>
      <c r="M68" s="17" t="s">
        <v>4597</v>
      </c>
      <c r="N68" s="21"/>
      <c r="O68" s="2672" cm="1" t="n">
        <f t="array" ref="O68">INDEX('5층_부하량'!G3:G3000,MATCH(1,("5-DaHall 1-PDU-02"='5층_부하량'!A3:A3000)*(66='5층_부하량'!B3:B3000),0))</f>
        <v>0.0</v>
      </c>
      <c r="P68" s="21"/>
      <c r="Q68" s="21"/>
      <c r="R68" s="69" t="s">
        <v>4631</v>
      </c>
      <c r="S68" s="597" t="s">
        <v>4575</v>
      </c>
      <c r="T68" s="604" t="s">
        <v>3757</v>
      </c>
    </row>
    <row r="69" spans="1:20" ht="18" customHeight="1" x14ac:dyDescent="0.15">
      <c r="A69" s="321" t="s">
        <v>3629</v>
      </c>
      <c r="B69" s="17" t="s">
        <v>4631</v>
      </c>
      <c r="C69" s="18" t="s">
        <v>4575</v>
      </c>
      <c r="D69" s="21"/>
      <c r="E69" s="21"/>
      <c r="F69" s="2672" cm="1" t="n">
        <f t="array" ref="F69">INDEX('5층_부하량'!H3:H3000,MATCH(1,("5-DaHall 1-PDU-02"='5층_부하량'!A3:A3000)*(13='5층_부하량'!B3:B3000),0))</f>
        <v>1.34</v>
      </c>
      <c r="G69" s="21"/>
      <c r="H69" s="17" t="s">
        <v>4597</v>
      </c>
      <c r="I69" s="549" t="s">
        <v>4678</v>
      </c>
      <c r="J69" s="637" t="s">
        <v>5676</v>
      </c>
      <c r="K69" s="594"/>
      <c r="L69" s="549" t="s">
        <v>4680</v>
      </c>
      <c r="M69" s="17" t="s">
        <v>4597</v>
      </c>
      <c r="N69" s="21"/>
      <c r="O69" s="21"/>
      <c r="P69" s="2672" cm="1" t="n">
        <f t="array" ref="P69">INDEX('5층_부하량'!H3:H3000,MATCH(1,("5-DaHall 1-PDU-02"='5층_부하량'!A3:A3000)*(67='5층_부하량'!B3:B3000),0))</f>
        <v>0.0</v>
      </c>
      <c r="Q69" s="21"/>
      <c r="R69" s="69" t="s">
        <v>4631</v>
      </c>
      <c r="S69" s="597" t="s">
        <v>4575</v>
      </c>
      <c r="T69" s="604" t="s">
        <v>5708</v>
      </c>
    </row>
    <row r="70" spans="1:20" ht="18" customHeight="1" x14ac:dyDescent="0.15">
      <c r="A70" s="321" t="s">
        <v>3635</v>
      </c>
      <c r="B70" s="17" t="s">
        <v>4631</v>
      </c>
      <c r="C70" s="18" t="s">
        <v>4575</v>
      </c>
      <c r="D70" s="2672" cm="1" t="n">
        <f t="array" ref="D70">INDEX('5층_부하량'!F3:F3000,MATCH(1,("5-DaHall 1-PDU-02"='5층_부하량'!A3:A3000)*(14='5층_부하량'!B3:B3000),0))</f>
        <v>0.0</v>
      </c>
      <c r="E70" s="19"/>
      <c r="F70" s="19"/>
      <c r="G70" s="21"/>
      <c r="H70" s="17" t="s">
        <v>4597</v>
      </c>
      <c r="I70" s="549" t="s">
        <v>4683</v>
      </c>
      <c r="J70" s="637" t="s">
        <v>5678</v>
      </c>
      <c r="K70" s="594"/>
      <c r="L70" s="549" t="s">
        <v>4685</v>
      </c>
      <c r="M70" s="17" t="s">
        <v>4597</v>
      </c>
      <c r="N70" s="2672" cm="1" t="n">
        <f t="array" ref="N70">INDEX('5층_부하량'!F3:F3000,MATCH(1,("5-DaHall 1-PDU-02"='5층_부하량'!A3:A3000)*(68='5층_부하량'!B3:B3000),0))</f>
        <v>0.0</v>
      </c>
      <c r="O70" s="19"/>
      <c r="P70" s="19"/>
      <c r="Q70" s="21"/>
      <c r="R70" s="69" t="s">
        <v>4631</v>
      </c>
      <c r="S70" s="597" t="s">
        <v>4575</v>
      </c>
      <c r="T70" s="604" t="s">
        <v>3767</v>
      </c>
    </row>
    <row r="71" spans="1:20" ht="18" customHeight="1" x14ac:dyDescent="0.15">
      <c r="A71" s="321" t="s">
        <v>3820</v>
      </c>
      <c r="B71" s="72" t="s">
        <v>4631</v>
      </c>
      <c r="C71" s="17" t="s">
        <v>4642</v>
      </c>
      <c r="D71" s="21"/>
      <c r="E71" s="2672" cm="1" t="n">
        <f t="array" ref="E71">INDEX('5층_부하량'!G3:G3000,MATCH(1,("5-DaHall 1-PDU-02"='5층_부하량'!A3:A3000)*(15='5층_부하량'!B3:B3000),0))</f>
        <v>0.0</v>
      </c>
      <c r="F71" s="21"/>
      <c r="G71" s="74"/>
      <c r="H71" s="72" t="s">
        <v>4597</v>
      </c>
      <c r="I71" s="550" t="s">
        <v>4688</v>
      </c>
      <c r="J71" s="65"/>
      <c r="K71" s="594"/>
      <c r="L71" s="550" t="s">
        <v>4689</v>
      </c>
      <c r="M71" s="72" t="s">
        <v>4597</v>
      </c>
      <c r="N71" s="21"/>
      <c r="O71" s="2672" cm="1" t="n">
        <f t="array" ref="O71">INDEX('5층_부하량'!G3:G3000,MATCH(1,("5-DaHall 1-PDU-02"='5층_부하량'!A3:A3000)*(69='5층_부하량'!B3:B3000),0))</f>
        <v>0.0</v>
      </c>
      <c r="P71" s="21"/>
      <c r="Q71" s="74"/>
      <c r="R71" s="75" t="s">
        <v>4631</v>
      </c>
      <c r="S71" s="597" t="s">
        <v>4575</v>
      </c>
      <c r="T71" s="605" t="s">
        <v>3772</v>
      </c>
    </row>
    <row r="72" spans="1:20" ht="18" customHeight="1" x14ac:dyDescent="0.15">
      <c r="A72" s="321" t="s">
        <v>3824</v>
      </c>
      <c r="B72" s="17" t="s">
        <v>4631</v>
      </c>
      <c r="C72" s="17" t="s">
        <v>4642</v>
      </c>
      <c r="D72" s="21"/>
      <c r="E72" s="21"/>
      <c r="F72" s="2672" cm="1" t="n">
        <f t="array" ref="F72">INDEX('5층_부하량'!H3:H3000,MATCH(1,("5-DaHall 1-PDU-02"='5층_부하량'!A3:A3000)*(16='5층_부하량'!B3:B3000),0))</f>
        <v>0.0</v>
      </c>
      <c r="G72" s="21"/>
      <c r="H72" s="17" t="s">
        <v>4597</v>
      </c>
      <c r="I72" s="549" t="s">
        <v>4691</v>
      </c>
      <c r="J72" s="65"/>
      <c r="K72" s="66"/>
      <c r="L72" s="549" t="s">
        <v>4692</v>
      </c>
      <c r="M72" s="17" t="s">
        <v>4597</v>
      </c>
      <c r="N72" s="21"/>
      <c r="O72" s="21"/>
      <c r="P72" s="2672" cm="1" t="n">
        <f t="array" ref="P72">INDEX('5층_부하량'!H3:H3000,MATCH(1,("5-DaHall 1-PDU-02"='5층_부하량'!A3:A3000)*(70='5층_부하량'!B3:B3000),0))</f>
        <v>0.0</v>
      </c>
      <c r="Q72" s="21"/>
      <c r="R72" s="69" t="s">
        <v>4631</v>
      </c>
      <c r="S72" s="597" t="s">
        <v>4575</v>
      </c>
      <c r="T72" s="606" t="s">
        <v>5709</v>
      </c>
    </row>
    <row r="73" spans="1:20" ht="18" customHeight="1" x14ac:dyDescent="0.15">
      <c r="A73" s="2111" t="s">
        <v>5680</v>
      </c>
      <c r="B73" s="17" t="s">
        <v>4631</v>
      </c>
      <c r="C73" s="18" t="s">
        <v>4575</v>
      </c>
      <c r="D73" s="2672" cm="1" t="n">
        <f t="array" ref="D73">INDEX('5층_부하량'!F3:F3000,MATCH(1,("5-DaHall 1-PDU-02"='5층_부하량'!A3:A3000)*(17='5층_부하량'!B3:B3000),0))</f>
        <v>13.04</v>
      </c>
      <c r="E73" s="19"/>
      <c r="F73" s="19"/>
      <c r="G73" s="21"/>
      <c r="H73" s="17" t="s">
        <v>4597</v>
      </c>
      <c r="I73" s="549" t="s">
        <v>4693</v>
      </c>
      <c r="J73" s="590" t="s">
        <v>5666</v>
      </c>
      <c r="K73" s="66"/>
      <c r="L73" s="549" t="s">
        <v>4694</v>
      </c>
      <c r="M73" s="17" t="s">
        <v>4597</v>
      </c>
      <c r="N73" s="2672" cm="1" t="n">
        <f t="array" ref="N73">INDEX('5층_부하량'!F3:F3000,MATCH(1,("5-DaHall 1-PDU-02"='5층_부하량'!A3:A3000)*(71='5층_부하량'!B3:B3000),0))</f>
        <v>0.0</v>
      </c>
      <c r="O73" s="19"/>
      <c r="P73" s="19"/>
      <c r="Q73" s="21"/>
      <c r="R73" s="69" t="s">
        <v>4631</v>
      </c>
      <c r="S73" s="597" t="s">
        <v>4575</v>
      </c>
      <c r="T73" s="606" t="s">
        <v>5710</v>
      </c>
    </row>
    <row r="74" spans="1:20" ht="18" customHeight="1" x14ac:dyDescent="0.15">
      <c r="A74" s="2111" t="s">
        <v>5711</v>
      </c>
      <c r="B74" s="17" t="s">
        <v>4631</v>
      </c>
      <c r="C74" s="18" t="s">
        <v>4575</v>
      </c>
      <c r="D74" s="21"/>
      <c r="E74" s="2672" cm="1" t="n">
        <f t="array" ref="E74">INDEX('5층_부하량'!G3:G3000,MATCH(1,("5-DaHall 1-PDU-02"='5층_부하량'!A3:A3000)*(18='5층_부하량'!B3:B3000),0))</f>
        <v>12.93</v>
      </c>
      <c r="F74" s="21"/>
      <c r="G74" s="21"/>
      <c r="H74" s="17" t="s">
        <v>4597</v>
      </c>
      <c r="I74" s="549" t="s">
        <v>4697</v>
      </c>
      <c r="J74" s="590" t="s">
        <v>5666</v>
      </c>
      <c r="K74" s="66"/>
      <c r="L74" s="549" t="s">
        <v>4698</v>
      </c>
      <c r="M74" s="17" t="s">
        <v>4597</v>
      </c>
      <c r="N74" s="21"/>
      <c r="O74" s="2672" cm="1" t="n">
        <f t="array" ref="O74">INDEX('5층_부하량'!G3:G3000,MATCH(1,("5-DaHall 1-PDU-02"='5층_부하량'!A3:A3000)*(72='5층_부하량'!B3:B3000),0))</f>
        <v>0.0</v>
      </c>
      <c r="P74" s="21"/>
      <c r="Q74" s="21"/>
      <c r="R74" s="69" t="s">
        <v>4631</v>
      </c>
      <c r="S74" s="597" t="s">
        <v>4575</v>
      </c>
      <c r="T74" s="606" t="s">
        <v>5712</v>
      </c>
    </row>
    <row r="75" spans="1:20" ht="18" customHeight="1" x14ac:dyDescent="0.15">
      <c r="A75" s="2111" t="s">
        <v>5713</v>
      </c>
      <c r="B75" s="17" t="s">
        <v>4631</v>
      </c>
      <c r="C75" s="18" t="s">
        <v>4575</v>
      </c>
      <c r="D75" s="21"/>
      <c r="E75" s="19"/>
      <c r="F75" s="2670" cm="1" t="n">
        <f t="array" ref="F75">INDEX('5층_부하량'!H3:H3000,MATCH(1,("5-DaHall 1-PDU-02"='5층_부하량'!A3:A3000)*(19='5층_부하량'!B3:B3000),0))</f>
        <v>10.87</v>
      </c>
      <c r="G75" s="21"/>
      <c r="H75" s="17" t="s">
        <v>4597</v>
      </c>
      <c r="I75" s="549" t="s">
        <v>4701</v>
      </c>
      <c r="J75" s="590" t="s">
        <v>5666</v>
      </c>
      <c r="K75" s="66"/>
      <c r="L75" s="549" t="s">
        <v>4703</v>
      </c>
      <c r="M75" s="17" t="s">
        <v>4597</v>
      </c>
      <c r="N75" s="21"/>
      <c r="O75" s="19"/>
      <c r="P75" s="2670" cm="1" t="n">
        <f t="array" ref="P75">INDEX('5층_부하량'!H3:H3000,MATCH(1,("5-DaHall 1-PDU-02"='5층_부하량'!A3:A3000)*(73='5층_부하량'!B3:B3000),0))</f>
        <v>0.0</v>
      </c>
      <c r="Q75" s="21"/>
      <c r="R75" s="69" t="s">
        <v>4631</v>
      </c>
      <c r="S75" s="597" t="s">
        <v>4575</v>
      </c>
      <c r="T75" s="606" t="s">
        <v>5714</v>
      </c>
    </row>
    <row r="76" spans="1:20" ht="18" customHeight="1" x14ac:dyDescent="0.15">
      <c r="A76" s="2111" t="s">
        <v>5715</v>
      </c>
      <c r="B76" s="17" t="s">
        <v>4631</v>
      </c>
      <c r="C76" s="18" t="s">
        <v>4575</v>
      </c>
      <c r="D76" s="2672" cm="1" t="n">
        <f t="array" ref="D76">INDEX('5층_부하량'!F3:F3000,MATCH(1,("5-DaHall 1-PDU-02"='5층_부하량'!A3:A3000)*(20='5층_부하량'!B3:B3000),0))</f>
        <v>12.53</v>
      </c>
      <c r="E76" s="19"/>
      <c r="F76" s="19"/>
      <c r="G76" s="21"/>
      <c r="H76" s="17" t="s">
        <v>4597</v>
      </c>
      <c r="I76" s="549" t="s">
        <v>4706</v>
      </c>
      <c r="J76" s="590" t="s">
        <v>5666</v>
      </c>
      <c r="K76" s="66"/>
      <c r="L76" s="549" t="s">
        <v>4707</v>
      </c>
      <c r="M76" s="17" t="s">
        <v>4597</v>
      </c>
      <c r="N76" s="2672" cm="1" t="n">
        <f t="array" ref="N76">INDEX('5층_부하량'!F3:F3000,MATCH(1,("5-DaHall 1-PDU-02"='5층_부하량'!A3:A3000)*(74='5층_부하량'!B3:B3000),0))</f>
        <v>0.0</v>
      </c>
      <c r="O76" s="19"/>
      <c r="P76" s="19"/>
      <c r="Q76" s="21"/>
      <c r="R76" s="69" t="s">
        <v>4631</v>
      </c>
      <c r="S76" s="597" t="s">
        <v>4575</v>
      </c>
      <c r="T76" s="606" t="s">
        <v>5716</v>
      </c>
    </row>
    <row r="77" spans="1:20" ht="18" customHeight="1" x14ac:dyDescent="0.15">
      <c r="A77" s="2111" t="s">
        <v>5717</v>
      </c>
      <c r="B77" s="17" t="s">
        <v>4631</v>
      </c>
      <c r="C77" s="18" t="s">
        <v>4575</v>
      </c>
      <c r="D77" s="21"/>
      <c r="E77" s="2672" cm="1" t="n">
        <f t="array" ref="E77">INDEX('5층_부하량'!G3:G3000,MATCH(1,("5-DaHall 1-PDU-02"='5층_부하량'!A3:A3000)*(21='5층_부하량'!B3:B3000),0))</f>
        <v>10.71</v>
      </c>
      <c r="F77" s="19"/>
      <c r="G77" s="21"/>
      <c r="H77" s="17" t="s">
        <v>4597</v>
      </c>
      <c r="I77" s="549" t="s">
        <v>4710</v>
      </c>
      <c r="J77" s="590" t="s">
        <v>5666</v>
      </c>
      <c r="K77" s="66"/>
      <c r="L77" s="549" t="s">
        <v>4711</v>
      </c>
      <c r="M77" s="17" t="s">
        <v>4597</v>
      </c>
      <c r="N77" s="21"/>
      <c r="O77" s="2672" cm="1" t="n">
        <f t="array" ref="O77">INDEX('5층_부하량'!G3:G3000,MATCH(1,("5-DaHall 1-PDU-02"='5층_부하량'!A3:A3000)*(75='5층_부하량'!B3:B3000),0))</f>
        <v>0.0</v>
      </c>
      <c r="P77" s="19"/>
      <c r="Q77" s="21"/>
      <c r="R77" s="69" t="s">
        <v>4631</v>
      </c>
      <c r="S77" s="17" t="s">
        <v>4642</v>
      </c>
      <c r="T77" s="606" t="s">
        <v>5718</v>
      </c>
    </row>
    <row r="78" spans="1:20" ht="18" customHeight="1" x14ac:dyDescent="0.15">
      <c r="A78" s="321" t="s">
        <v>3596</v>
      </c>
      <c r="B78" s="17" t="s">
        <v>4631</v>
      </c>
      <c r="C78" s="2112" t="s">
        <v>3381</v>
      </c>
      <c r="D78" s="21"/>
      <c r="E78" s="19"/>
      <c r="F78" s="2672" cm="1" t="n">
        <f t="array" ref="F78">INDEX('5층_부하량'!H3:H3000,MATCH(1,("5-DaHall 1-PDU-02"='5층_부하량'!A3:A3000)*(22='5층_부하량'!B3:B3000),0))</f>
        <v>0.0</v>
      </c>
      <c r="G78" s="21"/>
      <c r="H78" s="17" t="s">
        <v>4597</v>
      </c>
      <c r="I78" s="549" t="s">
        <v>5055</v>
      </c>
      <c r="J78" s="65" t="s">
        <v>5661</v>
      </c>
      <c r="K78" s="594" t="s">
        <v>4637</v>
      </c>
      <c r="L78" s="549" t="s">
        <v>4843</v>
      </c>
      <c r="M78" s="17" t="s">
        <v>4597</v>
      </c>
      <c r="N78" s="21"/>
      <c r="O78" s="19"/>
      <c r="P78" s="2672" cm="1" t="n">
        <f t="array" ref="P78">INDEX('5층_부하량'!H3:H3000,MATCH(1,("5-DaHall 1-PDU-02"='5층_부하량'!A3:A3000)*(76='5층_부하량'!B3:B3000),0))</f>
        <v>0.0</v>
      </c>
      <c r="Q78" s="21"/>
      <c r="R78" s="69" t="s">
        <v>4631</v>
      </c>
      <c r="S78" s="17" t="s">
        <v>4642</v>
      </c>
      <c r="T78" s="604" t="s">
        <v>5719</v>
      </c>
    </row>
    <row r="79" spans="1:20" ht="18" customHeight="1" x14ac:dyDescent="0.15">
      <c r="A79" s="321" t="s">
        <v>3601</v>
      </c>
      <c r="B79" s="17" t="s">
        <v>4631</v>
      </c>
      <c r="C79" s="2112" t="s">
        <v>3381</v>
      </c>
      <c r="D79" s="2672" cm="1" t="n">
        <f t="array" ref="D79">INDEX('5층_부하량'!F3:F3000,MATCH(1,("5-DaHall 1-PDU-02"='5층_부하량'!A3:A3000)*(23='5층_부하량'!B3:B3000),0))</f>
        <v>0.0</v>
      </c>
      <c r="E79" s="19"/>
      <c r="F79" s="19"/>
      <c r="G79" s="21"/>
      <c r="H79" s="17" t="s">
        <v>4597</v>
      </c>
      <c r="I79" s="549" t="s">
        <v>4845</v>
      </c>
      <c r="J79" s="65" t="s">
        <v>5661</v>
      </c>
      <c r="K79" s="594"/>
      <c r="L79" s="549" t="s">
        <v>4846</v>
      </c>
      <c r="M79" s="17" t="s">
        <v>4597</v>
      </c>
      <c r="N79" s="2672" cm="1" t="n">
        <f t="array" ref="N79">INDEX('5층_부하량'!F3:F3000,MATCH(1,("5-DaHall 1-PDU-02"='5층_부하량'!A3:A3000)*(77='5층_부하량'!B3:B3000),0))</f>
        <v>0.0</v>
      </c>
      <c r="O79" s="19"/>
      <c r="P79" s="19"/>
      <c r="Q79" s="21"/>
      <c r="R79" s="69" t="s">
        <v>4631</v>
      </c>
      <c r="S79" s="17" t="s">
        <v>4642</v>
      </c>
      <c r="T79" s="604" t="s">
        <v>3643</v>
      </c>
    </row>
    <row r="80" spans="1:20" ht="18" customHeight="1" x14ac:dyDescent="0.15">
      <c r="A80" s="321" t="s">
        <v>3606</v>
      </c>
      <c r="B80" s="17" t="s">
        <v>4631</v>
      </c>
      <c r="C80" s="2112" t="s">
        <v>3381</v>
      </c>
      <c r="D80" s="21"/>
      <c r="E80" s="2672" cm="1" t="n">
        <f t="array" ref="E80">INDEX('5층_부하량'!G3:G3000,MATCH(1,("5-DaHall 1-PDU-02"='5층_부하량'!A3:A3000)*(24='5층_부하량'!B3:B3000),0))</f>
        <v>0.0</v>
      </c>
      <c r="F80" s="21"/>
      <c r="G80" s="21"/>
      <c r="H80" s="17" t="s">
        <v>4597</v>
      </c>
      <c r="I80" s="549" t="s">
        <v>4847</v>
      </c>
      <c r="J80" s="65" t="s">
        <v>5661</v>
      </c>
      <c r="K80" s="595" t="s">
        <v>5690</v>
      </c>
      <c r="L80" s="549" t="s">
        <v>4848</v>
      </c>
      <c r="M80" s="17" t="s">
        <v>4597</v>
      </c>
      <c r="N80" s="21"/>
      <c r="O80" s="2672" cm="1" t="n">
        <f t="array" ref="O80">INDEX('5층_부하량'!G3:G3000,MATCH(1,("5-DaHall 1-PDU-02"='5층_부하량'!A3:A3000)*(78='5층_부하량'!B3:B3000),0))</f>
        <v>0.99</v>
      </c>
      <c r="P80" s="21"/>
      <c r="Q80" s="21"/>
      <c r="R80" s="69" t="s">
        <v>4631</v>
      </c>
      <c r="S80" s="597" t="s">
        <v>4575</v>
      </c>
      <c r="T80" s="604" t="s">
        <v>3178</v>
      </c>
    </row>
    <row r="81" spans="1:20" ht="18" customHeight="1" x14ac:dyDescent="0.15">
      <c r="A81" s="321" t="s">
        <v>3611</v>
      </c>
      <c r="B81" s="17" t="s">
        <v>4631</v>
      </c>
      <c r="C81" s="2112" t="s">
        <v>3381</v>
      </c>
      <c r="D81" s="21"/>
      <c r="E81" s="21"/>
      <c r="F81" s="2672" cm="1" t="n">
        <f t="array" ref="F81">INDEX('5층_부하량'!H3:H3000,MATCH(1,("5-DaHall 1-PDU-02"='5층_부하량'!A3:A3000)*(25='5층_부하량'!B3:B3000),0))</f>
        <v>0.0</v>
      </c>
      <c r="G81" s="21"/>
      <c r="H81" s="17" t="s">
        <v>4597</v>
      </c>
      <c r="I81" s="549" t="s">
        <v>4849</v>
      </c>
      <c r="J81" s="65" t="s">
        <v>5661</v>
      </c>
      <c r="K81" s="596" t="s">
        <v>5692</v>
      </c>
      <c r="L81" s="549" t="s">
        <v>4850</v>
      </c>
      <c r="M81" s="17" t="s">
        <v>4597</v>
      </c>
      <c r="N81" s="21"/>
      <c r="O81" s="21"/>
      <c r="P81" s="2672" cm="1" t="n">
        <f t="array" ref="P81">INDEX('5층_부하량'!H3:H3000,MATCH(1,("5-DaHall 1-PDU-02"='5층_부하량'!A3:A3000)*(79='5층_부하량'!B3:B3000),0))</f>
        <v>1.13</v>
      </c>
      <c r="Q81" s="21"/>
      <c r="R81" s="69" t="s">
        <v>4631</v>
      </c>
      <c r="S81" s="597" t="s">
        <v>4575</v>
      </c>
      <c r="T81" s="70" t="s">
        <v>5720</v>
      </c>
    </row>
    <row r="82" spans="1:20" ht="18" customHeight="1" thickBot="1" x14ac:dyDescent="0.2">
      <c r="A82" s="600" t="s">
        <v>5694</v>
      </c>
      <c r="B82" s="35" t="s">
        <v>4631</v>
      </c>
      <c r="C82" s="35" t="s">
        <v>4642</v>
      </c>
      <c r="D82" s="2671" cm="1" t="n">
        <f t="array" ref="D82">INDEX('5층_부하량'!F3:F3000,MATCH(1,("5-DaHall 1-PDU-02"='5층_부하량'!A3:A3000)*(26='5층_부하량'!B3:B3000),0))</f>
        <v>0.0</v>
      </c>
      <c r="E82" s="36"/>
      <c r="F82" s="36"/>
      <c r="G82" s="36"/>
      <c r="H82" s="35" t="s">
        <v>4597</v>
      </c>
      <c r="I82" s="551" t="s">
        <v>4851</v>
      </c>
      <c r="J82" s="76"/>
      <c r="K82" s="77" t="s">
        <v>5695</v>
      </c>
      <c r="L82" s="551" t="s">
        <v>4852</v>
      </c>
      <c r="M82" s="35" t="s">
        <v>4597</v>
      </c>
      <c r="N82" s="2671" cm="1" t="n">
        <f t="array" ref="N82">INDEX('5층_부하량'!F3:F3000,MATCH(1,("5-DaHall 1-PDU-02"='5층_부하량'!A3:A3000)*(80='5층_부하량'!B3:B3000),0))</f>
        <v>0.0</v>
      </c>
      <c r="O82" s="36"/>
      <c r="P82" s="36"/>
      <c r="Q82" s="36"/>
      <c r="R82" s="78" t="s">
        <v>4631</v>
      </c>
      <c r="S82" s="598" t="s">
        <v>4575</v>
      </c>
      <c r="T82" s="79" t="s">
        <v>5721</v>
      </c>
    </row>
    <row r="83" spans="1:20" ht="18" customHeight="1" thickTop="1" thickBot="1" x14ac:dyDescent="0.2">
      <c r="M83" s="80" t="s">
        <v>5645</v>
      </c>
      <c r="N83" s="33" t="n">
        <f>SUM(D57:D82,N57:N82)</f>
        <v>38.63</v>
      </c>
      <c r="O83" s="33" t="n">
        <f>SUM(E57:E82,O57:O82)</f>
        <v>40.330000000000005</v>
      </c>
      <c r="P83" s="33" t="n">
        <f>SUM(F57:F82,P57:P82)</f>
        <v>30.189999999999998</v>
      </c>
    </row>
    <row r="84" spans="1:20" ht="18" customHeight="1" thickTop="1" thickBot="1" x14ac:dyDescent="0.2">
      <c r="A84" s="2" t="s">
        <v>6947</v>
      </c>
      <c r="C84" s="3660" t="s">
        <v>5722</v>
      </c>
      <c r="D84" s="3660"/>
      <c r="E84" s="3660"/>
      <c r="F84" s="3660"/>
      <c r="G84" s="53"/>
      <c r="H84" s="124"/>
      <c r="I84" s="124"/>
      <c r="J84" s="3661" t="s">
        <v>5653</v>
      </c>
      <c r="K84" s="3667"/>
      <c r="L84" s="124"/>
      <c r="M84" s="124"/>
      <c r="N84" s="53"/>
      <c r="O84" s="53"/>
      <c r="P84" s="53"/>
      <c r="Q84" s="53"/>
      <c r="R84" s="53"/>
      <c r="S84" s="53"/>
    </row>
    <row r="85" spans="1:20" ht="18" customHeight="1" thickTop="1" thickBot="1" x14ac:dyDescent="0.2">
      <c r="A85" s="3"/>
      <c r="D85" s="54"/>
      <c r="E85" s="54"/>
      <c r="F85" s="54"/>
      <c r="G85" s="54"/>
      <c r="H85" s="4"/>
      <c r="I85" s="4"/>
      <c r="K85" s="56"/>
      <c r="L85" s="565"/>
      <c r="M85" s="1371" t="s">
        <v>4562</v>
      </c>
      <c r="N85" s="1368">
        <v>26.8</v>
      </c>
      <c r="O85" s="1369">
        <v>15.9</v>
      </c>
      <c r="P85" s="1370">
        <v>18</v>
      </c>
      <c r="Q85" s="508" t="s">
        <v>4563</v>
      </c>
      <c r="R85" s="133"/>
      <c r="S85" s="128"/>
      <c r="T85" s="528"/>
    </row>
    <row r="86" spans="1:20" ht="18" customHeight="1" thickTop="1" thickBot="1" x14ac:dyDescent="0.2">
      <c r="A86" s="5" t="s">
        <v>4564</v>
      </c>
      <c r="B86" s="6" t="s">
        <v>4565</v>
      </c>
      <c r="C86" s="7" t="s">
        <v>4566</v>
      </c>
      <c r="D86" s="6" t="s">
        <v>4567</v>
      </c>
      <c r="E86" s="6" t="s">
        <v>4568</v>
      </c>
      <c r="F86" s="6" t="s">
        <v>4569</v>
      </c>
      <c r="G86" s="6" t="s">
        <v>4570</v>
      </c>
      <c r="H86" s="8" t="s">
        <v>4571</v>
      </c>
      <c r="I86" s="547"/>
      <c r="J86" s="58" t="s">
        <v>4572</v>
      </c>
      <c r="K86" s="59" t="s">
        <v>4572</v>
      </c>
      <c r="L86" s="566"/>
      <c r="M86" s="8" t="s">
        <v>4571</v>
      </c>
      <c r="N86" s="6" t="s">
        <v>4567</v>
      </c>
      <c r="O86" s="6" t="s">
        <v>4568</v>
      </c>
      <c r="P86" s="6" t="s">
        <v>4569</v>
      </c>
      <c r="Q86" s="6" t="s">
        <v>4570</v>
      </c>
      <c r="R86" s="6" t="s">
        <v>4565</v>
      </c>
      <c r="S86" s="7" t="s">
        <v>4566</v>
      </c>
      <c r="T86" s="60" t="s">
        <v>4564</v>
      </c>
    </row>
    <row r="87" spans="1:20" ht="18" customHeight="1" thickTop="1" x14ac:dyDescent="0.15">
      <c r="A87" s="10"/>
      <c r="B87" s="11" t="s">
        <v>4590</v>
      </c>
      <c r="C87" s="13" t="s">
        <v>4723</v>
      </c>
      <c r="D87" s="2669" cm="1" t="n">
        <f t="array" ref="D87">INDEX('5층_부하량'!F3:F3000,MATCH(1,("5-DaHall 1-PDU-03"='5층_부하량'!A3:A3000)*(1='5층_부하량'!B3:B3000),0))</f>
        <v>0.0</v>
      </c>
      <c r="E87" s="2669" cm="1" t="n">
        <f t="array" ref="E87">INDEX('5층_부하량'!G3:G3000,MATCH(1,("5-DaHall 1-PDU-03"='5층_부하량'!A3:A3000)*(1='5층_부하량'!B3:B3000),0))</f>
        <v>0.0</v>
      </c>
      <c r="F87" s="2669" cm="1" t="n">
        <f t="array" ref="F87">INDEX('5층_부하량'!H3:H3000,MATCH(1,("5-DaHall 1-PDU-03"='5층_부하량'!A3:A3000)*(1='5층_부하량'!B3:B3000),0))</f>
        <v>0.0</v>
      </c>
      <c r="G87" s="15"/>
      <c r="H87" s="11" t="s">
        <v>5654</v>
      </c>
      <c r="I87" s="564" t="s">
        <v>5655</v>
      </c>
      <c r="J87" s="61"/>
      <c r="K87" s="62"/>
      <c r="L87" s="567" t="s">
        <v>5656</v>
      </c>
      <c r="M87" s="11" t="s">
        <v>5654</v>
      </c>
      <c r="N87" s="2669" cm="1" t="n">
        <f t="array" ref="N87">INDEX('5층_부하량'!F3:F3000,MATCH(1,("5-DaHall 1-PDU-03"='5층_부하량'!A3:A3000)*(55='5층_부하량'!B3:B3000),0))</f>
        <v>0.0</v>
      </c>
      <c r="O87" s="2669" cm="1" t="n">
        <f t="array" ref="O87">INDEX('5층_부하량'!G3:G3000,MATCH(1,("5-DaHall 1-PDU-03"='5층_부하량'!A3:A3000)*(55='5층_부하량'!B3:B3000),0))</f>
        <v>0.0</v>
      </c>
      <c r="P87" s="2669" cm="1" t="n">
        <f t="array" ref="P87">INDEX('5층_부하량'!H3:H3000,MATCH(1,("5-DaHall 1-PDU-03"='5층_부하량'!A3:A3000)*(55='5층_부하량'!B3:B3000),0))</f>
        <v>0.0</v>
      </c>
      <c r="Q87" s="15"/>
      <c r="R87" s="63" t="s">
        <v>4940</v>
      </c>
      <c r="S87" s="11" t="s">
        <v>4584</v>
      </c>
      <c r="T87" s="64"/>
    </row>
    <row r="88" spans="1:20" ht="18" customHeight="1" x14ac:dyDescent="0.15">
      <c r="A88" s="601" t="s">
        <v>5723</v>
      </c>
      <c r="B88" s="17" t="s">
        <v>4631</v>
      </c>
      <c r="C88" s="18" t="s">
        <v>4575</v>
      </c>
      <c r="D88" s="2672" cm="1" t="n">
        <f t="array" ref="D88">INDEX('5층_부하량'!F3:F3000,MATCH(1,("5-DaHall 1-PDU-03"='5층_부하량'!A3:A3000)*(2='5층_부하량'!B3:B3000),0))</f>
        <v>0.0</v>
      </c>
      <c r="E88" s="19"/>
      <c r="F88" s="19"/>
      <c r="G88" s="19"/>
      <c r="H88" s="17" t="s">
        <v>4576</v>
      </c>
      <c r="I88" s="549" t="s">
        <v>4633</v>
      </c>
      <c r="J88" s="592"/>
      <c r="K88" s="2249" t="s">
        <v>3187</v>
      </c>
      <c r="L88" s="549" t="s">
        <v>4578</v>
      </c>
      <c r="M88" s="17" t="s">
        <v>4576</v>
      </c>
      <c r="N88" s="2672" cm="1" t="n">
        <f t="array" ref="N88">INDEX('5층_부하량'!F3:F3000,MATCH(1,("5-DaHall 1-PDU-03"='5층_부하량'!A3:A3000)*(56='5층_부하량'!B3:B3000),0))</f>
        <v>0.0</v>
      </c>
      <c r="O88" s="19"/>
      <c r="P88" s="19"/>
      <c r="Q88" s="19"/>
      <c r="R88" s="17" t="s">
        <v>4579</v>
      </c>
      <c r="S88" s="17" t="s">
        <v>4723</v>
      </c>
      <c r="T88" s="606" t="s">
        <v>5724</v>
      </c>
    </row>
    <row r="89" spans="1:20" ht="18" customHeight="1" x14ac:dyDescent="0.15">
      <c r="A89" s="601" t="s">
        <v>5725</v>
      </c>
      <c r="B89" s="17" t="s">
        <v>4631</v>
      </c>
      <c r="C89" s="18" t="s">
        <v>4575</v>
      </c>
      <c r="D89" s="21"/>
      <c r="E89" s="2672" cm="1" t="n">
        <f t="array" ref="E89">INDEX('5층_부하량'!G3:G3000,MATCH(1,("5-DaHall 1-PDU-03"='5층_부하량'!A3:A3000)*(3='5층_부하량'!B3:B3000),0))</f>
        <v>0.0</v>
      </c>
      <c r="F89" s="21"/>
      <c r="G89" s="21"/>
      <c r="H89" s="17" t="s">
        <v>4576</v>
      </c>
      <c r="I89" s="549" t="s">
        <v>4638</v>
      </c>
      <c r="J89" s="592"/>
      <c r="K89" s="2249" t="s">
        <v>3187</v>
      </c>
      <c r="L89" s="549" t="s">
        <v>4583</v>
      </c>
      <c r="M89" s="17" t="s">
        <v>4576</v>
      </c>
      <c r="N89" s="21"/>
      <c r="O89" s="2672" cm="1" t="n">
        <f t="array" ref="O89">INDEX('5층_부하량'!G3:G3000,MATCH(1,("5-DaHall 1-PDU-03"='5층_부하량'!A3:A3000)*(57='5층_부하량'!B3:B3000),0))</f>
        <v>0.0</v>
      </c>
      <c r="P89" s="21"/>
      <c r="Q89" s="21"/>
      <c r="R89" s="17" t="s">
        <v>4579</v>
      </c>
      <c r="S89" s="17" t="s">
        <v>4723</v>
      </c>
      <c r="T89" s="606" t="s">
        <v>5726</v>
      </c>
    </row>
    <row r="90" spans="1:20" ht="18" customHeight="1" x14ac:dyDescent="0.15">
      <c r="A90" s="601" t="s">
        <v>5727</v>
      </c>
      <c r="B90" s="17" t="s">
        <v>4631</v>
      </c>
      <c r="C90" s="18" t="s">
        <v>4575</v>
      </c>
      <c r="D90" s="21"/>
      <c r="E90" s="21"/>
      <c r="F90" s="2672" cm="1" t="n">
        <f t="array" ref="F90">INDEX('5층_부하량'!H3:H3000,MATCH(1,("5-DaHall 1-PDU-03"='5층_부하량'!A3:A3000)*(4='5층_부하량'!B3:B3000),0))</f>
        <v>0.0</v>
      </c>
      <c r="G90" s="21"/>
      <c r="H90" s="17" t="s">
        <v>4576</v>
      </c>
      <c r="I90" s="549" t="s">
        <v>4641</v>
      </c>
      <c r="J90" s="592"/>
      <c r="K90" s="2249" t="s">
        <v>3187</v>
      </c>
      <c r="L90" s="549" t="s">
        <v>4588</v>
      </c>
      <c r="M90" s="17" t="s">
        <v>4576</v>
      </c>
      <c r="N90" s="21"/>
      <c r="O90" s="21"/>
      <c r="P90" s="2672" cm="1" t="n">
        <f t="array" ref="P90">INDEX('5층_부하량'!H3:H3000,MATCH(1,("5-DaHall 1-PDU-03"='5층_부하량'!A3:A3000)*(58='5층_부하량'!B3:B3000),0))</f>
        <v>0.73</v>
      </c>
      <c r="Q90" s="21"/>
      <c r="R90" s="17" t="s">
        <v>4579</v>
      </c>
      <c r="S90" s="18" t="s">
        <v>4575</v>
      </c>
      <c r="T90" s="606" t="s">
        <v>5728</v>
      </c>
    </row>
    <row r="91" spans="1:20" ht="18" customHeight="1" x14ac:dyDescent="0.15">
      <c r="A91" s="601" t="s">
        <v>5729</v>
      </c>
      <c r="B91" s="17" t="s">
        <v>4631</v>
      </c>
      <c r="C91" s="18" t="s">
        <v>4575</v>
      </c>
      <c r="D91" s="2672" cm="1" t="n">
        <f t="array" ref="D91">INDEX('5층_부하량'!F3:F3000,MATCH(1,("5-DaHall 1-PDU-03"='5층_부하량'!A3:A3000)*(5='5층_부하량'!B3:B3000),0))</f>
        <v>0.0</v>
      </c>
      <c r="E91" s="19"/>
      <c r="F91" s="19"/>
      <c r="G91" s="21"/>
      <c r="H91" s="17" t="s">
        <v>4576</v>
      </c>
      <c r="I91" s="549" t="s">
        <v>4645</v>
      </c>
      <c r="J91" s="592"/>
      <c r="K91" s="2249" t="s">
        <v>3187</v>
      </c>
      <c r="L91" s="549" t="s">
        <v>4593</v>
      </c>
      <c r="M91" s="17" t="s">
        <v>4597</v>
      </c>
      <c r="N91" s="2672" cm="1" t="n">
        <f t="array" ref="N91">INDEX('5층_부하량'!F3:F3000,MATCH(1,("5-DaHall 1-PDU-03"='5층_부하량'!A3:A3000)*(59='5층_부하량'!B3:B3000),0))</f>
        <v>1.78</v>
      </c>
      <c r="O91" s="19"/>
      <c r="P91" s="19"/>
      <c r="Q91" s="21"/>
      <c r="R91" s="17" t="s">
        <v>4579</v>
      </c>
      <c r="S91" s="18" t="s">
        <v>4575</v>
      </c>
      <c r="T91" s="606" t="s">
        <v>5730</v>
      </c>
    </row>
    <row r="92" spans="1:20" ht="18" customHeight="1" x14ac:dyDescent="0.15">
      <c r="A92" s="601" t="s">
        <v>5731</v>
      </c>
      <c r="B92" s="17" t="s">
        <v>4631</v>
      </c>
      <c r="C92" s="18" t="s">
        <v>4575</v>
      </c>
      <c r="D92" s="21"/>
      <c r="E92" s="2672" cm="1" t="n">
        <f t="array" ref="E92">INDEX('5층_부하량'!G3:G3000,MATCH(1,("5-DaHall 1-PDU-03"='5층_부하량'!A3:A3000)*(6='5층_부하량'!B3:B3000),0))</f>
        <v>0.0</v>
      </c>
      <c r="F92" s="21"/>
      <c r="G92" s="21"/>
      <c r="H92" s="17" t="s">
        <v>4576</v>
      </c>
      <c r="I92" s="549" t="s">
        <v>4648</v>
      </c>
      <c r="J92" s="592"/>
      <c r="K92" s="2249" t="s">
        <v>3187</v>
      </c>
      <c r="L92" s="549" t="s">
        <v>4596</v>
      </c>
      <c r="M92" s="17" t="s">
        <v>4597</v>
      </c>
      <c r="N92" s="21"/>
      <c r="O92" s="2672" cm="1" t="n">
        <f t="array" ref="O92">INDEX('5층_부하량'!G3:G3000,MATCH(1,("5-DaHall 1-PDU-03"='5층_부하량'!A3:A3000)*(60='5층_부하량'!B3:B3000),0))</f>
        <v>4.61</v>
      </c>
      <c r="P92" s="21"/>
      <c r="Q92" s="21"/>
      <c r="R92" s="17" t="s">
        <v>4579</v>
      </c>
      <c r="S92" s="18" t="s">
        <v>4575</v>
      </c>
      <c r="T92" s="606" t="s">
        <v>5732</v>
      </c>
    </row>
    <row r="93" spans="1:20" ht="18" customHeight="1" x14ac:dyDescent="0.15">
      <c r="A93" s="601" t="s">
        <v>5733</v>
      </c>
      <c r="B93" s="17" t="s">
        <v>4631</v>
      </c>
      <c r="C93" s="18" t="s">
        <v>4575</v>
      </c>
      <c r="D93" s="21"/>
      <c r="E93" s="21"/>
      <c r="F93" s="2672" cm="1" t="n">
        <f t="array" ref="F93">INDEX('5층_부하량'!H3:H3000,MATCH(1,("5-DaHall 1-PDU-03"='5층_부하량'!A3:A3000)*(7='5층_부하량'!B3:B3000),0))</f>
        <v>0.0</v>
      </c>
      <c r="G93" s="21"/>
      <c r="H93" s="17" t="s">
        <v>4597</v>
      </c>
      <c r="I93" s="549" t="s">
        <v>4653</v>
      </c>
      <c r="J93" s="592"/>
      <c r="K93" s="2249" t="s">
        <v>3187</v>
      </c>
      <c r="L93" s="549" t="s">
        <v>4599</v>
      </c>
      <c r="M93" s="17" t="s">
        <v>4597</v>
      </c>
      <c r="N93" s="21"/>
      <c r="O93" s="21"/>
      <c r="P93" s="2672" cm="1" t="n">
        <f t="array" ref="P93">INDEX('5층_부하량'!H3:H3000,MATCH(1,("5-DaHall 1-PDU-03"='5층_부하량'!A3:A3000)*(61='5층_부하량'!B3:B3000),0))</f>
        <v>2.06</v>
      </c>
      <c r="Q93" s="21"/>
      <c r="R93" s="17" t="s">
        <v>4579</v>
      </c>
      <c r="S93" s="18" t="s">
        <v>4575</v>
      </c>
      <c r="T93" s="606" t="s">
        <v>5734</v>
      </c>
    </row>
    <row r="94" spans="1:20" ht="18" customHeight="1" x14ac:dyDescent="0.15">
      <c r="A94" s="601" t="s">
        <v>5735</v>
      </c>
      <c r="B94" s="17" t="s">
        <v>4631</v>
      </c>
      <c r="C94" s="18" t="s">
        <v>4575</v>
      </c>
      <c r="D94" s="2672" cm="1" t="n">
        <f t="array" ref="D94">INDEX('5층_부하량'!F3:F3000,MATCH(1,("5-DaHall 1-PDU-03"='5층_부하량'!A3:A3000)*(8='5층_부하량'!B3:B3000),0))</f>
        <v>0.0</v>
      </c>
      <c r="E94" s="19"/>
      <c r="F94" s="19"/>
      <c r="G94" s="21"/>
      <c r="H94" s="17" t="s">
        <v>4597</v>
      </c>
      <c r="I94" s="549" t="s">
        <v>4657</v>
      </c>
      <c r="J94" s="592"/>
      <c r="K94" s="2249" t="s">
        <v>3187</v>
      </c>
      <c r="L94" s="549" t="s">
        <v>4601</v>
      </c>
      <c r="M94" s="17" t="s">
        <v>4597</v>
      </c>
      <c r="N94" s="2672" cm="1" t="n">
        <f t="array" ref="N94">INDEX('5층_부하량'!F3:F3000,MATCH(1,("5-DaHall 1-PDU-03"='5층_부하량'!A3:A3000)*(62='5층_부하량'!B3:B3000),0))</f>
        <v>2.6</v>
      </c>
      <c r="O94" s="19"/>
      <c r="P94" s="19"/>
      <c r="Q94" s="21"/>
      <c r="R94" s="17" t="s">
        <v>4579</v>
      </c>
      <c r="S94" s="18" t="s">
        <v>4575</v>
      </c>
      <c r="T94" s="606" t="s">
        <v>5736</v>
      </c>
    </row>
    <row r="95" spans="1:20" ht="18" customHeight="1" x14ac:dyDescent="0.15">
      <c r="A95" s="601" t="s">
        <v>5737</v>
      </c>
      <c r="B95" s="17" t="s">
        <v>4631</v>
      </c>
      <c r="C95" s="18" t="s">
        <v>4575</v>
      </c>
      <c r="D95" s="21"/>
      <c r="E95" s="2672" cm="1" t="n">
        <f t="array" ref="E95">INDEX('5층_부하량'!G3:G3000,MATCH(1,("5-DaHall 1-PDU-03"='5층_부하량'!A3:A3000)*(9='5층_부하량'!B3:B3000),0))</f>
        <v>0.0</v>
      </c>
      <c r="F95" s="21"/>
      <c r="G95" s="21"/>
      <c r="H95" s="17" t="s">
        <v>4597</v>
      </c>
      <c r="I95" s="549" t="s">
        <v>4661</v>
      </c>
      <c r="J95" s="592"/>
      <c r="K95" s="2249" t="s">
        <v>3187</v>
      </c>
      <c r="L95" s="549" t="s">
        <v>4603</v>
      </c>
      <c r="M95" s="17" t="s">
        <v>4597</v>
      </c>
      <c r="N95" s="21"/>
      <c r="O95" s="2672" cm="1" t="n">
        <f t="array" ref="O95">INDEX('5층_부하량'!G3:G3000,MATCH(1,("5-DaHall 1-PDU-03"='5층_부하량'!A3:A3000)*(63='5층_부하량'!B3:B3000),0))</f>
        <v>4.46</v>
      </c>
      <c r="P95" s="21"/>
      <c r="Q95" s="21"/>
      <c r="R95" s="17" t="s">
        <v>4579</v>
      </c>
      <c r="S95" s="18" t="s">
        <v>4575</v>
      </c>
      <c r="T95" s="606" t="s">
        <v>5738</v>
      </c>
    </row>
    <row r="96" spans="1:20" ht="18" customHeight="1" x14ac:dyDescent="0.15">
      <c r="A96" s="601" t="s">
        <v>5739</v>
      </c>
      <c r="B96" s="17" t="s">
        <v>4631</v>
      </c>
      <c r="C96" s="18" t="s">
        <v>4652</v>
      </c>
      <c r="D96" s="21"/>
      <c r="E96" s="21"/>
      <c r="F96" s="2672" cm="1" t="n">
        <f t="array" ref="F96">INDEX('5층_부하량'!H3:H3000,MATCH(1,("5-DaHall 1-PDU-03"='5층_부하량'!A3:A3000)*(10='5층_부하량'!B3:B3000),0))</f>
        <v>0.0</v>
      </c>
      <c r="G96" s="21"/>
      <c r="H96" s="17" t="s">
        <v>4597</v>
      </c>
      <c r="I96" s="549" t="s">
        <v>4665</v>
      </c>
      <c r="J96" s="592"/>
      <c r="K96" s="2249" t="s">
        <v>3187</v>
      </c>
      <c r="L96" s="549" t="s">
        <v>4605</v>
      </c>
      <c r="M96" s="17" t="s">
        <v>4597</v>
      </c>
      <c r="N96" s="21"/>
      <c r="O96" s="21"/>
      <c r="P96" s="2672" cm="1" t="n">
        <f t="array" ref="P96">INDEX('5층_부하량'!H3:H3000,MATCH(1,("5-DaHall 1-PDU-03"='5층_부하량'!A3:A3000)*(64='5층_부하량'!B3:B3000),0))</f>
        <v>5.6899999999999995</v>
      </c>
      <c r="Q96" s="21"/>
      <c r="R96" s="17" t="s">
        <v>4579</v>
      </c>
      <c r="S96" s="18" t="s">
        <v>4575</v>
      </c>
      <c r="T96" s="606" t="s">
        <v>5740</v>
      </c>
    </row>
    <row r="97" spans="1:20" ht="18" customHeight="1" x14ac:dyDescent="0.15">
      <c r="A97" s="602" t="s">
        <v>5741</v>
      </c>
      <c r="B97" s="17" t="s">
        <v>565</v>
      </c>
      <c r="C97" s="17" t="s">
        <v>4723</v>
      </c>
      <c r="D97" s="2672" cm="1" t="n">
        <f t="array" ref="D97">INDEX('5층_부하량'!F3:F3000,MATCH(1,("5-DaHall 1-PDU-03"='5층_부하량'!A3:A3000)*(11='5층_부하량'!B3:B3000),0))</f>
        <v>0.0</v>
      </c>
      <c r="E97" s="21"/>
      <c r="F97" s="21"/>
      <c r="G97" s="21"/>
      <c r="H97" s="17" t="s">
        <v>4597</v>
      </c>
      <c r="I97" s="549" t="s">
        <v>4670</v>
      </c>
      <c r="J97" s="591" t="s">
        <v>4637</v>
      </c>
      <c r="K97" s="2249" t="s">
        <v>3187</v>
      </c>
      <c r="L97" s="549" t="s">
        <v>4609</v>
      </c>
      <c r="M97" s="17" t="s">
        <v>4597</v>
      </c>
      <c r="N97" s="2672" cm="1" t="n">
        <f t="array" ref="N97">INDEX('5층_부하량'!F3:F3000,MATCH(1,("5-DaHall 1-PDU-03"='5층_부하량'!A3:A3000)*(65='5층_부하량'!B3:B3000),0))</f>
        <v>2.96</v>
      </c>
      <c r="O97" s="21"/>
      <c r="P97" s="21"/>
      <c r="Q97" s="21"/>
      <c r="R97" s="17" t="s">
        <v>4579</v>
      </c>
      <c r="S97" s="18" t="s">
        <v>4575</v>
      </c>
      <c r="T97" s="606" t="s">
        <v>5742</v>
      </c>
    </row>
    <row r="98" spans="1:20" ht="18" customHeight="1" x14ac:dyDescent="0.15">
      <c r="A98" s="321" t="s">
        <v>5743</v>
      </c>
      <c r="B98" s="17" t="s">
        <v>4631</v>
      </c>
      <c r="C98" s="17" t="s">
        <v>4723</v>
      </c>
      <c r="D98" s="21"/>
      <c r="E98" s="2672" cm="1" t="n">
        <f t="array" ref="E98">INDEX('5층_부하량'!G3:G3000,MATCH(1,("5-DaHall 1-PDU-03"='5층_부하량'!A3:A3000)*(12='5층_부하량'!B3:B3000),0))</f>
        <v>0.0</v>
      </c>
      <c r="F98" s="21"/>
      <c r="G98" s="21"/>
      <c r="H98" s="17" t="s">
        <v>4597</v>
      </c>
      <c r="I98" s="549" t="s">
        <v>4674</v>
      </c>
      <c r="J98" s="593" t="s">
        <v>5744</v>
      </c>
      <c r="K98" s="2249" t="s">
        <v>3187</v>
      </c>
      <c r="L98" s="549" t="s">
        <v>4613</v>
      </c>
      <c r="M98" s="17" t="s">
        <v>4597</v>
      </c>
      <c r="N98" s="21"/>
      <c r="O98" s="2672" cm="1" t="n">
        <f t="array" ref="O98">INDEX('5층_부하량'!G3:G3000,MATCH(1,("5-DaHall 1-PDU-03"='5층_부하량'!A3:A3000)*(66='5층_부하량'!B3:B3000),0))</f>
        <v>4.3</v>
      </c>
      <c r="P98" s="21"/>
      <c r="Q98" s="21"/>
      <c r="R98" s="17" t="s">
        <v>4579</v>
      </c>
      <c r="S98" s="18" t="s">
        <v>4575</v>
      </c>
      <c r="T98" s="606" t="s">
        <v>5745</v>
      </c>
    </row>
    <row r="99" spans="1:20" ht="18" customHeight="1" x14ac:dyDescent="0.15">
      <c r="A99" s="321" t="s">
        <v>3692</v>
      </c>
      <c r="B99" s="17" t="s">
        <v>4631</v>
      </c>
      <c r="C99" s="18" t="s">
        <v>4575</v>
      </c>
      <c r="D99" s="21"/>
      <c r="E99" s="21"/>
      <c r="F99" s="2672" cm="1" t="n">
        <f t="array" ref="F99">INDEX('5층_부하량'!H3:H3000,MATCH(1,("5-DaHall 1-PDU-03"='5층_부하량'!A3:A3000)*(13='5층_부하량'!B3:B3000),0))</f>
        <v>0.0</v>
      </c>
      <c r="G99" s="21"/>
      <c r="H99" s="17" t="s">
        <v>4597</v>
      </c>
      <c r="I99" s="549" t="s">
        <v>4678</v>
      </c>
      <c r="J99" s="593" t="s">
        <v>5744</v>
      </c>
      <c r="K99" s="2249" t="s">
        <v>3187</v>
      </c>
      <c r="L99" s="549" t="s">
        <v>4680</v>
      </c>
      <c r="M99" s="17" t="s">
        <v>4597</v>
      </c>
      <c r="N99" s="21"/>
      <c r="O99" s="21"/>
      <c r="P99" s="2672" cm="1" t="n">
        <f t="array" ref="P99">INDEX('5층_부하량'!H3:H3000,MATCH(1,("5-DaHall 1-PDU-03"='5층_부하량'!A3:A3000)*(67='5층_부하량'!B3:B3000),0))</f>
        <v>0.0</v>
      </c>
      <c r="Q99" s="21"/>
      <c r="R99" s="17" t="s">
        <v>5746</v>
      </c>
      <c r="S99" s="17" t="s">
        <v>4723</v>
      </c>
      <c r="T99" s="606" t="s">
        <v>5747</v>
      </c>
    </row>
    <row r="100" spans="1:20" ht="18" customHeight="1" x14ac:dyDescent="0.15">
      <c r="A100" s="321" t="s">
        <v>3697</v>
      </c>
      <c r="B100" s="17" t="s">
        <v>4631</v>
      </c>
      <c r="C100" s="18" t="s">
        <v>4575</v>
      </c>
      <c r="D100" s="2672" cm="1" t="n">
        <f t="array" ref="D100">INDEX('5층_부하량'!F3:F3000,MATCH(1,("5-DaHall 1-PDU-03"='5층_부하량'!A3:A3000)*(14='5층_부하량'!B3:B3000),0))</f>
        <v>0.0</v>
      </c>
      <c r="E100" s="19"/>
      <c r="F100" s="19"/>
      <c r="G100" s="21"/>
      <c r="H100" s="17" t="s">
        <v>4597</v>
      </c>
      <c r="I100" s="549" t="s">
        <v>4683</v>
      </c>
      <c r="J100" s="593" t="s">
        <v>5744</v>
      </c>
      <c r="K100" s="2249" t="s">
        <v>3187</v>
      </c>
      <c r="L100" s="549" t="s">
        <v>4685</v>
      </c>
      <c r="M100" s="17" t="s">
        <v>4597</v>
      </c>
      <c r="N100" s="2672" cm="1" t="n">
        <f t="array" ref="N100">INDEX('5층_부하량'!F3:F3000,MATCH(1,("5-DaHall 1-PDU-03"='5층_부하량'!A3:A3000)*(68='5층_부하량'!B3:B3000),0))</f>
        <v>0.0</v>
      </c>
      <c r="O100" s="19"/>
      <c r="P100" s="19"/>
      <c r="Q100" s="21"/>
      <c r="R100" s="17" t="s">
        <v>5746</v>
      </c>
      <c r="S100" s="17" t="s">
        <v>4723</v>
      </c>
      <c r="T100" s="606" t="s">
        <v>5748</v>
      </c>
    </row>
    <row r="101" spans="1:20" ht="18" customHeight="1" x14ac:dyDescent="0.15">
      <c r="A101" s="71" t="s">
        <v>3702</v>
      </c>
      <c r="B101" s="72" t="s">
        <v>4631</v>
      </c>
      <c r="C101" s="73" t="s">
        <v>4575</v>
      </c>
      <c r="D101" s="21"/>
      <c r="E101" s="2672" cm="1" t="n">
        <f t="array" ref="E101">INDEX('5층_부하량'!G3:G3000,MATCH(1,("5-DaHall 1-PDU-03"='5층_부하량'!A3:A3000)*(15='5층_부하량'!B3:B3000),0))</f>
        <v>0.0</v>
      </c>
      <c r="F101" s="21"/>
      <c r="G101" s="74"/>
      <c r="H101" s="72" t="s">
        <v>4597</v>
      </c>
      <c r="I101" s="550" t="s">
        <v>4688</v>
      </c>
      <c r="J101" s="593" t="s">
        <v>5744</v>
      </c>
      <c r="K101" s="2249" t="s">
        <v>3187</v>
      </c>
      <c r="L101" s="550" t="s">
        <v>4689</v>
      </c>
      <c r="M101" s="72" t="s">
        <v>4597</v>
      </c>
      <c r="N101" s="21"/>
      <c r="O101" s="2672" cm="1" t="n">
        <f t="array" ref="O101">INDEX('5층_부하량'!G3:G3000,MATCH(1,("5-DaHall 1-PDU-03"='5층_부하량'!A3:A3000)*(69='5층_부하량'!B3:B3000),0))</f>
        <v>0.0</v>
      </c>
      <c r="P101" s="21"/>
      <c r="Q101" s="74"/>
      <c r="R101" s="17" t="s">
        <v>5746</v>
      </c>
      <c r="S101" s="17" t="s">
        <v>4723</v>
      </c>
      <c r="T101" s="606" t="s">
        <v>5749</v>
      </c>
    </row>
    <row r="102" spans="1:20" ht="18" customHeight="1" x14ac:dyDescent="0.15">
      <c r="A102" s="602" t="s">
        <v>3707</v>
      </c>
      <c r="B102" s="17" t="s">
        <v>4631</v>
      </c>
      <c r="C102" s="18" t="s">
        <v>4575</v>
      </c>
      <c r="D102" s="21"/>
      <c r="E102" s="21"/>
      <c r="F102" s="2672" cm="1" t="n">
        <f t="array" ref="F102">INDEX('5층_부하량'!H3:H3000,MATCH(1,("5-DaHall 1-PDU-03"='5층_부하량'!A3:A3000)*(16='5층_부하량'!B3:B3000),0))</f>
        <v>0.0</v>
      </c>
      <c r="G102" s="21"/>
      <c r="H102" s="17" t="s">
        <v>4597</v>
      </c>
      <c r="I102" s="549" t="s">
        <v>4691</v>
      </c>
      <c r="J102" s="591"/>
      <c r="K102" s="2249" t="s">
        <v>3187</v>
      </c>
      <c r="L102" s="549" t="s">
        <v>4692</v>
      </c>
      <c r="M102" s="17" t="s">
        <v>4597</v>
      </c>
      <c r="N102" s="21"/>
      <c r="O102" s="21"/>
      <c r="P102" s="2672" cm="1" t="n">
        <f t="array" ref="P102">INDEX('5층_부하량'!H3:H3000,MATCH(1,("5-DaHall 1-PDU-03"='5층_부하량'!A3:A3000)*(70='5층_부하량'!B3:B3000),0))</f>
        <v>0.0</v>
      </c>
      <c r="Q102" s="21"/>
      <c r="R102" s="17" t="s">
        <v>5746</v>
      </c>
      <c r="S102" s="17" t="s">
        <v>4723</v>
      </c>
      <c r="T102" s="606" t="s">
        <v>5750</v>
      </c>
    </row>
    <row r="103" spans="1:20" ht="18" customHeight="1" x14ac:dyDescent="0.15">
      <c r="A103" s="601" t="s">
        <v>5751</v>
      </c>
      <c r="B103" s="17" t="s">
        <v>565</v>
      </c>
      <c r="C103" s="17" t="s">
        <v>4723</v>
      </c>
      <c r="D103" s="2672" cm="1" t="n">
        <f t="array" ref="D103">INDEX('5층_부하량'!F3:F3000,MATCH(1,("5-DaHall 1-PDU-03"='5층_부하량'!A3:A3000)*(17='5층_부하량'!B3:B3000),0))</f>
        <v>0.0</v>
      </c>
      <c r="E103" s="19"/>
      <c r="F103" s="19"/>
      <c r="G103" s="21"/>
      <c r="H103" s="17" t="s">
        <v>4597</v>
      </c>
      <c r="I103" s="549" t="s">
        <v>4693</v>
      </c>
      <c r="J103" s="591"/>
      <c r="K103" s="2249" t="s">
        <v>3187</v>
      </c>
      <c r="L103" s="549" t="s">
        <v>4694</v>
      </c>
      <c r="M103" s="17" t="s">
        <v>4597</v>
      </c>
      <c r="N103" s="2672" cm="1" t="n">
        <f t="array" ref="N103">INDEX('5층_부하량'!F3:F3000,MATCH(1,("5-DaHall 1-PDU-03"='5층_부하량'!A3:A3000)*(71='5층_부하량'!B3:B3000),0))</f>
        <v>2.55</v>
      </c>
      <c r="O103" s="19"/>
      <c r="P103" s="19"/>
      <c r="Q103" s="21"/>
      <c r="R103" s="17" t="s">
        <v>5746</v>
      </c>
      <c r="S103" s="18" t="s">
        <v>4575</v>
      </c>
      <c r="T103" s="606" t="s">
        <v>5752</v>
      </c>
    </row>
    <row r="104" spans="1:20" ht="18" customHeight="1" x14ac:dyDescent="0.15">
      <c r="A104" s="601" t="s">
        <v>5753</v>
      </c>
      <c r="B104" s="17" t="s">
        <v>565</v>
      </c>
      <c r="C104" s="17" t="s">
        <v>4723</v>
      </c>
      <c r="D104" s="21"/>
      <c r="E104" s="2672" cm="1" t="n">
        <f t="array" ref="E104">INDEX('5층_부하량'!G3:G3000,MATCH(1,("5-DaHall 1-PDU-03"='5층_부하량'!A3:A3000)*(18='5층_부하량'!B3:B3000),0))</f>
        <v>0.0</v>
      </c>
      <c r="F104" s="21"/>
      <c r="G104" s="21"/>
      <c r="H104" s="17" t="s">
        <v>4597</v>
      </c>
      <c r="I104" s="549" t="s">
        <v>4697</v>
      </c>
      <c r="J104" s="591"/>
      <c r="K104" s="2249" t="s">
        <v>3187</v>
      </c>
      <c r="L104" s="549" t="s">
        <v>4698</v>
      </c>
      <c r="M104" s="17" t="s">
        <v>4597</v>
      </c>
      <c r="N104" s="21"/>
      <c r="O104" s="2672" cm="1" t="n">
        <f t="array" ref="O104">INDEX('5층_부하량'!G3:G3000,MATCH(1,("5-DaHall 1-PDU-03"='5층_부하량'!A3:A3000)*(72='5층_부하량'!B3:B3000),0))</f>
        <v>2.41</v>
      </c>
      <c r="P104" s="21"/>
      <c r="Q104" s="21"/>
      <c r="R104" s="17" t="s">
        <v>5746</v>
      </c>
      <c r="S104" s="18" t="s">
        <v>4575</v>
      </c>
      <c r="T104" s="606" t="s">
        <v>5754</v>
      </c>
    </row>
    <row r="105" spans="1:20" ht="18" customHeight="1" x14ac:dyDescent="0.15">
      <c r="A105" s="601" t="s">
        <v>5755</v>
      </c>
      <c r="B105" s="17" t="s">
        <v>565</v>
      </c>
      <c r="C105" s="17" t="s">
        <v>4723</v>
      </c>
      <c r="D105" s="21"/>
      <c r="E105" s="19"/>
      <c r="F105" s="2670" cm="1" t="n">
        <f t="array" ref="F105">INDEX('5층_부하량'!H3:H3000,MATCH(1,("5-DaHall 1-PDU-03"='5층_부하량'!A3:A3000)*(19='5층_부하량'!B3:B3000),0))</f>
        <v>0.0</v>
      </c>
      <c r="G105" s="21"/>
      <c r="H105" s="17" t="s">
        <v>4597</v>
      </c>
      <c r="I105" s="549" t="s">
        <v>4701</v>
      </c>
      <c r="J105" s="592"/>
      <c r="K105" s="2249" t="s">
        <v>3187</v>
      </c>
      <c r="L105" s="549" t="s">
        <v>4703</v>
      </c>
      <c r="M105" s="17" t="s">
        <v>4597</v>
      </c>
      <c r="N105" s="21"/>
      <c r="O105" s="19"/>
      <c r="P105" s="2670" cm="1" t="n">
        <f t="array" ref="P105">INDEX('5층_부하량'!H3:H3000,MATCH(1,("5-DaHall 1-PDU-03"='5층_부하량'!A3:A3000)*(73='5층_부하량'!B3:B3000),0))</f>
        <v>2.2</v>
      </c>
      <c r="Q105" s="21"/>
      <c r="R105" s="17" t="s">
        <v>5746</v>
      </c>
      <c r="S105" s="18" t="s">
        <v>4575</v>
      </c>
      <c r="T105" s="606" t="s">
        <v>5756</v>
      </c>
    </row>
    <row r="106" spans="1:20" ht="18" customHeight="1" x14ac:dyDescent="0.15">
      <c r="A106" s="601" t="s">
        <v>5757</v>
      </c>
      <c r="B106" s="72" t="s">
        <v>4631</v>
      </c>
      <c r="C106" s="73" t="s">
        <v>4575</v>
      </c>
      <c r="D106" s="2672" cm="1" t="n">
        <f t="array" ref="D106">INDEX('5층_부하량'!F3:F3000,MATCH(1,("5-DaHall 1-PDU-03"='5층_부하량'!A3:A3000)*(20='5층_부하량'!B3:B3000),0))</f>
        <v>4.41</v>
      </c>
      <c r="E106" s="19"/>
      <c r="F106" s="19"/>
      <c r="G106" s="21"/>
      <c r="H106" s="17" t="s">
        <v>4597</v>
      </c>
      <c r="I106" s="549" t="s">
        <v>4706</v>
      </c>
      <c r="J106" s="2247" t="s">
        <v>3190</v>
      </c>
      <c r="K106" s="2249" t="s">
        <v>3187</v>
      </c>
      <c r="L106" s="549" t="s">
        <v>4707</v>
      </c>
      <c r="M106" s="17" t="s">
        <v>4597</v>
      </c>
      <c r="N106" s="2672" cm="1" t="n">
        <f t="array" ref="N106">INDEX('5층_부하량'!F3:F3000,MATCH(1,("5-DaHall 1-PDU-03"='5층_부하량'!A3:A3000)*(74='5층_부하량'!B3:B3000),0))</f>
        <v>2.55</v>
      </c>
      <c r="O106" s="19"/>
      <c r="P106" s="19"/>
      <c r="Q106" s="21"/>
      <c r="R106" s="17" t="s">
        <v>5746</v>
      </c>
      <c r="S106" s="18" t="s">
        <v>4575</v>
      </c>
      <c r="T106" s="606" t="s">
        <v>5758</v>
      </c>
    </row>
    <row r="107" spans="1:20" ht="18" customHeight="1" x14ac:dyDescent="0.15">
      <c r="A107" s="601" t="s">
        <v>5759</v>
      </c>
      <c r="B107" s="17" t="s">
        <v>4631</v>
      </c>
      <c r="C107" s="18" t="s">
        <v>4575</v>
      </c>
      <c r="D107" s="21"/>
      <c r="E107" s="2672" cm="1" t="n">
        <f t="array" ref="E107">INDEX('5층_부하량'!G3:G3000,MATCH(1,("5-DaHall 1-PDU-03"='5층_부하량'!A3:A3000)*(21='5층_부하량'!B3:B3000),0))</f>
        <v>2.45</v>
      </c>
      <c r="F107" s="19"/>
      <c r="G107" s="21"/>
      <c r="H107" s="17" t="s">
        <v>4597</v>
      </c>
      <c r="I107" s="549" t="s">
        <v>4710</v>
      </c>
      <c r="J107" s="2247" t="s">
        <v>3190</v>
      </c>
      <c r="K107" s="2249" t="s">
        <v>3187</v>
      </c>
      <c r="L107" s="549" t="s">
        <v>4711</v>
      </c>
      <c r="M107" s="17" t="s">
        <v>4597</v>
      </c>
      <c r="N107" s="21"/>
      <c r="O107" s="2672" cm="1" t="n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5746</v>
      </c>
      <c r="S107" s="18" t="s">
        <v>4575</v>
      </c>
      <c r="T107" s="606" t="s">
        <v>5760</v>
      </c>
    </row>
    <row r="108" spans="1:20" ht="18" customHeight="1" x14ac:dyDescent="0.15">
      <c r="A108" s="2196" t="s">
        <v>5761</v>
      </c>
      <c r="B108" s="17" t="s">
        <v>5762</v>
      </c>
      <c r="C108" s="17" t="s">
        <v>4723</v>
      </c>
      <c r="D108" s="21"/>
      <c r="E108" s="19"/>
      <c r="F108" s="2672" cm="1" t="n">
        <f t="array" ref="F108">INDEX('5층_부하량'!H3:H3000,MATCH(1,("5-DaHall 1-PDU-03"='5층_부하량'!A3:A3000)*(22='5층_부하량'!B3:B3000),0))</f>
        <v>0.0</v>
      </c>
      <c r="G108" s="21"/>
      <c r="H108" s="17" t="s">
        <v>4597</v>
      </c>
      <c r="I108" s="549" t="s">
        <v>5055</v>
      </c>
      <c r="J108" s="2247" t="s">
        <v>3190</v>
      </c>
      <c r="K108" s="2249" t="s">
        <v>3187</v>
      </c>
      <c r="L108" s="549" t="s">
        <v>4843</v>
      </c>
      <c r="M108" s="17" t="s">
        <v>4597</v>
      </c>
      <c r="N108" s="21"/>
      <c r="O108" s="19"/>
      <c r="P108" s="2672" cm="1" t="n">
        <f t="array" ref="P108">INDEX('5층_부하량'!H3:H3000,MATCH(1,("5-DaHall 1-PDU-03"='5층_부하량'!A3:A3000)*(76='5층_부하량'!B3:B3000),0))</f>
        <v>1.87</v>
      </c>
      <c r="Q108" s="21"/>
      <c r="R108" s="17" t="s">
        <v>5746</v>
      </c>
      <c r="S108" s="18" t="s">
        <v>4575</v>
      </c>
      <c r="T108" s="606" t="s">
        <v>5763</v>
      </c>
    </row>
    <row r="109" spans="1:20" ht="18" customHeight="1" x14ac:dyDescent="0.15">
      <c r="A109" s="2196" t="s">
        <v>5764</v>
      </c>
      <c r="B109" s="72" t="s">
        <v>4631</v>
      </c>
      <c r="C109" s="73" t="s">
        <v>4575</v>
      </c>
      <c r="D109" s="2672" cm="1" t="n">
        <f t="array" ref="D109">INDEX('5층_부하량'!F3:F3000,MATCH(1,("5-DaHall 1-PDU-03"='5층_부하량'!A3:A3000)*(23='5층_부하량'!B3:B3000),0))</f>
        <v>3.38</v>
      </c>
      <c r="E109" s="19"/>
      <c r="F109" s="19"/>
      <c r="G109" s="21"/>
      <c r="H109" s="17" t="s">
        <v>4597</v>
      </c>
      <c r="I109" s="549" t="s">
        <v>4845</v>
      </c>
      <c r="J109" s="2247" t="s">
        <v>3190</v>
      </c>
      <c r="K109" s="2249" t="s">
        <v>3187</v>
      </c>
      <c r="L109" s="549" t="s">
        <v>4846</v>
      </c>
      <c r="M109" s="17" t="s">
        <v>4597</v>
      </c>
      <c r="N109" s="2672" cm="1" t="n">
        <f t="array" ref="N109">INDEX('5층_부하량'!F3:F3000,MATCH(1,("5-DaHall 1-PDU-03"='5층_부하량'!A3:A3000)*(77='5층_부하량'!B3:B3000),0))</f>
        <v>3.37</v>
      </c>
      <c r="O109" s="19"/>
      <c r="P109" s="19"/>
      <c r="Q109" s="21"/>
      <c r="R109" s="17" t="s">
        <v>5746</v>
      </c>
      <c r="S109" s="18" t="s">
        <v>4575</v>
      </c>
      <c r="T109" s="606" t="s">
        <v>5765</v>
      </c>
    </row>
    <row r="110" spans="1:20" ht="18" customHeight="1" x14ac:dyDescent="0.15">
      <c r="A110" s="2196" t="s">
        <v>5766</v>
      </c>
      <c r="B110" s="17" t="s">
        <v>4631</v>
      </c>
      <c r="C110" s="18" t="s">
        <v>4575</v>
      </c>
      <c r="D110" s="21"/>
      <c r="E110" s="2672" cm="1" t="n">
        <f t="array" ref="E110">INDEX('5층_부하량'!G3:G3000,MATCH(1,("5-DaHall 1-PDU-03"='5층_부하량'!A3:A3000)*(24='5층_부하량'!B3:B3000),0))</f>
        <v>0.0</v>
      </c>
      <c r="F110" s="21"/>
      <c r="G110" s="21"/>
      <c r="H110" s="17" t="s">
        <v>4597</v>
      </c>
      <c r="I110" s="549" t="s">
        <v>4847</v>
      </c>
      <c r="J110" s="2247" t="s">
        <v>3190</v>
      </c>
      <c r="K110" s="2249" t="s">
        <v>3187</v>
      </c>
      <c r="L110" s="549" t="s">
        <v>4848</v>
      </c>
      <c r="M110" s="17" t="s">
        <v>4597</v>
      </c>
      <c r="N110" s="21"/>
      <c r="O110" s="2672" cm="1" t="n">
        <f t="array" ref="O110">INDEX('5층_부하량'!G3:G3000,MATCH(1,("5-DaHall 1-PDU-03"='5층_부하량'!A3:A3000)*(78='5층_부하량'!B3:B3000),0))</f>
        <v>3.15</v>
      </c>
      <c r="P110" s="21"/>
      <c r="Q110" s="21"/>
      <c r="R110" s="17" t="s">
        <v>5746</v>
      </c>
      <c r="S110" s="18" t="s">
        <v>4575</v>
      </c>
      <c r="T110" s="606" t="s">
        <v>5767</v>
      </c>
    </row>
    <row r="111" spans="1:20" ht="18" customHeight="1" x14ac:dyDescent="0.15">
      <c r="A111" s="601" t="s">
        <v>5768</v>
      </c>
      <c r="B111" s="17" t="s">
        <v>5762</v>
      </c>
      <c r="C111" s="18" t="s">
        <v>4575</v>
      </c>
      <c r="D111" s="21"/>
      <c r="E111" s="21"/>
      <c r="F111" s="2672" cm="1" t="n">
        <f t="array" ref="F111">INDEX('5층_부하량'!H3:H3000,MATCH(1,("5-DaHall 1-PDU-03"='5층_부하량'!A3:A3000)*(25='5층_부하량'!B3:B3000),0))</f>
        <v>4.46</v>
      </c>
      <c r="G111" s="21"/>
      <c r="H111" s="17" t="s">
        <v>4597</v>
      </c>
      <c r="I111" s="549" t="s">
        <v>4849</v>
      </c>
      <c r="J111" s="2247" t="s">
        <v>3190</v>
      </c>
      <c r="K111" s="2249" t="s">
        <v>3187</v>
      </c>
      <c r="L111" s="549" t="s">
        <v>4850</v>
      </c>
      <c r="M111" s="17" t="s">
        <v>4597</v>
      </c>
      <c r="N111" s="21"/>
      <c r="O111" s="21"/>
      <c r="P111" s="2672" cm="1" t="n">
        <f t="array" ref="P111">INDEX('5층_부하량'!H3:H3000,MATCH(1,("5-DaHall 1-PDU-03"='5층_부하량'!A3:A3000)*(79='5층_부하량'!B3:B3000),0))</f>
        <v>4.07</v>
      </c>
      <c r="Q111" s="21"/>
      <c r="R111" s="17" t="s">
        <v>5746</v>
      </c>
      <c r="S111" s="18" t="s">
        <v>4575</v>
      </c>
      <c r="T111" s="606" t="s">
        <v>5769</v>
      </c>
    </row>
    <row r="112" spans="1:20" ht="18" customHeight="1" thickBot="1" x14ac:dyDescent="0.2">
      <c r="A112" s="600" t="s">
        <v>5770</v>
      </c>
      <c r="B112" s="35" t="s">
        <v>5762</v>
      </c>
      <c r="C112" s="39" t="s">
        <v>4575</v>
      </c>
      <c r="D112" s="2671" cm="1" t="n">
        <f t="array" ref="D112">INDEX('5층_부하량'!F3:F3000,MATCH(1,("5-DaHall 1-PDU-03"='5층_부하량'!A3:A3000)*(26='5층_부하량'!B3:B3000),0))</f>
        <v>6.09</v>
      </c>
      <c r="E112" s="36"/>
      <c r="F112" s="36"/>
      <c r="G112" s="36"/>
      <c r="H112" s="35" t="s">
        <v>4597</v>
      </c>
      <c r="I112" s="551" t="s">
        <v>4851</v>
      </c>
      <c r="J112" s="2248" t="s">
        <v>3190</v>
      </c>
      <c r="K112" s="2250" t="s">
        <v>3187</v>
      </c>
      <c r="L112" s="551" t="s">
        <v>4852</v>
      </c>
      <c r="M112" s="35" t="s">
        <v>4597</v>
      </c>
      <c r="N112" s="2671" cm="1" t="n">
        <f t="array" ref="N112">INDEX('5층_부하량'!F3:F3000,MATCH(1,("5-DaHall 1-PDU-03"='5층_부하량'!A3:A3000)*(80='5층_부하량'!B3:B3000),0))</f>
        <v>4.62</v>
      </c>
      <c r="O112" s="36"/>
      <c r="P112" s="36"/>
      <c r="Q112" s="36"/>
      <c r="R112" s="35" t="s">
        <v>5746</v>
      </c>
      <c r="S112" s="39" t="s">
        <v>4575</v>
      </c>
      <c r="T112" s="2251" t="s">
        <v>5771</v>
      </c>
    </row>
    <row r="113" spans="1:20" ht="18" customHeight="1" thickTop="1" thickBot="1" x14ac:dyDescent="0.2">
      <c r="M113" s="80" t="s">
        <v>5645</v>
      </c>
      <c r="N113" s="33" t="n">
        <f>SUM(D87:D112,N87:N112)</f>
        <v>34.31</v>
      </c>
      <c r="O113" s="33" t="n">
        <f>SUM(E87:E112,O87:O112)</f>
        <v>22.77</v>
      </c>
      <c r="P113" s="33" t="n">
        <f>SUM(F87:F112,P87:P112)</f>
        <v>21.080000000000002</v>
      </c>
    </row>
    <row r="114" spans="1:20" ht="18" customHeight="1" thickTop="1" thickBot="1" x14ac:dyDescent="0.2">
      <c r="A114" s="2" t="s">
        <v>6948</v>
      </c>
      <c r="C114" s="3660" t="s">
        <v>5772</v>
      </c>
      <c r="D114" s="3660"/>
      <c r="E114" s="3660"/>
      <c r="F114" s="3660"/>
      <c r="G114" s="53"/>
      <c r="H114" s="124"/>
      <c r="I114" s="124"/>
      <c r="J114" s="3661" t="s">
        <v>5653</v>
      </c>
      <c r="K114" s="3667"/>
      <c r="L114" s="124"/>
      <c r="M114" s="124"/>
      <c r="N114" s="53"/>
      <c r="O114" s="53"/>
      <c r="P114" s="53"/>
      <c r="Q114" s="53"/>
      <c r="R114" s="53"/>
      <c r="S114" s="53"/>
    </row>
    <row r="115" spans="1:20" ht="18" customHeight="1" thickTop="1" thickBot="1" x14ac:dyDescent="0.2">
      <c r="A115" s="3"/>
      <c r="D115" s="54"/>
      <c r="E115" s="54"/>
      <c r="F115" s="54"/>
      <c r="G115" s="54"/>
      <c r="H115" s="4"/>
      <c r="I115" s="4"/>
      <c r="K115" s="56"/>
      <c r="L115" s="565"/>
      <c r="M115" s="1371" t="s">
        <v>4562</v>
      </c>
      <c r="N115" s="1368">
        <v>25.1</v>
      </c>
      <c r="O115" s="1369">
        <v>15.5</v>
      </c>
      <c r="P115" s="1370">
        <v>18.2</v>
      </c>
      <c r="Q115" s="508" t="s">
        <v>4563</v>
      </c>
      <c r="R115" s="133"/>
      <c r="S115" s="128"/>
      <c r="T115" s="528"/>
    </row>
    <row r="116" spans="1:20" ht="18" customHeight="1" thickTop="1" thickBot="1" x14ac:dyDescent="0.2">
      <c r="A116" s="5" t="s">
        <v>4564</v>
      </c>
      <c r="B116" s="6" t="s">
        <v>4565</v>
      </c>
      <c r="C116" s="7" t="s">
        <v>4566</v>
      </c>
      <c r="D116" s="6" t="s">
        <v>4567</v>
      </c>
      <c r="E116" s="6" t="s">
        <v>4568</v>
      </c>
      <c r="F116" s="6" t="s">
        <v>4569</v>
      </c>
      <c r="G116" s="6" t="s">
        <v>4570</v>
      </c>
      <c r="H116" s="8" t="s">
        <v>4571</v>
      </c>
      <c r="I116" s="547"/>
      <c r="J116" s="58" t="s">
        <v>4572</v>
      </c>
      <c r="K116" s="59" t="s">
        <v>4572</v>
      </c>
      <c r="L116" s="566"/>
      <c r="M116" s="8" t="s">
        <v>4571</v>
      </c>
      <c r="N116" s="6" t="s">
        <v>4567</v>
      </c>
      <c r="O116" s="6" t="s">
        <v>4568</v>
      </c>
      <c r="P116" s="6" t="s">
        <v>4569</v>
      </c>
      <c r="Q116" s="6" t="s">
        <v>4570</v>
      </c>
      <c r="R116" s="6" t="s">
        <v>4565</v>
      </c>
      <c r="S116" s="7" t="s">
        <v>4566</v>
      </c>
      <c r="T116" s="60" t="s">
        <v>4564</v>
      </c>
    </row>
    <row r="117" spans="1:20" ht="18" customHeight="1" thickTop="1" x14ac:dyDescent="0.15">
      <c r="A117" s="10"/>
      <c r="B117" s="11" t="s">
        <v>4631</v>
      </c>
      <c r="C117" s="17" t="s">
        <v>4642</v>
      </c>
      <c r="D117" s="2669" cm="1" t="n">
        <f t="array" ref="D117">INDEX('5층_부하량'!F3:F3000,MATCH(1,("5-DaHall 1-PDU-04"='5층_부하량'!A3:A3000)*(1='5층_부하량'!B3:B3000),0))</f>
        <v>0.0</v>
      </c>
      <c r="E117" s="2669" cm="1" t="n">
        <f t="array" ref="E117">INDEX('5층_부하량'!G3:G3000,MATCH(1,("5-DaHall 1-PDU-04"='5층_부하량'!A3:A3000)*(1='5층_부하량'!B3:B3000),0))</f>
        <v>0.0</v>
      </c>
      <c r="F117" s="2669" cm="1" t="n">
        <f t="array" ref="F117">INDEX('5층_부하량'!H3:H3000,MATCH(1,("5-DaHall 1-PDU-04"='5층_부하량'!A3:A3000)*(1='5층_부하량'!B3:B3000),0))</f>
        <v>0.0</v>
      </c>
      <c r="G117" s="15"/>
      <c r="H117" s="11" t="s">
        <v>5654</v>
      </c>
      <c r="I117" s="1443" t="s">
        <v>5655</v>
      </c>
      <c r="J117" s="61"/>
      <c r="K117" s="62"/>
      <c r="L117" s="1446" t="s">
        <v>5656</v>
      </c>
      <c r="M117" s="11" t="s">
        <v>5654</v>
      </c>
      <c r="N117" s="2669" cm="1" t="n">
        <f t="array" ref="N117">INDEX('5층_부하량'!F3:F3000,MATCH(1,("5-DaHall 1-PDU-04"='5층_부하량'!A3:A3000)*(55='5층_부하량'!B3:B3000),0))</f>
        <v>0.0</v>
      </c>
      <c r="O117" s="2669" cm="1" t="n">
        <f t="array" ref="O117">INDEX('5층_부하량'!G3:G3000,MATCH(1,("5-DaHall 1-PDU-04"='5층_부하량'!A3:A3000)*(55='5층_부하량'!B3:B3000),0))</f>
        <v>0.0</v>
      </c>
      <c r="P117" s="2669" cm="1" t="n">
        <f t="array" ref="P117">INDEX('5층_부하량'!H3:H3000,MATCH(1,("5-DaHall 1-PDU-04"='5층_부하량'!A3:A3000)*(55='5층_부하량'!B3:B3000),0))</f>
        <v>0.0</v>
      </c>
      <c r="Q117" s="15"/>
      <c r="R117" s="63" t="s">
        <v>4579</v>
      </c>
      <c r="S117" s="17" t="s">
        <v>4584</v>
      </c>
      <c r="T117" s="64"/>
    </row>
    <row r="118" spans="1:20" ht="18" customHeight="1" x14ac:dyDescent="0.15">
      <c r="A118" s="601" t="s">
        <v>5773</v>
      </c>
      <c r="B118" s="17" t="s">
        <v>4631</v>
      </c>
      <c r="C118" s="18" t="s">
        <v>4652</v>
      </c>
      <c r="D118" s="2672" cm="1" t="n">
        <f t="array" ref="D118">INDEX('5층_부하량'!F3:F3000,MATCH(1,("5-DaHall 1-PDU-04"='5층_부하량'!A3:A3000)*(2='5층_부하량'!B3:B3000),0))</f>
        <v>0.0</v>
      </c>
      <c r="E118" s="19"/>
      <c r="F118" s="19"/>
      <c r="G118" s="19"/>
      <c r="H118" s="17" t="s">
        <v>4576</v>
      </c>
      <c r="I118" s="549" t="s">
        <v>4633</v>
      </c>
      <c r="J118" s="592" t="s">
        <v>5774</v>
      </c>
      <c r="K118" s="2249" t="s">
        <v>3187</v>
      </c>
      <c r="L118" s="549" t="s">
        <v>4578</v>
      </c>
      <c r="M118" s="17" t="s">
        <v>4576</v>
      </c>
      <c r="N118" s="2672" cm="1" t="n">
        <f t="array" ref="N118">INDEX('5층_부하량'!F3:F3000,MATCH(1,("5-DaHall 1-PDU-04"='5층_부하량'!A3:A3000)*(56='5층_부하량'!B3:B3000),0))</f>
        <v>0.0</v>
      </c>
      <c r="O118" s="19"/>
      <c r="P118" s="19"/>
      <c r="Q118" s="19"/>
      <c r="R118" s="17" t="s">
        <v>4579</v>
      </c>
      <c r="S118" s="17" t="s">
        <v>4584</v>
      </c>
      <c r="T118" s="606" t="s">
        <v>5724</v>
      </c>
    </row>
    <row r="119" spans="1:20" ht="18" customHeight="1" x14ac:dyDescent="0.15">
      <c r="A119" s="601" t="s">
        <v>5775</v>
      </c>
      <c r="B119" s="17" t="s">
        <v>4631</v>
      </c>
      <c r="C119" s="18" t="s">
        <v>4575</v>
      </c>
      <c r="D119" s="21"/>
      <c r="E119" s="2672" cm="1" t="n">
        <f t="array" ref="E119">INDEX('5층_부하량'!G3:G3000,MATCH(1,("5-DaHall 1-PDU-04"='5층_부하량'!A3:A3000)*(3='5층_부하량'!B3:B3000),0))</f>
        <v>0.0</v>
      </c>
      <c r="F119" s="21"/>
      <c r="G119" s="21"/>
      <c r="H119" s="17" t="s">
        <v>4576</v>
      </c>
      <c r="I119" s="549" t="s">
        <v>4638</v>
      </c>
      <c r="J119" s="592" t="s">
        <v>5774</v>
      </c>
      <c r="K119" s="2249" t="s">
        <v>3187</v>
      </c>
      <c r="L119" s="549" t="s">
        <v>4583</v>
      </c>
      <c r="M119" s="17" t="s">
        <v>4576</v>
      </c>
      <c r="N119" s="21"/>
      <c r="O119" s="2672" cm="1" t="n">
        <f t="array" ref="O119">INDEX('5층_부하량'!G3:G3000,MATCH(1,("5-DaHall 1-PDU-04"='5층_부하량'!A3:A3000)*(57='5층_부하량'!B3:B3000),0))</f>
        <v>0.0</v>
      </c>
      <c r="P119" s="21"/>
      <c r="Q119" s="21"/>
      <c r="R119" s="17" t="s">
        <v>4579</v>
      </c>
      <c r="S119" s="17" t="s">
        <v>4584</v>
      </c>
      <c r="T119" s="606" t="s">
        <v>5726</v>
      </c>
    </row>
    <row r="120" spans="1:20" ht="18" customHeight="1" x14ac:dyDescent="0.15">
      <c r="A120" s="601" t="s">
        <v>5727</v>
      </c>
      <c r="B120" s="17" t="s">
        <v>4631</v>
      </c>
      <c r="C120" s="18" t="s">
        <v>4575</v>
      </c>
      <c r="D120" s="21"/>
      <c r="E120" s="21"/>
      <c r="F120" s="2672" cm="1" t="n">
        <f t="array" ref="F120">INDEX('5층_부하량'!H3:H3000,MATCH(1,("5-DaHall 1-PDU-04"='5층_부하량'!A3:A3000)*(4='5층_부하량'!B3:B3000),0))</f>
        <v>0.0</v>
      </c>
      <c r="G120" s="21"/>
      <c r="H120" s="17" t="s">
        <v>4576</v>
      </c>
      <c r="I120" s="549" t="s">
        <v>4641</v>
      </c>
      <c r="J120" s="592" t="s">
        <v>5774</v>
      </c>
      <c r="K120" s="2249" t="s">
        <v>3187</v>
      </c>
      <c r="L120" s="549" t="s">
        <v>4588</v>
      </c>
      <c r="M120" s="17" t="s">
        <v>4576</v>
      </c>
      <c r="N120" s="21"/>
      <c r="O120" s="21"/>
      <c r="P120" s="2672" cm="1" t="n">
        <f t="array" ref="P120">INDEX('5층_부하량'!H3:H3000,MATCH(1,("5-DaHall 1-PDU-04"='5층_부하량'!A3:A3000)*(58='5층_부하량'!B3:B3000),0))</f>
        <v>0.73</v>
      </c>
      <c r="Q120" s="21"/>
      <c r="R120" s="17" t="s">
        <v>4579</v>
      </c>
      <c r="S120" s="18" t="s">
        <v>4575</v>
      </c>
      <c r="T120" s="606" t="s">
        <v>5728</v>
      </c>
    </row>
    <row r="121" spans="1:20" ht="18" customHeight="1" x14ac:dyDescent="0.15">
      <c r="A121" s="601" t="s">
        <v>5729</v>
      </c>
      <c r="B121" s="17" t="s">
        <v>4631</v>
      </c>
      <c r="C121" s="18" t="s">
        <v>4575</v>
      </c>
      <c r="D121" s="2672" cm="1" t="n">
        <f t="array" ref="D121">INDEX('5층_부하량'!F3:F3000,MATCH(1,("5-DaHall 1-PDU-04"='5층_부하량'!A3:A3000)*(5='5층_부하량'!B3:B3000),0))</f>
        <v>0.0</v>
      </c>
      <c r="E121" s="19"/>
      <c r="F121" s="19"/>
      <c r="G121" s="21"/>
      <c r="H121" s="17" t="s">
        <v>4576</v>
      </c>
      <c r="I121" s="549" t="s">
        <v>4645</v>
      </c>
      <c r="J121" s="592" t="s">
        <v>5774</v>
      </c>
      <c r="K121" s="2249" t="s">
        <v>3187</v>
      </c>
      <c r="L121" s="549" t="s">
        <v>4593</v>
      </c>
      <c r="M121" s="17" t="s">
        <v>4597</v>
      </c>
      <c r="N121" s="2672" cm="1" t="n">
        <f t="array" ref="N121">INDEX('5층_부하량'!F3:F3000,MATCH(1,("5-DaHall 1-PDU-04"='5층_부하량'!A3:A3000)*(59='5층_부하량'!B3:B3000),0))</f>
        <v>2.08</v>
      </c>
      <c r="O121" s="19"/>
      <c r="P121" s="19"/>
      <c r="Q121" s="21"/>
      <c r="R121" s="17" t="s">
        <v>4579</v>
      </c>
      <c r="S121" s="18" t="s">
        <v>4575</v>
      </c>
      <c r="T121" s="606" t="s">
        <v>5730</v>
      </c>
    </row>
    <row r="122" spans="1:20" ht="18" customHeight="1" x14ac:dyDescent="0.15">
      <c r="A122" s="601" t="s">
        <v>5731</v>
      </c>
      <c r="B122" s="17" t="s">
        <v>4631</v>
      </c>
      <c r="C122" s="18" t="s">
        <v>4575</v>
      </c>
      <c r="D122" s="21"/>
      <c r="E122" s="2672" cm="1" t="n">
        <f t="array" ref="E122">INDEX('5층_부하량'!G3:G3000,MATCH(1,("5-DaHall 1-PDU-04"='5층_부하량'!A3:A3000)*(6='5층_부하량'!B3:B3000),0))</f>
        <v>0.0</v>
      </c>
      <c r="F122" s="21"/>
      <c r="G122" s="21"/>
      <c r="H122" s="17" t="s">
        <v>4576</v>
      </c>
      <c r="I122" s="549" t="s">
        <v>4648</v>
      </c>
      <c r="J122" s="592" t="s">
        <v>5774</v>
      </c>
      <c r="K122" s="2249" t="s">
        <v>3187</v>
      </c>
      <c r="L122" s="549" t="s">
        <v>4596</v>
      </c>
      <c r="M122" s="17" t="s">
        <v>4597</v>
      </c>
      <c r="N122" s="21"/>
      <c r="O122" s="2672" cm="1" t="n">
        <f t="array" ref="O122">INDEX('5층_부하량'!G3:G3000,MATCH(1,("5-DaHall 1-PDU-04"='5층_부하량'!A3:A3000)*(60='5층_부하량'!B3:B3000),0))</f>
        <v>4.46</v>
      </c>
      <c r="P122" s="21"/>
      <c r="Q122" s="21"/>
      <c r="R122" s="17" t="s">
        <v>4579</v>
      </c>
      <c r="S122" s="18" t="s">
        <v>4575</v>
      </c>
      <c r="T122" s="606" t="s">
        <v>5732</v>
      </c>
    </row>
    <row r="123" spans="1:20" ht="18" customHeight="1" x14ac:dyDescent="0.15">
      <c r="A123" s="601" t="s">
        <v>5733</v>
      </c>
      <c r="B123" s="17" t="s">
        <v>4631</v>
      </c>
      <c r="C123" s="18" t="s">
        <v>4575</v>
      </c>
      <c r="D123" s="21"/>
      <c r="E123" s="21"/>
      <c r="F123" s="2672" cm="1" t="n">
        <f t="array" ref="F123">INDEX('5층_부하량'!H3:H3000,MATCH(1,("5-DaHall 1-PDU-04"='5층_부하량'!A3:A3000)*(7='5층_부하량'!B3:B3000),0))</f>
        <v>0.0</v>
      </c>
      <c r="G123" s="21"/>
      <c r="H123" s="17" t="s">
        <v>4597</v>
      </c>
      <c r="I123" s="549" t="s">
        <v>4653</v>
      </c>
      <c r="J123" s="592" t="s">
        <v>5774</v>
      </c>
      <c r="K123" s="2249" t="s">
        <v>3187</v>
      </c>
      <c r="L123" s="549" t="s">
        <v>4599</v>
      </c>
      <c r="M123" s="17" t="s">
        <v>4597</v>
      </c>
      <c r="N123" s="21"/>
      <c r="O123" s="21"/>
      <c r="P123" s="2672" cm="1" t="n">
        <f t="array" ref="P123">INDEX('5층_부하량'!H3:H3000,MATCH(1,("5-DaHall 1-PDU-04"='5층_부하량'!A3:A3000)*(61='5층_부하량'!B3:B3000),0))</f>
        <v>2.09</v>
      </c>
      <c r="Q123" s="21"/>
      <c r="R123" s="17" t="s">
        <v>4579</v>
      </c>
      <c r="S123" s="18" t="s">
        <v>4575</v>
      </c>
      <c r="T123" s="606" t="s">
        <v>5734</v>
      </c>
    </row>
    <row r="124" spans="1:20" ht="18" customHeight="1" x14ac:dyDescent="0.15">
      <c r="A124" s="601" t="s">
        <v>5735</v>
      </c>
      <c r="B124" s="17" t="s">
        <v>4631</v>
      </c>
      <c r="C124" s="18" t="s">
        <v>4575</v>
      </c>
      <c r="D124" s="2672" cm="1" t="n">
        <f t="array" ref="D124">INDEX('5층_부하량'!F3:F3000,MATCH(1,("5-DaHall 1-PDU-04"='5층_부하량'!A3:A3000)*(8='5층_부하량'!B3:B3000),0))</f>
        <v>0.0</v>
      </c>
      <c r="E124" s="19"/>
      <c r="F124" s="19"/>
      <c r="G124" s="21"/>
      <c r="H124" s="17" t="s">
        <v>4597</v>
      </c>
      <c r="I124" s="549" t="s">
        <v>4657</v>
      </c>
      <c r="J124" s="592" t="s">
        <v>5774</v>
      </c>
      <c r="K124" s="2249" t="s">
        <v>3187</v>
      </c>
      <c r="L124" s="549" t="s">
        <v>4601</v>
      </c>
      <c r="M124" s="17" t="s">
        <v>4597</v>
      </c>
      <c r="N124" s="2672" cm="1" t="n">
        <f t="array" ref="N124">INDEX('5층_부하량'!F3:F3000,MATCH(1,("5-DaHall 1-PDU-04"='5층_부하량'!A3:A3000)*(62='5층_부하량'!B3:B3000),0))</f>
        <v>3.34</v>
      </c>
      <c r="O124" s="19"/>
      <c r="P124" s="19"/>
      <c r="Q124" s="21"/>
      <c r="R124" s="17" t="s">
        <v>4579</v>
      </c>
      <c r="S124" s="18" t="s">
        <v>4575</v>
      </c>
      <c r="T124" s="606" t="s">
        <v>5736</v>
      </c>
    </row>
    <row r="125" spans="1:20" ht="18" customHeight="1" x14ac:dyDescent="0.15">
      <c r="A125" s="601" t="s">
        <v>5737</v>
      </c>
      <c r="B125" s="17" t="s">
        <v>4631</v>
      </c>
      <c r="C125" s="18" t="s">
        <v>4575</v>
      </c>
      <c r="D125" s="21"/>
      <c r="E125" s="2672" cm="1" t="n">
        <f t="array" ref="E125">INDEX('5층_부하량'!G3:G3000,MATCH(1,("5-DaHall 1-PDU-04"='5층_부하량'!A3:A3000)*(9='5층_부하량'!B3:B3000),0))</f>
        <v>0.0</v>
      </c>
      <c r="F125" s="21"/>
      <c r="G125" s="21"/>
      <c r="H125" s="17" t="s">
        <v>4597</v>
      </c>
      <c r="I125" s="549" t="s">
        <v>4661</v>
      </c>
      <c r="J125" s="592" t="s">
        <v>5774</v>
      </c>
      <c r="K125" s="2249" t="s">
        <v>3187</v>
      </c>
      <c r="L125" s="549" t="s">
        <v>4603</v>
      </c>
      <c r="M125" s="17" t="s">
        <v>4597</v>
      </c>
      <c r="N125" s="21"/>
      <c r="O125" s="2672" cm="1" t="n">
        <f t="array" ref="O125">INDEX('5층_부하량'!G3:G3000,MATCH(1,("5-DaHall 1-PDU-04"='5층_부하량'!A3:A3000)*(63='5층_부하량'!B3:B3000),0))</f>
        <v>4.4</v>
      </c>
      <c r="P125" s="21"/>
      <c r="Q125" s="21"/>
      <c r="R125" s="17" t="s">
        <v>4579</v>
      </c>
      <c r="S125" s="18" t="s">
        <v>4575</v>
      </c>
      <c r="T125" s="606" t="s">
        <v>5738</v>
      </c>
    </row>
    <row r="126" spans="1:20" ht="18" customHeight="1" x14ac:dyDescent="0.15">
      <c r="A126" s="601" t="s">
        <v>5739</v>
      </c>
      <c r="B126" s="17" t="s">
        <v>4631</v>
      </c>
      <c r="C126" s="18" t="s">
        <v>4575</v>
      </c>
      <c r="D126" s="21"/>
      <c r="E126" s="21"/>
      <c r="F126" s="2672" cm="1" t="n">
        <f t="array" ref="F126">INDEX('5층_부하량'!H3:H3000,MATCH(1,("5-DaHall 1-PDU-04"='5층_부하량'!A3:A3000)*(10='5층_부하량'!B3:B3000),0))</f>
        <v>0.0</v>
      </c>
      <c r="G126" s="21"/>
      <c r="H126" s="17" t="s">
        <v>4597</v>
      </c>
      <c r="I126" s="549" t="s">
        <v>4665</v>
      </c>
      <c r="J126" s="592" t="s">
        <v>5774</v>
      </c>
      <c r="K126" s="2249" t="s">
        <v>3187</v>
      </c>
      <c r="L126" s="549" t="s">
        <v>4605</v>
      </c>
      <c r="M126" s="17" t="s">
        <v>4597</v>
      </c>
      <c r="N126" s="21"/>
      <c r="O126" s="21"/>
      <c r="P126" s="2672" cm="1" t="n">
        <f t="array" ref="P126">INDEX('5층_부하량'!H3:H3000,MATCH(1,("5-DaHall 1-PDU-04"='5층_부하량'!A3:A3000)*(64='5층_부하량'!B3:B3000),0))</f>
        <v>5.5</v>
      </c>
      <c r="Q126" s="21"/>
      <c r="R126" s="17" t="s">
        <v>4579</v>
      </c>
      <c r="S126" s="18" t="s">
        <v>4575</v>
      </c>
      <c r="T126" s="606" t="s">
        <v>5740</v>
      </c>
    </row>
    <row r="127" spans="1:20" ht="18" customHeight="1" x14ac:dyDescent="0.15">
      <c r="A127" s="602" t="s">
        <v>5776</v>
      </c>
      <c r="B127" s="17" t="s">
        <v>4631</v>
      </c>
      <c r="C127" s="17" t="s">
        <v>4723</v>
      </c>
      <c r="D127" s="2672" cm="1" t="n">
        <f t="array" ref="D127">INDEX('5층_부하량'!F3:F3000,MATCH(1,("5-DaHall 1-PDU-04"='5층_부하량'!A3:A3000)*(11='5층_부하량'!B3:B3000),0))</f>
        <v>0.0</v>
      </c>
      <c r="E127" s="21"/>
      <c r="F127" s="21"/>
      <c r="G127" s="21"/>
      <c r="H127" s="17" t="s">
        <v>4597</v>
      </c>
      <c r="I127" s="1444" t="s">
        <v>4670</v>
      </c>
      <c r="J127" s="591" t="s">
        <v>4637</v>
      </c>
      <c r="K127" s="2249" t="s">
        <v>3187</v>
      </c>
      <c r="L127" s="549" t="s">
        <v>4609</v>
      </c>
      <c r="M127" s="17" t="s">
        <v>4597</v>
      </c>
      <c r="N127" s="2672" cm="1" t="n">
        <f t="array" ref="N127">INDEX('5층_부하량'!F3:F3000,MATCH(1,("5-DaHall 1-PDU-04"='5층_부하량'!A3:A3000)*(65='5층_부하량'!B3:B3000),0))</f>
        <v>1.9</v>
      </c>
      <c r="O127" s="21"/>
      <c r="P127" s="21"/>
      <c r="Q127" s="21"/>
      <c r="R127" s="17" t="s">
        <v>4579</v>
      </c>
      <c r="S127" s="18" t="s">
        <v>4575</v>
      </c>
      <c r="T127" s="606" t="s">
        <v>5742</v>
      </c>
    </row>
    <row r="128" spans="1:20" ht="18" customHeight="1" x14ac:dyDescent="0.15">
      <c r="A128" s="321" t="s">
        <v>5777</v>
      </c>
      <c r="B128" s="17" t="s">
        <v>4631</v>
      </c>
      <c r="C128" s="17" t="s">
        <v>4723</v>
      </c>
      <c r="D128" s="21"/>
      <c r="E128" s="2672" cm="1" t="n">
        <f t="array" ref="E128">INDEX('5층_부하량'!G3:G3000,MATCH(1,("5-DaHall 1-PDU-04"='5층_부하량'!A3:A3000)*(12='5층_부하량'!B3:B3000),0))</f>
        <v>0.0</v>
      </c>
      <c r="F128" s="21"/>
      <c r="G128" s="21"/>
      <c r="H128" s="17" t="s">
        <v>4597</v>
      </c>
      <c r="I128" s="549" t="s">
        <v>4674</v>
      </c>
      <c r="J128" s="593" t="s">
        <v>5744</v>
      </c>
      <c r="K128" s="2249" t="s">
        <v>3187</v>
      </c>
      <c r="L128" s="549" t="s">
        <v>4613</v>
      </c>
      <c r="M128" s="17" t="s">
        <v>4597</v>
      </c>
      <c r="N128" s="21"/>
      <c r="O128" s="2672" cm="1" t="n">
        <f t="array" ref="O128">INDEX('5층_부하량'!G3:G3000,MATCH(1,("5-DaHall 1-PDU-04"='5층_부하량'!A3:A3000)*(66='5층_부하량'!B3:B3000),0))</f>
        <v>5.47</v>
      </c>
      <c r="P128" s="21"/>
      <c r="Q128" s="21"/>
      <c r="R128" s="17" t="s">
        <v>4579</v>
      </c>
      <c r="S128" s="18" t="s">
        <v>4575</v>
      </c>
      <c r="T128" s="606" t="s">
        <v>5745</v>
      </c>
    </row>
    <row r="129" spans="1:20" ht="18" customHeight="1" x14ac:dyDescent="0.15">
      <c r="A129" s="321" t="s">
        <v>3693</v>
      </c>
      <c r="B129" s="17" t="s">
        <v>4631</v>
      </c>
      <c r="C129" s="18" t="s">
        <v>4575</v>
      </c>
      <c r="D129" s="21"/>
      <c r="E129" s="21"/>
      <c r="F129" s="2672" cm="1" t="n">
        <f t="array" ref="F129">INDEX('5층_부하량'!H3:H3000,MATCH(1,("5-DaHall 1-PDU-04"='5층_부하량'!A3:A3000)*(13='5층_부하량'!B3:B3000),0))</f>
        <v>0.0</v>
      </c>
      <c r="G129" s="21"/>
      <c r="H129" s="17" t="s">
        <v>4597</v>
      </c>
      <c r="I129" s="549" t="s">
        <v>4678</v>
      </c>
      <c r="J129" s="593" t="s">
        <v>5744</v>
      </c>
      <c r="K129" s="2249" t="s">
        <v>3187</v>
      </c>
      <c r="L129" s="549" t="s">
        <v>4680</v>
      </c>
      <c r="M129" s="17" t="s">
        <v>4597</v>
      </c>
      <c r="N129" s="21"/>
      <c r="O129" s="21"/>
      <c r="P129" s="2672" cm="1" t="n">
        <f t="array" ref="P129">INDEX('5층_부하량'!H3:H3000,MATCH(1,("5-DaHall 1-PDU-04"='5층_부하량'!A3:A3000)*(67='5층_부하량'!B3:B3000),0))</f>
        <v>0.0</v>
      </c>
      <c r="Q129" s="21"/>
      <c r="R129" s="17" t="s">
        <v>5746</v>
      </c>
      <c r="S129" s="17" t="s">
        <v>4642</v>
      </c>
      <c r="T129" s="606" t="s">
        <v>5747</v>
      </c>
    </row>
    <row r="130" spans="1:20" ht="18" customHeight="1" x14ac:dyDescent="0.15">
      <c r="A130" s="321" t="s">
        <v>3698</v>
      </c>
      <c r="B130" s="17" t="s">
        <v>4631</v>
      </c>
      <c r="C130" s="18" t="s">
        <v>4575</v>
      </c>
      <c r="D130" s="2672" cm="1" t="n">
        <f t="array" ref="D130">INDEX('5층_부하량'!F3:F3000,MATCH(1,("5-DaHall 1-PDU-04"='5층_부하량'!A3:A3000)*(14='5층_부하량'!B3:B3000),0))</f>
        <v>0.0</v>
      </c>
      <c r="E130" s="19"/>
      <c r="F130" s="19"/>
      <c r="G130" s="21"/>
      <c r="H130" s="17" t="s">
        <v>4597</v>
      </c>
      <c r="I130" s="549" t="s">
        <v>4683</v>
      </c>
      <c r="J130" s="593" t="s">
        <v>5744</v>
      </c>
      <c r="K130" s="2249" t="s">
        <v>3187</v>
      </c>
      <c r="L130" s="549" t="s">
        <v>4685</v>
      </c>
      <c r="M130" s="17" t="s">
        <v>4597</v>
      </c>
      <c r="N130" s="2672" cm="1" t="n">
        <f t="array" ref="N130">INDEX('5층_부하량'!F3:F3000,MATCH(1,("5-DaHall 1-PDU-04"='5층_부하량'!A3:A3000)*(68='5층_부하량'!B3:B3000),0))</f>
        <v>0.0</v>
      </c>
      <c r="O130" s="19"/>
      <c r="P130" s="19"/>
      <c r="Q130" s="21"/>
      <c r="R130" s="17" t="s">
        <v>5746</v>
      </c>
      <c r="S130" s="17" t="s">
        <v>4642</v>
      </c>
      <c r="T130" s="606" t="s">
        <v>5748</v>
      </c>
    </row>
    <row r="131" spans="1:20" ht="18" customHeight="1" x14ac:dyDescent="0.15">
      <c r="A131" s="71" t="s">
        <v>3703</v>
      </c>
      <c r="B131" s="72" t="s">
        <v>4631</v>
      </c>
      <c r="C131" s="73" t="s">
        <v>4575</v>
      </c>
      <c r="D131" s="21"/>
      <c r="E131" s="2672" cm="1" t="n">
        <f t="array" ref="E131">INDEX('5층_부하량'!G3:G3000,MATCH(1,("5-DaHall 1-PDU-04"='5층_부하량'!A3:A3000)*(15='5층_부하량'!B3:B3000),0))</f>
        <v>0.0</v>
      </c>
      <c r="F131" s="21"/>
      <c r="G131" s="74"/>
      <c r="H131" s="72" t="s">
        <v>4597</v>
      </c>
      <c r="I131" s="550" t="s">
        <v>4688</v>
      </c>
      <c r="J131" s="593" t="s">
        <v>5744</v>
      </c>
      <c r="K131" s="2249" t="s">
        <v>3187</v>
      </c>
      <c r="L131" s="550" t="s">
        <v>4689</v>
      </c>
      <c r="M131" s="72" t="s">
        <v>4597</v>
      </c>
      <c r="N131" s="21"/>
      <c r="O131" s="2672" cm="1" t="n">
        <f t="array" ref="O131">INDEX('5층_부하량'!G3:G3000,MATCH(1,("5-DaHall 1-PDU-04"='5층_부하량'!A3:A3000)*(69='5층_부하량'!B3:B3000),0))</f>
        <v>0.0</v>
      </c>
      <c r="P131" s="21"/>
      <c r="Q131" s="74"/>
      <c r="R131" s="17" t="s">
        <v>5746</v>
      </c>
      <c r="S131" s="17" t="s">
        <v>4642</v>
      </c>
      <c r="T131" s="606" t="s">
        <v>5749</v>
      </c>
    </row>
    <row r="132" spans="1:20" ht="18" customHeight="1" x14ac:dyDescent="0.15">
      <c r="A132" s="602" t="s">
        <v>3708</v>
      </c>
      <c r="B132" s="17" t="s">
        <v>4631</v>
      </c>
      <c r="C132" s="18" t="s">
        <v>4575</v>
      </c>
      <c r="D132" s="21"/>
      <c r="E132" s="21"/>
      <c r="F132" s="2672" cm="1" t="n">
        <f t="array" ref="F132">INDEX('5층_부하량'!H3:H3000,MATCH(1,("5-DaHall 1-PDU-04"='5층_부하량'!A3:A3000)*(16='5층_부하량'!B3:B3000),0))</f>
        <v>0.0</v>
      </c>
      <c r="G132" s="21"/>
      <c r="H132" s="17" t="s">
        <v>4597</v>
      </c>
      <c r="I132" s="549" t="s">
        <v>4691</v>
      </c>
      <c r="J132" s="591" t="s">
        <v>5778</v>
      </c>
      <c r="K132" s="2249" t="s">
        <v>3187</v>
      </c>
      <c r="L132" s="549" t="s">
        <v>4692</v>
      </c>
      <c r="M132" s="17" t="s">
        <v>4597</v>
      </c>
      <c r="N132" s="21"/>
      <c r="O132" s="21"/>
      <c r="P132" s="2672" cm="1" t="n">
        <f t="array" ref="P132">INDEX('5층_부하량'!H3:H3000,MATCH(1,("5-DaHall 1-PDU-04"='5층_부하량'!A3:A3000)*(70='5층_부하량'!B3:B3000),0))</f>
        <v>0.0</v>
      </c>
      <c r="Q132" s="21"/>
      <c r="R132" s="17" t="s">
        <v>5746</v>
      </c>
      <c r="S132" s="17" t="s">
        <v>4642</v>
      </c>
      <c r="T132" s="606" t="s">
        <v>5750</v>
      </c>
    </row>
    <row r="133" spans="1:20" ht="18" customHeight="1" x14ac:dyDescent="0.15">
      <c r="A133" s="2196"/>
      <c r="B133" s="1448" t="s">
        <v>4590</v>
      </c>
      <c r="C133" s="17" t="s">
        <v>4723</v>
      </c>
      <c r="D133" s="2672" cm="1" t="n">
        <f t="array" ref="D133">INDEX('5층_부하량'!F3:F3000,MATCH(1,("5-DaHall 1-PDU-04"='5층_부하량'!A3:A3000)*(17='5층_부하량'!B3:B3000),0))</f>
        <v>0.0</v>
      </c>
      <c r="E133" s="19"/>
      <c r="F133" s="19"/>
      <c r="G133" s="21"/>
      <c r="H133" s="17" t="s">
        <v>4597</v>
      </c>
      <c r="I133" s="549" t="s">
        <v>4693</v>
      </c>
      <c r="J133" s="591" t="s">
        <v>5778</v>
      </c>
      <c r="K133" s="2249" t="s">
        <v>3187</v>
      </c>
      <c r="L133" s="1444" t="s">
        <v>4694</v>
      </c>
      <c r="M133" s="17" t="s">
        <v>4597</v>
      </c>
      <c r="N133" s="2672" cm="1" t="n">
        <f t="array" ref="N133">INDEX('5층_부하량'!F3:F3000,MATCH(1,("5-DaHall 1-PDU-04"='5층_부하량'!A3:A3000)*(71='5층_부하량'!B3:B3000),0))</f>
        <v>0.73</v>
      </c>
      <c r="O133" s="19"/>
      <c r="P133" s="19"/>
      <c r="Q133" s="21"/>
      <c r="R133" s="17" t="s">
        <v>5746</v>
      </c>
      <c r="S133" s="18" t="s">
        <v>4575</v>
      </c>
      <c r="T133" s="606" t="s">
        <v>5752</v>
      </c>
    </row>
    <row r="134" spans="1:20" ht="18" customHeight="1" x14ac:dyDescent="0.15">
      <c r="A134" s="2196"/>
      <c r="B134" s="1448" t="s">
        <v>4590</v>
      </c>
      <c r="C134" s="17" t="s">
        <v>4723</v>
      </c>
      <c r="D134" s="21"/>
      <c r="E134" s="2672" cm="1" t="n">
        <f t="array" ref="E134">INDEX('5층_부하량'!G3:G3000,MATCH(1,("5-DaHall 1-PDU-04"='5층_부하량'!A3:A3000)*(18='5층_부하량'!B3:B3000),0))</f>
        <v>0.0</v>
      </c>
      <c r="F134" s="21"/>
      <c r="G134" s="21"/>
      <c r="H134" s="17" t="s">
        <v>4597</v>
      </c>
      <c r="I134" s="549" t="s">
        <v>4697</v>
      </c>
      <c r="J134" s="591" t="s">
        <v>5778</v>
      </c>
      <c r="K134" s="2249" t="s">
        <v>3187</v>
      </c>
      <c r="L134" s="1444" t="s">
        <v>4698</v>
      </c>
      <c r="M134" s="17" t="s">
        <v>4597</v>
      </c>
      <c r="N134" s="21"/>
      <c r="O134" s="2672" cm="1" t="n">
        <f t="array" ref="O134">INDEX('5층_부하량'!G3:G3000,MATCH(1,("5-DaHall 1-PDU-04"='5층_부하량'!A3:A3000)*(72='5층_부하량'!B3:B3000),0))</f>
        <v>0.29</v>
      </c>
      <c r="P134" s="21"/>
      <c r="Q134" s="21"/>
      <c r="R134" s="17" t="s">
        <v>5746</v>
      </c>
      <c r="S134" s="18" t="s">
        <v>4575</v>
      </c>
      <c r="T134" s="606" t="s">
        <v>5754</v>
      </c>
    </row>
    <row r="135" spans="1:20" ht="18" customHeight="1" x14ac:dyDescent="0.15">
      <c r="A135" s="2196"/>
      <c r="B135" s="1448" t="s">
        <v>4590</v>
      </c>
      <c r="C135" s="17" t="s">
        <v>4723</v>
      </c>
      <c r="D135" s="21"/>
      <c r="E135" s="19"/>
      <c r="F135" s="2670" cm="1" t="n">
        <f t="array" ref="F135">INDEX('5층_부하량'!H3:H3000,MATCH(1,("5-DaHall 1-PDU-04"='5층_부하량'!A3:A3000)*(19='5층_부하량'!B3:B3000),0))</f>
        <v>0.0</v>
      </c>
      <c r="G135" s="21"/>
      <c r="H135" s="17" t="s">
        <v>4597</v>
      </c>
      <c r="I135" s="549" t="s">
        <v>4701</v>
      </c>
      <c r="J135" s="592" t="s">
        <v>5779</v>
      </c>
      <c r="K135" s="2249" t="s">
        <v>3187</v>
      </c>
      <c r="L135" s="1444" t="s">
        <v>4703</v>
      </c>
      <c r="M135" s="17" t="s">
        <v>4597</v>
      </c>
      <c r="N135" s="21"/>
      <c r="O135" s="19"/>
      <c r="P135" s="2670" cm="1" t="n">
        <f t="array" ref="P135">INDEX('5층_부하량'!H3:H3000,MATCH(1,("5-DaHall 1-PDU-04"='5층_부하량'!A3:A3000)*(73='5층_부하량'!B3:B3000),0))</f>
        <v>2.32</v>
      </c>
      <c r="Q135" s="21"/>
      <c r="R135" s="17" t="s">
        <v>5746</v>
      </c>
      <c r="S135" s="18" t="s">
        <v>4575</v>
      </c>
      <c r="T135" s="606" t="s">
        <v>5756</v>
      </c>
    </row>
    <row r="136" spans="1:20" ht="18" customHeight="1" x14ac:dyDescent="0.15">
      <c r="A136" s="601" t="s">
        <v>5757</v>
      </c>
      <c r="B136" s="72" t="s">
        <v>4631</v>
      </c>
      <c r="C136" s="73" t="s">
        <v>4575</v>
      </c>
      <c r="D136" s="2672" cm="1" t="n">
        <f t="array" ref="D136">INDEX('5층_부하량'!F3:F3000,MATCH(1,("5-DaHall 1-PDU-04"='5층_부하량'!A3:A3000)*(20='5층_부하량'!B3:B3000),0))</f>
        <v>5.04</v>
      </c>
      <c r="E136" s="19"/>
      <c r="F136" s="19"/>
      <c r="G136" s="21"/>
      <c r="H136" s="17" t="s">
        <v>4597</v>
      </c>
      <c r="I136" s="549" t="s">
        <v>4706</v>
      </c>
      <c r="J136" s="2247" t="s">
        <v>3190</v>
      </c>
      <c r="K136" s="2249" t="s">
        <v>3187</v>
      </c>
      <c r="L136" s="1444" t="s">
        <v>4707</v>
      </c>
      <c r="M136" s="17" t="s">
        <v>4597</v>
      </c>
      <c r="N136" s="2672" cm="1" t="n">
        <f t="array" ref="N136">INDEX('5층_부하량'!F3:F3000,MATCH(1,("5-DaHall 1-PDU-04"='5층_부하량'!A3:A3000)*(74='5층_부하량'!B3:B3000),0))</f>
        <v>2.73</v>
      </c>
      <c r="O136" s="19"/>
      <c r="P136" s="19"/>
      <c r="Q136" s="21"/>
      <c r="R136" s="17" t="s">
        <v>5746</v>
      </c>
      <c r="S136" s="18" t="s">
        <v>4575</v>
      </c>
      <c r="T136" s="606" t="s">
        <v>5758</v>
      </c>
    </row>
    <row r="137" spans="1:20" ht="18" customHeight="1" x14ac:dyDescent="0.15">
      <c r="A137" s="601" t="s">
        <v>5759</v>
      </c>
      <c r="B137" s="17" t="s">
        <v>4631</v>
      </c>
      <c r="C137" s="18" t="s">
        <v>4575</v>
      </c>
      <c r="D137" s="21"/>
      <c r="E137" s="2672" cm="1" t="n">
        <f t="array" ref="E137">INDEX('5층_부하량'!G3:G3000,MATCH(1,("5-DaHall 1-PDU-04"='5층_부하량'!A3:A3000)*(21='5층_부하량'!B3:B3000),0))</f>
        <v>2.14</v>
      </c>
      <c r="F137" s="19"/>
      <c r="G137" s="21"/>
      <c r="H137" s="17" t="s">
        <v>4597</v>
      </c>
      <c r="I137" s="549" t="s">
        <v>4710</v>
      </c>
      <c r="J137" s="2247" t="s">
        <v>3190</v>
      </c>
      <c r="K137" s="2249" t="s">
        <v>3187</v>
      </c>
      <c r="L137" s="1444" t="s">
        <v>4711</v>
      </c>
      <c r="M137" s="17" t="s">
        <v>4597</v>
      </c>
      <c r="N137" s="21"/>
      <c r="O137" s="2672" cm="1" t="n">
        <f t="array" ref="O137">INDEX('5층_부하량'!G3:G3000,MATCH(1,("5-DaHall 1-PDU-04"='5층_부하량'!A3:A3000)*(75='5층_부하량'!B3:B3000),0))</f>
        <v>1.48</v>
      </c>
      <c r="P137" s="19"/>
      <c r="Q137" s="21"/>
      <c r="R137" s="17" t="s">
        <v>5746</v>
      </c>
      <c r="S137" s="18" t="s">
        <v>4575</v>
      </c>
      <c r="T137" s="606" t="s">
        <v>5760</v>
      </c>
    </row>
    <row r="138" spans="1:20" ht="18" customHeight="1" x14ac:dyDescent="0.15">
      <c r="A138" s="2196" t="s">
        <v>5761</v>
      </c>
      <c r="B138" s="17" t="s">
        <v>5762</v>
      </c>
      <c r="C138" s="17" t="s">
        <v>4723</v>
      </c>
      <c r="D138" s="21"/>
      <c r="E138" s="19"/>
      <c r="F138" s="2672" cm="1" t="n">
        <f t="array" ref="F138">INDEX('5층_부하량'!H3:H3000,MATCH(1,("5-DaHall 1-PDU-04"='5층_부하량'!A3:A3000)*(22='5층_부하량'!B3:B3000),0))</f>
        <v>0.0</v>
      </c>
      <c r="G138" s="21"/>
      <c r="H138" s="17" t="s">
        <v>4597</v>
      </c>
      <c r="I138" s="549" t="s">
        <v>5055</v>
      </c>
      <c r="J138" s="2247" t="s">
        <v>3190</v>
      </c>
      <c r="K138" s="2249" t="s">
        <v>3187</v>
      </c>
      <c r="L138" s="1444" t="s">
        <v>4843</v>
      </c>
      <c r="M138" s="17" t="s">
        <v>4597</v>
      </c>
      <c r="N138" s="21"/>
      <c r="O138" s="19"/>
      <c r="P138" s="2672" cm="1" t="n">
        <f t="array" ref="P138">INDEX('5층_부하량'!H3:H3000,MATCH(1,("5-DaHall 1-PDU-04"='5층_부하량'!A3:A3000)*(76='5층_부하량'!B3:B3000),0))</f>
        <v>1.62</v>
      </c>
      <c r="Q138" s="21"/>
      <c r="R138" s="17" t="s">
        <v>5746</v>
      </c>
      <c r="S138" s="18" t="s">
        <v>4575</v>
      </c>
      <c r="T138" s="606" t="s">
        <v>5763</v>
      </c>
    </row>
    <row r="139" spans="1:20" ht="18" customHeight="1" x14ac:dyDescent="0.15">
      <c r="A139" s="2196" t="s">
        <v>5764</v>
      </c>
      <c r="B139" s="72" t="s">
        <v>4631</v>
      </c>
      <c r="C139" s="73" t="s">
        <v>4575</v>
      </c>
      <c r="D139" s="2672" cm="1" t="n">
        <f t="array" ref="D139">INDEX('5층_부하량'!F3:F3000,MATCH(1,("5-DaHall 1-PDU-04"='5층_부하량'!A3:A3000)*(23='5층_부하량'!B3:B3000),0))</f>
        <v>3.41</v>
      </c>
      <c r="E139" s="19"/>
      <c r="F139" s="19"/>
      <c r="G139" s="21"/>
      <c r="H139" s="17" t="s">
        <v>4597</v>
      </c>
      <c r="I139" s="549" t="s">
        <v>4845</v>
      </c>
      <c r="J139" s="2247" t="s">
        <v>3190</v>
      </c>
      <c r="K139" s="2249" t="s">
        <v>3187</v>
      </c>
      <c r="L139" s="1444" t="s">
        <v>4846</v>
      </c>
      <c r="M139" s="17" t="s">
        <v>4597</v>
      </c>
      <c r="N139" s="2672" cm="1" t="n">
        <f t="array" ref="N139">INDEX('5층_부하량'!F3:F3000,MATCH(1,("5-DaHall 1-PDU-04"='5층_부하량'!A3:A3000)*(77='5층_부하량'!B3:B3000),0))</f>
        <v>2.59</v>
      </c>
      <c r="O139" s="19"/>
      <c r="P139" s="19"/>
      <c r="Q139" s="21"/>
      <c r="R139" s="17" t="s">
        <v>5746</v>
      </c>
      <c r="S139" s="18" t="s">
        <v>4575</v>
      </c>
      <c r="T139" s="606" t="s">
        <v>5765</v>
      </c>
    </row>
    <row r="140" spans="1:20" ht="18" customHeight="1" x14ac:dyDescent="0.15">
      <c r="A140" s="2196" t="s">
        <v>5766</v>
      </c>
      <c r="B140" s="17" t="s">
        <v>4631</v>
      </c>
      <c r="C140" s="18" t="s">
        <v>4575</v>
      </c>
      <c r="D140" s="21"/>
      <c r="E140" s="2672" cm="1" t="n">
        <f t="array" ref="E140">INDEX('5층_부하량'!G3:G3000,MATCH(1,("5-DaHall 1-PDU-04"='5층_부하량'!A3:A3000)*(24='5층_부하량'!B3:B3000),0))</f>
        <v>0.0</v>
      </c>
      <c r="F140" s="21"/>
      <c r="G140" s="21"/>
      <c r="H140" s="17" t="s">
        <v>4597</v>
      </c>
      <c r="I140" s="549" t="s">
        <v>4847</v>
      </c>
      <c r="J140" s="2247" t="s">
        <v>3190</v>
      </c>
      <c r="K140" s="2249" t="s">
        <v>3187</v>
      </c>
      <c r="L140" s="1444" t="s">
        <v>4848</v>
      </c>
      <c r="M140" s="17" t="s">
        <v>4597</v>
      </c>
      <c r="N140" s="21"/>
      <c r="O140" s="2672" cm="1" t="n">
        <f t="array" ref="O140">INDEX('5층_부하량'!G3:G3000,MATCH(1,("5-DaHall 1-PDU-04"='5층_부하량'!A3:A3000)*(78='5층_부하량'!B3:B3000),0))</f>
        <v>2.5300000000000002</v>
      </c>
      <c r="P140" s="21"/>
      <c r="Q140" s="21"/>
      <c r="R140" s="17" t="s">
        <v>5746</v>
      </c>
      <c r="S140" s="18" t="s">
        <v>4575</v>
      </c>
      <c r="T140" s="606" t="s">
        <v>5767</v>
      </c>
    </row>
    <row r="141" spans="1:20" ht="18" customHeight="1" x14ac:dyDescent="0.15">
      <c r="A141" s="2196" t="s">
        <v>5780</v>
      </c>
      <c r="B141" s="17" t="s">
        <v>5762</v>
      </c>
      <c r="C141" s="18" t="s">
        <v>4575</v>
      </c>
      <c r="D141" s="21"/>
      <c r="E141" s="21"/>
      <c r="F141" s="2672" cm="1" t="n">
        <f t="array" ref="F141">INDEX('5층_부하량'!H3:H3000,MATCH(1,("5-DaHall 1-PDU-04"='5층_부하량'!A3:A3000)*(25='5층_부하량'!B3:B3000),0))</f>
        <v>4.78</v>
      </c>
      <c r="G141" s="21"/>
      <c r="H141" s="17" t="s">
        <v>4597</v>
      </c>
      <c r="I141" s="549" t="s">
        <v>4849</v>
      </c>
      <c r="J141" s="2247" t="s">
        <v>3190</v>
      </c>
      <c r="K141" s="2249" t="s">
        <v>3187</v>
      </c>
      <c r="L141" s="1444" t="s">
        <v>4850</v>
      </c>
      <c r="M141" s="17" t="s">
        <v>4597</v>
      </c>
      <c r="N141" s="21"/>
      <c r="O141" s="21"/>
      <c r="P141" s="2672" cm="1" t="n">
        <f t="array" ref="P141">INDEX('5층_부하량'!H3:H3000,MATCH(1,("5-DaHall 1-PDU-04"='5층_부하량'!A3:A3000)*(79='5층_부하량'!B3:B3000),0))</f>
        <v>3.54</v>
      </c>
      <c r="Q141" s="21"/>
      <c r="R141" s="17" t="s">
        <v>5746</v>
      </c>
      <c r="S141" s="18" t="s">
        <v>4575</v>
      </c>
      <c r="T141" s="606" t="s">
        <v>5769</v>
      </c>
    </row>
    <row r="142" spans="1:20" ht="18" customHeight="1" thickBot="1" x14ac:dyDescent="0.2">
      <c r="A142" s="2197" t="s">
        <v>5781</v>
      </c>
      <c r="B142" s="35" t="s">
        <v>5762</v>
      </c>
      <c r="C142" s="39" t="s">
        <v>4575</v>
      </c>
      <c r="D142" s="2671" cm="1" t="n">
        <f t="array" ref="D142">INDEX('5층_부하량'!F3:F3000,MATCH(1,("5-DaHall 1-PDU-04"='5층_부하량'!A3:A3000)*(26='5층_부하량'!B3:B3000),0))</f>
        <v>5.86</v>
      </c>
      <c r="E142" s="36"/>
      <c r="F142" s="36"/>
      <c r="G142" s="36"/>
      <c r="H142" s="35" t="s">
        <v>4597</v>
      </c>
      <c r="I142" s="1447" t="s">
        <v>4851</v>
      </c>
      <c r="J142" s="2248" t="s">
        <v>3190</v>
      </c>
      <c r="K142" s="2250" t="s">
        <v>3187</v>
      </c>
      <c r="L142" s="1447" t="s">
        <v>4852</v>
      </c>
      <c r="M142" s="35" t="s">
        <v>4597</v>
      </c>
      <c r="N142" s="2671" cm="1" t="n">
        <f t="array" ref="N142">INDEX('5층_부하량'!F3:F3000,MATCH(1,("5-DaHall 1-PDU-04"='5층_부하량'!A3:A3000)*(80='5층_부하량'!B3:B3000),0))</f>
        <v>4.43</v>
      </c>
      <c r="O142" s="36"/>
      <c r="P142" s="36"/>
      <c r="Q142" s="36"/>
      <c r="R142" s="35" t="s">
        <v>5746</v>
      </c>
      <c r="S142" s="39" t="s">
        <v>4575</v>
      </c>
      <c r="T142" s="2251" t="s">
        <v>5771</v>
      </c>
    </row>
    <row r="143" spans="1:20" ht="18" customHeight="1" thickTop="1" thickBot="1" x14ac:dyDescent="0.2">
      <c r="M143" s="80" t="s">
        <v>5645</v>
      </c>
      <c r="N143" s="33" t="n">
        <f>SUM(D117:D142,N117:N142)</f>
        <v>32.11</v>
      </c>
      <c r="O143" s="33" t="n">
        <f>SUM(E117:E142,O117:O142)</f>
        <v>20.77</v>
      </c>
      <c r="P143" s="33" t="n">
        <f>SUM(F117:F142,P117:P142)</f>
        <v>20.58</v>
      </c>
    </row>
    <row r="144" spans="1:20" ht="18" customHeight="1" thickTop="1" thickBot="1" x14ac:dyDescent="0.2">
      <c r="A144" s="2" t="s">
        <v>5782</v>
      </c>
      <c r="C144" s="3660" t="s">
        <v>5783</v>
      </c>
      <c r="D144" s="3660"/>
      <c r="E144" s="3660"/>
      <c r="F144" s="53"/>
      <c r="G144" s="53"/>
      <c r="H144" s="124"/>
      <c r="I144" s="124"/>
      <c r="J144" s="3661" t="s">
        <v>5784</v>
      </c>
      <c r="K144" s="3667"/>
      <c r="L144" s="124"/>
      <c r="M144" s="86" t="s">
        <v>5785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2">
      <c r="A145" s="3"/>
      <c r="D145" s="54"/>
      <c r="E145" s="54"/>
      <c r="F145" s="54"/>
      <c r="G145" s="54"/>
      <c r="H145" s="4"/>
      <c r="I145" s="4"/>
      <c r="K145" s="56"/>
      <c r="L145" s="565"/>
      <c r="M145" s="1371" t="s">
        <v>4562</v>
      </c>
      <c r="N145" s="1368"/>
      <c r="O145" s="1369"/>
      <c r="P145" s="1370"/>
      <c r="Q145" s="508" t="s">
        <v>4563</v>
      </c>
      <c r="R145" s="133"/>
      <c r="S145" s="128"/>
      <c r="T145" s="528"/>
    </row>
    <row r="146" spans="1:20" ht="18" customHeight="1" thickTop="1" thickBot="1" x14ac:dyDescent="0.2">
      <c r="A146" s="5" t="s">
        <v>4564</v>
      </c>
      <c r="B146" s="6" t="s">
        <v>4565</v>
      </c>
      <c r="C146" s="7" t="s">
        <v>4566</v>
      </c>
      <c r="D146" s="6" t="s">
        <v>4567</v>
      </c>
      <c r="E146" s="6" t="s">
        <v>4568</v>
      </c>
      <c r="F146" s="6" t="s">
        <v>4569</v>
      </c>
      <c r="G146" s="6" t="s">
        <v>4570</v>
      </c>
      <c r="H146" s="8" t="s">
        <v>4571</v>
      </c>
      <c r="I146" s="547"/>
      <c r="J146" s="58" t="s">
        <v>4572</v>
      </c>
      <c r="K146" s="59" t="s">
        <v>4572</v>
      </c>
      <c r="L146" s="566"/>
      <c r="M146" s="8" t="s">
        <v>4571</v>
      </c>
      <c r="N146" s="6" t="s">
        <v>4567</v>
      </c>
      <c r="O146" s="6" t="s">
        <v>4568</v>
      </c>
      <c r="P146" s="6" t="s">
        <v>4569</v>
      </c>
      <c r="Q146" s="6" t="s">
        <v>4570</v>
      </c>
      <c r="R146" s="6" t="s">
        <v>4565</v>
      </c>
      <c r="S146" s="7" t="s">
        <v>4566</v>
      </c>
      <c r="T146" s="60" t="s">
        <v>4564</v>
      </c>
    </row>
    <row r="147" spans="1:20" ht="18" customHeight="1" thickTop="1" x14ac:dyDescent="0.15">
      <c r="A147" s="10"/>
      <c r="B147" s="11" t="s">
        <v>4590</v>
      </c>
      <c r="C147" s="13" t="s">
        <v>4723</v>
      </c>
      <c r="D147" s="15"/>
      <c r="E147" s="15"/>
      <c r="F147" s="15"/>
      <c r="G147" s="15"/>
      <c r="H147" s="13" t="s">
        <v>5786</v>
      </c>
      <c r="I147" s="1177" t="s">
        <v>5787</v>
      </c>
      <c r="J147" s="61"/>
      <c r="K147" s="62"/>
      <c r="L147" s="567" t="s">
        <v>5788</v>
      </c>
      <c r="M147" s="11" t="s">
        <v>5786</v>
      </c>
      <c r="N147" s="15"/>
      <c r="O147" s="15"/>
      <c r="P147" s="15"/>
      <c r="Q147" s="15"/>
      <c r="R147" s="63" t="s">
        <v>4590</v>
      </c>
      <c r="S147" s="11" t="s">
        <v>4642</v>
      </c>
      <c r="T147" s="64"/>
    </row>
    <row r="148" spans="1:20" ht="18" customHeight="1" x14ac:dyDescent="0.15">
      <c r="A148" s="16" t="s">
        <v>5789</v>
      </c>
      <c r="B148" s="17" t="s">
        <v>4631</v>
      </c>
      <c r="C148" s="2475" t="s">
        <v>4723</v>
      </c>
      <c r="D148" s="19"/>
      <c r="E148" s="19"/>
      <c r="F148" s="19"/>
      <c r="G148" s="19"/>
      <c r="H148" s="17" t="s">
        <v>5790</v>
      </c>
      <c r="I148" s="549" t="s">
        <v>4638</v>
      </c>
      <c r="J148" s="65" t="s">
        <v>5661</v>
      </c>
      <c r="K148" s="66" t="s">
        <v>4961</v>
      </c>
      <c r="L148" s="549" t="s">
        <v>4583</v>
      </c>
      <c r="M148" s="17" t="s">
        <v>5786</v>
      </c>
      <c r="N148" s="19"/>
      <c r="O148" s="19"/>
      <c r="P148" s="19"/>
      <c r="Q148" s="19"/>
      <c r="R148" s="67" t="s">
        <v>4631</v>
      </c>
      <c r="S148" s="2476" t="s">
        <v>4723</v>
      </c>
      <c r="T148" s="68" t="s">
        <v>5791</v>
      </c>
    </row>
    <row r="149" spans="1:20" ht="18" customHeight="1" x14ac:dyDescent="0.15">
      <c r="A149" s="321" t="s">
        <v>5792</v>
      </c>
      <c r="B149" s="17" t="s">
        <v>4631</v>
      </c>
      <c r="C149" s="2475" t="s">
        <v>4723</v>
      </c>
      <c r="D149" s="21"/>
      <c r="E149" s="21"/>
      <c r="F149" s="21"/>
      <c r="G149" s="21"/>
      <c r="H149" s="17" t="s">
        <v>5786</v>
      </c>
      <c r="I149" s="549" t="s">
        <v>4641</v>
      </c>
      <c r="J149" s="65" t="s">
        <v>5661</v>
      </c>
      <c r="K149" s="66" t="s">
        <v>4961</v>
      </c>
      <c r="L149" s="549" t="s">
        <v>4588</v>
      </c>
      <c r="M149" s="17" t="s">
        <v>5786</v>
      </c>
      <c r="N149" s="21"/>
      <c r="O149" s="21"/>
      <c r="P149" s="21"/>
      <c r="Q149" s="21"/>
      <c r="R149" s="69" t="s">
        <v>4631</v>
      </c>
      <c r="S149" s="2476" t="s">
        <v>4723</v>
      </c>
      <c r="T149" s="70" t="s">
        <v>5793</v>
      </c>
    </row>
    <row r="150" spans="1:20" ht="18" customHeight="1" x14ac:dyDescent="0.15">
      <c r="A150" s="16" t="s">
        <v>5794</v>
      </c>
      <c r="B150" s="17" t="s">
        <v>4631</v>
      </c>
      <c r="C150" s="2476" t="s">
        <v>4723</v>
      </c>
      <c r="D150" s="21"/>
      <c r="E150" s="21"/>
      <c r="F150" s="21"/>
      <c r="G150" s="21"/>
      <c r="H150" s="17" t="s">
        <v>5795</v>
      </c>
      <c r="I150" s="549" t="s">
        <v>4645</v>
      </c>
      <c r="J150" s="65" t="s">
        <v>4961</v>
      </c>
      <c r="K150" s="66" t="s">
        <v>4961</v>
      </c>
      <c r="L150" s="549" t="s">
        <v>4593</v>
      </c>
      <c r="M150" s="17" t="s">
        <v>5795</v>
      </c>
      <c r="N150" s="21"/>
      <c r="O150" s="21"/>
      <c r="P150" s="21"/>
      <c r="Q150" s="21"/>
      <c r="R150" s="69" t="s">
        <v>4631</v>
      </c>
      <c r="S150" s="2476" t="s">
        <v>4723</v>
      </c>
      <c r="T150" s="68" t="s">
        <v>5796</v>
      </c>
    </row>
    <row r="151" spans="1:20" ht="18" customHeight="1" x14ac:dyDescent="0.15">
      <c r="A151" s="321" t="s">
        <v>5797</v>
      </c>
      <c r="B151" s="17" t="s">
        <v>4631</v>
      </c>
      <c r="C151" s="2476" t="s">
        <v>4723</v>
      </c>
      <c r="D151" s="21"/>
      <c r="E151" s="21"/>
      <c r="F151" s="21"/>
      <c r="G151" s="21"/>
      <c r="H151" s="17" t="s">
        <v>5795</v>
      </c>
      <c r="I151" s="549" t="s">
        <v>4648</v>
      </c>
      <c r="J151" s="65" t="s">
        <v>5798</v>
      </c>
      <c r="K151" s="66" t="s">
        <v>4961</v>
      </c>
      <c r="L151" s="549" t="s">
        <v>4596</v>
      </c>
      <c r="M151" s="17" t="s">
        <v>5795</v>
      </c>
      <c r="N151" s="21"/>
      <c r="O151" s="21"/>
      <c r="P151" s="21"/>
      <c r="Q151" s="21"/>
      <c r="R151" s="69" t="s">
        <v>4631</v>
      </c>
      <c r="S151" s="2476" t="s">
        <v>4723</v>
      </c>
      <c r="T151" s="70" t="s">
        <v>5799</v>
      </c>
    </row>
    <row r="152" spans="1:20" ht="18" customHeight="1" thickBot="1" x14ac:dyDescent="0.2">
      <c r="A152" s="87" t="s">
        <v>5800</v>
      </c>
      <c r="B152" s="88" t="s">
        <v>4631</v>
      </c>
      <c r="C152" s="2477" t="s">
        <v>4723</v>
      </c>
      <c r="D152" s="90"/>
      <c r="E152" s="90"/>
      <c r="F152" s="90"/>
      <c r="G152" s="90"/>
      <c r="H152" s="88" t="s">
        <v>5795</v>
      </c>
      <c r="I152" s="553" t="s">
        <v>4653</v>
      </c>
      <c r="J152" s="91" t="s">
        <v>5661</v>
      </c>
      <c r="K152" s="92" t="s">
        <v>4961</v>
      </c>
      <c r="L152" s="553" t="s">
        <v>4599</v>
      </c>
      <c r="M152" s="88" t="s">
        <v>5801</v>
      </c>
      <c r="N152" s="90"/>
      <c r="O152" s="90"/>
      <c r="P152" s="90"/>
      <c r="Q152" s="90"/>
      <c r="R152" s="93" t="s">
        <v>4631</v>
      </c>
      <c r="S152" s="2480" t="s">
        <v>4723</v>
      </c>
      <c r="T152" s="94" t="s">
        <v>5802</v>
      </c>
    </row>
    <row r="153" spans="1:20" ht="18" customHeight="1" thickTop="1" x14ac:dyDescent="0.15">
      <c r="A153" s="71" t="s">
        <v>5803</v>
      </c>
      <c r="B153" s="72" t="s">
        <v>4631</v>
      </c>
      <c r="C153" s="2478" t="s">
        <v>4723</v>
      </c>
      <c r="D153" s="74"/>
      <c r="E153" s="74"/>
      <c r="F153" s="74"/>
      <c r="G153" s="74"/>
      <c r="H153" s="72" t="s">
        <v>5801</v>
      </c>
      <c r="I153" s="550" t="s">
        <v>4657</v>
      </c>
      <c r="J153" s="95" t="s">
        <v>4961</v>
      </c>
      <c r="K153" s="96" t="s">
        <v>4961</v>
      </c>
      <c r="L153" s="550" t="s">
        <v>4601</v>
      </c>
      <c r="M153" s="72" t="s">
        <v>5801</v>
      </c>
      <c r="N153" s="74"/>
      <c r="O153" s="74"/>
      <c r="P153" s="74"/>
      <c r="Q153" s="74"/>
      <c r="R153" s="75" t="s">
        <v>4631</v>
      </c>
      <c r="S153" s="2478" t="s">
        <v>4723</v>
      </c>
      <c r="T153" s="68" t="s">
        <v>5804</v>
      </c>
    </row>
    <row r="154" spans="1:20" ht="18" customHeight="1" x14ac:dyDescent="0.15">
      <c r="A154" s="16" t="s">
        <v>5805</v>
      </c>
      <c r="B154" s="17" t="s">
        <v>4631</v>
      </c>
      <c r="C154" s="2476" t="s">
        <v>4723</v>
      </c>
      <c r="D154" s="21"/>
      <c r="E154" s="21"/>
      <c r="F154" s="21"/>
      <c r="G154" s="21"/>
      <c r="H154" s="17" t="s">
        <v>5801</v>
      </c>
      <c r="I154" s="549" t="s">
        <v>4661</v>
      </c>
      <c r="J154" s="65" t="s">
        <v>4961</v>
      </c>
      <c r="K154" s="66" t="s">
        <v>4961</v>
      </c>
      <c r="L154" s="549" t="s">
        <v>4603</v>
      </c>
      <c r="M154" s="17" t="s">
        <v>5801</v>
      </c>
      <c r="N154" s="21"/>
      <c r="O154" s="21"/>
      <c r="P154" s="21"/>
      <c r="Q154" s="21"/>
      <c r="R154" s="69" t="s">
        <v>4631</v>
      </c>
      <c r="S154" s="2476" t="s">
        <v>4723</v>
      </c>
      <c r="T154" s="70" t="s">
        <v>5806</v>
      </c>
    </row>
    <row r="155" spans="1:20" ht="18" customHeight="1" x14ac:dyDescent="0.15">
      <c r="A155" s="321" t="s">
        <v>5807</v>
      </c>
      <c r="B155" s="17" t="s">
        <v>4631</v>
      </c>
      <c r="C155" s="2476" t="s">
        <v>4723</v>
      </c>
      <c r="D155" s="21"/>
      <c r="E155" s="21"/>
      <c r="F155" s="21"/>
      <c r="G155" s="21"/>
      <c r="H155" s="17" t="s">
        <v>5801</v>
      </c>
      <c r="I155" s="549" t="s">
        <v>4665</v>
      </c>
      <c r="J155" s="65" t="s">
        <v>5808</v>
      </c>
      <c r="K155" s="66" t="s">
        <v>4961</v>
      </c>
      <c r="L155" s="549" t="s">
        <v>4605</v>
      </c>
      <c r="M155" s="17" t="s">
        <v>5801</v>
      </c>
      <c r="N155" s="21"/>
      <c r="O155" s="21"/>
      <c r="P155" s="21"/>
      <c r="Q155" s="21"/>
      <c r="R155" s="69" t="s">
        <v>4631</v>
      </c>
      <c r="S155" s="2476" t="s">
        <v>4723</v>
      </c>
      <c r="T155" s="70" t="s">
        <v>5809</v>
      </c>
    </row>
    <row r="156" spans="1:20" ht="18" customHeight="1" x14ac:dyDescent="0.15">
      <c r="A156" s="16" t="s">
        <v>5810</v>
      </c>
      <c r="B156" s="17" t="s">
        <v>4631</v>
      </c>
      <c r="C156" s="2476" t="s">
        <v>4723</v>
      </c>
      <c r="D156" s="21"/>
      <c r="E156" s="21"/>
      <c r="F156" s="21"/>
      <c r="G156" s="21"/>
      <c r="H156" s="17" t="s">
        <v>5811</v>
      </c>
      <c r="I156" s="549" t="s">
        <v>4670</v>
      </c>
      <c r="J156" s="65" t="s">
        <v>4961</v>
      </c>
      <c r="K156" s="66" t="s">
        <v>4961</v>
      </c>
      <c r="L156" s="549" t="s">
        <v>4609</v>
      </c>
      <c r="M156" s="17" t="s">
        <v>5811</v>
      </c>
      <c r="N156" s="21"/>
      <c r="O156" s="21"/>
      <c r="P156" s="21"/>
      <c r="Q156" s="21"/>
      <c r="R156" s="69" t="s">
        <v>4631</v>
      </c>
      <c r="S156" s="2476" t="s">
        <v>4723</v>
      </c>
      <c r="T156" s="70" t="s">
        <v>5812</v>
      </c>
    </row>
    <row r="157" spans="1:20" ht="18" customHeight="1" x14ac:dyDescent="0.15">
      <c r="A157" s="321" t="s">
        <v>5813</v>
      </c>
      <c r="B157" s="17" t="s">
        <v>4631</v>
      </c>
      <c r="C157" s="2476" t="s">
        <v>4723</v>
      </c>
      <c r="D157" s="21"/>
      <c r="E157" s="21"/>
      <c r="F157" s="21"/>
      <c r="G157" s="21"/>
      <c r="H157" s="17" t="s">
        <v>5811</v>
      </c>
      <c r="I157" s="549" t="s">
        <v>4674</v>
      </c>
      <c r="J157" s="65" t="s">
        <v>4961</v>
      </c>
      <c r="K157" s="66" t="s">
        <v>4961</v>
      </c>
      <c r="L157" s="549" t="s">
        <v>4613</v>
      </c>
      <c r="M157" s="17" t="s">
        <v>5811</v>
      </c>
      <c r="N157" s="21"/>
      <c r="O157" s="21"/>
      <c r="P157" s="21"/>
      <c r="Q157" s="21"/>
      <c r="R157" s="69" t="s">
        <v>4631</v>
      </c>
      <c r="S157" s="2476" t="s">
        <v>4723</v>
      </c>
      <c r="T157" s="82" t="s">
        <v>5814</v>
      </c>
    </row>
    <row r="158" spans="1:20" ht="18" customHeight="1" x14ac:dyDescent="0.15">
      <c r="A158" s="321" t="s">
        <v>5815</v>
      </c>
      <c r="B158" s="17" t="s">
        <v>4631</v>
      </c>
      <c r="C158" s="2476" t="s">
        <v>4723</v>
      </c>
      <c r="D158" s="21"/>
      <c r="E158" s="21"/>
      <c r="F158" s="21"/>
      <c r="G158" s="21"/>
      <c r="H158" s="17" t="s">
        <v>5811</v>
      </c>
      <c r="I158" s="549" t="s">
        <v>4678</v>
      </c>
      <c r="J158" s="65" t="s">
        <v>4961</v>
      </c>
      <c r="K158" s="66" t="s">
        <v>4961</v>
      </c>
      <c r="L158" s="549" t="s">
        <v>4680</v>
      </c>
      <c r="M158" s="17" t="s">
        <v>5811</v>
      </c>
      <c r="N158" s="21"/>
      <c r="O158" s="21"/>
      <c r="P158" s="21"/>
      <c r="Q158" s="21"/>
      <c r="R158" s="69" t="s">
        <v>4590</v>
      </c>
      <c r="S158" s="17" t="s">
        <v>4642</v>
      </c>
      <c r="T158" s="70"/>
    </row>
    <row r="159" spans="1:20" ht="18" customHeight="1" thickBot="1" x14ac:dyDescent="0.2">
      <c r="A159" s="38" t="s">
        <v>5816</v>
      </c>
      <c r="B159" s="35" t="s">
        <v>4631</v>
      </c>
      <c r="C159" s="2479" t="s">
        <v>4723</v>
      </c>
      <c r="D159" s="36"/>
      <c r="E159" s="36"/>
      <c r="F159" s="36"/>
      <c r="G159" s="36"/>
      <c r="H159" s="35" t="s">
        <v>5811</v>
      </c>
      <c r="I159" s="551" t="s">
        <v>4683</v>
      </c>
      <c r="J159" s="76" t="s">
        <v>4961</v>
      </c>
      <c r="K159" s="77" t="s">
        <v>4961</v>
      </c>
      <c r="L159" s="551" t="s">
        <v>4685</v>
      </c>
      <c r="M159" s="35" t="s">
        <v>5811</v>
      </c>
      <c r="N159" s="36"/>
      <c r="O159" s="36"/>
      <c r="P159" s="36"/>
      <c r="Q159" s="36"/>
      <c r="R159" s="78" t="s">
        <v>4590</v>
      </c>
      <c r="S159" s="35" t="s">
        <v>4642</v>
      </c>
      <c r="T159" s="79"/>
    </row>
    <row r="160" spans="1:20" ht="18" customHeight="1" thickTop="1" thickBot="1" x14ac:dyDescent="0.2">
      <c r="M160" s="80" t="s">
        <v>5645</v>
      </c>
      <c r="N160" s="33" t="n">
        <f>SUM(D147:D159,N147:N159)</f>
        <v>0.0</v>
      </c>
      <c r="O160" s="33" t="n">
        <f>SUM(E147:E159,O147:O159)</f>
        <v>0.0</v>
      </c>
      <c r="P160" s="33" t="n">
        <f>SUM(F147:F159,P147:P159)</f>
        <v>0.0</v>
      </c>
    </row>
    <row r="161" spans="1:20" ht="18" customHeight="1" thickTop="1" thickBot="1" x14ac:dyDescent="0.2">
      <c r="A161" s="2" t="s">
        <v>6949</v>
      </c>
      <c r="C161" s="3660" t="s">
        <v>5817</v>
      </c>
      <c r="D161" s="3660"/>
      <c r="E161" s="3660"/>
      <c r="F161" s="3660"/>
      <c r="G161" s="53"/>
      <c r="H161" s="124"/>
      <c r="I161" s="124"/>
      <c r="J161" s="3661" t="s">
        <v>5653</v>
      </c>
      <c r="K161" s="3667"/>
      <c r="L161" s="124"/>
      <c r="M161" s="124"/>
      <c r="N161" s="53"/>
      <c r="O161" s="53"/>
      <c r="P161" s="53"/>
      <c r="Q161" s="53"/>
      <c r="R161" s="53"/>
      <c r="S161" s="53"/>
    </row>
    <row r="162" spans="1:20" ht="18" customHeight="1" thickTop="1" thickBot="1" x14ac:dyDescent="0.2">
      <c r="A162" s="3"/>
      <c r="D162" s="54"/>
      <c r="E162" s="54"/>
      <c r="F162" s="54"/>
      <c r="G162" s="54"/>
      <c r="H162" s="4"/>
      <c r="I162" s="4"/>
      <c r="K162" s="56"/>
      <c r="L162" s="565"/>
      <c r="M162" s="1371" t="s">
        <v>4562</v>
      </c>
      <c r="N162" s="1368"/>
      <c r="O162" s="1369"/>
      <c r="P162" s="1370"/>
      <c r="Q162" s="508" t="s">
        <v>4563</v>
      </c>
      <c r="R162" s="133"/>
      <c r="S162" s="128"/>
      <c r="T162" s="528"/>
    </row>
    <row r="163" spans="1:20" ht="18" customHeight="1" thickTop="1" thickBot="1" x14ac:dyDescent="0.2">
      <c r="A163" s="5" t="s">
        <v>4564</v>
      </c>
      <c r="B163" s="6" t="s">
        <v>4565</v>
      </c>
      <c r="C163" s="7" t="s">
        <v>4566</v>
      </c>
      <c r="D163" s="6" t="s">
        <v>4567</v>
      </c>
      <c r="E163" s="6" t="s">
        <v>4568</v>
      </c>
      <c r="F163" s="6" t="s">
        <v>4569</v>
      </c>
      <c r="G163" s="6" t="s">
        <v>4570</v>
      </c>
      <c r="H163" s="8" t="s">
        <v>4571</v>
      </c>
      <c r="I163" s="547"/>
      <c r="J163" s="58" t="s">
        <v>4572</v>
      </c>
      <c r="K163" s="59" t="s">
        <v>4572</v>
      </c>
      <c r="L163" s="566"/>
      <c r="M163" s="8" t="s">
        <v>4571</v>
      </c>
      <c r="N163" s="6" t="s">
        <v>4567</v>
      </c>
      <c r="O163" s="6" t="s">
        <v>4568</v>
      </c>
      <c r="P163" s="6" t="s">
        <v>4569</v>
      </c>
      <c r="Q163" s="6" t="s">
        <v>4570</v>
      </c>
      <c r="R163" s="6" t="s">
        <v>4565</v>
      </c>
      <c r="S163" s="7" t="s">
        <v>4566</v>
      </c>
      <c r="T163" s="60" t="s">
        <v>4564</v>
      </c>
    </row>
    <row r="164" spans="1:20" ht="18" customHeight="1" thickTop="1" x14ac:dyDescent="0.15">
      <c r="A164" s="10"/>
      <c r="B164" s="11" t="s">
        <v>565</v>
      </c>
      <c r="C164" s="13" t="s">
        <v>4723</v>
      </c>
      <c r="D164" s="15"/>
      <c r="E164" s="15"/>
      <c r="F164" s="2669" cm="1" t="n">
        <f t="array" ref="F164">INDEX('5층_부하량'!H3:H3000,MATCH(1,("5-DaHall 1-PDU-05"='5층_부하량'!A3:A3000)*(1='5층_부하량'!B3:B3000),0))</f>
        <v>0.0</v>
      </c>
      <c r="G164" s="15"/>
      <c r="H164" s="11" t="s">
        <v>4576</v>
      </c>
      <c r="I164" s="548" t="s">
        <v>4633</v>
      </c>
      <c r="J164" s="302"/>
      <c r="K164" s="62"/>
      <c r="L164" s="548" t="s">
        <v>4578</v>
      </c>
      <c r="M164" s="11" t="s">
        <v>4576</v>
      </c>
      <c r="N164" s="15"/>
      <c r="O164" s="15"/>
      <c r="P164" s="2669" cm="1" t="n">
        <f t="array" ref="P164">INDEX('5층_부하량'!H3:H3000,MATCH(1,("5-DaHall 1-PDU-05"='5층_부하량'!A3:A3000)*(2='5층_부하량'!B3:B3000),0))</f>
        <v>0.0</v>
      </c>
      <c r="Q164" s="15"/>
      <c r="R164" s="69" t="s">
        <v>4590</v>
      </c>
      <c r="S164" s="17" t="s">
        <v>4642</v>
      </c>
      <c r="T164" s="98"/>
    </row>
    <row r="165" spans="1:20" ht="18" customHeight="1" x14ac:dyDescent="0.15">
      <c r="A165" s="16"/>
      <c r="B165" s="17" t="s">
        <v>565</v>
      </c>
      <c r="C165" s="17" t="s">
        <v>4723</v>
      </c>
      <c r="D165" s="2672" cm="1" t="n">
        <f t="array" ref="D165">INDEX('5층_부하량'!F3:F3000,MATCH(1,("5-DaHall 1-PDU-05"='5층_부하량'!A3:A3000)*(3='5층_부하량'!B3:B3000),0))</f>
        <v>0.0</v>
      </c>
      <c r="E165" s="19"/>
      <c r="F165" s="19"/>
      <c r="G165" s="19"/>
      <c r="H165" s="17" t="s">
        <v>4576</v>
      </c>
      <c r="I165" s="549" t="s">
        <v>4638</v>
      </c>
      <c r="J165" s="303"/>
      <c r="K165" s="66"/>
      <c r="L165" s="549" t="s">
        <v>4583</v>
      </c>
      <c r="M165" s="17" t="s">
        <v>4576</v>
      </c>
      <c r="N165" s="2672" cm="1" t="n">
        <f t="array" ref="N165">INDEX('5층_부하량'!F3:F3000,MATCH(1,("5-DaHall 1-PDU-05"='5층_부하량'!A3:A3000)*(4='5층_부하량'!B3:B3000),0))</f>
        <v>0.0</v>
      </c>
      <c r="O165" s="19"/>
      <c r="P165" s="19"/>
      <c r="Q165" s="19"/>
      <c r="R165" s="69" t="s">
        <v>4590</v>
      </c>
      <c r="S165" s="17" t="s">
        <v>4642</v>
      </c>
      <c r="T165" s="68"/>
    </row>
    <row r="166" spans="1:20" ht="18" customHeight="1" x14ac:dyDescent="0.15">
      <c r="A166" s="321"/>
      <c r="B166" s="17" t="s">
        <v>565</v>
      </c>
      <c r="C166" s="17" t="s">
        <v>4723</v>
      </c>
      <c r="D166" s="21"/>
      <c r="E166" s="2672" cm="1" t="n">
        <f t="array" ref="E166">INDEX('5층_부하량'!G3:G3000,MATCH(1,("5-DaHall 1-PDU-05"='5층_부하량'!A3:A3000)*(5='5층_부하량'!B3:B3000),0))</f>
        <v>0.0</v>
      </c>
      <c r="F166" s="21"/>
      <c r="G166" s="21"/>
      <c r="H166" s="17" t="s">
        <v>4576</v>
      </c>
      <c r="I166" s="549" t="s">
        <v>4641</v>
      </c>
      <c r="J166" s="303"/>
      <c r="K166" s="66"/>
      <c r="L166" s="549" t="s">
        <v>4588</v>
      </c>
      <c r="M166" s="17" t="s">
        <v>4576</v>
      </c>
      <c r="N166" s="21"/>
      <c r="O166" s="2672" cm="1" t="n">
        <f t="array" ref="O166">INDEX('5층_부하량'!G3:G3000,MATCH(1,("5-DaHall 1-PDU-05"='5층_부하량'!A3:A3000)*(6='5층_부하량'!B3:B3000),0))</f>
        <v>0.0</v>
      </c>
      <c r="P166" s="21"/>
      <c r="Q166" s="21"/>
      <c r="R166" s="69" t="s">
        <v>4590</v>
      </c>
      <c r="S166" s="17" t="s">
        <v>4642</v>
      </c>
      <c r="T166" s="70"/>
    </row>
    <row r="167" spans="1:20" ht="18" customHeight="1" x14ac:dyDescent="0.15">
      <c r="A167" s="16"/>
      <c r="B167" s="17" t="s">
        <v>565</v>
      </c>
      <c r="C167" s="17" t="s">
        <v>4723</v>
      </c>
      <c r="D167" s="21"/>
      <c r="E167" s="21"/>
      <c r="F167" s="2672" cm="1" t="n">
        <f t="array" ref="F167">INDEX('5층_부하량'!H3:H3000,MATCH(1,("5-DaHall 1-PDU-05"='5층_부하량'!A3:A3000)*(7='5층_부하량'!B3:B3000),0))</f>
        <v>0.0</v>
      </c>
      <c r="G167" s="21"/>
      <c r="H167" s="17" t="s">
        <v>4576</v>
      </c>
      <c r="I167" s="549" t="s">
        <v>4645</v>
      </c>
      <c r="J167" s="303"/>
      <c r="K167" s="66"/>
      <c r="L167" s="549" t="s">
        <v>4593</v>
      </c>
      <c r="M167" s="17" t="s">
        <v>4576</v>
      </c>
      <c r="N167" s="21"/>
      <c r="O167" s="21"/>
      <c r="P167" s="2672" cm="1" t="n">
        <f t="array" ref="P167">INDEX('5층_부하량'!H3:H3000,MATCH(1,("5-DaHall 1-PDU-05"='5층_부하량'!A3:A3000)*(8='5층_부하량'!B3:B3000),0))</f>
        <v>0.0</v>
      </c>
      <c r="Q167" s="21"/>
      <c r="R167" s="69" t="s">
        <v>4590</v>
      </c>
      <c r="S167" s="17" t="s">
        <v>4642</v>
      </c>
      <c r="T167" s="68"/>
    </row>
    <row r="168" spans="1:20" ht="18" customHeight="1" x14ac:dyDescent="0.15">
      <c r="A168" s="16"/>
      <c r="B168" s="17" t="s">
        <v>565</v>
      </c>
      <c r="C168" s="17" t="s">
        <v>4723</v>
      </c>
      <c r="D168" s="2672" cm="1" t="n">
        <f t="array" ref="D168">INDEX('5층_부하량'!F3:F3000,MATCH(1,("5-DaHall 1-PDU-05"='5층_부하량'!A3:A3000)*(9='5층_부하량'!B3:B3000),0))</f>
        <v>0.0</v>
      </c>
      <c r="E168" s="21"/>
      <c r="F168" s="21"/>
      <c r="G168" s="21"/>
      <c r="H168" s="17" t="s">
        <v>4576</v>
      </c>
      <c r="I168" s="549" t="s">
        <v>4648</v>
      </c>
      <c r="J168" s="303"/>
      <c r="K168" s="66"/>
      <c r="L168" s="549" t="s">
        <v>4596</v>
      </c>
      <c r="M168" s="17" t="s">
        <v>4597</v>
      </c>
      <c r="N168" s="2672" cm="1" t="n">
        <f t="array" ref="N168">INDEX('5층_부하량'!F3:F3000,MATCH(1,("5-DaHall 1-PDU-05"='5층_부하량'!A3:A3000)*(10='5층_부하량'!B3:B3000),0))</f>
        <v>0.0</v>
      </c>
      <c r="O168" s="21"/>
      <c r="P168" s="21"/>
      <c r="Q168" s="21"/>
      <c r="R168" s="69" t="s">
        <v>4590</v>
      </c>
      <c r="S168" s="17" t="s">
        <v>4642</v>
      </c>
      <c r="T168" s="70"/>
    </row>
    <row r="169" spans="1:20" ht="18" customHeight="1" x14ac:dyDescent="0.15">
      <c r="A169" s="321"/>
      <c r="B169" s="17" t="s">
        <v>565</v>
      </c>
      <c r="C169" s="17" t="s">
        <v>4723</v>
      </c>
      <c r="D169" s="21"/>
      <c r="E169" s="2672" cm="1" t="n">
        <f t="array" ref="E169">INDEX('5층_부하량'!G3:G3000,MATCH(1,("5-DaHall 1-PDU-05"='5층_부하량'!A3:A3000)*(11='5층_부하량'!B3:B3000),0))</f>
        <v>0.0</v>
      </c>
      <c r="F169" s="21"/>
      <c r="G169" s="21"/>
      <c r="H169" s="17" t="s">
        <v>4576</v>
      </c>
      <c r="I169" s="549" t="s">
        <v>4653</v>
      </c>
      <c r="J169" s="303"/>
      <c r="K169" s="66"/>
      <c r="L169" s="549" t="s">
        <v>4599</v>
      </c>
      <c r="M169" s="17" t="s">
        <v>4597</v>
      </c>
      <c r="N169" s="21"/>
      <c r="O169" s="2672" cm="1" t="n">
        <f t="array" ref="O169">INDEX('5층_부하량'!G3:G3000,MATCH(1,("5-DaHall 1-PDU-05"='5층_부하량'!A3:A3000)*(12='5층_부하량'!B3:B3000),0))</f>
        <v>0.0</v>
      </c>
      <c r="P169" s="21"/>
      <c r="Q169" s="21"/>
      <c r="R169" s="69" t="s">
        <v>4590</v>
      </c>
      <c r="S169" s="17" t="s">
        <v>4642</v>
      </c>
      <c r="T169" s="68"/>
    </row>
    <row r="170" spans="1:20" ht="18" customHeight="1" x14ac:dyDescent="0.15">
      <c r="A170" s="16"/>
      <c r="B170" s="17" t="s">
        <v>4590</v>
      </c>
      <c r="C170" s="17" t="s">
        <v>4642</v>
      </c>
      <c r="D170" s="21"/>
      <c r="E170" s="21"/>
      <c r="F170" s="2672" cm="1" t="n">
        <f t="array" ref="F170">INDEX('5층_부하량'!H3:H3000,MATCH(1,("5-DaHall 1-PDU-05"='5층_부하량'!A3:A3000)*(13='5층_부하량'!B3:B3000),0))</f>
        <v>0.0</v>
      </c>
      <c r="G170" s="21"/>
      <c r="H170" s="17" t="s">
        <v>4597</v>
      </c>
      <c r="I170" s="549" t="s">
        <v>4657</v>
      </c>
      <c r="J170" s="303"/>
      <c r="K170" s="66"/>
      <c r="L170" s="549" t="s">
        <v>4601</v>
      </c>
      <c r="M170" s="17" t="s">
        <v>4597</v>
      </c>
      <c r="N170" s="21"/>
      <c r="O170" s="21"/>
      <c r="P170" s="2672" cm="1" t="n">
        <f t="array" ref="P170">INDEX('5층_부하량'!H3:H3000,MATCH(1,("5-DaHall 1-PDU-05"='5층_부하량'!A3:A3000)*(14='5층_부하량'!B3:B3000),0))</f>
        <v>0.0</v>
      </c>
      <c r="Q170" s="21"/>
      <c r="R170" s="69" t="s">
        <v>4590</v>
      </c>
      <c r="S170" s="17" t="s">
        <v>4642</v>
      </c>
      <c r="T170" s="70"/>
    </row>
    <row r="171" spans="1:20" ht="18" customHeight="1" x14ac:dyDescent="0.15">
      <c r="A171" s="321"/>
      <c r="B171" s="17" t="s">
        <v>565</v>
      </c>
      <c r="C171" s="17" t="s">
        <v>4723</v>
      </c>
      <c r="D171" s="2672" cm="1" t="n">
        <f t="array" ref="D171">INDEX('5층_부하량'!F3:F3000,MATCH(1,("5-DaHall 1-PDU-05"='5층_부하량'!A3:A3000)*(15='5층_부하량'!B3:B3000),0))</f>
        <v>0.0</v>
      </c>
      <c r="E171" s="19"/>
      <c r="F171" s="19"/>
      <c r="G171" s="21"/>
      <c r="H171" s="17" t="s">
        <v>4597</v>
      </c>
      <c r="I171" s="549" t="s">
        <v>4661</v>
      </c>
      <c r="J171" s="303"/>
      <c r="K171" s="66"/>
      <c r="L171" s="549" t="s">
        <v>4603</v>
      </c>
      <c r="M171" s="17" t="s">
        <v>4597</v>
      </c>
      <c r="N171" s="2672" cm="1" t="n">
        <f t="array" ref="N171">INDEX('5층_부하량'!F3:F3000,MATCH(1,("5-DaHall 1-PDU-05"='5층_부하량'!A3:A3000)*(16='5층_부하량'!B3:B3000),0))</f>
        <v>0.0</v>
      </c>
      <c r="O171" s="19"/>
      <c r="P171" s="19"/>
      <c r="Q171" s="21"/>
      <c r="R171" s="69" t="s">
        <v>4590</v>
      </c>
      <c r="S171" s="17" t="s">
        <v>4642</v>
      </c>
      <c r="T171" s="68"/>
    </row>
    <row r="172" spans="1:20" ht="18" customHeight="1" x14ac:dyDescent="0.15">
      <c r="A172" s="16"/>
      <c r="B172" s="17" t="s">
        <v>565</v>
      </c>
      <c r="C172" s="17" t="s">
        <v>4723</v>
      </c>
      <c r="D172" s="21"/>
      <c r="E172" s="2672" cm="1" t="n">
        <f t="array" ref="E172">INDEX('5층_부하량'!G3:G3000,MATCH(1,("5-DaHall 1-PDU-05"='5층_부하량'!A3:A3000)*(17='5층_부하량'!B3:B3000),0))</f>
        <v>0.0</v>
      </c>
      <c r="F172" s="21"/>
      <c r="G172" s="21"/>
      <c r="H172" s="17" t="s">
        <v>4597</v>
      </c>
      <c r="I172" s="549" t="s">
        <v>4665</v>
      </c>
      <c r="J172" s="303"/>
      <c r="K172" s="66"/>
      <c r="L172" s="549" t="s">
        <v>4605</v>
      </c>
      <c r="M172" s="17" t="s">
        <v>4597</v>
      </c>
      <c r="N172" s="21"/>
      <c r="O172" s="2672" cm="1" t="n">
        <f t="array" ref="O172">INDEX('5층_부하량'!G3:G3000,MATCH(1,("5-DaHall 1-PDU-05"='5층_부하량'!A3:A3000)*(18='5층_부하량'!B3:B3000),0))</f>
        <v>0.0</v>
      </c>
      <c r="P172" s="21"/>
      <c r="Q172" s="21"/>
      <c r="R172" s="69" t="s">
        <v>4590</v>
      </c>
      <c r="S172" s="17" t="s">
        <v>4642</v>
      </c>
      <c r="T172" s="70"/>
    </row>
    <row r="173" spans="1:20" ht="18" customHeight="1" x14ac:dyDescent="0.15">
      <c r="A173" s="321"/>
      <c r="B173" s="17" t="s">
        <v>565</v>
      </c>
      <c r="C173" s="17" t="s">
        <v>4723</v>
      </c>
      <c r="D173" s="21"/>
      <c r="E173" s="21"/>
      <c r="F173" s="2672" cm="1" t="n">
        <f t="array" ref="F173">INDEX('5층_부하량'!H3:H3000,MATCH(1,("5-DaHall 1-PDU-05"='5층_부하량'!A3:A3000)*(19='5층_부하량'!B3:B3000),0))</f>
        <v>0.0</v>
      </c>
      <c r="G173" s="21"/>
      <c r="H173" s="17" t="s">
        <v>4597</v>
      </c>
      <c r="I173" s="549" t="s">
        <v>4670</v>
      </c>
      <c r="J173" s="303"/>
      <c r="K173" s="66"/>
      <c r="L173" s="549" t="s">
        <v>4609</v>
      </c>
      <c r="M173" s="17" t="s">
        <v>4597</v>
      </c>
      <c r="N173" s="21"/>
      <c r="O173" s="21"/>
      <c r="P173" s="2672" cm="1" t="n">
        <f t="array" ref="P173">INDEX('5층_부하량'!H3:H3000,MATCH(1,("5-DaHall 1-PDU-05"='5층_부하량'!A3:A3000)*(20='5층_부하량'!B3:B3000),0))</f>
        <v>0.0</v>
      </c>
      <c r="Q173" s="21"/>
      <c r="R173" s="69" t="s">
        <v>4590</v>
      </c>
      <c r="S173" s="17" t="s">
        <v>4642</v>
      </c>
      <c r="T173" s="70"/>
    </row>
    <row r="174" spans="1:20" ht="18" customHeight="1" x14ac:dyDescent="0.15">
      <c r="A174" s="16"/>
      <c r="B174" s="17" t="s">
        <v>565</v>
      </c>
      <c r="C174" s="17" t="s">
        <v>4723</v>
      </c>
      <c r="D174" s="2672" cm="1" t="n">
        <f t="array" ref="D174">INDEX('5층_부하량'!F3:F3000,MATCH(1,("5-DaHall 1-PDU-05"='5층_부하량'!A3:A3000)*(21='5층_부하량'!B3:B3000),0))</f>
        <v>0.0</v>
      </c>
      <c r="E174" s="19"/>
      <c r="F174" s="19"/>
      <c r="G174" s="21"/>
      <c r="H174" s="17" t="s">
        <v>4597</v>
      </c>
      <c r="I174" s="549" t="s">
        <v>4674</v>
      </c>
      <c r="J174" s="303"/>
      <c r="K174" s="66"/>
      <c r="L174" s="549" t="s">
        <v>4613</v>
      </c>
      <c r="M174" s="17" t="s">
        <v>4597</v>
      </c>
      <c r="N174" s="2672" cm="1" t="n">
        <f t="array" ref="N174">INDEX('5층_부하량'!F3:F3000,MATCH(1,("5-DaHall 1-PDU-05"='5층_부하량'!A3:A3000)*(22='5층_부하량'!B3:B3000),0))</f>
        <v>0.0</v>
      </c>
      <c r="O174" s="19"/>
      <c r="P174" s="19"/>
      <c r="Q174" s="21"/>
      <c r="R174" s="69" t="s">
        <v>4631</v>
      </c>
      <c r="S174" s="17" t="s">
        <v>4642</v>
      </c>
      <c r="T174" s="70" t="s">
        <v>5818</v>
      </c>
    </row>
    <row r="175" spans="1:20" ht="18" customHeight="1" x14ac:dyDescent="0.15">
      <c r="A175" s="321"/>
      <c r="B175" s="17" t="s">
        <v>565</v>
      </c>
      <c r="C175" s="17" t="s">
        <v>4723</v>
      </c>
      <c r="D175" s="21"/>
      <c r="E175" s="2672" cm="1" t="n">
        <f t="array" ref="E175">INDEX('5층_부하량'!G3:G3000,MATCH(1,("5-DaHall 1-PDU-05"='5층_부하량'!A3:A3000)*(23='5층_부하량'!B3:B3000),0))</f>
        <v>0.0</v>
      </c>
      <c r="F175" s="21"/>
      <c r="G175" s="21"/>
      <c r="H175" s="17" t="s">
        <v>4597</v>
      </c>
      <c r="I175" s="549" t="s">
        <v>4678</v>
      </c>
      <c r="J175" s="303"/>
      <c r="K175" s="66"/>
      <c r="L175" s="549" t="s">
        <v>4680</v>
      </c>
      <c r="M175" s="17" t="s">
        <v>4597</v>
      </c>
      <c r="N175" s="21"/>
      <c r="O175" s="2672" cm="1" t="n">
        <f t="array" ref="O175">INDEX('5층_부하량'!G3:G3000,MATCH(1,("5-DaHall 1-PDU-05"='5층_부하량'!A3:A3000)*(24='5층_부하량'!B3:B3000),0))</f>
        <v>0.0</v>
      </c>
      <c r="P175" s="21"/>
      <c r="Q175" s="21"/>
      <c r="R175" s="69" t="s">
        <v>4631</v>
      </c>
      <c r="S175" s="17" t="s">
        <v>4642</v>
      </c>
      <c r="T175" s="70" t="s">
        <v>5819</v>
      </c>
    </row>
    <row r="176" spans="1:20" ht="18" customHeight="1" x14ac:dyDescent="0.15">
      <c r="A176" s="321"/>
      <c r="B176" s="17" t="s">
        <v>565</v>
      </c>
      <c r="C176" s="17" t="s">
        <v>4723</v>
      </c>
      <c r="D176" s="21"/>
      <c r="E176" s="21"/>
      <c r="F176" s="2672" cm="1" t="n">
        <f t="array" ref="F176">INDEX('5층_부하량'!H3:H3000,MATCH(1,("5-DaHall 1-PDU-05"='5층_부하량'!A3:A3000)*(25='5층_부하량'!B3:B3000),0))</f>
        <v>0.0</v>
      </c>
      <c r="G176" s="21"/>
      <c r="H176" s="17" t="s">
        <v>4597</v>
      </c>
      <c r="I176" s="549" t="s">
        <v>4683</v>
      </c>
      <c r="J176" s="303"/>
      <c r="K176" s="66"/>
      <c r="L176" s="549" t="s">
        <v>4685</v>
      </c>
      <c r="M176" s="17" t="s">
        <v>4597</v>
      </c>
      <c r="N176" s="21"/>
      <c r="O176" s="21"/>
      <c r="P176" s="2672" cm="1" t="n">
        <f t="array" ref="P176">INDEX('5층_부하량'!H3:H3000,MATCH(1,("5-DaHall 1-PDU-05"='5층_부하량'!A3:A3000)*(26='5층_부하량'!B3:B3000),0))</f>
        <v>0.0</v>
      </c>
      <c r="Q176" s="21"/>
      <c r="R176" s="69" t="s">
        <v>4631</v>
      </c>
      <c r="S176" s="17" t="s">
        <v>4642</v>
      </c>
      <c r="T176" s="70" t="s">
        <v>5820</v>
      </c>
    </row>
    <row r="177" spans="1:20" ht="18" customHeight="1" x14ac:dyDescent="0.15">
      <c r="A177" s="16"/>
      <c r="B177" s="17" t="s">
        <v>565</v>
      </c>
      <c r="C177" s="17" t="s">
        <v>4723</v>
      </c>
      <c r="D177" s="2672" cm="1" t="n">
        <f t="array" ref="D177">INDEX('5층_부하량'!F3:F3000,MATCH(1,("5-DaHall 1-PDU-05"='5층_부하량'!A3:A3000)*(27='5층_부하량'!B3:B3000),0))</f>
        <v>0.0</v>
      </c>
      <c r="E177" s="19"/>
      <c r="F177" s="19"/>
      <c r="G177" s="21"/>
      <c r="H177" s="17" t="s">
        <v>4597</v>
      </c>
      <c r="I177" s="549" t="s">
        <v>4688</v>
      </c>
      <c r="J177" s="303"/>
      <c r="K177" s="66"/>
      <c r="L177" s="549" t="s">
        <v>4689</v>
      </c>
      <c r="M177" s="17" t="s">
        <v>4597</v>
      </c>
      <c r="N177" s="2672" cm="1" t="n">
        <f t="array" ref="N177">INDEX('5층_부하량'!F3:F3000,MATCH(1,("5-DaHall 1-PDU-05"='5층_부하량'!A3:A3000)*(28='5층_부하량'!B3:B3000),0))</f>
        <v>0.0</v>
      </c>
      <c r="O177" s="19"/>
      <c r="P177" s="19"/>
      <c r="Q177" s="21"/>
      <c r="R177" s="69" t="s">
        <v>4631</v>
      </c>
      <c r="S177" s="17" t="s">
        <v>4642</v>
      </c>
      <c r="T177" s="70" t="s">
        <v>5821</v>
      </c>
    </row>
    <row r="178" spans="1:20" ht="18" customHeight="1" x14ac:dyDescent="0.15">
      <c r="A178" s="321"/>
      <c r="B178" s="72" t="s">
        <v>565</v>
      </c>
      <c r="C178" s="72" t="s">
        <v>4723</v>
      </c>
      <c r="D178" s="21"/>
      <c r="E178" s="2672" cm="1" t="n">
        <f t="array" ref="E178">INDEX('5층_부하량'!G3:G3000,MATCH(1,("5-DaHall 1-PDU-05"='5층_부하량'!A3:A3000)*(29='5층_부하량'!B3:B3000),0))</f>
        <v>0.0</v>
      </c>
      <c r="F178" s="21"/>
      <c r="G178" s="74"/>
      <c r="H178" s="72" t="s">
        <v>4597</v>
      </c>
      <c r="I178" s="550" t="s">
        <v>4691</v>
      </c>
      <c r="J178" s="303"/>
      <c r="K178" s="96"/>
      <c r="L178" s="550" t="s">
        <v>4692</v>
      </c>
      <c r="M178" s="72" t="s">
        <v>4597</v>
      </c>
      <c r="N178" s="21"/>
      <c r="O178" s="2672" cm="1" t="n">
        <f t="array" ref="O178">INDEX('5층_부하량'!G3:G3000,MATCH(1,("5-DaHall 1-PDU-05"='5층_부하량'!A3:A3000)*(30='5층_부하량'!B3:B3000),0))</f>
        <v>0.0</v>
      </c>
      <c r="P178" s="21"/>
      <c r="Q178" s="74"/>
      <c r="R178" s="75" t="s">
        <v>4631</v>
      </c>
      <c r="S178" s="17" t="s">
        <v>4642</v>
      </c>
      <c r="T178" s="70" t="s">
        <v>5822</v>
      </c>
    </row>
    <row r="179" spans="1:20" ht="18" customHeight="1" x14ac:dyDescent="0.15">
      <c r="A179" s="16"/>
      <c r="B179" s="17" t="s">
        <v>565</v>
      </c>
      <c r="C179" s="17" t="s">
        <v>4723</v>
      </c>
      <c r="D179" s="21"/>
      <c r="E179" s="21"/>
      <c r="F179" s="2672" cm="1" t="n">
        <f t="array" ref="F179">INDEX('5층_부하량'!H3:H3000,MATCH(1,("5-DaHall 1-PDU-05"='5층_부하량'!A3:A3000)*(31='5층_부하량'!B3:B3000),0))</f>
        <v>0.0</v>
      </c>
      <c r="G179" s="21"/>
      <c r="H179" s="17" t="s">
        <v>4597</v>
      </c>
      <c r="I179" s="549" t="s">
        <v>4693</v>
      </c>
      <c r="J179" s="303"/>
      <c r="K179" s="66"/>
      <c r="L179" s="549" t="s">
        <v>4694</v>
      </c>
      <c r="M179" s="17" t="s">
        <v>4597</v>
      </c>
      <c r="N179" s="21"/>
      <c r="O179" s="21"/>
      <c r="P179" s="2672" cm="1" t="n">
        <f t="array" ref="P179">INDEX('5층_부하량'!H3:H3000,MATCH(1,("5-DaHall 1-PDU-05"='5층_부하량'!A3:A3000)*(32='5층_부하량'!B3:B3000),0))</f>
        <v>0.0</v>
      </c>
      <c r="Q179" s="21"/>
      <c r="R179" s="75" t="s">
        <v>4631</v>
      </c>
      <c r="S179" s="17" t="s">
        <v>4642</v>
      </c>
      <c r="T179" s="70" t="s">
        <v>5823</v>
      </c>
    </row>
    <row r="180" spans="1:20" ht="18" customHeight="1" x14ac:dyDescent="0.15">
      <c r="A180" s="321"/>
      <c r="B180" s="17" t="s">
        <v>565</v>
      </c>
      <c r="C180" s="17" t="s">
        <v>4723</v>
      </c>
      <c r="D180" s="2672" cm="1" t="n">
        <f t="array" ref="D180">INDEX('5층_부하량'!F3:F3000,MATCH(1,("5-DaHall 1-PDU-05"='5층_부하량'!A3:A3000)*(33='5층_부하량'!B3:B3000),0))</f>
        <v>0.0</v>
      </c>
      <c r="E180" s="19"/>
      <c r="F180" s="19"/>
      <c r="G180" s="21"/>
      <c r="H180" s="17" t="s">
        <v>4597</v>
      </c>
      <c r="I180" s="549" t="s">
        <v>4697</v>
      </c>
      <c r="J180" s="303"/>
      <c r="K180" s="66"/>
      <c r="L180" s="549" t="s">
        <v>4698</v>
      </c>
      <c r="M180" s="17" t="s">
        <v>4597</v>
      </c>
      <c r="N180" s="2672" cm="1" t="n">
        <f t="array" ref="N180">INDEX('5층_부하량'!F3:F3000,MATCH(1,("5-DaHall 1-PDU-05"='5층_부하량'!A3:A3000)*(34='5층_부하량'!B3:B3000),0))</f>
        <v>0.0</v>
      </c>
      <c r="O180" s="19"/>
      <c r="P180" s="19"/>
      <c r="Q180" s="21"/>
      <c r="R180" s="75" t="s">
        <v>4631</v>
      </c>
      <c r="S180" s="17" t="s">
        <v>4642</v>
      </c>
      <c r="T180" s="70" t="s">
        <v>3509</v>
      </c>
    </row>
    <row r="181" spans="1:20" ht="18" customHeight="1" x14ac:dyDescent="0.15">
      <c r="A181" s="16"/>
      <c r="B181" s="17" t="s">
        <v>565</v>
      </c>
      <c r="C181" s="17" t="s">
        <v>4723</v>
      </c>
      <c r="D181" s="21"/>
      <c r="E181" s="2672" cm="1" t="n">
        <f t="array" ref="E181">INDEX('5층_부하량'!G3:G3000,MATCH(1,("5-DaHall 1-PDU-05"='5층_부하량'!A3:A3000)*(35='5층_부하량'!B3:B3000),0))</f>
        <v>0.0</v>
      </c>
      <c r="F181" s="21"/>
      <c r="G181" s="21"/>
      <c r="H181" s="72" t="s">
        <v>4597</v>
      </c>
      <c r="I181" s="550" t="s">
        <v>4701</v>
      </c>
      <c r="J181" s="303"/>
      <c r="K181" s="66"/>
      <c r="L181" s="550" t="s">
        <v>4703</v>
      </c>
      <c r="M181" s="72" t="s">
        <v>4597</v>
      </c>
      <c r="N181" s="21"/>
      <c r="O181" s="2672" cm="1" t="n">
        <f t="array" ref="O181">INDEX('5층_부하량'!G3:G3000,MATCH(1,("5-DaHall 1-PDU-05"='5층_부하량'!A3:A3000)*(36='5층_부하량'!B3:B3000),0))</f>
        <v>0.0</v>
      </c>
      <c r="P181" s="21"/>
      <c r="Q181" s="21"/>
      <c r="R181" s="75" t="s">
        <v>4631</v>
      </c>
      <c r="S181" s="17" t="s">
        <v>4642</v>
      </c>
      <c r="T181" s="70" t="s">
        <v>3515</v>
      </c>
    </row>
    <row r="182" spans="1:20" ht="18" customHeight="1" x14ac:dyDescent="0.15">
      <c r="A182" s="321"/>
      <c r="B182" s="17" t="s">
        <v>565</v>
      </c>
      <c r="C182" s="17" t="s">
        <v>4723</v>
      </c>
      <c r="D182" s="21"/>
      <c r="E182" s="21"/>
      <c r="F182" s="2672" cm="1" t="n">
        <f t="array" ref="F182">INDEX('5층_부하량'!H3:H3000,MATCH(1,("5-DaHall 1-PDU-05"='5층_부하량'!A3:A3000)*(37='5층_부하량'!B3:B3000),0))</f>
        <v>0.0</v>
      </c>
      <c r="G182" s="21"/>
      <c r="H182" s="17" t="s">
        <v>4597</v>
      </c>
      <c r="I182" s="549" t="s">
        <v>4706</v>
      </c>
      <c r="J182" s="65"/>
      <c r="K182" s="66"/>
      <c r="L182" s="549" t="s">
        <v>4707</v>
      </c>
      <c r="M182" s="17" t="s">
        <v>4597</v>
      </c>
      <c r="N182" s="21"/>
      <c r="O182" s="21"/>
      <c r="P182" s="2672" cm="1" t="n">
        <f t="array" ref="P182">INDEX('5층_부하량'!H3:H3000,MATCH(1,("5-DaHall 1-PDU-05"='5층_부하량'!A3:A3000)*(38='5층_부하량'!B3:B3000),0))</f>
        <v>0.0</v>
      </c>
      <c r="Q182" s="21"/>
      <c r="R182" s="69" t="s">
        <v>4590</v>
      </c>
      <c r="S182" s="17" t="s">
        <v>4642</v>
      </c>
      <c r="T182" s="70"/>
    </row>
    <row r="183" spans="1:20" ht="18" customHeight="1" x14ac:dyDescent="0.15">
      <c r="A183" s="321"/>
      <c r="B183" s="17" t="s">
        <v>565</v>
      </c>
      <c r="C183" s="17" t="s">
        <v>4723</v>
      </c>
      <c r="D183" s="2672" cm="1" t="n">
        <f t="array" ref="D183">INDEX('5층_부하량'!F3:F3000,MATCH(1,("5-DaHall 1-PDU-05"='5층_부하량'!A3:A3000)*(39='5층_부하량'!B3:B3000),0))</f>
        <v>0.0</v>
      </c>
      <c r="E183" s="19"/>
      <c r="F183" s="19"/>
      <c r="G183" s="21"/>
      <c r="H183" s="17" t="s">
        <v>4597</v>
      </c>
      <c r="I183" s="549" t="s">
        <v>4710</v>
      </c>
      <c r="J183" s="65"/>
      <c r="K183" s="66"/>
      <c r="L183" s="549" t="s">
        <v>4711</v>
      </c>
      <c r="M183" s="17" t="s">
        <v>4597</v>
      </c>
      <c r="N183" s="2672" cm="1" t="n">
        <f t="array" ref="N183">INDEX('5층_부하량'!F3:F3000,MATCH(1,("5-DaHall 1-PDU-05"='5층_부하량'!A3:A3000)*(40='5층_부하량'!B3:B3000),0))</f>
        <v>0.0</v>
      </c>
      <c r="O183" s="19"/>
      <c r="P183" s="19"/>
      <c r="Q183" s="21"/>
      <c r="R183" s="69" t="s">
        <v>4590</v>
      </c>
      <c r="S183" s="17" t="s">
        <v>4642</v>
      </c>
      <c r="T183" s="70"/>
    </row>
    <row r="184" spans="1:20" ht="18" customHeight="1" x14ac:dyDescent="0.15">
      <c r="A184" s="321"/>
      <c r="B184" s="17" t="s">
        <v>565</v>
      </c>
      <c r="C184" s="17" t="s">
        <v>4723</v>
      </c>
      <c r="D184" s="21"/>
      <c r="E184" s="2672" cm="1" t="n">
        <f t="array" ref="E184">INDEX('5층_부하량'!G3:G3000,MATCH(1,("5-DaHall 1-PDU-05"='5층_부하량'!A3:A3000)*(41='5층_부하량'!B3:B3000),0))</f>
        <v>0.0</v>
      </c>
      <c r="F184" s="21"/>
      <c r="G184" s="21"/>
      <c r="H184" s="17" t="s">
        <v>4597</v>
      </c>
      <c r="I184" s="549" t="s">
        <v>5055</v>
      </c>
      <c r="J184" s="65"/>
      <c r="K184" s="66"/>
      <c r="L184" s="549" t="s">
        <v>4843</v>
      </c>
      <c r="M184" s="17" t="s">
        <v>4597</v>
      </c>
      <c r="N184" s="21"/>
      <c r="O184" s="2672" cm="1" t="n">
        <f t="array" ref="O184">INDEX('5층_부하량'!G3:G3000,MATCH(1,("5-DaHall 1-PDU-05"='5층_부하량'!A3:A3000)*(42='5층_부하량'!B3:B3000),0))</f>
        <v>0.0</v>
      </c>
      <c r="P184" s="21"/>
      <c r="Q184" s="21"/>
      <c r="R184" s="69" t="s">
        <v>4590</v>
      </c>
      <c r="S184" s="17" t="s">
        <v>4642</v>
      </c>
      <c r="T184" s="70"/>
    </row>
    <row r="185" spans="1:20" ht="18" customHeight="1" x14ac:dyDescent="0.15">
      <c r="A185" s="99"/>
      <c r="B185" s="17" t="s">
        <v>565</v>
      </c>
      <c r="C185" s="17" t="s">
        <v>4723</v>
      </c>
      <c r="D185" s="21"/>
      <c r="E185" s="21"/>
      <c r="F185" s="2672" cm="1" t="n">
        <f t="array" ref="F185">INDEX('5층_부하량'!H3:H3000,MATCH(1,("5-DaHall 1-PDU-05"='5층_부하량'!A3:A3000)*(43='5층_부하량'!B3:B3000),0))</f>
        <v>0.0</v>
      </c>
      <c r="G185" s="21"/>
      <c r="H185" s="17" t="s">
        <v>4597</v>
      </c>
      <c r="I185" s="549" t="s">
        <v>4845</v>
      </c>
      <c r="J185" s="65"/>
      <c r="K185" s="66"/>
      <c r="L185" s="549" t="s">
        <v>4846</v>
      </c>
      <c r="M185" s="17" t="s">
        <v>4597</v>
      </c>
      <c r="N185" s="21"/>
      <c r="O185" s="21"/>
      <c r="P185" s="2672" cm="1" t="n">
        <f t="array" ref="P185">INDEX('5층_부하량'!H3:H3000,MATCH(1,("5-DaHall 1-PDU-05"='5층_부하량'!A3:A3000)*(44='5층_부하량'!B3:B3000),0))</f>
        <v>0.0</v>
      </c>
      <c r="Q185" s="21"/>
      <c r="R185" s="69" t="s">
        <v>4590</v>
      </c>
      <c r="S185" s="17" t="s">
        <v>4642</v>
      </c>
      <c r="T185" s="70"/>
    </row>
    <row r="186" spans="1:20" ht="18" customHeight="1" x14ac:dyDescent="0.15">
      <c r="A186" s="321"/>
      <c r="B186" s="17" t="s">
        <v>565</v>
      </c>
      <c r="C186" s="17" t="s">
        <v>4723</v>
      </c>
      <c r="D186" s="2672" cm="1" t="n">
        <f t="array" ref="D186">INDEX('5층_부하량'!F3:F3000,MATCH(1,("5-DaHall 1-PDU-05"='5층_부하량'!A3:A3000)*(45='5층_부하량'!B3:B3000),0))</f>
        <v>0.0</v>
      </c>
      <c r="E186" s="19"/>
      <c r="F186" s="19"/>
      <c r="G186" s="21"/>
      <c r="H186" s="17" t="s">
        <v>4597</v>
      </c>
      <c r="I186" s="549" t="s">
        <v>4847</v>
      </c>
      <c r="J186" s="65"/>
      <c r="K186" s="66"/>
      <c r="L186" s="549" t="s">
        <v>4848</v>
      </c>
      <c r="M186" s="17" t="s">
        <v>4597</v>
      </c>
      <c r="N186" s="2672" cm="1" t="n">
        <f t="array" ref="N186">INDEX('5층_부하량'!F3:F3000,MATCH(1,("5-DaHall 1-PDU-05"='5층_부하량'!A3:A3000)*(46='5층_부하량'!B3:B3000),0))</f>
        <v>0.0</v>
      </c>
      <c r="O186" s="19"/>
      <c r="P186" s="19"/>
      <c r="Q186" s="21"/>
      <c r="R186" s="69" t="s">
        <v>4590</v>
      </c>
      <c r="S186" s="17" t="s">
        <v>4642</v>
      </c>
      <c r="T186" s="70"/>
    </row>
    <row r="187" spans="1:20" ht="18" customHeight="1" x14ac:dyDescent="0.15">
      <c r="A187" s="321"/>
      <c r="B187" s="17" t="s">
        <v>565</v>
      </c>
      <c r="C187" s="17" t="s">
        <v>4723</v>
      </c>
      <c r="D187" s="21"/>
      <c r="E187" s="2672" cm="1" t="n">
        <f t="array" ref="E187">INDEX('5층_부하량'!G3:G3000,MATCH(1,("5-DaHall 1-PDU-05"='5층_부하량'!A3:A3000)*(47='5층_부하량'!B3:B3000),0))</f>
        <v>0.0</v>
      </c>
      <c r="F187" s="21"/>
      <c r="G187" s="21"/>
      <c r="H187" s="17" t="s">
        <v>4597</v>
      </c>
      <c r="I187" s="549" t="s">
        <v>4849</v>
      </c>
      <c r="J187" s="65"/>
      <c r="K187" s="66"/>
      <c r="L187" s="549" t="s">
        <v>4850</v>
      </c>
      <c r="M187" s="17" t="s">
        <v>4597</v>
      </c>
      <c r="N187" s="21"/>
      <c r="O187" s="2672" cm="1" t="n">
        <f t="array" ref="O187">INDEX('5층_부하량'!G3:G3000,MATCH(1,("5-DaHall 1-PDU-05"='5층_부하량'!A3:A3000)*(48='5층_부하량'!B3:B3000),0))</f>
        <v>0.0</v>
      </c>
      <c r="P187" s="21"/>
      <c r="Q187" s="21"/>
      <c r="R187" s="69" t="s">
        <v>4590</v>
      </c>
      <c r="S187" s="17" t="s">
        <v>4642</v>
      </c>
      <c r="T187" s="70"/>
    </row>
    <row r="188" spans="1:20" ht="18" customHeight="1" x14ac:dyDescent="0.15">
      <c r="A188" s="321"/>
      <c r="B188" s="23" t="s">
        <v>565</v>
      </c>
      <c r="C188" s="17" t="s">
        <v>4723</v>
      </c>
      <c r="D188" s="21"/>
      <c r="E188" s="21"/>
      <c r="F188" s="2672" cm="1" t="n">
        <f t="array" ref="F188">INDEX('5층_부하량'!H3:H3000,MATCH(1,("5-DaHall 1-PDU-05"='5층_부하량'!A3:A3000)*(49='5층_부하량'!B3:B3000),0))</f>
        <v>0.0</v>
      </c>
      <c r="G188" s="21"/>
      <c r="H188" s="17" t="s">
        <v>4597</v>
      </c>
      <c r="I188" s="549" t="s">
        <v>4851</v>
      </c>
      <c r="J188" s="65"/>
      <c r="K188" s="66"/>
      <c r="L188" s="549" t="s">
        <v>4852</v>
      </c>
      <c r="M188" s="17" t="s">
        <v>4597</v>
      </c>
      <c r="N188" s="21"/>
      <c r="O188" s="21"/>
      <c r="P188" s="2672" cm="1" t="n">
        <f t="array" ref="P188">INDEX('5층_부하량'!H3:H3000,MATCH(1,("5-DaHall 1-PDU-05"='5층_부하량'!A3:A3000)*(50='5층_부하량'!B3:B3000),0))</f>
        <v>0.0</v>
      </c>
      <c r="Q188" s="21"/>
      <c r="R188" s="69" t="s">
        <v>4590</v>
      </c>
      <c r="S188" s="17" t="s">
        <v>4642</v>
      </c>
      <c r="T188" s="70"/>
    </row>
    <row r="189" spans="1:20" ht="18" customHeight="1" x14ac:dyDescent="0.15">
      <c r="A189" s="321"/>
      <c r="B189" s="17" t="s">
        <v>565</v>
      </c>
      <c r="C189" s="17" t="s">
        <v>4723</v>
      </c>
      <c r="D189" s="2672" cm="1" t="n">
        <f t="array" ref="D189">INDEX('5층_부하량'!F3:F3000,MATCH(1,("5-DaHall 1-PDU-05"='5층_부하량'!A3:A3000)*(51='5층_부하량'!B3:B3000),0))</f>
        <v>0.0</v>
      </c>
      <c r="E189" s="21"/>
      <c r="F189" s="21"/>
      <c r="G189" s="21"/>
      <c r="H189" s="17" t="s">
        <v>4597</v>
      </c>
      <c r="I189" s="549" t="s">
        <v>4791</v>
      </c>
      <c r="J189" s="65"/>
      <c r="K189" s="66"/>
      <c r="L189" s="549" t="s">
        <v>4793</v>
      </c>
      <c r="M189" s="17" t="s">
        <v>4597</v>
      </c>
      <c r="N189" s="2672" cm="1" t="n">
        <f t="array" ref="N189">INDEX('5층_부하량'!F3:F3000,MATCH(1,("5-DaHall 1-PDU-05"='5층_부하량'!A3:A3000)*(52='5층_부하량'!B3:B3000),0))</f>
        <v>0.0</v>
      </c>
      <c r="O189" s="21"/>
      <c r="P189" s="21"/>
      <c r="Q189" s="21"/>
      <c r="R189" s="69" t="s">
        <v>4590</v>
      </c>
      <c r="S189" s="17" t="s">
        <v>4642</v>
      </c>
      <c r="T189" s="70"/>
    </row>
    <row r="190" spans="1:20" ht="18" customHeight="1" thickBot="1" x14ac:dyDescent="0.2">
      <c r="A190" s="38"/>
      <c r="B190" s="29" t="s">
        <v>565</v>
      </c>
      <c r="C190" s="35" t="s">
        <v>4723</v>
      </c>
      <c r="D190" s="30"/>
      <c r="E190" s="2674" cm="1" t="n">
        <f t="array" ref="E190">INDEX('5층_부하량'!G3:G3000,MATCH(1,("5-DaHall 1-PDU-05"='5층_부하량'!A3:A3000)*(53='5층_부하량'!B3:B3000),0))</f>
        <v>0.0</v>
      </c>
      <c r="F190" s="30"/>
      <c r="G190" s="36"/>
      <c r="H190" s="35" t="s">
        <v>4597</v>
      </c>
      <c r="I190" s="551" t="s">
        <v>4796</v>
      </c>
      <c r="J190" s="76"/>
      <c r="K190" s="77"/>
      <c r="L190" s="551" t="s">
        <v>4797</v>
      </c>
      <c r="M190" s="35" t="s">
        <v>4597</v>
      </c>
      <c r="N190" s="30"/>
      <c r="O190" s="2674" cm="1" t="n">
        <f t="array" ref="O190">INDEX('5층_부하량'!G3:G3000,MATCH(1,("5-DaHall 1-PDU-05"='5층_부하량'!A3:A3000)*(54='5층_부하량'!B3:B3000),0))</f>
        <v>0.0</v>
      </c>
      <c r="P190" s="30"/>
      <c r="Q190" s="36"/>
      <c r="R190" s="78" t="s">
        <v>4590</v>
      </c>
      <c r="S190" s="35" t="s">
        <v>4642</v>
      </c>
      <c r="T190" s="79"/>
    </row>
    <row r="191" spans="1:20" ht="18" customHeight="1" thickTop="1" thickBot="1" x14ac:dyDescent="0.2">
      <c r="M191" s="80" t="s">
        <v>5645</v>
      </c>
      <c r="N191" s="33" t="n">
        <f>SUM(D164:D190,N164:N190)</f>
        <v>0.0</v>
      </c>
      <c r="O191" s="33" t="n">
        <f>SUM(E164:E190,O164:O190)</f>
        <v>0.0</v>
      </c>
      <c r="P191" s="33" t="n">
        <f>SUM(F164:F190,P164:P190)</f>
        <v>0.0</v>
      </c>
    </row>
    <row r="192" spans="1:20" ht="20.25" thickTop="1" thickBot="1" x14ac:dyDescent="0.2">
      <c r="A192" s="2" t="s">
        <v>6950</v>
      </c>
      <c r="C192" s="3660" t="s">
        <v>5824</v>
      </c>
      <c r="D192" s="3660"/>
      <c r="E192" s="3660"/>
      <c r="F192" s="3660"/>
      <c r="G192" s="53"/>
      <c r="H192" s="124"/>
      <c r="I192" s="124"/>
      <c r="J192" s="3661" t="s">
        <v>5653</v>
      </c>
      <c r="K192" s="3667"/>
      <c r="L192" s="124"/>
      <c r="M192" s="124"/>
      <c r="N192" s="53"/>
      <c r="O192" s="53"/>
      <c r="P192" s="53"/>
      <c r="Q192" s="53"/>
      <c r="R192" s="53"/>
      <c r="S192" s="53"/>
    </row>
    <row r="193" spans="1:20" ht="15" thickTop="1" thickBot="1" x14ac:dyDescent="0.2">
      <c r="A193" s="3"/>
      <c r="D193" s="54"/>
      <c r="E193" s="54"/>
      <c r="F193" s="54"/>
      <c r="G193" s="54"/>
      <c r="H193" s="4"/>
      <c r="I193" s="4"/>
      <c r="K193" s="56"/>
      <c r="L193" s="565"/>
      <c r="M193" s="1371" t="s">
        <v>4562</v>
      </c>
      <c r="N193" s="1368"/>
      <c r="O193" s="1369"/>
      <c r="P193" s="1370"/>
      <c r="Q193" s="508" t="s">
        <v>4563</v>
      </c>
      <c r="R193" s="133"/>
      <c r="S193" s="128"/>
      <c r="T193" s="528"/>
    </row>
    <row r="194" spans="1:20" ht="15" thickTop="1" thickBot="1" x14ac:dyDescent="0.2">
      <c r="A194" s="5" t="s">
        <v>4564</v>
      </c>
      <c r="B194" s="6" t="s">
        <v>4565</v>
      </c>
      <c r="C194" s="7" t="s">
        <v>4566</v>
      </c>
      <c r="D194" s="6" t="s">
        <v>4567</v>
      </c>
      <c r="E194" s="6" t="s">
        <v>4568</v>
      </c>
      <c r="F194" s="6" t="s">
        <v>4569</v>
      </c>
      <c r="G194" s="6" t="s">
        <v>4570</v>
      </c>
      <c r="H194" s="8" t="s">
        <v>4571</v>
      </c>
      <c r="I194" s="547"/>
      <c r="J194" s="58" t="s">
        <v>4572</v>
      </c>
      <c r="K194" s="59" t="s">
        <v>4572</v>
      </c>
      <c r="L194" s="566"/>
      <c r="M194" s="8" t="s">
        <v>4571</v>
      </c>
      <c r="N194" s="6" t="s">
        <v>4567</v>
      </c>
      <c r="O194" s="6" t="s">
        <v>4568</v>
      </c>
      <c r="P194" s="6" t="s">
        <v>4569</v>
      </c>
      <c r="Q194" s="6" t="s">
        <v>4570</v>
      </c>
      <c r="R194" s="6" t="s">
        <v>4565</v>
      </c>
      <c r="S194" s="7" t="s">
        <v>4566</v>
      </c>
      <c r="T194" s="60" t="s">
        <v>4564</v>
      </c>
    </row>
    <row r="195" spans="1:20" ht="14.25" thickTop="1" x14ac:dyDescent="0.15">
      <c r="A195" s="10"/>
      <c r="B195" s="11" t="s">
        <v>565</v>
      </c>
      <c r="C195" s="13" t="s">
        <v>4723</v>
      </c>
      <c r="D195" s="15"/>
      <c r="E195" s="15"/>
      <c r="F195" s="2669" cm="1" t="n">
        <f t="array" ref="F195">INDEX('5층_부하량'!H3:H3000,MATCH(1,("5-DaHall 1-PDU-06"='5층_부하량'!A3:A3000)*(1='5층_부하량'!B3:B3000),0))</f>
        <v>0.0</v>
      </c>
      <c r="G195" s="15"/>
      <c r="H195" s="11" t="s">
        <v>4576</v>
      </c>
      <c r="I195" s="548" t="s">
        <v>4633</v>
      </c>
      <c r="J195" s="302"/>
      <c r="K195" s="62"/>
      <c r="L195" s="548" t="s">
        <v>4578</v>
      </c>
      <c r="M195" s="11" t="s">
        <v>4576</v>
      </c>
      <c r="N195" s="15"/>
      <c r="O195" s="15"/>
      <c r="P195" s="2669" cm="1" t="n">
        <f t="array" ref="P195">INDEX('5층_부하량'!H3:H3000,MATCH(1,("5-DaHall 1-PDU-06"='5층_부하량'!A3:A3000)*(2='5층_부하량'!B3:B3000),0))</f>
        <v>0.0</v>
      </c>
      <c r="Q195" s="15"/>
      <c r="R195" s="17" t="s">
        <v>565</v>
      </c>
      <c r="S195" s="17" t="s">
        <v>4723</v>
      </c>
      <c r="T195" s="98"/>
    </row>
    <row r="196" spans="1:20" x14ac:dyDescent="0.15">
      <c r="A196" s="16"/>
      <c r="B196" s="17" t="s">
        <v>565</v>
      </c>
      <c r="C196" s="17" t="s">
        <v>4723</v>
      </c>
      <c r="D196" s="2672" cm="1" t="n">
        <f t="array" ref="D196">INDEX('5층_부하량'!F3:F3000,MATCH(1,("5-DaHall 1-PDU-06"='5층_부하량'!A3:A3000)*(3='5층_부하량'!B3:B3000),0))</f>
        <v>0.0</v>
      </c>
      <c r="E196" s="19"/>
      <c r="F196" s="19"/>
      <c r="G196" s="19"/>
      <c r="H196" s="17" t="s">
        <v>4576</v>
      </c>
      <c r="I196" s="549" t="s">
        <v>4638</v>
      </c>
      <c r="J196" s="303"/>
      <c r="K196" s="66"/>
      <c r="L196" s="549" t="s">
        <v>4583</v>
      </c>
      <c r="M196" s="17" t="s">
        <v>4576</v>
      </c>
      <c r="N196" s="2672" cm="1" t="n">
        <f t="array" ref="N196">INDEX('5층_부하량'!F3:F3000,MATCH(1,("5-DaHall 1-PDU-06"='5층_부하량'!A3:A3000)*(4='5층_부하량'!B3:B3000),0))</f>
        <v>0.0</v>
      </c>
      <c r="O196" s="19"/>
      <c r="P196" s="19"/>
      <c r="Q196" s="19"/>
      <c r="R196" s="17" t="s">
        <v>565</v>
      </c>
      <c r="S196" s="17" t="s">
        <v>4723</v>
      </c>
      <c r="T196" s="68"/>
    </row>
    <row r="197" spans="1:20" x14ac:dyDescent="0.15">
      <c r="A197" s="321"/>
      <c r="B197" s="17" t="s">
        <v>565</v>
      </c>
      <c r="C197" s="17" t="s">
        <v>4723</v>
      </c>
      <c r="D197" s="21"/>
      <c r="E197" s="2672" cm="1" t="n">
        <f t="array" ref="E197">INDEX('5층_부하량'!G3:G3000,MATCH(1,("5-DaHall 1-PDU-06"='5층_부하량'!A3:A3000)*(5='5층_부하량'!B3:B3000),0))</f>
        <v>0.0</v>
      </c>
      <c r="F197" s="21"/>
      <c r="G197" s="21"/>
      <c r="H197" s="17" t="s">
        <v>4576</v>
      </c>
      <c r="I197" s="549" t="s">
        <v>4641</v>
      </c>
      <c r="J197" s="303"/>
      <c r="K197" s="66"/>
      <c r="L197" s="549" t="s">
        <v>4588</v>
      </c>
      <c r="M197" s="17" t="s">
        <v>4576</v>
      </c>
      <c r="N197" s="21"/>
      <c r="O197" s="2672" cm="1" t="n">
        <f t="array" ref="O197">INDEX('5층_부하량'!G3:G3000,MATCH(1,("5-DaHall 1-PDU-06"='5층_부하량'!A3:A3000)*(6='5층_부하량'!B3:B3000),0))</f>
        <v>0.0</v>
      </c>
      <c r="P197" s="21"/>
      <c r="Q197" s="21"/>
      <c r="R197" s="17" t="s">
        <v>565</v>
      </c>
      <c r="S197" s="17" t="s">
        <v>4723</v>
      </c>
      <c r="T197" s="70"/>
    </row>
    <row r="198" spans="1:20" x14ac:dyDescent="0.15">
      <c r="A198" s="16"/>
      <c r="B198" s="17" t="s">
        <v>565</v>
      </c>
      <c r="C198" s="17" t="s">
        <v>4723</v>
      </c>
      <c r="D198" s="21"/>
      <c r="E198" s="21"/>
      <c r="F198" s="2672" cm="1" t="n">
        <f t="array" ref="F198">INDEX('5층_부하량'!H3:H3000,MATCH(1,("5-DaHall 1-PDU-06"='5층_부하량'!A3:A3000)*(7='5층_부하량'!B3:B3000),0))</f>
        <v>0.0</v>
      </c>
      <c r="G198" s="21"/>
      <c r="H198" s="17" t="s">
        <v>4576</v>
      </c>
      <c r="I198" s="549" t="s">
        <v>4645</v>
      </c>
      <c r="J198" s="303"/>
      <c r="K198" s="66"/>
      <c r="L198" s="549" t="s">
        <v>4593</v>
      </c>
      <c r="M198" s="17" t="s">
        <v>4576</v>
      </c>
      <c r="N198" s="21"/>
      <c r="O198" s="21"/>
      <c r="P198" s="2672" cm="1" t="n">
        <f t="array" ref="P198">INDEX('5층_부하량'!H3:H3000,MATCH(1,("5-DaHall 1-PDU-06"='5층_부하량'!A3:A3000)*(8='5층_부하량'!B3:B3000),0))</f>
        <v>0.0</v>
      </c>
      <c r="Q198" s="21"/>
      <c r="R198" s="17" t="s">
        <v>565</v>
      </c>
      <c r="S198" s="17" t="s">
        <v>4723</v>
      </c>
      <c r="T198" s="68"/>
    </row>
    <row r="199" spans="1:20" x14ac:dyDescent="0.15">
      <c r="A199" s="321"/>
      <c r="B199" s="17" t="s">
        <v>565</v>
      </c>
      <c r="C199" s="17" t="s">
        <v>4723</v>
      </c>
      <c r="D199" s="2672" cm="1" t="n">
        <f t="array" ref="D199">INDEX('5층_부하량'!F3:F3000,MATCH(1,("5-DaHall 1-PDU-06"='5층_부하량'!A3:A3000)*(9='5층_부하량'!B3:B3000),0))</f>
        <v>0.0</v>
      </c>
      <c r="E199" s="21"/>
      <c r="F199" s="21"/>
      <c r="G199" s="21"/>
      <c r="H199" s="17" t="s">
        <v>4576</v>
      </c>
      <c r="I199" s="549" t="s">
        <v>4648</v>
      </c>
      <c r="J199" s="303"/>
      <c r="K199" s="66"/>
      <c r="L199" s="549" t="s">
        <v>4596</v>
      </c>
      <c r="M199" s="17" t="s">
        <v>4597</v>
      </c>
      <c r="N199" s="2672" cm="1" t="n">
        <f t="array" ref="N199">INDEX('5층_부하량'!F3:F3000,MATCH(1,("5-DaHall 1-PDU-06"='5층_부하량'!A3:A3000)*(10='5층_부하량'!B3:B3000),0))</f>
        <v>0.0</v>
      </c>
      <c r="O199" s="21"/>
      <c r="P199" s="21"/>
      <c r="Q199" s="21"/>
      <c r="R199" s="17" t="s">
        <v>565</v>
      </c>
      <c r="S199" s="17" t="s">
        <v>4723</v>
      </c>
      <c r="T199" s="70"/>
    </row>
    <row r="200" spans="1:20" x14ac:dyDescent="0.15">
      <c r="A200" s="16"/>
      <c r="B200" s="17" t="s">
        <v>565</v>
      </c>
      <c r="C200" s="17" t="s">
        <v>4723</v>
      </c>
      <c r="D200" s="21"/>
      <c r="E200" s="2672" cm="1" t="n">
        <f t="array" ref="E200">INDEX('5층_부하량'!G3:G3000,MATCH(1,("5-DaHall 1-PDU-06"='5층_부하량'!A3:A3000)*(11='5층_부하량'!B3:B3000),0))</f>
        <v>0.0</v>
      </c>
      <c r="F200" s="21"/>
      <c r="G200" s="21"/>
      <c r="H200" s="17" t="s">
        <v>4576</v>
      </c>
      <c r="I200" s="549" t="s">
        <v>4653</v>
      </c>
      <c r="J200" s="303"/>
      <c r="K200" s="66"/>
      <c r="L200" s="549" t="s">
        <v>4599</v>
      </c>
      <c r="M200" s="17" t="s">
        <v>4597</v>
      </c>
      <c r="N200" s="21"/>
      <c r="O200" s="2672" cm="1" t="n">
        <f t="array" ref="O200">INDEX('5층_부하량'!G3:G3000,MATCH(1,("5-DaHall 1-PDU-06"='5층_부하량'!A3:A3000)*(12='5층_부하량'!B3:B3000),0))</f>
        <v>0.0</v>
      </c>
      <c r="P200" s="21"/>
      <c r="Q200" s="21"/>
      <c r="R200" s="17" t="s">
        <v>565</v>
      </c>
      <c r="S200" s="17" t="s">
        <v>4723</v>
      </c>
      <c r="T200" s="68"/>
    </row>
    <row r="201" spans="1:20" x14ac:dyDescent="0.15">
      <c r="A201" s="107"/>
      <c r="B201" s="17" t="s">
        <v>4590</v>
      </c>
      <c r="C201" s="17" t="s">
        <v>4642</v>
      </c>
      <c r="D201" s="21"/>
      <c r="E201" s="21"/>
      <c r="F201" s="2672" cm="1" t="n">
        <f t="array" ref="F201">INDEX('5층_부하량'!H3:H3000,MATCH(1,("5-DaHall 1-PDU-06"='5층_부하량'!A3:A3000)*(13='5층_부하량'!B3:B3000),0))</f>
        <v>0.0</v>
      </c>
      <c r="G201" s="21"/>
      <c r="H201" s="17" t="s">
        <v>4597</v>
      </c>
      <c r="I201" s="549" t="s">
        <v>4657</v>
      </c>
      <c r="J201" s="65"/>
      <c r="K201" s="66"/>
      <c r="L201" s="549" t="s">
        <v>4601</v>
      </c>
      <c r="M201" s="17" t="s">
        <v>4597</v>
      </c>
      <c r="N201" s="21"/>
      <c r="O201" s="21"/>
      <c r="P201" s="2672" cm="1" t="n">
        <f t="array" ref="P201">INDEX('5층_부하량'!H3:H3000,MATCH(1,("5-DaHall 1-PDU-06"='5층_부하량'!A3:A3000)*(14='5층_부하량'!B3:B3000),0))</f>
        <v>0.0</v>
      </c>
      <c r="Q201" s="21"/>
      <c r="R201" s="17" t="s">
        <v>565</v>
      </c>
      <c r="S201" s="17" t="s">
        <v>4723</v>
      </c>
      <c r="T201" s="82"/>
    </row>
    <row r="202" spans="1:20" x14ac:dyDescent="0.15">
      <c r="A202" s="321"/>
      <c r="B202" s="17" t="s">
        <v>565</v>
      </c>
      <c r="C202" s="17" t="s">
        <v>4723</v>
      </c>
      <c r="D202" s="2672" cm="1" t="n">
        <f t="array" ref="D202">INDEX('5층_부하량'!F3:F3000,MATCH(1,("5-DaHall 1-PDU-06"='5층_부하량'!A3:A3000)*(15='5층_부하량'!B3:B3000),0))</f>
        <v>0.0</v>
      </c>
      <c r="E202" s="19"/>
      <c r="F202" s="19"/>
      <c r="G202" s="21"/>
      <c r="H202" s="17" t="s">
        <v>4597</v>
      </c>
      <c r="I202" s="549" t="s">
        <v>4661</v>
      </c>
      <c r="J202" s="65"/>
      <c r="K202" s="66"/>
      <c r="L202" s="549" t="s">
        <v>4603</v>
      </c>
      <c r="M202" s="17" t="s">
        <v>4597</v>
      </c>
      <c r="N202" s="2672" cm="1" t="n">
        <f t="array" ref="N202">INDEX('5층_부하량'!F3:F3000,MATCH(1,("5-DaHall 1-PDU-06"='5층_부하량'!A3:A3000)*(16='5층_부하량'!B3:B3000),0))</f>
        <v>0.0</v>
      </c>
      <c r="O202" s="19"/>
      <c r="P202" s="19"/>
      <c r="Q202" s="21"/>
      <c r="R202" s="17" t="s">
        <v>565</v>
      </c>
      <c r="S202" s="17" t="s">
        <v>4723</v>
      </c>
      <c r="T202" s="70"/>
    </row>
    <row r="203" spans="1:20" x14ac:dyDescent="0.15">
      <c r="A203" s="16"/>
      <c r="B203" s="17" t="s">
        <v>565</v>
      </c>
      <c r="C203" s="17" t="s">
        <v>4723</v>
      </c>
      <c r="D203" s="21"/>
      <c r="E203" s="2672" cm="1" t="n">
        <f t="array" ref="E203">INDEX('5층_부하량'!G3:G3000,MATCH(1,("5-DaHall 1-PDU-06"='5층_부하량'!A3:A3000)*(17='5층_부하량'!B3:B3000),0))</f>
        <v>0.0</v>
      </c>
      <c r="F203" s="21"/>
      <c r="G203" s="21"/>
      <c r="H203" s="17" t="s">
        <v>4597</v>
      </c>
      <c r="I203" s="549" t="s">
        <v>4665</v>
      </c>
      <c r="J203" s="65"/>
      <c r="K203" s="66"/>
      <c r="L203" s="549" t="s">
        <v>4605</v>
      </c>
      <c r="M203" s="17" t="s">
        <v>4597</v>
      </c>
      <c r="N203" s="21"/>
      <c r="O203" s="2672" cm="1" t="n">
        <f t="array" ref="O203">INDEX('5층_부하량'!G3:G3000,MATCH(1,("5-DaHall 1-PDU-06"='5층_부하량'!A3:A3000)*(18='5층_부하량'!B3:B3000),0))</f>
        <v>0.0</v>
      </c>
      <c r="P203" s="21"/>
      <c r="Q203" s="21"/>
      <c r="R203" s="17" t="s">
        <v>565</v>
      </c>
      <c r="S203" s="17" t="s">
        <v>4723</v>
      </c>
      <c r="T203" s="68"/>
    </row>
    <row r="204" spans="1:20" x14ac:dyDescent="0.15">
      <c r="A204" s="321"/>
      <c r="B204" s="17" t="s">
        <v>565</v>
      </c>
      <c r="C204" s="17" t="s">
        <v>4723</v>
      </c>
      <c r="D204" s="21"/>
      <c r="E204" s="21"/>
      <c r="F204" s="2672" cm="1" t="n">
        <f t="array" ref="F204">INDEX('5층_부하량'!H3:H3000,MATCH(1,("5-DaHall 1-PDU-06"='5층_부하량'!A3:A3000)*(19='5층_부하량'!B3:B3000),0))</f>
        <v>0.0</v>
      </c>
      <c r="G204" s="21"/>
      <c r="H204" s="17" t="s">
        <v>4597</v>
      </c>
      <c r="I204" s="549" t="s">
        <v>4670</v>
      </c>
      <c r="J204" s="65"/>
      <c r="K204" s="66"/>
      <c r="L204" s="549" t="s">
        <v>4609</v>
      </c>
      <c r="M204" s="17" t="s">
        <v>4597</v>
      </c>
      <c r="N204" s="21"/>
      <c r="O204" s="21"/>
      <c r="P204" s="2672" cm="1" t="n">
        <f t="array" ref="P204">INDEX('5층_부하량'!H3:H3000,MATCH(1,("5-DaHall 1-PDU-06"='5층_부하량'!A3:A3000)*(20='5층_부하량'!B3:B3000),0))</f>
        <v>0.0</v>
      </c>
      <c r="Q204" s="21"/>
      <c r="R204" s="17" t="s">
        <v>565</v>
      </c>
      <c r="S204" s="17" t="s">
        <v>4723</v>
      </c>
      <c r="T204" s="70"/>
    </row>
    <row r="205" spans="1:20" x14ac:dyDescent="0.15">
      <c r="A205" s="16"/>
      <c r="B205" s="17" t="s">
        <v>565</v>
      </c>
      <c r="C205" s="17" t="s">
        <v>4723</v>
      </c>
      <c r="D205" s="2672" cm="1" t="n">
        <f t="array" ref="D205">INDEX('5층_부하량'!F3:F3000,MATCH(1,("5-DaHall 1-PDU-06"='5층_부하량'!A3:A3000)*(21='5층_부하량'!B3:B3000),0))</f>
        <v>0.0</v>
      </c>
      <c r="E205" s="19"/>
      <c r="F205" s="19"/>
      <c r="G205" s="21"/>
      <c r="H205" s="17" t="s">
        <v>4597</v>
      </c>
      <c r="I205" s="549" t="s">
        <v>4674</v>
      </c>
      <c r="J205" s="65"/>
      <c r="K205" s="66"/>
      <c r="L205" s="549" t="s">
        <v>4613</v>
      </c>
      <c r="M205" s="17" t="s">
        <v>4597</v>
      </c>
      <c r="N205" s="2672" cm="1" t="n">
        <f t="array" ref="N205">INDEX('5층_부하량'!F3:F3000,MATCH(1,("5-DaHall 1-PDU-06"='5층_부하량'!A3:A3000)*(22='5층_부하량'!B3:B3000),0))</f>
        <v>0.0</v>
      </c>
      <c r="O205" s="19"/>
      <c r="P205" s="19"/>
      <c r="Q205" s="21"/>
      <c r="R205" s="69" t="s">
        <v>4631</v>
      </c>
      <c r="S205" s="17" t="s">
        <v>4723</v>
      </c>
      <c r="T205" s="70" t="s">
        <v>3480</v>
      </c>
    </row>
    <row r="206" spans="1:20" x14ac:dyDescent="0.15">
      <c r="A206" s="321"/>
      <c r="B206" s="17" t="s">
        <v>565</v>
      </c>
      <c r="C206" s="17" t="s">
        <v>4723</v>
      </c>
      <c r="D206" s="21"/>
      <c r="E206" s="2672" cm="1" t="n">
        <f t="array" ref="E206">INDEX('5층_부하량'!G3:G3000,MATCH(1,("5-DaHall 1-PDU-06"='5층_부하량'!A3:A3000)*(23='5층_부하량'!B3:B3000),0))</f>
        <v>0.0</v>
      </c>
      <c r="F206" s="21"/>
      <c r="G206" s="21"/>
      <c r="H206" s="17" t="s">
        <v>4597</v>
      </c>
      <c r="I206" s="549" t="s">
        <v>4678</v>
      </c>
      <c r="J206" s="65"/>
      <c r="K206" s="66"/>
      <c r="L206" s="549" t="s">
        <v>4680</v>
      </c>
      <c r="M206" s="17" t="s">
        <v>4597</v>
      </c>
      <c r="N206" s="21"/>
      <c r="O206" s="2672" cm="1" t="n">
        <f t="array" ref="O206">INDEX('5층_부하량'!G3:G3000,MATCH(1,("5-DaHall 1-PDU-06"='5층_부하량'!A3:A3000)*(24='5층_부하량'!B3:B3000),0))</f>
        <v>0.0</v>
      </c>
      <c r="P206" s="21"/>
      <c r="Q206" s="21"/>
      <c r="R206" s="69" t="s">
        <v>4631</v>
      </c>
      <c r="S206" s="17" t="s">
        <v>4723</v>
      </c>
      <c r="T206" s="70" t="s">
        <v>3486</v>
      </c>
    </row>
    <row r="207" spans="1:20" x14ac:dyDescent="0.15">
      <c r="A207" s="16"/>
      <c r="B207" s="17" t="s">
        <v>565</v>
      </c>
      <c r="C207" s="17" t="s">
        <v>4723</v>
      </c>
      <c r="D207" s="21"/>
      <c r="E207" s="21"/>
      <c r="F207" s="2672" cm="1" t="n">
        <f t="array" ref="F207">INDEX('5층_부하량'!H3:H3000,MATCH(1,("5-DaHall 1-PDU-06"='5층_부하량'!A3:A3000)*(25='5층_부하량'!B3:B3000),0))</f>
        <v>0.0</v>
      </c>
      <c r="G207" s="21"/>
      <c r="H207" s="17" t="s">
        <v>4597</v>
      </c>
      <c r="I207" s="549" t="s">
        <v>4683</v>
      </c>
      <c r="J207" s="65"/>
      <c r="K207" s="66"/>
      <c r="L207" s="549" t="s">
        <v>4685</v>
      </c>
      <c r="M207" s="17" t="s">
        <v>4597</v>
      </c>
      <c r="N207" s="21"/>
      <c r="O207" s="21"/>
      <c r="P207" s="2672" cm="1" t="n">
        <f t="array" ref="P207">INDEX('5층_부하량'!H3:H3000,MATCH(1,("5-DaHall 1-PDU-06"='5층_부하량'!A3:A3000)*(26='5층_부하량'!B3:B3000),0))</f>
        <v>0.0</v>
      </c>
      <c r="Q207" s="21"/>
      <c r="R207" s="69" t="s">
        <v>4631</v>
      </c>
      <c r="S207" s="17" t="s">
        <v>4723</v>
      </c>
      <c r="T207" s="70" t="s">
        <v>3492</v>
      </c>
    </row>
    <row r="208" spans="1:20" x14ac:dyDescent="0.15">
      <c r="A208" s="107"/>
      <c r="B208" s="17" t="s">
        <v>565</v>
      </c>
      <c r="C208" s="17" t="s">
        <v>4723</v>
      </c>
      <c r="D208" s="2672" cm="1" t="n">
        <f t="array" ref="D208">INDEX('5층_부하량'!F3:F3000,MATCH(1,("5-DaHall 1-PDU-06"='5층_부하량'!A3:A3000)*(27='5층_부하량'!B3:B3000),0))</f>
        <v>0.0</v>
      </c>
      <c r="E208" s="19"/>
      <c r="F208" s="19"/>
      <c r="G208" s="21"/>
      <c r="H208" s="17" t="s">
        <v>4597</v>
      </c>
      <c r="I208" s="549" t="s">
        <v>4688</v>
      </c>
      <c r="J208" s="65"/>
      <c r="K208" s="66"/>
      <c r="L208" s="549" t="s">
        <v>4689</v>
      </c>
      <c r="M208" s="17" t="s">
        <v>4597</v>
      </c>
      <c r="N208" s="2672" cm="1" t="n">
        <f t="array" ref="N208">INDEX('5층_부하량'!F3:F3000,MATCH(1,("5-DaHall 1-PDU-06"='5층_부하량'!A3:A3000)*(28='5층_부하량'!B3:B3000),0))</f>
        <v>0.0</v>
      </c>
      <c r="O208" s="19"/>
      <c r="P208" s="19"/>
      <c r="Q208" s="21"/>
      <c r="R208" s="69" t="s">
        <v>4631</v>
      </c>
      <c r="S208" s="17" t="s">
        <v>4723</v>
      </c>
      <c r="T208" s="70" t="s">
        <v>3498</v>
      </c>
    </row>
    <row r="209" spans="1:20" x14ac:dyDescent="0.15">
      <c r="A209" s="2154"/>
      <c r="B209" s="72" t="s">
        <v>565</v>
      </c>
      <c r="C209" s="72" t="s">
        <v>4723</v>
      </c>
      <c r="D209" s="21"/>
      <c r="E209" s="2672" cm="1" t="n">
        <f t="array" ref="E209">INDEX('5층_부하량'!G3:G3000,MATCH(1,("5-DaHall 1-PDU-06"='5층_부하량'!A3:A3000)*(29='5층_부하량'!B3:B3000),0))</f>
        <v>0.0</v>
      </c>
      <c r="F209" s="21"/>
      <c r="G209" s="74"/>
      <c r="H209" s="72" t="s">
        <v>4597</v>
      </c>
      <c r="I209" s="550" t="s">
        <v>4691</v>
      </c>
      <c r="J209" s="65"/>
      <c r="K209" s="96"/>
      <c r="L209" s="550" t="s">
        <v>4692</v>
      </c>
      <c r="M209" s="72" t="s">
        <v>4597</v>
      </c>
      <c r="N209" s="21"/>
      <c r="O209" s="2672" cm="1" t="n">
        <f t="array" ref="O209">INDEX('5층_부하량'!G3:G3000,MATCH(1,("5-DaHall 1-PDU-06"='5층_부하량'!A3:A3000)*(30='5층_부하량'!B3:B3000),0))</f>
        <v>0.0</v>
      </c>
      <c r="P209" s="21"/>
      <c r="Q209" s="74"/>
      <c r="R209" s="75" t="s">
        <v>4631</v>
      </c>
      <c r="S209" s="17" t="s">
        <v>4723</v>
      </c>
      <c r="T209" s="70" t="s">
        <v>3504</v>
      </c>
    </row>
    <row r="210" spans="1:20" x14ac:dyDescent="0.15">
      <c r="A210" s="107"/>
      <c r="B210" s="17" t="s">
        <v>565</v>
      </c>
      <c r="C210" s="17" t="s">
        <v>4723</v>
      </c>
      <c r="D210" s="21"/>
      <c r="E210" s="21"/>
      <c r="F210" s="2672" cm="1" t="n">
        <f t="array" ref="F210">INDEX('5층_부하량'!H3:H3000,MATCH(1,("5-DaHall 1-PDU-06"='5층_부하량'!A3:A3000)*(31='5층_부하량'!B3:B3000),0))</f>
        <v>0.0</v>
      </c>
      <c r="G210" s="21"/>
      <c r="H210" s="17" t="s">
        <v>4597</v>
      </c>
      <c r="I210" s="549" t="s">
        <v>4693</v>
      </c>
      <c r="J210" s="65"/>
      <c r="K210" s="66"/>
      <c r="L210" s="549" t="s">
        <v>4694</v>
      </c>
      <c r="M210" s="17" t="s">
        <v>4597</v>
      </c>
      <c r="N210" s="21"/>
      <c r="O210" s="21"/>
      <c r="P210" s="2672" cm="1" t="n">
        <f t="array" ref="P210">INDEX('5층_부하량'!H3:H3000,MATCH(1,("5-DaHall 1-PDU-06"='5층_부하량'!A3:A3000)*(32='5층_부하량'!B3:B3000),0))</f>
        <v>3.59</v>
      </c>
      <c r="Q210" s="21"/>
      <c r="R210" s="75" t="s">
        <v>4631</v>
      </c>
      <c r="S210" s="17" t="s">
        <v>4723</v>
      </c>
      <c r="T210" s="82" t="s">
        <v>5825</v>
      </c>
    </row>
    <row r="211" spans="1:20" x14ac:dyDescent="0.15">
      <c r="A211" s="107"/>
      <c r="B211" s="17" t="s">
        <v>565</v>
      </c>
      <c r="C211" s="17" t="s">
        <v>4723</v>
      </c>
      <c r="D211" s="2672" cm="1" t="n">
        <f t="array" ref="D211">INDEX('5층_부하량'!F3:F3000,MATCH(1,("5-DaHall 1-PDU-06"='5층_부하량'!A3:A3000)*(33='5층_부하량'!B3:B3000),0))</f>
        <v>0.0</v>
      </c>
      <c r="E211" s="19"/>
      <c r="F211" s="19"/>
      <c r="G211" s="21"/>
      <c r="H211" s="17" t="s">
        <v>4597</v>
      </c>
      <c r="I211" s="549" t="s">
        <v>4697</v>
      </c>
      <c r="J211" s="65"/>
      <c r="K211" s="66"/>
      <c r="L211" s="549" t="s">
        <v>4698</v>
      </c>
      <c r="M211" s="17" t="s">
        <v>4597</v>
      </c>
      <c r="N211" s="2672" cm="1" t="n">
        <f t="array" ref="N211">INDEX('5층_부하량'!F3:F3000,MATCH(1,("5-DaHall 1-PDU-06"='5층_부하량'!A3:A3000)*(34='5층_부하량'!B3:B3000),0))</f>
        <v>3.61</v>
      </c>
      <c r="O211" s="19"/>
      <c r="P211" s="19"/>
      <c r="Q211" s="21"/>
      <c r="R211" s="75" t="s">
        <v>4631</v>
      </c>
      <c r="S211" s="17" t="s">
        <v>4723</v>
      </c>
      <c r="T211" s="70" t="s">
        <v>3510</v>
      </c>
    </row>
    <row r="212" spans="1:20" x14ac:dyDescent="0.15">
      <c r="A212" s="2154"/>
      <c r="B212" s="17" t="s">
        <v>565</v>
      </c>
      <c r="C212" s="17" t="s">
        <v>4723</v>
      </c>
      <c r="D212" s="21"/>
      <c r="E212" s="2672" cm="1" t="n">
        <f t="array" ref="E212">INDEX('5층_부하량'!G3:G3000,MATCH(1,("5-DaHall 1-PDU-06"='5층_부하량'!A3:A3000)*(35='5층_부하량'!B3:B3000),0))</f>
        <v>0.0</v>
      </c>
      <c r="F212" s="21"/>
      <c r="G212" s="21"/>
      <c r="H212" s="17" t="s">
        <v>4597</v>
      </c>
      <c r="I212" s="549" t="s">
        <v>4701</v>
      </c>
      <c r="J212" s="65"/>
      <c r="K212" s="66"/>
      <c r="L212" s="549" t="s">
        <v>4703</v>
      </c>
      <c r="M212" s="17" t="s">
        <v>4597</v>
      </c>
      <c r="N212" s="21"/>
      <c r="O212" s="2672" cm="1" t="n">
        <f t="array" ref="O212">INDEX('5층_부하량'!G3:G3000,MATCH(1,("5-DaHall 1-PDU-06"='5층_부하량'!A3:A3000)*(36='5층_부하량'!B3:B3000),0))</f>
        <v>3.46</v>
      </c>
      <c r="P212" s="21"/>
      <c r="Q212" s="21"/>
      <c r="R212" s="75" t="s">
        <v>4631</v>
      </c>
      <c r="S212" s="17" t="s">
        <v>4723</v>
      </c>
      <c r="T212" s="70" t="s">
        <v>3516</v>
      </c>
    </row>
    <row r="213" spans="1:20" x14ac:dyDescent="0.15">
      <c r="A213" s="107"/>
      <c r="B213" s="17" t="s">
        <v>565</v>
      </c>
      <c r="C213" s="17" t="s">
        <v>4723</v>
      </c>
      <c r="D213" s="21"/>
      <c r="E213" s="21"/>
      <c r="F213" s="2672" cm="1" t="n">
        <f t="array" ref="F213">INDEX('5층_부하량'!H3:H3000,MATCH(1,("5-DaHall 1-PDU-06"='5층_부하량'!A3:A3000)*(37='5층_부하량'!B3:B3000),0))</f>
        <v>0.22</v>
      </c>
      <c r="G213" s="21"/>
      <c r="H213" s="17" t="s">
        <v>4597</v>
      </c>
      <c r="I213" s="549" t="s">
        <v>4706</v>
      </c>
      <c r="J213" s="65"/>
      <c r="K213" s="66"/>
      <c r="L213" s="549" t="s">
        <v>4707</v>
      </c>
      <c r="M213" s="17" t="s">
        <v>4597</v>
      </c>
      <c r="N213" s="21"/>
      <c r="O213" s="21"/>
      <c r="P213" s="2672" cm="1" t="n">
        <f t="array" ref="P213">INDEX('5층_부하량'!H3:H3000,MATCH(1,("5-DaHall 1-PDU-06"='5층_부하량'!A3:A3000)*(38='5층_부하량'!B3:B3000),0))</f>
        <v>5.37</v>
      </c>
      <c r="Q213" s="21"/>
      <c r="R213" s="69" t="s">
        <v>4590</v>
      </c>
      <c r="S213" s="17" t="s">
        <v>4642</v>
      </c>
      <c r="T213" s="70"/>
    </row>
    <row r="214" spans="1:20" x14ac:dyDescent="0.15">
      <c r="A214" s="107"/>
      <c r="B214" s="17" t="s">
        <v>565</v>
      </c>
      <c r="C214" s="17" t="s">
        <v>4723</v>
      </c>
      <c r="D214" s="2672" cm="1" t="n">
        <f t="array" ref="D214">INDEX('5층_부하량'!F3:F3000,MATCH(1,("5-DaHall 1-PDU-06"='5층_부하량'!A3:A3000)*(39='5층_부하량'!B3:B3000),0))</f>
        <v>0.0</v>
      </c>
      <c r="E214" s="19"/>
      <c r="F214" s="19"/>
      <c r="G214" s="21"/>
      <c r="H214" s="17" t="s">
        <v>4597</v>
      </c>
      <c r="I214" s="549" t="s">
        <v>4710</v>
      </c>
      <c r="J214" s="65"/>
      <c r="K214" s="66"/>
      <c r="L214" s="549" t="s">
        <v>4711</v>
      </c>
      <c r="M214" s="17" t="s">
        <v>4597</v>
      </c>
      <c r="N214" s="2672" cm="1" t="n">
        <f t="array" ref="N214">INDEX('5층_부하량'!F3:F3000,MATCH(1,("5-DaHall 1-PDU-06"='5층_부하량'!A3:A3000)*(40='5층_부하량'!B3:B3000),0))</f>
        <v>5.22</v>
      </c>
      <c r="O214" s="19"/>
      <c r="P214" s="19"/>
      <c r="Q214" s="21"/>
      <c r="R214" s="69" t="s">
        <v>4590</v>
      </c>
      <c r="S214" s="17" t="s">
        <v>4642</v>
      </c>
      <c r="T214" s="70"/>
    </row>
    <row r="215" spans="1:20" x14ac:dyDescent="0.15">
      <c r="A215" s="107"/>
      <c r="B215" s="17" t="s">
        <v>565</v>
      </c>
      <c r="C215" s="17" t="s">
        <v>4723</v>
      </c>
      <c r="D215" s="21"/>
      <c r="E215" s="2672" cm="1" t="n">
        <f t="array" ref="E215">INDEX('5층_부하량'!G3:G3000,MATCH(1,("5-DaHall 1-PDU-06"='5층_부하량'!A3:A3000)*(41='5층_부하량'!B3:B3000),0))</f>
        <v>0.21</v>
      </c>
      <c r="F215" s="21"/>
      <c r="G215" s="21"/>
      <c r="H215" s="17" t="s">
        <v>4597</v>
      </c>
      <c r="I215" s="549" t="s">
        <v>5055</v>
      </c>
      <c r="J215" s="65"/>
      <c r="K215" s="66"/>
      <c r="L215" s="549" t="s">
        <v>4843</v>
      </c>
      <c r="M215" s="17" t="s">
        <v>4597</v>
      </c>
      <c r="N215" s="21"/>
      <c r="O215" s="2672" cm="1" t="n">
        <f t="array" ref="O215">INDEX('5층_부하량'!G3:G3000,MATCH(1,("5-DaHall 1-PDU-06"='5층_부하량'!A3:A3000)*(42='5층_부하량'!B3:B3000),0))</f>
        <v>5.68</v>
      </c>
      <c r="P215" s="21"/>
      <c r="Q215" s="21"/>
      <c r="R215" s="69" t="s">
        <v>4590</v>
      </c>
      <c r="S215" s="17" t="s">
        <v>4642</v>
      </c>
      <c r="T215" s="70"/>
    </row>
    <row r="216" spans="1:20" x14ac:dyDescent="0.15">
      <c r="A216" s="321"/>
      <c r="B216" s="17" t="s">
        <v>565</v>
      </c>
      <c r="C216" s="17" t="s">
        <v>4723</v>
      </c>
      <c r="D216" s="21"/>
      <c r="E216" s="21"/>
      <c r="F216" s="2672" cm="1" t="n">
        <f t="array" ref="F216">INDEX('5층_부하량'!H3:H3000,MATCH(1,("5-DaHall 1-PDU-06"='5층_부하량'!A3:A3000)*(43='5층_부하량'!B3:B3000),0))</f>
        <v>0.3</v>
      </c>
      <c r="G216" s="21"/>
      <c r="H216" s="17" t="s">
        <v>4597</v>
      </c>
      <c r="I216" s="549" t="s">
        <v>4845</v>
      </c>
      <c r="J216" s="65"/>
      <c r="K216" s="66"/>
      <c r="L216" s="549" t="s">
        <v>4846</v>
      </c>
      <c r="M216" s="17" t="s">
        <v>4597</v>
      </c>
      <c r="N216" s="21"/>
      <c r="O216" s="21"/>
      <c r="P216" s="2672" cm="1" t="n">
        <f t="array" ref="P216">INDEX('5층_부하량'!H3:H3000,MATCH(1,("5-DaHall 1-PDU-06"='5층_부하량'!A3:A3000)*(44='5층_부하량'!B3:B3000),0))</f>
        <v>7.91</v>
      </c>
      <c r="Q216" s="21"/>
      <c r="R216" s="69" t="s">
        <v>4590</v>
      </c>
      <c r="S216" s="17" t="s">
        <v>4642</v>
      </c>
      <c r="T216" s="70"/>
    </row>
    <row r="217" spans="1:20" x14ac:dyDescent="0.15">
      <c r="A217" s="321"/>
      <c r="B217" s="17" t="s">
        <v>565</v>
      </c>
      <c r="C217" s="17" t="s">
        <v>4723</v>
      </c>
      <c r="D217" s="2672" cm="1" t="n">
        <f t="array" ref="D217">INDEX('5층_부하량'!F3:F3000,MATCH(1,("5-DaHall 1-PDU-06"='5층_부하량'!A3:A3000)*(45='5층_부하량'!B3:B3000),0))</f>
        <v>0.3</v>
      </c>
      <c r="E217" s="19"/>
      <c r="F217" s="19"/>
      <c r="G217" s="21"/>
      <c r="H217" s="17" t="s">
        <v>4597</v>
      </c>
      <c r="I217" s="549" t="s">
        <v>4847</v>
      </c>
      <c r="J217" s="65"/>
      <c r="K217" s="66"/>
      <c r="L217" s="549" t="s">
        <v>4848</v>
      </c>
      <c r="M217" s="17" t="s">
        <v>4597</v>
      </c>
      <c r="N217" s="2672" cm="1" t="n">
        <f t="array" ref="N217">INDEX('5층_부하량'!F3:F3000,MATCH(1,("5-DaHall 1-PDU-06"='5층_부하량'!A3:A3000)*(46='5층_부하량'!B3:B3000),0))</f>
        <v>0.5</v>
      </c>
      <c r="O217" s="19"/>
      <c r="P217" s="19"/>
      <c r="Q217" s="21"/>
      <c r="R217" s="69" t="s">
        <v>4590</v>
      </c>
      <c r="S217" s="17" t="s">
        <v>4642</v>
      </c>
      <c r="T217" s="70"/>
    </row>
    <row r="218" spans="1:20" x14ac:dyDescent="0.15">
      <c r="A218" s="321"/>
      <c r="B218" s="17" t="s">
        <v>565</v>
      </c>
      <c r="C218" s="17" t="s">
        <v>4723</v>
      </c>
      <c r="D218" s="21"/>
      <c r="E218" s="2672" cm="1" t="n">
        <f t="array" ref="E218">INDEX('5층_부하량'!G3:G3000,MATCH(1,("5-DaHall 1-PDU-06"='5층_부하량'!A3:A3000)*(47='5층_부하량'!B3:B3000),0))</f>
        <v>0.0</v>
      </c>
      <c r="F218" s="21"/>
      <c r="G218" s="21"/>
      <c r="H218" s="17" t="s">
        <v>4597</v>
      </c>
      <c r="I218" s="549" t="s">
        <v>4849</v>
      </c>
      <c r="J218" s="65"/>
      <c r="K218" s="66"/>
      <c r="L218" s="549" t="s">
        <v>4850</v>
      </c>
      <c r="M218" s="17" t="s">
        <v>4597</v>
      </c>
      <c r="N218" s="21"/>
      <c r="O218" s="2672" cm="1" t="n">
        <f t="array" ref="O218">INDEX('5층_부하량'!G3:G3000,MATCH(1,("5-DaHall 1-PDU-06"='5층_부하량'!A3:A3000)*(48='5층_부하량'!B3:B3000),0))</f>
        <v>0.54</v>
      </c>
      <c r="P218" s="21"/>
      <c r="Q218" s="21"/>
      <c r="R218" s="69" t="s">
        <v>4590</v>
      </c>
      <c r="S218" s="17" t="s">
        <v>4642</v>
      </c>
      <c r="T218" s="70"/>
    </row>
    <row r="219" spans="1:20" ht="15.75" customHeight="1" x14ac:dyDescent="0.15">
      <c r="A219" s="99"/>
      <c r="B219" s="23" t="s">
        <v>565</v>
      </c>
      <c r="C219" s="17" t="s">
        <v>4723</v>
      </c>
      <c r="D219" s="21"/>
      <c r="E219" s="21"/>
      <c r="F219" s="2672" cm="1" t="n">
        <f t="array" ref="F219">INDEX('5층_부하량'!H3:H3000,MATCH(1,("5-DaHall 1-PDU-06"='5층_부하량'!A3:A3000)*(49='5층_부하량'!B3:B3000),0))</f>
        <v>0.0</v>
      </c>
      <c r="G219" s="25"/>
      <c r="H219" s="23" t="s">
        <v>4597</v>
      </c>
      <c r="I219" s="555" t="s">
        <v>4851</v>
      </c>
      <c r="J219" s="102"/>
      <c r="K219" s="103"/>
      <c r="L219" s="555" t="s">
        <v>4852</v>
      </c>
      <c r="M219" s="23" t="s">
        <v>4597</v>
      </c>
      <c r="N219" s="21"/>
      <c r="O219" s="21"/>
      <c r="P219" s="2672" cm="1" t="n">
        <f t="array" ref="P219">INDEX('5층_부하량'!H3:H3000,MATCH(1,("5-DaHall 1-PDU-06"='5층_부하량'!A3:A3000)*(50='5층_부하량'!B3:B3000),0))</f>
        <v>0.84</v>
      </c>
      <c r="Q219" s="25"/>
      <c r="R219" s="108" t="s">
        <v>4590</v>
      </c>
      <c r="S219" s="23" t="s">
        <v>4642</v>
      </c>
      <c r="T219" s="104"/>
    </row>
    <row r="220" spans="1:20" x14ac:dyDescent="0.15">
      <c r="A220" s="321"/>
      <c r="B220" s="17" t="s">
        <v>565</v>
      </c>
      <c r="C220" s="17" t="s">
        <v>4723</v>
      </c>
      <c r="D220" s="2672" cm="1" t="n">
        <f t="array" ref="D220">INDEX('5층_부하량'!F3:F3000,MATCH(1,("5-DaHall 1-PDU-06"='5층_부하량'!A3:A3000)*(51='5층_부하량'!B3:B3000),0))</f>
        <v>0.0</v>
      </c>
      <c r="E220" s="21"/>
      <c r="F220" s="21"/>
      <c r="G220" s="21"/>
      <c r="H220" s="17" t="s">
        <v>4597</v>
      </c>
      <c r="I220" s="549" t="s">
        <v>4853</v>
      </c>
      <c r="J220" s="65"/>
      <c r="K220" s="66"/>
      <c r="L220" s="549" t="s">
        <v>4854</v>
      </c>
      <c r="M220" s="17" t="s">
        <v>4597</v>
      </c>
      <c r="N220" s="2672" cm="1" t="n">
        <f t="array" ref="N220">INDEX('5층_부하량'!F3:F3000,MATCH(1,("5-DaHall 1-PDU-06"='5층_부하량'!A3:A3000)*(52='5층_부하량'!B3:B3000),0))</f>
        <v>0.74</v>
      </c>
      <c r="O220" s="21"/>
      <c r="P220" s="21"/>
      <c r="Q220" s="21"/>
      <c r="R220" s="69" t="s">
        <v>4590</v>
      </c>
      <c r="S220" s="17" t="s">
        <v>4642</v>
      </c>
      <c r="T220" s="70"/>
    </row>
    <row r="221" spans="1:20" ht="14.25" thickBot="1" x14ac:dyDescent="0.2">
      <c r="A221" s="109"/>
      <c r="B221" s="29" t="s">
        <v>565</v>
      </c>
      <c r="C221" s="35" t="s">
        <v>4723</v>
      </c>
      <c r="D221" s="30"/>
      <c r="E221" s="2674" cm="1" t="n">
        <f t="array" ref="E221">INDEX('5층_부하량'!G3:G3000,MATCH(1,("5-DaHall 1-PDU-06"='5층_부하량'!A3:A3000)*(53='5층_부하량'!B3:B3000),0))</f>
        <v>0.0</v>
      </c>
      <c r="F221" s="30"/>
      <c r="G221" s="30"/>
      <c r="H221" s="29" t="s">
        <v>4597</v>
      </c>
      <c r="I221" s="556" t="s">
        <v>4856</v>
      </c>
      <c r="J221" s="2155"/>
      <c r="K221" s="2156"/>
      <c r="L221" s="556" t="s">
        <v>4857</v>
      </c>
      <c r="M221" s="29" t="s">
        <v>4597</v>
      </c>
      <c r="N221" s="30"/>
      <c r="O221" s="2674" cm="1" t="n">
        <f t="array" ref="O221">INDEX('5층_부하량'!G3:G3000,MATCH(1,("5-DaHall 1-PDU-06"='5층_부하량'!A3:A3000)*(54='5층_부하량'!B3:B3000),0))</f>
        <v>0.75</v>
      </c>
      <c r="P221" s="30"/>
      <c r="Q221" s="30"/>
      <c r="R221" s="110" t="s">
        <v>4590</v>
      </c>
      <c r="S221" s="29" t="s">
        <v>4642</v>
      </c>
      <c r="T221" s="111"/>
    </row>
    <row r="222" spans="1:20" ht="15" thickTop="1" thickBot="1" x14ac:dyDescent="0.2">
      <c r="M222" s="80" t="s">
        <v>5645</v>
      </c>
      <c r="N222" s="33" t="n">
        <f>SUM(D195:D221,N195:N221)</f>
        <v>10.37</v>
      </c>
      <c r="O222" s="33" t="n">
        <f>SUM(E195:E221,O195:O221)</f>
        <v>10.64</v>
      </c>
      <c r="P222" s="33" t="n">
        <f>SUM(F195:F221,P195:P221)</f>
        <v>18.23</v>
      </c>
    </row>
    <row r="223" spans="1:20" ht="20.25" thickTop="1" thickBot="1" x14ac:dyDescent="0.2">
      <c r="A223" s="2" t="s">
        <v>6951</v>
      </c>
      <c r="C223" s="3660" t="s">
        <v>5826</v>
      </c>
      <c r="D223" s="3660"/>
      <c r="E223" s="3660"/>
      <c r="F223" s="3660"/>
      <c r="G223" s="53"/>
      <c r="H223" s="124"/>
      <c r="I223" s="124"/>
      <c r="J223" s="3661" t="s">
        <v>5063</v>
      </c>
      <c r="K223" s="3667"/>
      <c r="L223" s="124"/>
      <c r="M223" s="124"/>
      <c r="N223" s="53"/>
      <c r="O223" s="53"/>
      <c r="P223" s="53"/>
      <c r="Q223" s="53"/>
      <c r="R223" s="53"/>
      <c r="S223" s="53"/>
    </row>
    <row r="224" spans="1:20" ht="15" customHeight="1" thickTop="1" thickBot="1" x14ac:dyDescent="0.2">
      <c r="A224" s="3"/>
      <c r="D224" s="54"/>
      <c r="E224" s="54"/>
      <c r="F224" s="54"/>
      <c r="G224" s="54"/>
      <c r="H224" s="4"/>
      <c r="I224" s="4"/>
      <c r="K224" s="56"/>
      <c r="L224" s="565"/>
      <c r="M224" s="1371" t="s">
        <v>4562</v>
      </c>
      <c r="N224" s="1368">
        <v>8.6</v>
      </c>
      <c r="O224" s="1369">
        <v>1.1000000000000001</v>
      </c>
      <c r="P224" s="1370">
        <v>0.7</v>
      </c>
      <c r="Q224" s="508" t="s">
        <v>4563</v>
      </c>
      <c r="R224" s="133"/>
      <c r="S224" s="128"/>
      <c r="T224" s="528"/>
    </row>
    <row r="225" spans="1:20" ht="15" thickTop="1" thickBot="1" x14ac:dyDescent="0.2">
      <c r="A225" s="5" t="s">
        <v>4564</v>
      </c>
      <c r="B225" s="6" t="s">
        <v>4565</v>
      </c>
      <c r="C225" s="7" t="s">
        <v>4566</v>
      </c>
      <c r="D225" s="6" t="s">
        <v>4567</v>
      </c>
      <c r="E225" s="6" t="s">
        <v>4568</v>
      </c>
      <c r="F225" s="6" t="s">
        <v>4569</v>
      </c>
      <c r="G225" s="6" t="s">
        <v>4570</v>
      </c>
      <c r="H225" s="8" t="s">
        <v>4571</v>
      </c>
      <c r="I225" s="547"/>
      <c r="J225" s="58" t="s">
        <v>4572</v>
      </c>
      <c r="K225" s="59" t="s">
        <v>4572</v>
      </c>
      <c r="L225" s="566"/>
      <c r="M225" s="8" t="s">
        <v>4571</v>
      </c>
      <c r="N225" s="6" t="s">
        <v>4567</v>
      </c>
      <c r="O225" s="6" t="s">
        <v>4568</v>
      </c>
      <c r="P225" s="6" t="s">
        <v>4569</v>
      </c>
      <c r="Q225" s="8" t="s">
        <v>4570</v>
      </c>
      <c r="R225" s="6" t="s">
        <v>4565</v>
      </c>
      <c r="S225" s="7" t="s">
        <v>4566</v>
      </c>
      <c r="T225" s="60" t="s">
        <v>4564</v>
      </c>
    </row>
    <row r="226" spans="1:20" ht="24.75" thickTop="1" x14ac:dyDescent="0.15">
      <c r="A226" s="660" t="s">
        <v>5827</v>
      </c>
      <c r="B226" s="11" t="s">
        <v>4631</v>
      </c>
      <c r="C226" s="18" t="s">
        <v>4575</v>
      </c>
      <c r="D226" s="2669" cm="1" t="n">
        <f t="array" ref="D226">INDEX('5층_부하량'!F3:F3000,MATCH(1,("5-DaHall 1-PDU-07"='5층_부하량'!A3:A3000)*(1='5층_부하량'!B3:B3000),0))</f>
        <v>7.93</v>
      </c>
      <c r="E226" s="15"/>
      <c r="F226" s="15"/>
      <c r="G226" s="15"/>
      <c r="H226" s="13" t="s">
        <v>5786</v>
      </c>
      <c r="I226" s="1214" t="s">
        <v>4633</v>
      </c>
      <c r="J226" s="1021" t="s">
        <v>5828</v>
      </c>
      <c r="K226" s="1022" t="s">
        <v>5829</v>
      </c>
      <c r="L226" s="1210" t="s">
        <v>4578</v>
      </c>
      <c r="M226" s="11" t="s">
        <v>5786</v>
      </c>
      <c r="N226" s="2669" cm="1" t="n">
        <f t="array" ref="N226">INDEX('5층_부하량'!F3:F3000,MATCH(1,("5-DaHall 1-PDU-07"='5층_부하량'!A3:A3000)*(2='5층_부하량'!B3:B3000),0))</f>
        <v>1.32</v>
      </c>
      <c r="O226" s="15"/>
      <c r="P226" s="15"/>
      <c r="Q226" s="15"/>
      <c r="R226" s="63" t="s">
        <v>4631</v>
      </c>
      <c r="S226" s="97" t="s">
        <v>4575</v>
      </c>
      <c r="T226" s="1063" t="s">
        <v>5830</v>
      </c>
    </row>
    <row r="227" spans="1:20" ht="16.5" x14ac:dyDescent="0.15">
      <c r="A227" s="16" t="s">
        <v>5831</v>
      </c>
      <c r="B227" s="17" t="s">
        <v>4631</v>
      </c>
      <c r="C227" s="18" t="s">
        <v>4575</v>
      </c>
      <c r="D227" s="19"/>
      <c r="E227" s="2670" cm="1" t="n">
        <f t="array" ref="E227">INDEX('5층_부하량'!G3:G3000,MATCH(1,("5-DaHall 1-PDU-07"='5층_부하량'!A3:A3000)*(3='5층_부하량'!B3:B3000),0))</f>
        <v>1.44</v>
      </c>
      <c r="F227" s="19"/>
      <c r="G227" s="19"/>
      <c r="H227" s="17" t="s">
        <v>5790</v>
      </c>
      <c r="I227" s="1207" t="s">
        <v>4638</v>
      </c>
      <c r="J227" s="1023" t="s">
        <v>5828</v>
      </c>
      <c r="K227" s="1024" t="s">
        <v>5832</v>
      </c>
      <c r="L227" s="1207" t="s">
        <v>4583</v>
      </c>
      <c r="M227" s="17" t="s">
        <v>5786</v>
      </c>
      <c r="N227" s="19"/>
      <c r="O227" s="2670" cm="1" t="n">
        <f t="array" ref="O227">INDEX('5층_부하량'!G3:G3000,MATCH(1,("5-DaHall 1-PDU-07"='5층_부하량'!A3:A3000)*(4='5층_부하량'!B3:B3000),0))</f>
        <v>0.0</v>
      </c>
      <c r="P227" s="19"/>
      <c r="Q227" s="19"/>
      <c r="R227" s="67" t="s">
        <v>4631</v>
      </c>
      <c r="S227" s="18" t="s">
        <v>4575</v>
      </c>
      <c r="T227" s="68" t="s">
        <v>5833</v>
      </c>
    </row>
    <row r="228" spans="1:20" ht="36" x14ac:dyDescent="0.15">
      <c r="A228" s="321" t="s">
        <v>5834</v>
      </c>
      <c r="B228" s="17" t="s">
        <v>4631</v>
      </c>
      <c r="C228" s="18" t="s">
        <v>4575</v>
      </c>
      <c r="D228" s="21"/>
      <c r="E228" s="21"/>
      <c r="F228" s="2672" cm="1" t="n">
        <f t="array" ref="F228">INDEX('5층_부하량'!H3:H3000,MATCH(1,("5-DaHall 1-PDU-07"='5층_부하량'!A3:A3000)*(5='5층_부하량'!B3:B3000),0))</f>
        <v>0.4</v>
      </c>
      <c r="G228" s="21"/>
      <c r="H228" s="17" t="s">
        <v>5786</v>
      </c>
      <c r="I228" s="1207" t="s">
        <v>4641</v>
      </c>
      <c r="J228" s="1023" t="s">
        <v>5828</v>
      </c>
      <c r="K228" s="1025" t="s">
        <v>5835</v>
      </c>
      <c r="L228" s="1207" t="s">
        <v>4588</v>
      </c>
      <c r="M228" s="17" t="s">
        <v>5786</v>
      </c>
      <c r="N228" s="21"/>
      <c r="O228" s="21"/>
      <c r="P228" s="2672" cm="1" t="n">
        <f t="array" ref="P228">INDEX('5층_부하량'!H3:H3000,MATCH(1,("5-DaHall 1-PDU-07"='5층_부하량'!A3:A3000)*(6='5층_부하량'!B3:B3000),0))</f>
        <v>0.4</v>
      </c>
      <c r="Q228" s="21"/>
      <c r="R228" s="69" t="s">
        <v>4631</v>
      </c>
      <c r="S228" s="18" t="s">
        <v>4575</v>
      </c>
      <c r="T228" s="70" t="s">
        <v>5836</v>
      </c>
    </row>
    <row r="229" spans="1:20" x14ac:dyDescent="0.15">
      <c r="A229" s="16"/>
      <c r="B229" s="17" t="s">
        <v>4590</v>
      </c>
      <c r="C229" s="17" t="s">
        <v>4642</v>
      </c>
      <c r="D229" s="2672" cm="1" t="n">
        <f t="array" ref="D229">INDEX('5층_부하량'!F3:F3000,MATCH(1,("5-DaHall 1-PDU-07"='5층_부하량'!A3:A3000)*(7='5층_부하량'!B3:B3000),0))</f>
        <v>0.0</v>
      </c>
      <c r="E229" s="21"/>
      <c r="F229" s="21"/>
      <c r="G229" s="21"/>
      <c r="H229" s="17" t="s">
        <v>5795</v>
      </c>
      <c r="I229" s="549" t="s">
        <v>4645</v>
      </c>
      <c r="J229" s="112"/>
      <c r="K229" s="81"/>
      <c r="L229" s="568" t="s">
        <v>4593</v>
      </c>
      <c r="M229" s="17" t="s">
        <v>5795</v>
      </c>
      <c r="N229" s="2672" cm="1" t="n">
        <f t="array" ref="N229">INDEX('5층_부하량'!F3:F3000,MATCH(1,("5-DaHall 1-PDU-07"='5층_부하량'!A3:A3000)*(8='5층_부하량'!B3:B3000),0))</f>
        <v>0.0</v>
      </c>
      <c r="O229" s="21"/>
      <c r="P229" s="21"/>
      <c r="Q229" s="21"/>
      <c r="R229" s="69" t="s">
        <v>4590</v>
      </c>
      <c r="S229" s="17" t="s">
        <v>4642</v>
      </c>
      <c r="T229" s="68"/>
    </row>
    <row r="230" spans="1:20" x14ac:dyDescent="0.15">
      <c r="A230" s="321"/>
      <c r="B230" s="17" t="s">
        <v>4590</v>
      </c>
      <c r="C230" s="17" t="s">
        <v>4642</v>
      </c>
      <c r="D230" s="21"/>
      <c r="E230" s="2672" cm="1" t="n">
        <f t="array" ref="E230">INDEX('5층_부하량'!G3:G3000,MATCH(1,("5-DaHall 1-PDU-07"='5층_부하량'!A3:A3000)*(9='5층_부하량'!B3:B3000),0))</f>
        <v>0.0</v>
      </c>
      <c r="F230" s="21"/>
      <c r="G230" s="21"/>
      <c r="H230" s="17" t="s">
        <v>5801</v>
      </c>
      <c r="I230" s="549" t="s">
        <v>4648</v>
      </c>
      <c r="J230" s="112"/>
      <c r="K230" s="81"/>
      <c r="L230" s="568" t="s">
        <v>4596</v>
      </c>
      <c r="M230" s="17" t="s">
        <v>5801</v>
      </c>
      <c r="N230" s="21"/>
      <c r="O230" s="2672" cm="1" t="n">
        <f t="array" ref="O230">INDEX('5층_부하량'!G3:G3000,MATCH(1,("5-DaHall 1-PDU-07"='5층_부하량'!A3:A3000)*(10='5층_부하량'!B3:B3000),0))</f>
        <v>0.0</v>
      </c>
      <c r="P230" s="21"/>
      <c r="Q230" s="21"/>
      <c r="R230" s="69" t="s">
        <v>4590</v>
      </c>
      <c r="S230" s="17" t="s">
        <v>4642</v>
      </c>
      <c r="T230" s="70"/>
    </row>
    <row r="231" spans="1:20" x14ac:dyDescent="0.15">
      <c r="A231" s="16"/>
      <c r="B231" s="23" t="s">
        <v>4590</v>
      </c>
      <c r="C231" s="17" t="s">
        <v>4642</v>
      </c>
      <c r="D231" s="25"/>
      <c r="E231" s="25"/>
      <c r="F231" s="2673" cm="1" t="n">
        <f t="array" ref="F231">INDEX('5층_부하량'!H3:H3000,MATCH(1,("5-DaHall 1-PDU-07"='5층_부하량'!A3:A3000)*(11='5층_부하량'!B3:B3000),0))</f>
        <v>0.0</v>
      </c>
      <c r="G231" s="25"/>
      <c r="H231" s="23" t="s">
        <v>5801</v>
      </c>
      <c r="I231" s="555" t="s">
        <v>4653</v>
      </c>
      <c r="J231" s="113"/>
      <c r="K231" s="114"/>
      <c r="L231" s="569" t="s">
        <v>4599</v>
      </c>
      <c r="M231" s="23" t="s">
        <v>5801</v>
      </c>
      <c r="N231" s="25"/>
      <c r="O231" s="25"/>
      <c r="P231" s="2673" cm="1" t="n">
        <f t="array" ref="P231">INDEX('5층_부하량'!H3:H3000,MATCH(1,("5-DaHall 1-PDU-07"='5층_부하량'!A3:A3000)*(12='5층_부하량'!B3:B3000),0))</f>
        <v>0.0</v>
      </c>
      <c r="Q231" s="25"/>
      <c r="R231" s="108" t="s">
        <v>4590</v>
      </c>
      <c r="S231" s="23" t="s">
        <v>4642</v>
      </c>
      <c r="T231" s="104"/>
    </row>
    <row r="232" spans="1:20" ht="14.25" thickBot="1" x14ac:dyDescent="0.2">
      <c r="A232" s="87"/>
      <c r="B232" s="88" t="s">
        <v>4590</v>
      </c>
      <c r="C232" s="88" t="s">
        <v>4642</v>
      </c>
      <c r="D232" s="2688" cm="1" t="n">
        <f t="array" ref="D232">INDEX('5층_부하량'!F3:F3000,MATCH(1,("5-DaHall 1-PDU-07"='5층_부하량'!A3:A3000)*(13='5층_부하량'!B3:B3000),0))</f>
        <v>0.0</v>
      </c>
      <c r="E232" s="90"/>
      <c r="F232" s="90"/>
      <c r="G232" s="90"/>
      <c r="H232" s="88" t="s">
        <v>5801</v>
      </c>
      <c r="I232" s="553" t="s">
        <v>4657</v>
      </c>
      <c r="J232" s="115"/>
      <c r="K232" s="116"/>
      <c r="L232" s="570" t="s">
        <v>4601</v>
      </c>
      <c r="M232" s="88" t="s">
        <v>5801</v>
      </c>
      <c r="N232" s="2688" cm="1" t="n">
        <f t="array" ref="N232">INDEX('5층_부하량'!F3:F3000,MATCH(1,("5-DaHall 1-PDU-07"='5층_부하량'!A3:A3000)*(14='5층_부하량'!B3:B3000),0))</f>
        <v>0.0</v>
      </c>
      <c r="O232" s="90"/>
      <c r="P232" s="90"/>
      <c r="Q232" s="90"/>
      <c r="R232" s="93" t="s">
        <v>4590</v>
      </c>
      <c r="S232" s="88" t="s">
        <v>4642</v>
      </c>
      <c r="T232" s="94"/>
    </row>
    <row r="233" spans="1:20" ht="14.25" thickTop="1" x14ac:dyDescent="0.15">
      <c r="A233" s="99"/>
      <c r="B233" s="72" t="s">
        <v>4590</v>
      </c>
      <c r="C233" s="72" t="s">
        <v>4642</v>
      </c>
      <c r="D233" s="74"/>
      <c r="E233" s="2689" cm="1" t="n">
        <f t="array" ref="E233">INDEX('5층_부하량'!G3:G3000,MATCH(1,("5-DaHall 1-PDU-07"='5층_부하량'!A3:A3000)*(15='5층_부하량'!B3:B3000),0))</f>
        <v>0.0</v>
      </c>
      <c r="F233" s="74"/>
      <c r="G233" s="74"/>
      <c r="H233" s="72" t="s">
        <v>5801</v>
      </c>
      <c r="I233" s="550" t="s">
        <v>4661</v>
      </c>
      <c r="J233" s="117"/>
      <c r="K233" s="83"/>
      <c r="L233" s="571" t="s">
        <v>4603</v>
      </c>
      <c r="M233" s="72" t="s">
        <v>5801</v>
      </c>
      <c r="N233" s="74"/>
      <c r="O233" s="2689" cm="1" t="n">
        <f t="array" ref="O233">INDEX('5층_부하량'!G3:G3000,MATCH(1,("5-DaHall 1-PDU-07"='5층_부하량'!A3:A3000)*(16='5층_부하량'!B3:B3000),0))</f>
        <v>0.0</v>
      </c>
      <c r="P233" s="74"/>
      <c r="Q233" s="74"/>
      <c r="R233" s="75" t="s">
        <v>4590</v>
      </c>
      <c r="S233" s="72" t="s">
        <v>4642</v>
      </c>
      <c r="T233" s="68"/>
    </row>
    <row r="234" spans="1:20" x14ac:dyDescent="0.15">
      <c r="A234" s="321"/>
      <c r="B234" s="17" t="s">
        <v>4590</v>
      </c>
      <c r="C234" s="17" t="s">
        <v>4642</v>
      </c>
      <c r="D234" s="21"/>
      <c r="E234" s="21"/>
      <c r="F234" s="2672" cm="1" t="n">
        <f t="array" ref="F234">INDEX('5층_부하량'!H3:H3000,MATCH(1,("5-DaHall 1-PDU-07"='5층_부하량'!A3:A3000)*(17='5층_부하량'!B3:B3000),0))</f>
        <v>0.0</v>
      </c>
      <c r="G234" s="21"/>
      <c r="H234" s="17" t="s">
        <v>5801</v>
      </c>
      <c r="I234" s="549" t="s">
        <v>4665</v>
      </c>
      <c r="J234" s="112"/>
      <c r="K234" s="81"/>
      <c r="L234" s="568" t="s">
        <v>4605</v>
      </c>
      <c r="M234" s="17" t="s">
        <v>5801</v>
      </c>
      <c r="N234" s="21"/>
      <c r="O234" s="21"/>
      <c r="P234" s="2672" cm="1" t="n">
        <f t="array" ref="P234">INDEX('5층_부하량'!H3:H3000,MATCH(1,("5-DaHall 1-PDU-07"='5층_부하량'!A3:A3000)*(18='5층_부하량'!B3:B3000),0))</f>
        <v>0.0</v>
      </c>
      <c r="Q234" s="21"/>
      <c r="R234" s="69" t="s">
        <v>4590</v>
      </c>
      <c r="S234" s="17" t="s">
        <v>4642</v>
      </c>
      <c r="T234" s="70"/>
    </row>
    <row r="235" spans="1:20" x14ac:dyDescent="0.15">
      <c r="A235" s="16"/>
      <c r="B235" s="17" t="s">
        <v>4590</v>
      </c>
      <c r="C235" s="17" t="s">
        <v>4642</v>
      </c>
      <c r="D235" s="2672" cm="1" t="n">
        <f t="array" ref="D235">INDEX('5층_부하량'!F3:F3000,MATCH(1,("5-DaHall 1-PDU-07"='5층_부하량'!A3:A3000)*(19='5층_부하량'!B3:B3000),0))</f>
        <v>1.07</v>
      </c>
      <c r="E235" s="21"/>
      <c r="F235" s="21"/>
      <c r="G235" s="21"/>
      <c r="H235" s="17" t="s">
        <v>5811</v>
      </c>
      <c r="I235" s="549" t="s">
        <v>4670</v>
      </c>
      <c r="J235" s="112"/>
      <c r="K235" s="81"/>
      <c r="L235" s="568" t="s">
        <v>4609</v>
      </c>
      <c r="M235" s="17" t="s">
        <v>5811</v>
      </c>
      <c r="N235" s="2672" cm="1" t="n">
        <f t="array" ref="N235">INDEX('5층_부하량'!F3:F3000,MATCH(1,("5-DaHall 1-PDU-07"='5층_부하량'!A3:A3000)*(20='5층_부하량'!B3:B3000),0))</f>
        <v>0.0</v>
      </c>
      <c r="O235" s="21"/>
      <c r="P235" s="21"/>
      <c r="Q235" s="21"/>
      <c r="R235" s="69" t="s">
        <v>4590</v>
      </c>
      <c r="S235" s="17" t="s">
        <v>4642</v>
      </c>
      <c r="T235" s="70"/>
    </row>
    <row r="236" spans="1:20" x14ac:dyDescent="0.15">
      <c r="A236" s="321"/>
      <c r="B236" s="17" t="s">
        <v>4590</v>
      </c>
      <c r="C236" s="17" t="s">
        <v>4642</v>
      </c>
      <c r="D236" s="21"/>
      <c r="E236" s="2672" cm="1" t="n">
        <f t="array" ref="E236">INDEX('5층_부하량'!G3:G3000,MATCH(1,("5-DaHall 1-PDU-07"='5층_부하량'!A3:A3000)*(21='5층_부하량'!B3:B3000),0))</f>
        <v>0.44</v>
      </c>
      <c r="F236" s="21"/>
      <c r="G236" s="21"/>
      <c r="H236" s="17" t="s">
        <v>5811</v>
      </c>
      <c r="I236" s="549" t="s">
        <v>4674</v>
      </c>
      <c r="J236" s="112"/>
      <c r="K236" s="81"/>
      <c r="L236" s="568" t="s">
        <v>4613</v>
      </c>
      <c r="M236" s="17" t="s">
        <v>5811</v>
      </c>
      <c r="N236" s="21"/>
      <c r="O236" s="2672" cm="1" t="n">
        <f t="array" ref="O236">INDEX('5층_부하량'!G3:G3000,MATCH(1,("5-DaHall 1-PDU-07"='5층_부하량'!A3:A3000)*(22='5층_부하량'!B3:B3000),0))</f>
        <v>0.0</v>
      </c>
      <c r="P236" s="21"/>
      <c r="Q236" s="21"/>
      <c r="R236" s="69" t="s">
        <v>4590</v>
      </c>
      <c r="S236" s="17" t="s">
        <v>4642</v>
      </c>
      <c r="T236" s="82"/>
    </row>
    <row r="237" spans="1:20" x14ac:dyDescent="0.15">
      <c r="A237" s="321"/>
      <c r="B237" s="17" t="s">
        <v>4590</v>
      </c>
      <c r="C237" s="17" t="s">
        <v>4642</v>
      </c>
      <c r="D237" s="21"/>
      <c r="E237" s="21"/>
      <c r="F237" s="2672" cm="1" t="n">
        <f t="array" ref="F237">INDEX('5층_부하량'!H3:H3000,MATCH(1,("5-DaHall 1-PDU-07"='5층_부하량'!A3:A3000)*(23='5층_부하량'!B3:B3000),0))</f>
        <v>0.0</v>
      </c>
      <c r="G237" s="21"/>
      <c r="H237" s="17" t="s">
        <v>5811</v>
      </c>
      <c r="I237" s="549" t="s">
        <v>4678</v>
      </c>
      <c r="J237" s="112"/>
      <c r="K237" s="81"/>
      <c r="L237" s="568" t="s">
        <v>4680</v>
      </c>
      <c r="M237" s="17" t="s">
        <v>5811</v>
      </c>
      <c r="N237" s="21"/>
      <c r="O237" s="21"/>
      <c r="P237" s="2672" cm="1" t="n">
        <f t="array" ref="P237">INDEX('5층_부하량'!H3:H3000,MATCH(1,("5-DaHall 1-PDU-07"='5층_부하량'!A3:A3000)*(24='5층_부하량'!B3:B3000),0))</f>
        <v>0.0</v>
      </c>
      <c r="Q237" s="21"/>
      <c r="R237" s="69" t="s">
        <v>4590</v>
      </c>
      <c r="S237" s="17" t="s">
        <v>4642</v>
      </c>
      <c r="T237" s="70"/>
    </row>
    <row r="238" spans="1:20" x14ac:dyDescent="0.15">
      <c r="A238" s="321"/>
      <c r="B238" s="17" t="s">
        <v>4590</v>
      </c>
      <c r="C238" s="17" t="s">
        <v>4642</v>
      </c>
      <c r="D238" s="2672" cm="1" t="n">
        <f t="array" ref="D238">INDEX('5층_부하량'!F3:F3000,MATCH(1,("5-DaHall 1-PDU-07"='5층_부하량'!A3:A3000)*(25='5층_부하량'!B3:B3000),0))</f>
        <v>0.0</v>
      </c>
      <c r="E238" s="21"/>
      <c r="F238" s="21"/>
      <c r="G238" s="21"/>
      <c r="H238" s="17" t="s">
        <v>5811</v>
      </c>
      <c r="I238" s="549" t="s">
        <v>4683</v>
      </c>
      <c r="J238" s="112"/>
      <c r="K238" s="81"/>
      <c r="L238" s="568" t="s">
        <v>4685</v>
      </c>
      <c r="M238" s="17" t="s">
        <v>5811</v>
      </c>
      <c r="N238" s="2672" cm="1" t="n">
        <f t="array" ref="N238">INDEX('5층_부하량'!F3:F3000,MATCH(1,("5-DaHall 1-PDU-07"='5층_부하량'!A3:A3000)*(26='5층_부하량'!B3:B3000),0))</f>
        <v>0.0</v>
      </c>
      <c r="O238" s="21"/>
      <c r="P238" s="21"/>
      <c r="Q238" s="21"/>
      <c r="R238" s="69" t="s">
        <v>4590</v>
      </c>
      <c r="S238" s="17" t="s">
        <v>4642</v>
      </c>
      <c r="T238" s="70"/>
    </row>
    <row r="239" spans="1:20" x14ac:dyDescent="0.15">
      <c r="A239" s="321"/>
      <c r="B239" s="17" t="s">
        <v>4590</v>
      </c>
      <c r="C239" s="17" t="s">
        <v>4642</v>
      </c>
      <c r="D239" s="21"/>
      <c r="E239" s="2672" cm="1" t="n">
        <f t="array" ref="E239">INDEX('5층_부하량'!G3:G3000,MATCH(1,("5-DaHall 1-PDU-07"='5층_부하량'!A3:A3000)*(27='5층_부하량'!B3:B3000),0))</f>
        <v>0.0</v>
      </c>
      <c r="F239" s="21"/>
      <c r="G239" s="21"/>
      <c r="H239" s="17" t="s">
        <v>5811</v>
      </c>
      <c r="I239" s="549" t="s">
        <v>4688</v>
      </c>
      <c r="J239" s="112"/>
      <c r="K239" s="81"/>
      <c r="L239" s="568" t="s">
        <v>4689</v>
      </c>
      <c r="M239" s="17" t="s">
        <v>5811</v>
      </c>
      <c r="N239" s="21"/>
      <c r="O239" s="2672" cm="1" t="n">
        <f t="array" ref="O239">INDEX('5층_부하량'!G3:G3000,MATCH(1,("5-DaHall 1-PDU-07"='5층_부하량'!A3:A3000)*(28='5층_부하량'!B3:B3000),0))</f>
        <v>0.0</v>
      </c>
      <c r="P239" s="21"/>
      <c r="Q239" s="21"/>
      <c r="R239" s="69" t="s">
        <v>4590</v>
      </c>
      <c r="S239" s="17" t="s">
        <v>4642</v>
      </c>
      <c r="T239" s="70"/>
    </row>
    <row r="240" spans="1:20" x14ac:dyDescent="0.15">
      <c r="A240" s="321"/>
      <c r="B240" s="17" t="s">
        <v>4590</v>
      </c>
      <c r="C240" s="17" t="s">
        <v>4642</v>
      </c>
      <c r="D240" s="21"/>
      <c r="E240" s="21"/>
      <c r="F240" s="2672" cm="1" t="n">
        <f t="array" ref="F240">INDEX('5층_부하량'!H3:H3000,MATCH(1,("5-DaHall 1-PDU-07"='5층_부하량'!A3:A3000)*(29='5층_부하량'!B3:B3000),0))</f>
        <v>0.0</v>
      </c>
      <c r="G240" s="21"/>
      <c r="H240" s="17" t="s">
        <v>5811</v>
      </c>
      <c r="I240" s="549" t="s">
        <v>4691</v>
      </c>
      <c r="J240" s="112"/>
      <c r="K240" s="81"/>
      <c r="L240" s="568" t="s">
        <v>4692</v>
      </c>
      <c r="M240" s="17" t="s">
        <v>5811</v>
      </c>
      <c r="N240" s="21"/>
      <c r="O240" s="21"/>
      <c r="P240" s="2672" cm="1" t="n">
        <f t="array" ref="P240">INDEX('5층_부하량'!H3:H3000,MATCH(1,("5-DaHall 1-PDU-07"='5층_부하량'!A3:A3000)*(30='5층_부하량'!B3:B3000),0))</f>
        <v>0.0</v>
      </c>
      <c r="Q240" s="21"/>
      <c r="R240" s="69" t="s">
        <v>4590</v>
      </c>
      <c r="S240" s="17" t="s">
        <v>4642</v>
      </c>
      <c r="T240" s="70"/>
    </row>
    <row r="241" spans="1:20" x14ac:dyDescent="0.15">
      <c r="A241" s="321"/>
      <c r="B241" s="17" t="s">
        <v>4590</v>
      </c>
      <c r="C241" s="17" t="s">
        <v>4642</v>
      </c>
      <c r="D241" s="2672" cm="1" t="n">
        <f t="array" ref="D241">INDEX('5층_부하량'!F3:F3000,MATCH(1,("5-DaHall 1-PDU-07"='5층_부하량'!A3:A3000)*(31='5층_부하량'!B3:B3000),0))</f>
        <v>0.0</v>
      </c>
      <c r="E241" s="21"/>
      <c r="F241" s="21"/>
      <c r="G241" s="21"/>
      <c r="H241" s="17" t="s">
        <v>5811</v>
      </c>
      <c r="I241" s="549" t="s">
        <v>4693</v>
      </c>
      <c r="J241" s="112"/>
      <c r="K241" s="81"/>
      <c r="L241" s="568" t="s">
        <v>4694</v>
      </c>
      <c r="M241" s="17" t="s">
        <v>5811</v>
      </c>
      <c r="N241" s="2672" cm="1" t="n">
        <f t="array" ref="N241">INDEX('5층_부하량'!F3:F3000,MATCH(1,("5-DaHall 1-PDU-07"='5층_부하량'!A3:A3000)*(32='5층_부하량'!B3:B3000),0))</f>
        <v>0.0</v>
      </c>
      <c r="O241" s="21"/>
      <c r="P241" s="21"/>
      <c r="Q241" s="21"/>
      <c r="R241" s="69" t="s">
        <v>4590</v>
      </c>
      <c r="S241" s="17" t="s">
        <v>4642</v>
      </c>
      <c r="T241" s="70"/>
    </row>
    <row r="242" spans="1:20" x14ac:dyDescent="0.15">
      <c r="A242" s="321"/>
      <c r="B242" s="17" t="s">
        <v>4590</v>
      </c>
      <c r="C242" s="17" t="s">
        <v>4642</v>
      </c>
      <c r="D242" s="21"/>
      <c r="E242" s="2672" cm="1" t="n">
        <f t="array" ref="E242">INDEX('5층_부하량'!G3:G3000,MATCH(1,("5-DaHall 1-PDU-07"='5층_부하량'!A3:A3000)*(33='5층_부하량'!B3:B3000),0))</f>
        <v>0.0</v>
      </c>
      <c r="F242" s="21"/>
      <c r="G242" s="21"/>
      <c r="H242" s="17" t="s">
        <v>5811</v>
      </c>
      <c r="I242" s="549" t="s">
        <v>4697</v>
      </c>
      <c r="J242" s="112"/>
      <c r="K242" s="81"/>
      <c r="L242" s="568" t="s">
        <v>4698</v>
      </c>
      <c r="M242" s="17" t="s">
        <v>5811</v>
      </c>
      <c r="N242" s="21"/>
      <c r="O242" s="2672" cm="1" t="n">
        <f t="array" ref="O242">INDEX('5층_부하량'!G3:G3000,MATCH(1,("5-DaHall 1-PDU-07"='5층_부하량'!A3:A3000)*(34='5층_부하량'!B3:B3000),0))</f>
        <v>0.0</v>
      </c>
      <c r="P242" s="21"/>
      <c r="Q242" s="21"/>
      <c r="R242" s="69" t="s">
        <v>4590</v>
      </c>
      <c r="S242" s="17" t="s">
        <v>4642</v>
      </c>
      <c r="T242" s="70"/>
    </row>
    <row r="243" spans="1:20" ht="14.25" thickBot="1" x14ac:dyDescent="0.2">
      <c r="A243" s="38"/>
      <c r="B243" s="35" t="s">
        <v>4590</v>
      </c>
      <c r="C243" s="35" t="s">
        <v>4642</v>
      </c>
      <c r="D243" s="36"/>
      <c r="E243" s="36"/>
      <c r="F243" s="2671" cm="1" t="n">
        <f t="array" ref="F243">INDEX('5층_부하량'!H3:H3000,MATCH(1,("5-DaHall 1-PDU-07"='5층_부하량'!A3:A3000)*(35='5층_부하량'!B3:B3000),0))</f>
        <v>0.0</v>
      </c>
      <c r="G243" s="36"/>
      <c r="H243" s="35" t="s">
        <v>5811</v>
      </c>
      <c r="I243" s="551" t="s">
        <v>4701</v>
      </c>
      <c r="J243" s="85"/>
      <c r="K243" s="84"/>
      <c r="L243" s="572" t="s">
        <v>4703</v>
      </c>
      <c r="M243" s="35" t="s">
        <v>5811</v>
      </c>
      <c r="N243" s="36"/>
      <c r="O243" s="36"/>
      <c r="P243" s="2671" cm="1" t="n">
        <f t="array" ref="P243">INDEX('5층_부하량'!H3:H3000,MATCH(1,("5-DaHall 1-PDU-07"='5층_부하량'!A3:A3000)*(36='5층_부하량'!B3:B3000),0))</f>
        <v>0.0</v>
      </c>
      <c r="Q243" s="36"/>
      <c r="R243" s="78" t="s">
        <v>4590</v>
      </c>
      <c r="S243" s="35" t="s">
        <v>4642</v>
      </c>
      <c r="T243" s="79"/>
    </row>
    <row r="244" spans="1:20" ht="15" thickTop="1" thickBot="1" x14ac:dyDescent="0.2">
      <c r="M244" s="80" t="s">
        <v>5645</v>
      </c>
      <c r="N244" s="33" t="n">
        <f>SUM(D226:D243,N226:N243)</f>
        <v>10.32</v>
      </c>
      <c r="O244" s="33" t="n">
        <f>SUM(E226:E243,O226:O243)</f>
        <v>1.88</v>
      </c>
      <c r="P244" s="33" t="n">
        <f>SUM(F226:F243,P226:P243)</f>
        <v>0.8</v>
      </c>
    </row>
    <row r="245" spans="1:20" ht="20.25" thickTop="1" thickBot="1" x14ac:dyDescent="0.2">
      <c r="A245" s="2" t="s">
        <v>6952</v>
      </c>
      <c r="C245" s="3660" t="s">
        <v>5837</v>
      </c>
      <c r="D245" s="3660"/>
      <c r="E245" s="3660"/>
      <c r="F245" s="3660"/>
      <c r="G245" s="53"/>
      <c r="H245" s="124"/>
      <c r="I245" s="124"/>
      <c r="J245" s="3661" t="s">
        <v>5063</v>
      </c>
      <c r="K245" s="3667"/>
      <c r="L245" s="124"/>
      <c r="M245" s="118" t="s">
        <v>5838</v>
      </c>
      <c r="N245" s="53"/>
      <c r="O245" s="53"/>
      <c r="P245" s="53"/>
      <c r="Q245" s="53"/>
      <c r="R245" s="53"/>
      <c r="S245" s="53"/>
    </row>
    <row r="246" spans="1:20" ht="15" thickTop="1" thickBot="1" x14ac:dyDescent="0.2">
      <c r="A246" s="3"/>
      <c r="D246" s="54"/>
      <c r="E246" s="54"/>
      <c r="F246" s="54"/>
      <c r="G246" s="54"/>
      <c r="H246" s="4"/>
      <c r="I246" s="4"/>
      <c r="K246" s="56"/>
      <c r="L246" s="565"/>
      <c r="M246" s="1371" t="s">
        <v>4562</v>
      </c>
      <c r="N246" s="1368"/>
      <c r="O246" s="1369"/>
      <c r="P246" s="1370"/>
      <c r="Q246" s="508" t="s">
        <v>4563</v>
      </c>
      <c r="R246" s="133"/>
      <c r="S246" s="128"/>
      <c r="T246" s="528"/>
    </row>
    <row r="247" spans="1:20" ht="15" thickTop="1" thickBot="1" x14ac:dyDescent="0.2">
      <c r="A247" s="5" t="s">
        <v>4564</v>
      </c>
      <c r="B247" s="6" t="s">
        <v>4565</v>
      </c>
      <c r="C247" s="7" t="s">
        <v>4566</v>
      </c>
      <c r="D247" s="6" t="s">
        <v>4567</v>
      </c>
      <c r="E247" s="6" t="s">
        <v>4568</v>
      </c>
      <c r="F247" s="6" t="s">
        <v>4569</v>
      </c>
      <c r="G247" s="6" t="s">
        <v>4570</v>
      </c>
      <c r="H247" s="8" t="s">
        <v>4571</v>
      </c>
      <c r="I247" s="547"/>
      <c r="J247" s="58" t="s">
        <v>4572</v>
      </c>
      <c r="K247" s="59" t="s">
        <v>4572</v>
      </c>
      <c r="L247" s="566"/>
      <c r="M247" s="8" t="s">
        <v>4571</v>
      </c>
      <c r="N247" s="6" t="s">
        <v>4567</v>
      </c>
      <c r="O247" s="6" t="s">
        <v>4568</v>
      </c>
      <c r="P247" s="6" t="s">
        <v>4569</v>
      </c>
      <c r="Q247" s="6" t="s">
        <v>4570</v>
      </c>
      <c r="R247" s="6" t="s">
        <v>4565</v>
      </c>
      <c r="S247" s="7" t="s">
        <v>4566</v>
      </c>
      <c r="T247" s="60" t="s">
        <v>4564</v>
      </c>
    </row>
    <row r="248" spans="1:20" ht="14.25" thickTop="1" x14ac:dyDescent="0.15">
      <c r="A248" s="10"/>
      <c r="B248" s="11" t="s">
        <v>4590</v>
      </c>
      <c r="C248" s="13" t="s">
        <v>4642</v>
      </c>
      <c r="D248" s="2669" t="n">
        <f>IFERROR(INDEX('5층_부하량'!F3:F3000,MATCH(1,("5-DaHall 1-PDU-09"='5층_부하량'!A3:A3000)*(1='5층_부하량'!B3:B3000),0)),0)</f>
        <v>0.0</v>
      </c>
      <c r="E248" s="15"/>
      <c r="F248" s="15"/>
      <c r="G248" s="15"/>
      <c r="H248" s="13" t="s">
        <v>5786</v>
      </c>
      <c r="I248" s="1177" t="s">
        <v>5787</v>
      </c>
      <c r="J248" s="61"/>
      <c r="K248" s="62"/>
      <c r="L248" s="567" t="s">
        <v>5788</v>
      </c>
      <c r="M248" s="11" t="s">
        <v>5786</v>
      </c>
      <c r="N248" s="2669" t="n">
        <f>IFERROR(INDEX('5층_부하량'!F3:F3000,MATCH(1,("5-DaHall 1-PDU-09"='5층_부하량'!A3:A3000)*(2='5층_부하량'!B3:B3000),0)),0)</f>
        <v>0.0</v>
      </c>
      <c r="O248" s="15"/>
      <c r="P248" s="15"/>
      <c r="Q248" s="15"/>
      <c r="R248" s="63" t="s">
        <v>4590</v>
      </c>
      <c r="S248" s="11" t="s">
        <v>4642</v>
      </c>
      <c r="T248" s="98"/>
    </row>
    <row r="249" spans="1:20" x14ac:dyDescent="0.15">
      <c r="A249" s="16"/>
      <c r="B249" s="17" t="s">
        <v>4590</v>
      </c>
      <c r="C249" s="17" t="s">
        <v>4642</v>
      </c>
      <c r="D249" s="19"/>
      <c r="E249" s="2670" t="n">
        <f>IFERROR(INDEX('5층_부하량'!G3:G3000,MATCH(1,("5-DaHall 1-PDU-09"='5층_부하량'!A3:A3000)*(3='5층_부하량'!B3:B3000),0)),0)</f>
        <v>0.0</v>
      </c>
      <c r="F249" s="19"/>
      <c r="G249" s="19"/>
      <c r="H249" s="17" t="s">
        <v>5790</v>
      </c>
      <c r="I249" s="549" t="s">
        <v>4638</v>
      </c>
      <c r="J249" s="65"/>
      <c r="K249" s="66"/>
      <c r="L249" s="549" t="s">
        <v>4583</v>
      </c>
      <c r="M249" s="17" t="s">
        <v>5786</v>
      </c>
      <c r="N249" s="19"/>
      <c r="O249" s="2670" t="n">
        <f>IFERROR(INDEX('5층_부하량'!G3:G3000,MATCH(1,("5-DaHall 1-PDU-09"='5층_부하량'!A3:A3000)*(4='5층_부하량'!B3:B3000),0)),0)</f>
        <v>0.0</v>
      </c>
      <c r="P249" s="19"/>
      <c r="Q249" s="19"/>
      <c r="R249" s="67" t="s">
        <v>4590</v>
      </c>
      <c r="S249" s="17" t="s">
        <v>4642</v>
      </c>
      <c r="T249" s="68"/>
    </row>
    <row r="250" spans="1:20" x14ac:dyDescent="0.15">
      <c r="A250" s="321"/>
      <c r="B250" s="17" t="s">
        <v>4590</v>
      </c>
      <c r="C250" s="17" t="s">
        <v>4642</v>
      </c>
      <c r="D250" s="21"/>
      <c r="E250" s="21"/>
      <c r="F250" s="2672" t="n">
        <f>IFERROR(INDEX('5층_부하량'!H3:H3000,MATCH(1,("5-DaHall 1-PDU-09"='5층_부하량'!A3:A3000)*(5='5층_부하량'!B3:B3000),0)),0)</f>
        <v>0.0</v>
      </c>
      <c r="G250" s="21"/>
      <c r="H250" s="17" t="s">
        <v>5786</v>
      </c>
      <c r="I250" s="549" t="s">
        <v>4641</v>
      </c>
      <c r="J250" s="112"/>
      <c r="K250" s="81"/>
      <c r="L250" s="568" t="s">
        <v>4588</v>
      </c>
      <c r="M250" s="17" t="s">
        <v>5786</v>
      </c>
      <c r="N250" s="21"/>
      <c r="O250" s="21"/>
      <c r="P250" s="2672" t="n">
        <f>IFERROR(INDEX('5층_부하량'!H3:H3000,MATCH(1,("5-DaHall 1-PDU-09"='5층_부하량'!A3:A3000)*(6='5층_부하량'!B3:B3000),0)),0)</f>
        <v>0.0</v>
      </c>
      <c r="Q250" s="21"/>
      <c r="R250" s="69" t="s">
        <v>4590</v>
      </c>
      <c r="S250" s="17" t="s">
        <v>4642</v>
      </c>
      <c r="T250" s="70"/>
    </row>
    <row r="251" spans="1:20" x14ac:dyDescent="0.15">
      <c r="A251" s="16"/>
      <c r="B251" s="17" t="s">
        <v>4590</v>
      </c>
      <c r="C251" s="17" t="s">
        <v>4642</v>
      </c>
      <c r="D251" s="2672" t="n">
        <f>IFERROR(INDEX('5층_부하량'!F3:F3000,MATCH(1,("5-DaHall 1-PDU-09"='5층_부하량'!A3:A3000)*(7='5층_부하량'!B3:B3000),0)),0)</f>
        <v>0.0</v>
      </c>
      <c r="E251" s="21"/>
      <c r="F251" s="21"/>
      <c r="G251" s="21"/>
      <c r="H251" s="17" t="s">
        <v>5795</v>
      </c>
      <c r="I251" s="549" t="s">
        <v>4645</v>
      </c>
      <c r="J251" s="112"/>
      <c r="K251" s="81"/>
      <c r="L251" s="568" t="s">
        <v>4593</v>
      </c>
      <c r="M251" s="17" t="s">
        <v>5795</v>
      </c>
      <c r="N251" s="2672" t="n">
        <f>IFERROR(INDEX('5층_부하량'!F3:F3000,MATCH(1,("5-DaHall 1-PDU-09"='5층_부하량'!A3:A3000)*(8='5층_부하량'!B3:B3000),0)),0)</f>
        <v>0.0</v>
      </c>
      <c r="O251" s="21"/>
      <c r="P251" s="21"/>
      <c r="Q251" s="21"/>
      <c r="R251" s="69" t="s">
        <v>4590</v>
      </c>
      <c r="S251" s="17" t="s">
        <v>4642</v>
      </c>
      <c r="T251" s="68"/>
    </row>
    <row r="252" spans="1:20" x14ac:dyDescent="0.15">
      <c r="A252" s="321"/>
      <c r="B252" s="17" t="s">
        <v>4590</v>
      </c>
      <c r="C252" s="17" t="s">
        <v>4642</v>
      </c>
      <c r="D252" s="21"/>
      <c r="E252" s="2672" t="n">
        <f>IFERROR(INDEX('5층_부하량'!G3:G3000,MATCH(1,("5-DaHall 1-PDU-09"='5층_부하량'!A3:A3000)*(9='5층_부하량'!B3:B3000),0)),0)</f>
        <v>0.0</v>
      </c>
      <c r="F252" s="21"/>
      <c r="G252" s="21"/>
      <c r="H252" s="17" t="s">
        <v>5790</v>
      </c>
      <c r="I252" s="549" t="s">
        <v>4648</v>
      </c>
      <c r="J252" s="112"/>
      <c r="K252" s="81"/>
      <c r="L252" s="568" t="s">
        <v>4596</v>
      </c>
      <c r="M252" s="17" t="s">
        <v>5790</v>
      </c>
      <c r="N252" s="21"/>
      <c r="O252" s="2672" t="n">
        <f>IFERROR(INDEX('5층_부하량'!G3:G3000,MATCH(1,("5-DaHall 1-PDU-09"='5층_부하량'!A3:A3000)*(10='5층_부하량'!B3:B3000),0)),0)</f>
        <v>0.0</v>
      </c>
      <c r="P252" s="21"/>
      <c r="Q252" s="21"/>
      <c r="R252" s="69" t="s">
        <v>4590</v>
      </c>
      <c r="S252" s="17" t="s">
        <v>4642</v>
      </c>
      <c r="T252" s="70"/>
    </row>
    <row r="253" spans="1:20" x14ac:dyDescent="0.15">
      <c r="A253" s="16"/>
      <c r="B253" s="23" t="s">
        <v>4590</v>
      </c>
      <c r="C253" s="17" t="s">
        <v>4642</v>
      </c>
      <c r="D253" s="25"/>
      <c r="E253" s="25"/>
      <c r="F253" s="2673" t="n">
        <f>IFERROR(INDEX('5층_부하량'!H3:H3000,MATCH(1,("5-DaHall 1-PDU-09"='5층_부하량'!A3:A3000)*(11='5층_부하량'!B3:B3000),0)),0)</f>
        <v>0.0</v>
      </c>
      <c r="G253" s="25"/>
      <c r="H253" s="23" t="s">
        <v>5801</v>
      </c>
      <c r="I253" s="555" t="s">
        <v>4653</v>
      </c>
      <c r="J253" s="113"/>
      <c r="K253" s="114"/>
      <c r="L253" s="569" t="s">
        <v>4599</v>
      </c>
      <c r="M253" s="23" t="s">
        <v>5801</v>
      </c>
      <c r="N253" s="25"/>
      <c r="O253" s="25"/>
      <c r="P253" s="2673" t="n">
        <f>IFERROR(INDEX('5층_부하량'!H3:H3000,MATCH(1,("5-DaHall 1-PDU-09"='5층_부하량'!A3:A3000)*(12='5층_부하량'!B3:B3000),0)),0)</f>
        <v>0.0</v>
      </c>
      <c r="Q253" s="25"/>
      <c r="R253" s="108" t="s">
        <v>4590</v>
      </c>
      <c r="S253" s="23" t="s">
        <v>4642</v>
      </c>
      <c r="T253" s="104"/>
    </row>
    <row r="254" spans="1:20" x14ac:dyDescent="0.15">
      <c r="A254" s="16"/>
      <c r="B254" s="23" t="s">
        <v>4590</v>
      </c>
      <c r="C254" s="23" t="s">
        <v>4642</v>
      </c>
      <c r="D254" s="2673" t="n">
        <f>IFERROR(INDEX('5층_부하량'!F3:F3000,MATCH(1,("5-DaHall 1-PDU-09"='5층_부하량'!A3:A3000)*(13='5층_부하량'!B3:B3000),0)),0)</f>
        <v>0.0</v>
      </c>
      <c r="E254" s="25"/>
      <c r="F254" s="25"/>
      <c r="G254" s="25"/>
      <c r="H254" s="23" t="s">
        <v>5801</v>
      </c>
      <c r="I254" s="555" t="s">
        <v>4657</v>
      </c>
      <c r="J254" s="113"/>
      <c r="K254" s="114"/>
      <c r="L254" s="569" t="s">
        <v>4601</v>
      </c>
      <c r="M254" s="23" t="s">
        <v>5801</v>
      </c>
      <c r="N254" s="2673" t="n">
        <f>IFERROR(INDEX('5층_부하량'!F3:F3000,MATCH(1,("5-DaHall 1-PDU-09"='5층_부하량'!A3:A3000)*(14='5층_부하량'!B3:B3000),0)),0)</f>
        <v>0.0</v>
      </c>
      <c r="O254" s="25"/>
      <c r="P254" s="25"/>
      <c r="Q254" s="25"/>
      <c r="R254" s="108" t="s">
        <v>4590</v>
      </c>
      <c r="S254" s="23" t="s">
        <v>4642</v>
      </c>
      <c r="T254" s="104"/>
    </row>
    <row r="255" spans="1:20" ht="14.25" thickBot="1" x14ac:dyDescent="0.2">
      <c r="A255" s="87"/>
      <c r="B255" s="88" t="s">
        <v>4590</v>
      </c>
      <c r="C255" s="88" t="s">
        <v>4642</v>
      </c>
      <c r="D255" s="90"/>
      <c r="E255" s="2688" t="n">
        <f>IFERROR(INDEX('5층_부하량'!G3:G3000,MATCH(1,("5-DaHall 1-PDU-09"='5층_부하량'!A3:A3000)*(15='5층_부하량'!B3:B3000),0)),0)</f>
        <v>0.0</v>
      </c>
      <c r="F255" s="90"/>
      <c r="G255" s="90"/>
      <c r="H255" s="88" t="s">
        <v>5801</v>
      </c>
      <c r="I255" s="553" t="s">
        <v>4661</v>
      </c>
      <c r="J255" s="115"/>
      <c r="K255" s="116"/>
      <c r="L255" s="570" t="s">
        <v>4603</v>
      </c>
      <c r="M255" s="88" t="s">
        <v>5801</v>
      </c>
      <c r="N255" s="90"/>
      <c r="O255" s="2688" t="n">
        <f>IFERROR(INDEX('5층_부하량'!G3:G3000,MATCH(1,("5-DaHall 1-PDU-09"='5층_부하량'!A3:A3000)*(16='5층_부하량'!B3:B3000),0)),0)</f>
        <v>0.0</v>
      </c>
      <c r="P255" s="90"/>
      <c r="Q255" s="90"/>
      <c r="R255" s="93" t="s">
        <v>4590</v>
      </c>
      <c r="S255" s="88" t="s">
        <v>4642</v>
      </c>
      <c r="T255" s="94"/>
    </row>
    <row r="256" spans="1:20" ht="14.25" thickTop="1" x14ac:dyDescent="0.15">
      <c r="A256" s="71"/>
      <c r="B256" s="72" t="s">
        <v>4590</v>
      </c>
      <c r="C256" s="72" t="s">
        <v>4642</v>
      </c>
      <c r="D256" s="74"/>
      <c r="E256" s="74"/>
      <c r="F256" s="2689" t="n">
        <f>IFERROR(INDEX('5층_부하량'!H3:H3000,MATCH(1,("5-DaHall 1-PDU-09"='5층_부하량'!A3:A3000)*(17='5층_부하량'!B3:B3000),0)),0)</f>
        <v>0.0</v>
      </c>
      <c r="G256" s="74"/>
      <c r="H256" s="72" t="s">
        <v>5801</v>
      </c>
      <c r="I256" s="550" t="s">
        <v>4665</v>
      </c>
      <c r="J256" s="117"/>
      <c r="K256" s="83"/>
      <c r="L256" s="571" t="s">
        <v>4605</v>
      </c>
      <c r="M256" s="72" t="s">
        <v>5801</v>
      </c>
      <c r="N256" s="74"/>
      <c r="O256" s="74"/>
      <c r="P256" s="2689" t="n">
        <f>IFERROR(INDEX('5층_부하량'!H3:H3000,MATCH(1,("5-DaHall 1-PDU-09"='5층_부하량'!A3:A3000)*(18='5층_부하량'!B3:B3000),0)),0)</f>
        <v>0.0</v>
      </c>
      <c r="Q256" s="74"/>
      <c r="R256" s="75" t="s">
        <v>4590</v>
      </c>
      <c r="S256" s="72" t="s">
        <v>4642</v>
      </c>
      <c r="T256" s="68"/>
    </row>
    <row r="257" spans="1:20" x14ac:dyDescent="0.15">
      <c r="A257" s="16"/>
      <c r="B257" s="17" t="s">
        <v>4590</v>
      </c>
      <c r="C257" s="17" t="s">
        <v>4642</v>
      </c>
      <c r="D257" s="2672" t="n">
        <f>IFERROR(INDEX('5층_부하량'!F3:F3000,MATCH(1,("5-DaHall 1-PDU-09"='5층_부하량'!A3:A3000)*(19='5층_부하량'!B3:B3000),0)),0)</f>
        <v>0.0</v>
      </c>
      <c r="E257" s="21"/>
      <c r="F257" s="21"/>
      <c r="G257" s="21"/>
      <c r="H257" s="17" t="s">
        <v>5811</v>
      </c>
      <c r="I257" s="549" t="s">
        <v>4670</v>
      </c>
      <c r="J257" s="112"/>
      <c r="K257" s="81"/>
      <c r="L257" s="568" t="s">
        <v>4609</v>
      </c>
      <c r="M257" s="17" t="s">
        <v>5811</v>
      </c>
      <c r="N257" s="2672" t="n">
        <f>IFERROR(INDEX('5층_부하량'!F3:F3000,MATCH(1,("5-DaHall 1-PDU-09"='5층_부하량'!A3:A3000)*(20='5층_부하량'!B3:B3000),0)),0)</f>
        <v>0.0</v>
      </c>
      <c r="O257" s="21"/>
      <c r="P257" s="21"/>
      <c r="Q257" s="21"/>
      <c r="R257" s="69" t="s">
        <v>4590</v>
      </c>
      <c r="S257" s="17" t="s">
        <v>4642</v>
      </c>
      <c r="T257" s="70"/>
    </row>
    <row r="258" spans="1:20" x14ac:dyDescent="0.15">
      <c r="A258" s="321"/>
      <c r="B258" s="17" t="s">
        <v>4590</v>
      </c>
      <c r="C258" s="17" t="s">
        <v>4642</v>
      </c>
      <c r="D258" s="21"/>
      <c r="E258" s="2672" t="n">
        <f>IFERROR(INDEX('5층_부하량'!G3:G3000,MATCH(1,("5-DaHall 1-PDU-09"='5층_부하량'!A3:A3000)*(21='5층_부하량'!B3:B3000),0)),0)</f>
        <v>0.0</v>
      </c>
      <c r="F258" s="21"/>
      <c r="G258" s="21"/>
      <c r="H258" s="17" t="s">
        <v>5811</v>
      </c>
      <c r="I258" s="549" t="s">
        <v>4674</v>
      </c>
      <c r="J258" s="112"/>
      <c r="K258" s="81"/>
      <c r="L258" s="568" t="s">
        <v>4613</v>
      </c>
      <c r="M258" s="17" t="s">
        <v>5811</v>
      </c>
      <c r="N258" s="21"/>
      <c r="O258" s="2672" t="n">
        <f>IFERROR(INDEX('5층_부하량'!G3:G3000,MATCH(1,("5-DaHall 1-PDU-09"='5층_부하량'!A3:A3000)*(22='5층_부하량'!B3:B3000),0)),0)</f>
        <v>0.0</v>
      </c>
      <c r="P258" s="21"/>
      <c r="Q258" s="21"/>
      <c r="R258" s="69" t="s">
        <v>4590</v>
      </c>
      <c r="S258" s="17" t="s">
        <v>4642</v>
      </c>
      <c r="T258" s="82"/>
    </row>
    <row r="259" spans="1:20" x14ac:dyDescent="0.15">
      <c r="A259" s="321"/>
      <c r="B259" s="17" t="s">
        <v>4590</v>
      </c>
      <c r="C259" s="17" t="s">
        <v>4642</v>
      </c>
      <c r="D259" s="21"/>
      <c r="E259" s="21"/>
      <c r="F259" s="2672" t="n">
        <f>IFERROR(INDEX('5층_부하량'!H3:H3000,MATCH(1,("5-DaHall 1-PDU-09"='5층_부하량'!A3:A3000)*(23='5층_부하량'!B3:B3000),0)),0)</f>
        <v>0.0</v>
      </c>
      <c r="G259" s="21"/>
      <c r="H259" s="17" t="s">
        <v>5811</v>
      </c>
      <c r="I259" s="549" t="s">
        <v>4678</v>
      </c>
      <c r="J259" s="112"/>
      <c r="K259" s="81"/>
      <c r="L259" s="568" t="s">
        <v>4680</v>
      </c>
      <c r="M259" s="17" t="s">
        <v>5811</v>
      </c>
      <c r="N259" s="21"/>
      <c r="O259" s="21"/>
      <c r="P259" s="2672" t="n">
        <f>IFERROR(INDEX('5층_부하량'!H3:H3000,MATCH(1,("5-DaHall 1-PDU-09"='5층_부하량'!A3:A3000)*(24='5층_부하량'!B3:B3000),0)),0)</f>
        <v>0.0</v>
      </c>
      <c r="Q259" s="21"/>
      <c r="R259" s="69" t="s">
        <v>4590</v>
      </c>
      <c r="S259" s="17" t="s">
        <v>4642</v>
      </c>
      <c r="T259" s="70"/>
    </row>
    <row r="260" spans="1:20" x14ac:dyDescent="0.15">
      <c r="A260" s="321"/>
      <c r="B260" s="17" t="s">
        <v>4590</v>
      </c>
      <c r="C260" s="17" t="s">
        <v>4642</v>
      </c>
      <c r="D260" s="2672" t="n">
        <f>IFERROR(INDEX('5층_부하량'!F3:F3000,MATCH(1,("5-DaHall 1-PDU-09"='5층_부하량'!A3:A3000)*(25='5층_부하량'!B3:B3000),0)),0)</f>
        <v>0.0</v>
      </c>
      <c r="E260" s="21"/>
      <c r="F260" s="21"/>
      <c r="G260" s="21"/>
      <c r="H260" s="17" t="s">
        <v>5811</v>
      </c>
      <c r="I260" s="549" t="s">
        <v>4683</v>
      </c>
      <c r="J260" s="112"/>
      <c r="K260" s="81"/>
      <c r="L260" s="568" t="s">
        <v>4685</v>
      </c>
      <c r="M260" s="17" t="s">
        <v>5811</v>
      </c>
      <c r="N260" s="2672" t="n">
        <f>IFERROR(INDEX('5층_부하량'!F3:F3000,MATCH(1,("5-DaHall 1-PDU-09"='5층_부하량'!A3:A3000)*(26='5층_부하량'!B3:B3000),0)),0)</f>
        <v>0.0</v>
      </c>
      <c r="O260" s="21"/>
      <c r="P260" s="21"/>
      <c r="Q260" s="21"/>
      <c r="R260" s="69" t="s">
        <v>4590</v>
      </c>
      <c r="S260" s="17" t="s">
        <v>4642</v>
      </c>
      <c r="T260" s="70"/>
    </row>
    <row r="261" spans="1:20" x14ac:dyDescent="0.15">
      <c r="A261" s="321"/>
      <c r="B261" s="17" t="s">
        <v>4590</v>
      </c>
      <c r="C261" s="17" t="s">
        <v>4642</v>
      </c>
      <c r="D261" s="21"/>
      <c r="E261" s="2672" t="n">
        <f>IFERROR(INDEX('5층_부하량'!G3:G3000,MATCH(1,("5-DaHall 1-PDU-09"='5층_부하량'!A3:A3000)*(27='5층_부하량'!B3:B3000),0)),0)</f>
        <v>0.0</v>
      </c>
      <c r="F261" s="21"/>
      <c r="G261" s="21"/>
      <c r="H261" s="17" t="s">
        <v>5811</v>
      </c>
      <c r="I261" s="549" t="s">
        <v>4688</v>
      </c>
      <c r="J261" s="112"/>
      <c r="K261" s="81"/>
      <c r="L261" s="568" t="s">
        <v>4689</v>
      </c>
      <c r="M261" s="17" t="s">
        <v>5811</v>
      </c>
      <c r="N261" s="21"/>
      <c r="O261" s="2672" t="n">
        <f>IFERROR(INDEX('5층_부하량'!G3:G3000,MATCH(1,("5-DaHall 1-PDU-09"='5층_부하량'!A3:A3000)*(28='5층_부하량'!B3:B3000),0)),0)</f>
        <v>0.0</v>
      </c>
      <c r="P261" s="21"/>
      <c r="Q261" s="21"/>
      <c r="R261" s="69" t="s">
        <v>4590</v>
      </c>
      <c r="S261" s="17" t="s">
        <v>4642</v>
      </c>
      <c r="T261" s="70"/>
    </row>
    <row r="262" spans="1:20" x14ac:dyDescent="0.15">
      <c r="A262" s="321"/>
      <c r="B262" s="17" t="s">
        <v>4590</v>
      </c>
      <c r="C262" s="17" t="s">
        <v>4642</v>
      </c>
      <c r="D262" s="21"/>
      <c r="E262" s="21"/>
      <c r="F262" s="2672" t="n">
        <f>IFERROR(INDEX('5층_부하량'!H3:H3000,MATCH(1,("5-DaHall 1-PDU-09"='5층_부하량'!A3:A3000)*(29='5층_부하량'!B3:B3000),0)),0)</f>
        <v>0.0</v>
      </c>
      <c r="G262" s="21"/>
      <c r="H262" s="17" t="s">
        <v>5811</v>
      </c>
      <c r="I262" s="549" t="s">
        <v>4691</v>
      </c>
      <c r="J262" s="112"/>
      <c r="K262" s="81"/>
      <c r="L262" s="568" t="s">
        <v>4692</v>
      </c>
      <c r="M262" s="17" t="s">
        <v>5811</v>
      </c>
      <c r="N262" s="21"/>
      <c r="O262" s="21"/>
      <c r="P262" s="2672" t="n">
        <f>IFERROR(INDEX('5층_부하량'!H3:H3000,MATCH(1,("5-DaHall 1-PDU-09"='5층_부하량'!A3:A3000)*(30='5층_부하량'!B3:B3000),0)),0)</f>
        <v>0.0</v>
      </c>
      <c r="Q262" s="21"/>
      <c r="R262" s="69" t="s">
        <v>4590</v>
      </c>
      <c r="S262" s="17" t="s">
        <v>4642</v>
      </c>
      <c r="T262" s="70"/>
    </row>
    <row r="263" spans="1:20" x14ac:dyDescent="0.15">
      <c r="A263" s="321"/>
      <c r="B263" s="17" t="s">
        <v>4590</v>
      </c>
      <c r="C263" s="17" t="s">
        <v>4642</v>
      </c>
      <c r="D263" s="2672" t="n">
        <f>IFERROR(INDEX('5층_부하량'!F3:F3000,MATCH(1,("5-DaHall 1-PDU-09"='5층_부하량'!A3:A3000)*(31='5층_부하량'!B3:B3000),0)),0)</f>
        <v>0.0</v>
      </c>
      <c r="E263" s="21"/>
      <c r="F263" s="21"/>
      <c r="G263" s="21"/>
      <c r="H263" s="17" t="s">
        <v>5811</v>
      </c>
      <c r="I263" s="549" t="s">
        <v>4693</v>
      </c>
      <c r="J263" s="112"/>
      <c r="K263" s="81"/>
      <c r="L263" s="568" t="s">
        <v>4694</v>
      </c>
      <c r="M263" s="17" t="s">
        <v>5811</v>
      </c>
      <c r="N263" s="2672" t="n">
        <f>IFERROR(INDEX('5층_부하량'!F3:F3000,MATCH(1,("5-DaHall 1-PDU-09"='5층_부하량'!A3:A3000)*(32='5층_부하량'!B3:B3000),0)),0)</f>
        <v>0.0</v>
      </c>
      <c r="O263" s="21"/>
      <c r="P263" s="21"/>
      <c r="Q263" s="21"/>
      <c r="R263" s="69" t="s">
        <v>4590</v>
      </c>
      <c r="S263" s="17" t="s">
        <v>4642</v>
      </c>
      <c r="T263" s="70"/>
    </row>
    <row r="264" spans="1:20" x14ac:dyDescent="0.15">
      <c r="A264" s="321"/>
      <c r="B264" s="17" t="s">
        <v>4590</v>
      </c>
      <c r="C264" s="17" t="s">
        <v>4642</v>
      </c>
      <c r="D264" s="21"/>
      <c r="E264" s="2672" t="n">
        <f>IFERROR(INDEX('5층_부하량'!G3:G3000,MATCH(1,("5-DaHall 1-PDU-09"='5층_부하량'!A3:A3000)*(33='5층_부하량'!B3:B3000),0)),0)</f>
        <v>0.0</v>
      </c>
      <c r="F264" s="21"/>
      <c r="G264" s="21"/>
      <c r="H264" s="17" t="s">
        <v>5811</v>
      </c>
      <c r="I264" s="549" t="s">
        <v>4697</v>
      </c>
      <c r="J264" s="112"/>
      <c r="K264" s="81"/>
      <c r="L264" s="568" t="s">
        <v>4698</v>
      </c>
      <c r="M264" s="17" t="s">
        <v>5811</v>
      </c>
      <c r="N264" s="21"/>
      <c r="O264" s="2672" t="n">
        <f>IFERROR(INDEX('5층_부하량'!G3:G3000,MATCH(1,("5-DaHall 1-PDU-09"='5층_부하량'!A3:A3000)*(34='5층_부하량'!B3:B3000),0)),0)</f>
        <v>0.0</v>
      </c>
      <c r="P264" s="21"/>
      <c r="Q264" s="21"/>
      <c r="R264" s="69" t="s">
        <v>4590</v>
      </c>
      <c r="S264" s="17" t="s">
        <v>4642</v>
      </c>
      <c r="T264" s="70"/>
    </row>
    <row r="265" spans="1:20" x14ac:dyDescent="0.15">
      <c r="A265" s="321"/>
      <c r="B265" s="17" t="s">
        <v>4590</v>
      </c>
      <c r="C265" s="17" t="s">
        <v>4642</v>
      </c>
      <c r="D265" s="21"/>
      <c r="E265" s="21"/>
      <c r="F265" s="2672" t="n">
        <f>IFERROR(INDEX('5층_부하량'!H3:H3000,MATCH(1,("5-DaHall 1-PDU-09"='5층_부하량'!A3:A3000)*(35='5층_부하량'!B3:B3000),0)),0)</f>
        <v>0.0</v>
      </c>
      <c r="G265" s="21"/>
      <c r="H265" s="17" t="s">
        <v>5811</v>
      </c>
      <c r="I265" s="549" t="s">
        <v>4701</v>
      </c>
      <c r="J265" s="112"/>
      <c r="K265" s="81"/>
      <c r="L265" s="568" t="s">
        <v>4703</v>
      </c>
      <c r="M265" s="17" t="s">
        <v>5811</v>
      </c>
      <c r="N265" s="21"/>
      <c r="O265" s="21"/>
      <c r="P265" s="2672" t="n">
        <f>IFERROR(INDEX('5층_부하량'!H3:H3000,MATCH(1,("5-DaHall 1-PDU-09"='5층_부하량'!A3:A3000)*(36='5층_부하량'!B3:B3000),0)),0)</f>
        <v>0.0</v>
      </c>
      <c r="Q265" s="21"/>
      <c r="R265" s="69" t="s">
        <v>4590</v>
      </c>
      <c r="S265" s="17" t="s">
        <v>4642</v>
      </c>
      <c r="T265" s="70"/>
    </row>
    <row r="266" spans="1:20" ht="14.25" thickBot="1" x14ac:dyDescent="0.2">
      <c r="A266" s="119"/>
      <c r="B266" s="29" t="s">
        <v>4590</v>
      </c>
      <c r="C266" s="29" t="s">
        <v>4642</v>
      </c>
      <c r="D266" s="2674" t="n">
        <f>IFERROR(INDEX('5층_부하량'!F3:F3000,MATCH(1,("5-DaHall 1-PDU-09"='5층_부하량'!A3:A3000)*(37='5층_부하량'!B3:B3000),0)),0)</f>
        <v>0.0</v>
      </c>
      <c r="E266" s="30"/>
      <c r="F266" s="30"/>
      <c r="G266" s="30"/>
      <c r="H266" s="29" t="s">
        <v>5811</v>
      </c>
      <c r="I266" s="556" t="s">
        <v>4927</v>
      </c>
      <c r="J266" s="120"/>
      <c r="K266" s="121"/>
      <c r="L266" s="573" t="s">
        <v>4928</v>
      </c>
      <c r="M266" s="29" t="s">
        <v>5811</v>
      </c>
      <c r="N266" s="2674" t="n">
        <f>IFERROR(INDEX('5층_부하량'!F3:F3000,MATCH(1,("5-DaHall 1-PDU-09"='5층_부하량'!A3:A3000)*(38='5층_부하량'!B3:B3000),0)),0)</f>
        <v>0.0</v>
      </c>
      <c r="O266" s="30"/>
      <c r="P266" s="30"/>
      <c r="Q266" s="30"/>
      <c r="R266" s="110" t="s">
        <v>4590</v>
      </c>
      <c r="S266" s="29" t="s">
        <v>4642</v>
      </c>
      <c r="T266" s="111"/>
    </row>
    <row r="267" spans="1:20" ht="15" thickTop="1" thickBot="1" x14ac:dyDescent="0.2">
      <c r="M267" s="80" t="s">
        <v>5645</v>
      </c>
      <c r="N267" s="33" t="n">
        <f>SUM(D248:D266,N248:N266)</f>
        <v>0.0</v>
      </c>
      <c r="O267" s="33" t="n">
        <f>SUM(E248:E266,O248:O266)</f>
        <v>0.0</v>
      </c>
      <c r="P267" s="33" t="n">
        <f>SUM(F248:F266,P248:P266)</f>
        <v>0.0</v>
      </c>
    </row>
    <row r="268" spans="1:20" ht="20.25" thickTop="1" thickBot="1" x14ac:dyDescent="0.2">
      <c r="A268" s="2" t="s">
        <v>6953</v>
      </c>
      <c r="C268" s="3660" t="s">
        <v>5839</v>
      </c>
      <c r="D268" s="3660"/>
      <c r="E268" s="3660"/>
      <c r="F268" s="3660"/>
      <c r="G268" s="53"/>
      <c r="H268" s="124"/>
      <c r="I268" s="124"/>
      <c r="J268" s="3661" t="s">
        <v>5063</v>
      </c>
      <c r="K268" s="3667"/>
      <c r="L268" s="124"/>
      <c r="M268" s="124"/>
      <c r="N268" s="53"/>
      <c r="O268" s="53"/>
      <c r="P268" s="53"/>
      <c r="Q268" s="53"/>
      <c r="R268" s="53"/>
      <c r="S268" s="53"/>
    </row>
    <row r="269" spans="1:20" ht="15" customHeight="1" thickTop="1" thickBot="1" x14ac:dyDescent="0.2">
      <c r="A269" s="3"/>
      <c r="D269" s="54"/>
      <c r="E269" s="54"/>
      <c r="F269" s="54"/>
      <c r="G269" s="54"/>
      <c r="H269" s="4"/>
      <c r="I269" s="4"/>
      <c r="K269" s="56"/>
      <c r="L269" s="565"/>
      <c r="M269" s="1371" t="s">
        <v>4562</v>
      </c>
      <c r="N269" s="1368">
        <v>6.5</v>
      </c>
      <c r="O269" s="1369">
        <v>1.4</v>
      </c>
      <c r="P269" s="1370">
        <v>1.4</v>
      </c>
      <c r="Q269" s="508" t="s">
        <v>4563</v>
      </c>
      <c r="R269" s="133"/>
      <c r="S269" s="128"/>
      <c r="T269" s="528"/>
    </row>
    <row r="270" spans="1:20" ht="15" thickTop="1" thickBot="1" x14ac:dyDescent="0.2">
      <c r="A270" s="5" t="s">
        <v>4564</v>
      </c>
      <c r="B270" s="6" t="s">
        <v>4565</v>
      </c>
      <c r="C270" s="7" t="s">
        <v>4566</v>
      </c>
      <c r="D270" s="6" t="s">
        <v>4567</v>
      </c>
      <c r="E270" s="6" t="s">
        <v>4568</v>
      </c>
      <c r="F270" s="6" t="s">
        <v>4569</v>
      </c>
      <c r="G270" s="6" t="s">
        <v>4570</v>
      </c>
      <c r="H270" s="8" t="s">
        <v>4571</v>
      </c>
      <c r="I270" s="547"/>
      <c r="J270" s="58" t="s">
        <v>4572</v>
      </c>
      <c r="K270" s="59" t="s">
        <v>4572</v>
      </c>
      <c r="L270" s="566"/>
      <c r="M270" s="8" t="s">
        <v>4571</v>
      </c>
      <c r="N270" s="6" t="s">
        <v>4567</v>
      </c>
      <c r="O270" s="6" t="s">
        <v>4568</v>
      </c>
      <c r="P270" s="6" t="s">
        <v>4569</v>
      </c>
      <c r="Q270" s="6" t="s">
        <v>4570</v>
      </c>
      <c r="R270" s="6" t="s">
        <v>4565</v>
      </c>
      <c r="S270" s="7" t="s">
        <v>4566</v>
      </c>
      <c r="T270" s="60" t="s">
        <v>4564</v>
      </c>
    </row>
    <row r="271" spans="1:20" ht="24.75" thickTop="1" x14ac:dyDescent="0.15">
      <c r="A271" s="10"/>
      <c r="B271" s="11" t="s">
        <v>565</v>
      </c>
      <c r="C271" s="17" t="s">
        <v>4642</v>
      </c>
      <c r="D271" s="2669" cm="1" t="n">
        <f t="array" ref="D271">INDEX('5층_부하량'!F3:F3000,MATCH(1,("5-DaHall 1-PDU-08"='5층_부하량'!A3:A3000)*(1='5층_부하량'!B3:B3000),0))</f>
        <v>0.0</v>
      </c>
      <c r="E271" s="15"/>
      <c r="F271" s="15"/>
      <c r="G271" s="15"/>
      <c r="H271" s="13" t="s">
        <v>5786</v>
      </c>
      <c r="I271" s="552" t="s">
        <v>4633</v>
      </c>
      <c r="J271" s="1026" t="s">
        <v>5832</v>
      </c>
      <c r="K271" s="1022" t="s">
        <v>5840</v>
      </c>
      <c r="L271" s="1210" t="s">
        <v>4578</v>
      </c>
      <c r="M271" s="11" t="s">
        <v>5786</v>
      </c>
      <c r="N271" s="2669" cm="1" t="n">
        <f t="array" ref="N271">INDEX('5층_부하량'!F3:F3000,MATCH(1,("5-DaHall 1-PDU-08"='5층_부하량'!A3:A3000)*(2='5층_부하량'!B3:B3000),0))</f>
        <v>1.54</v>
      </c>
      <c r="O271" s="15"/>
      <c r="P271" s="15"/>
      <c r="Q271" s="15"/>
      <c r="R271" s="63" t="s">
        <v>4631</v>
      </c>
      <c r="S271" s="97" t="s">
        <v>4575</v>
      </c>
      <c r="T271" s="1063" t="s">
        <v>5841</v>
      </c>
    </row>
    <row r="272" spans="1:20" ht="16.5" x14ac:dyDescent="0.15">
      <c r="A272" s="16" t="s">
        <v>5842</v>
      </c>
      <c r="B272" s="17" t="s">
        <v>4631</v>
      </c>
      <c r="C272" s="18" t="s">
        <v>4575</v>
      </c>
      <c r="D272" s="19"/>
      <c r="E272" s="2670" cm="1" t="n">
        <f t="array" ref="E272">INDEX('5층_부하량'!G3:G3000,MATCH(1,("5-DaHall 1-PDU-08"='5층_부하량'!A3:A3000)*(3='5층_부하량'!B3:B3000),0))</f>
        <v>1.55</v>
      </c>
      <c r="F272" s="19"/>
      <c r="G272" s="19"/>
      <c r="H272" s="17" t="s">
        <v>5790</v>
      </c>
      <c r="I272" s="1207" t="s">
        <v>4638</v>
      </c>
      <c r="J272" s="1027" t="s">
        <v>2824</v>
      </c>
      <c r="K272" s="1024" t="s">
        <v>5832</v>
      </c>
      <c r="L272" s="1207" t="s">
        <v>4583</v>
      </c>
      <c r="M272" s="17" t="s">
        <v>5786</v>
      </c>
      <c r="N272" s="19"/>
      <c r="O272" s="2670" cm="1" t="n">
        <f t="array" ref="O272">INDEX('5층_부하량'!G3:G3000,MATCH(1,("5-DaHall 1-PDU-08"='5층_부하량'!A3:A3000)*(4='5층_부하량'!B3:B3000),0))</f>
        <v>5.49</v>
      </c>
      <c r="P272" s="19"/>
      <c r="Q272" s="19"/>
      <c r="R272" s="67" t="s">
        <v>4631</v>
      </c>
      <c r="S272" s="18" t="s">
        <v>4575</v>
      </c>
      <c r="T272" s="68" t="s">
        <v>5843</v>
      </c>
    </row>
    <row r="273" spans="1:20" ht="36" x14ac:dyDescent="0.15">
      <c r="A273" s="107" t="s">
        <v>5844</v>
      </c>
      <c r="B273" s="17" t="s">
        <v>4631</v>
      </c>
      <c r="C273" s="18" t="s">
        <v>4575</v>
      </c>
      <c r="D273" s="21"/>
      <c r="E273" s="21"/>
      <c r="F273" s="2672" cm="1" t="n">
        <f t="array" ref="F273">INDEX('5층_부하량'!H3:H3000,MATCH(1,("5-DaHall 1-PDU-08"='5층_부하량'!A3:A3000)*(5='5층_부하량'!B3:B3000),0))</f>
        <v>0.0</v>
      </c>
      <c r="G273" s="21"/>
      <c r="H273" s="17" t="s">
        <v>5786</v>
      </c>
      <c r="I273" s="1207" t="s">
        <v>4641</v>
      </c>
      <c r="J273" s="1027" t="s">
        <v>2824</v>
      </c>
      <c r="K273" s="1025" t="s">
        <v>5845</v>
      </c>
      <c r="L273" s="1207" t="s">
        <v>4588</v>
      </c>
      <c r="M273" s="17" t="s">
        <v>5786</v>
      </c>
      <c r="N273" s="21"/>
      <c r="O273" s="21"/>
      <c r="P273" s="2672" cm="1" t="n">
        <f t="array" ref="P273">INDEX('5층_부하량'!H3:H3000,MATCH(1,("5-DaHall 1-PDU-08"='5층_부하량'!A3:A3000)*(6='5층_부하량'!B3:B3000),0))</f>
        <v>1.3900000000000001</v>
      </c>
      <c r="Q273" s="21"/>
      <c r="R273" s="69" t="s">
        <v>4631</v>
      </c>
      <c r="S273" s="18" t="s">
        <v>4575</v>
      </c>
      <c r="T273" s="70" t="s">
        <v>5846</v>
      </c>
    </row>
    <row r="274" spans="1:20" ht="16.5" x14ac:dyDescent="0.15">
      <c r="A274" s="661" t="s">
        <v>5847</v>
      </c>
      <c r="B274" s="17" t="s">
        <v>4631</v>
      </c>
      <c r="C274" s="18" t="s">
        <v>4575</v>
      </c>
      <c r="D274" s="2672" cm="1" t="n">
        <f t="array" ref="D274">INDEX('5층_부하량'!F3:F3000,MATCH(1,("5-DaHall 1-PDU-08"='5층_부하량'!A3:A3000)*(7='5층_부하량'!B3:B3000),0))</f>
        <v>5.49</v>
      </c>
      <c r="E274" s="21"/>
      <c r="F274" s="21"/>
      <c r="G274" s="21"/>
      <c r="H274" s="17" t="s">
        <v>5795</v>
      </c>
      <c r="I274" s="1207" t="s">
        <v>4645</v>
      </c>
      <c r="J274" s="1027" t="s">
        <v>2824</v>
      </c>
      <c r="K274" s="1028"/>
      <c r="L274" s="568" t="s">
        <v>4593</v>
      </c>
      <c r="M274" s="17" t="s">
        <v>5795</v>
      </c>
      <c r="N274" s="2672" cm="1" t="n">
        <f t="array" ref="N274">INDEX('5층_부하량'!F3:F3000,MATCH(1,("5-DaHall 1-PDU-08"='5층_부하량'!A3:A3000)*(8='5층_부하량'!B3:B3000),0))</f>
        <v>0.0</v>
      </c>
      <c r="O274" s="21"/>
      <c r="P274" s="21"/>
      <c r="Q274" s="21"/>
      <c r="R274" s="69" t="s">
        <v>4590</v>
      </c>
      <c r="S274" s="17" t="s">
        <v>4642</v>
      </c>
      <c r="T274" s="68"/>
    </row>
    <row r="275" spans="1:20" x14ac:dyDescent="0.15">
      <c r="A275" s="321"/>
      <c r="B275" s="17" t="s">
        <v>4590</v>
      </c>
      <c r="C275" s="17" t="s">
        <v>4642</v>
      </c>
      <c r="D275" s="21"/>
      <c r="E275" s="2672" cm="1" t="n">
        <f t="array" ref="E275">INDEX('5층_부하량'!G3:G3000,MATCH(1,("5-DaHall 1-PDU-08"='5층_부하량'!A3:A3000)*(9='5층_부하량'!B3:B3000),0))</f>
        <v>0.0</v>
      </c>
      <c r="F275" s="21"/>
      <c r="G275" s="21"/>
      <c r="H275" s="17" t="s">
        <v>5801</v>
      </c>
      <c r="I275" s="549" t="s">
        <v>4648</v>
      </c>
      <c r="J275" s="1029"/>
      <c r="K275" s="1028"/>
      <c r="L275" s="568" t="s">
        <v>4596</v>
      </c>
      <c r="M275" s="17" t="s">
        <v>5801</v>
      </c>
      <c r="N275" s="21"/>
      <c r="O275" s="2672" cm="1" t="n">
        <f t="array" ref="O275">INDEX('5층_부하량'!G3:G3000,MATCH(1,("5-DaHall 1-PDU-08"='5층_부하량'!A3:A3000)*(10='5층_부하량'!B3:B3000),0))</f>
        <v>0.0</v>
      </c>
      <c r="P275" s="21"/>
      <c r="Q275" s="21"/>
      <c r="R275" s="69" t="s">
        <v>4590</v>
      </c>
      <c r="S275" s="17" t="s">
        <v>4642</v>
      </c>
      <c r="T275" s="70"/>
    </row>
    <row r="276" spans="1:20" x14ac:dyDescent="0.15">
      <c r="A276" s="16"/>
      <c r="B276" s="23" t="s">
        <v>4590</v>
      </c>
      <c r="C276" s="17" t="s">
        <v>4642</v>
      </c>
      <c r="D276" s="25"/>
      <c r="E276" s="25"/>
      <c r="F276" s="2673" cm="1" t="n">
        <f t="array" ref="F276">INDEX('5층_부하량'!H3:H3000,MATCH(1,("5-DaHall 1-PDU-08"='5층_부하량'!A3:A3000)*(11='5층_부하량'!B3:B3000),0))</f>
        <v>0.0</v>
      </c>
      <c r="G276" s="25"/>
      <c r="H276" s="23" t="s">
        <v>5801</v>
      </c>
      <c r="I276" s="555" t="s">
        <v>4653</v>
      </c>
      <c r="J276" s="113"/>
      <c r="K276" s="114"/>
      <c r="L276" s="569" t="s">
        <v>4599</v>
      </c>
      <c r="M276" s="23" t="s">
        <v>5801</v>
      </c>
      <c r="N276" s="25"/>
      <c r="O276" s="25"/>
      <c r="P276" s="2673" cm="1" t="n">
        <f t="array" ref="P276">INDEX('5층_부하량'!H3:H3000,MATCH(1,("5-DaHall 1-PDU-08"='5층_부하량'!A3:A3000)*(12='5층_부하량'!B3:B3000),0))</f>
        <v>0.0</v>
      </c>
      <c r="Q276" s="25"/>
      <c r="R276" s="108" t="s">
        <v>4590</v>
      </c>
      <c r="S276" s="23" t="s">
        <v>4642</v>
      </c>
      <c r="T276" s="104"/>
    </row>
    <row r="277" spans="1:20" ht="14.25" thickBot="1" x14ac:dyDescent="0.2">
      <c r="A277" s="87"/>
      <c r="B277" s="88" t="s">
        <v>4590</v>
      </c>
      <c r="C277" s="88" t="s">
        <v>4642</v>
      </c>
      <c r="D277" s="2688" cm="1" t="n">
        <f t="array" ref="D277">INDEX('5층_부하량'!F3:F3000,MATCH(1,("5-DaHall 1-PDU-08"='5층_부하량'!A3:A3000)*(13='5층_부하량'!B3:B3000),0))</f>
        <v>0.0</v>
      </c>
      <c r="E277" s="90"/>
      <c r="F277" s="90"/>
      <c r="G277" s="90"/>
      <c r="H277" s="88" t="s">
        <v>5801</v>
      </c>
      <c r="I277" s="553" t="s">
        <v>4657</v>
      </c>
      <c r="J277" s="115"/>
      <c r="K277" s="116"/>
      <c r="L277" s="570" t="s">
        <v>4601</v>
      </c>
      <c r="M277" s="88" t="s">
        <v>5801</v>
      </c>
      <c r="N277" s="2688" cm="1" t="n">
        <f t="array" ref="N277">INDEX('5층_부하량'!F3:F3000,MATCH(1,("5-DaHall 1-PDU-08"='5층_부하량'!A3:A3000)*(14='5층_부하량'!B3:B3000),0))</f>
        <v>0.0</v>
      </c>
      <c r="O277" s="90"/>
      <c r="P277" s="90"/>
      <c r="Q277" s="90"/>
      <c r="R277" s="93" t="s">
        <v>4590</v>
      </c>
      <c r="S277" s="88" t="s">
        <v>4642</v>
      </c>
      <c r="T277" s="94"/>
    </row>
    <row r="278" spans="1:20" ht="14.25" thickTop="1" x14ac:dyDescent="0.15">
      <c r="A278" s="99"/>
      <c r="B278" s="72" t="s">
        <v>4590</v>
      </c>
      <c r="C278" s="72" t="s">
        <v>4642</v>
      </c>
      <c r="D278" s="74"/>
      <c r="E278" s="2689" cm="1" t="n">
        <f t="array" ref="E278">INDEX('5층_부하량'!G3:G3000,MATCH(1,("5-DaHall 1-PDU-08"='5층_부하량'!A3:A3000)*(15='5층_부하량'!B3:B3000),0))</f>
        <v>0.0</v>
      </c>
      <c r="F278" s="74"/>
      <c r="G278" s="74"/>
      <c r="H278" s="72" t="s">
        <v>5801</v>
      </c>
      <c r="I278" s="550" t="s">
        <v>4661</v>
      </c>
      <c r="J278" s="117"/>
      <c r="K278" s="83"/>
      <c r="L278" s="571" t="s">
        <v>4603</v>
      </c>
      <c r="M278" s="72" t="s">
        <v>5801</v>
      </c>
      <c r="N278" s="74"/>
      <c r="O278" s="2689" cm="1" t="n">
        <f t="array" ref="O278">INDEX('5층_부하량'!G3:G3000,MATCH(1,("5-DaHall 1-PDU-08"='5층_부하량'!A3:A3000)*(16='5층_부하량'!B3:B3000),0))</f>
        <v>0.0</v>
      </c>
      <c r="P278" s="74"/>
      <c r="Q278" s="74"/>
      <c r="R278" s="75" t="s">
        <v>4590</v>
      </c>
      <c r="S278" s="72" t="s">
        <v>4642</v>
      </c>
      <c r="T278" s="68"/>
    </row>
    <row r="279" spans="1:20" x14ac:dyDescent="0.15">
      <c r="A279" s="321"/>
      <c r="B279" s="17" t="s">
        <v>4590</v>
      </c>
      <c r="C279" s="17" t="s">
        <v>4642</v>
      </c>
      <c r="D279" s="21"/>
      <c r="E279" s="21"/>
      <c r="F279" s="2672" cm="1" t="n">
        <f t="array" ref="F279">INDEX('5층_부하량'!H3:H3000,MATCH(1,("5-DaHall 1-PDU-08"='5층_부하량'!A3:A3000)*(17='5층_부하량'!B3:B3000),0))</f>
        <v>0.0</v>
      </c>
      <c r="G279" s="21"/>
      <c r="H279" s="17" t="s">
        <v>5801</v>
      </c>
      <c r="I279" s="549" t="s">
        <v>4665</v>
      </c>
      <c r="J279" s="112"/>
      <c r="K279" s="81"/>
      <c r="L279" s="568" t="s">
        <v>4605</v>
      </c>
      <c r="M279" s="17" t="s">
        <v>5801</v>
      </c>
      <c r="N279" s="21"/>
      <c r="O279" s="21"/>
      <c r="P279" s="2672" cm="1" t="n">
        <f t="array" ref="P279">INDEX('5층_부하량'!H3:H3000,MATCH(1,("5-DaHall 1-PDU-08"='5층_부하량'!A3:A3000)*(18='5층_부하량'!B3:B3000),0))</f>
        <v>0.0</v>
      </c>
      <c r="Q279" s="21"/>
      <c r="R279" s="69" t="s">
        <v>4590</v>
      </c>
      <c r="S279" s="17" t="s">
        <v>4642</v>
      </c>
      <c r="T279" s="70"/>
    </row>
    <row r="280" spans="1:20" x14ac:dyDescent="0.15">
      <c r="A280" s="16"/>
      <c r="B280" s="17" t="s">
        <v>4590</v>
      </c>
      <c r="C280" s="17" t="s">
        <v>4642</v>
      </c>
      <c r="D280" s="2672" cm="1" t="n">
        <f t="array" ref="D280">INDEX('5층_부하량'!F3:F3000,MATCH(1,("5-DaHall 1-PDU-08"='5층_부하량'!A3:A3000)*(19='5층_부하량'!B3:B3000),0))</f>
        <v>1.25</v>
      </c>
      <c r="E280" s="21"/>
      <c r="F280" s="21"/>
      <c r="G280" s="21"/>
      <c r="H280" s="17" t="s">
        <v>5811</v>
      </c>
      <c r="I280" s="549" t="s">
        <v>4670</v>
      </c>
      <c r="J280" s="112"/>
      <c r="K280" s="81"/>
      <c r="L280" s="568" t="s">
        <v>4609</v>
      </c>
      <c r="M280" s="17" t="s">
        <v>5811</v>
      </c>
      <c r="N280" s="2672" cm="1" t="n">
        <f t="array" ref="N280">INDEX('5층_부하량'!F3:F3000,MATCH(1,("5-DaHall 1-PDU-08"='5층_부하량'!A3:A3000)*(20='5층_부하량'!B3:B3000),0))</f>
        <v>0.0</v>
      </c>
      <c r="O280" s="21"/>
      <c r="P280" s="21"/>
      <c r="Q280" s="21"/>
      <c r="R280" s="69" t="s">
        <v>4590</v>
      </c>
      <c r="S280" s="17" t="s">
        <v>4642</v>
      </c>
      <c r="T280" s="70"/>
    </row>
    <row r="281" spans="1:20" x14ac:dyDescent="0.15">
      <c r="A281" s="321"/>
      <c r="B281" s="17" t="s">
        <v>4590</v>
      </c>
      <c r="C281" s="17" t="s">
        <v>4642</v>
      </c>
      <c r="D281" s="21"/>
      <c r="E281" s="2672" cm="1" t="n">
        <f t="array" ref="E281">INDEX('5층_부하량'!G3:G3000,MATCH(1,("5-DaHall 1-PDU-08"='5층_부하량'!A3:A3000)*(21='5층_부하량'!B3:B3000),0))</f>
        <v>1.3900000000000001</v>
      </c>
      <c r="F281" s="21"/>
      <c r="G281" s="21"/>
      <c r="H281" s="17" t="s">
        <v>5811</v>
      </c>
      <c r="I281" s="549" t="s">
        <v>4674</v>
      </c>
      <c r="J281" s="112"/>
      <c r="K281" s="81"/>
      <c r="L281" s="568" t="s">
        <v>4613</v>
      </c>
      <c r="M281" s="17" t="s">
        <v>5811</v>
      </c>
      <c r="N281" s="21"/>
      <c r="O281" s="2672" cm="1" t="n">
        <f t="array" ref="O281">INDEX('5층_부하량'!G3:G3000,MATCH(1,("5-DaHall 1-PDU-08"='5층_부하량'!A3:A3000)*(22='5층_부하량'!B3:B3000),0))</f>
        <v>0.0</v>
      </c>
      <c r="P281" s="21"/>
      <c r="Q281" s="21"/>
      <c r="R281" s="69" t="s">
        <v>4590</v>
      </c>
      <c r="S281" s="17" t="s">
        <v>4642</v>
      </c>
      <c r="T281" s="82"/>
    </row>
    <row r="282" spans="1:20" x14ac:dyDescent="0.15">
      <c r="A282" s="321"/>
      <c r="B282" s="17" t="s">
        <v>4590</v>
      </c>
      <c r="C282" s="17" t="s">
        <v>4642</v>
      </c>
      <c r="D282" s="21"/>
      <c r="E282" s="21"/>
      <c r="F282" s="2672" cm="1" t="n">
        <f t="array" ref="F282">INDEX('5층_부하량'!H3:H3000,MATCH(1,("5-DaHall 1-PDU-08"='5층_부하량'!A3:A3000)*(23='5층_부하량'!B3:B3000),0))</f>
        <v>0.0</v>
      </c>
      <c r="G282" s="21"/>
      <c r="H282" s="17" t="s">
        <v>5811</v>
      </c>
      <c r="I282" s="549" t="s">
        <v>4678</v>
      </c>
      <c r="J282" s="112"/>
      <c r="K282" s="81"/>
      <c r="L282" s="568" t="s">
        <v>4680</v>
      </c>
      <c r="M282" s="17" t="s">
        <v>5811</v>
      </c>
      <c r="N282" s="21"/>
      <c r="O282" s="21"/>
      <c r="P282" s="2672" cm="1" t="n">
        <f t="array" ref="P282">INDEX('5층_부하량'!H3:H3000,MATCH(1,("5-DaHall 1-PDU-08"='5층_부하량'!A3:A3000)*(24='5층_부하량'!B3:B3000),0))</f>
        <v>0.0</v>
      </c>
      <c r="Q282" s="21"/>
      <c r="R282" s="69" t="s">
        <v>4590</v>
      </c>
      <c r="S282" s="17" t="s">
        <v>4642</v>
      </c>
      <c r="T282" s="70"/>
    </row>
    <row r="283" spans="1:20" x14ac:dyDescent="0.15">
      <c r="A283" s="321"/>
      <c r="B283" s="17" t="s">
        <v>4590</v>
      </c>
      <c r="C283" s="17" t="s">
        <v>4642</v>
      </c>
      <c r="D283" s="2672" cm="1" t="n">
        <f t="array" ref="D283">INDEX('5층_부하량'!F3:F3000,MATCH(1,("5-DaHall 1-PDU-08"='5층_부하량'!A3:A3000)*(25='5층_부하량'!B3:B3000),0))</f>
        <v>0.0</v>
      </c>
      <c r="E283" s="21"/>
      <c r="F283" s="21"/>
      <c r="G283" s="21"/>
      <c r="H283" s="17" t="s">
        <v>5811</v>
      </c>
      <c r="I283" s="549" t="s">
        <v>4683</v>
      </c>
      <c r="J283" s="112"/>
      <c r="K283" s="81"/>
      <c r="L283" s="568" t="s">
        <v>4685</v>
      </c>
      <c r="M283" s="17" t="s">
        <v>5811</v>
      </c>
      <c r="N283" s="2672" cm="1" t="n">
        <f t="array" ref="N283">INDEX('5층_부하량'!F3:F3000,MATCH(1,("5-DaHall 1-PDU-08"='5층_부하량'!A3:A3000)*(26='5층_부하량'!B3:B3000),0))</f>
        <v>0.0</v>
      </c>
      <c r="O283" s="21"/>
      <c r="P283" s="21"/>
      <c r="Q283" s="21"/>
      <c r="R283" s="69" t="s">
        <v>4590</v>
      </c>
      <c r="S283" s="17" t="s">
        <v>4642</v>
      </c>
      <c r="T283" s="70"/>
    </row>
    <row r="284" spans="1:20" x14ac:dyDescent="0.15">
      <c r="A284" s="321"/>
      <c r="B284" s="17" t="s">
        <v>4590</v>
      </c>
      <c r="C284" s="17" t="s">
        <v>4642</v>
      </c>
      <c r="D284" s="21"/>
      <c r="E284" s="2672" cm="1" t="n">
        <f t="array" ref="E284">INDEX('5층_부하량'!G3:G3000,MATCH(1,("5-DaHall 1-PDU-08"='5층_부하량'!A3:A3000)*(27='5층_부하량'!B3:B3000),0))</f>
        <v>0.0</v>
      </c>
      <c r="F284" s="21"/>
      <c r="G284" s="21"/>
      <c r="H284" s="17" t="s">
        <v>5811</v>
      </c>
      <c r="I284" s="549" t="s">
        <v>4688</v>
      </c>
      <c r="J284" s="112"/>
      <c r="K284" s="81"/>
      <c r="L284" s="568" t="s">
        <v>4689</v>
      </c>
      <c r="M284" s="17" t="s">
        <v>5811</v>
      </c>
      <c r="N284" s="21"/>
      <c r="O284" s="2672" cm="1" t="n">
        <f t="array" ref="O284">INDEX('5층_부하량'!G3:G3000,MATCH(1,("5-DaHall 1-PDU-08"='5층_부하량'!A3:A3000)*(28='5층_부하량'!B3:B3000),0))</f>
        <v>0.0</v>
      </c>
      <c r="P284" s="21"/>
      <c r="Q284" s="21"/>
      <c r="R284" s="69" t="s">
        <v>4590</v>
      </c>
      <c r="S284" s="17" t="s">
        <v>4642</v>
      </c>
      <c r="T284" s="70"/>
    </row>
    <row r="285" spans="1:20" x14ac:dyDescent="0.15">
      <c r="A285" s="321"/>
      <c r="B285" s="17" t="s">
        <v>4590</v>
      </c>
      <c r="C285" s="17" t="s">
        <v>4642</v>
      </c>
      <c r="D285" s="21"/>
      <c r="E285" s="21"/>
      <c r="F285" s="2672" cm="1" t="n">
        <f t="array" ref="F285">INDEX('5층_부하량'!H3:H3000,MATCH(1,("5-DaHall 1-PDU-08"='5층_부하량'!A3:A3000)*(29='5층_부하량'!B3:B3000),0))</f>
        <v>0.0</v>
      </c>
      <c r="G285" s="21"/>
      <c r="H285" s="17" t="s">
        <v>5811</v>
      </c>
      <c r="I285" s="549" t="s">
        <v>4691</v>
      </c>
      <c r="J285" s="112"/>
      <c r="K285" s="81"/>
      <c r="L285" s="568" t="s">
        <v>4692</v>
      </c>
      <c r="M285" s="17" t="s">
        <v>5811</v>
      </c>
      <c r="N285" s="21"/>
      <c r="O285" s="21"/>
      <c r="P285" s="2672" cm="1" t="n">
        <f t="array" ref="P285">INDEX('5층_부하량'!H3:H3000,MATCH(1,("5-DaHall 1-PDU-08"='5층_부하량'!A3:A3000)*(30='5층_부하량'!B3:B3000),0))</f>
        <v>0.0</v>
      </c>
      <c r="Q285" s="21"/>
      <c r="R285" s="69" t="s">
        <v>4590</v>
      </c>
      <c r="S285" s="17" t="s">
        <v>4642</v>
      </c>
      <c r="T285" s="70"/>
    </row>
    <row r="286" spans="1:20" x14ac:dyDescent="0.15">
      <c r="A286" s="321"/>
      <c r="B286" s="17" t="s">
        <v>4590</v>
      </c>
      <c r="C286" s="17" t="s">
        <v>4642</v>
      </c>
      <c r="D286" s="2672" cm="1" t="n">
        <f t="array" ref="D286">INDEX('5층_부하량'!F3:F3000,MATCH(1,("5-DaHall 1-PDU-08"='5층_부하량'!A3:A3000)*(31='5층_부하량'!B3:B3000),0))</f>
        <v>0.0</v>
      </c>
      <c r="E286" s="21"/>
      <c r="F286" s="21"/>
      <c r="G286" s="21"/>
      <c r="H286" s="17" t="s">
        <v>5811</v>
      </c>
      <c r="I286" s="549" t="s">
        <v>4693</v>
      </c>
      <c r="J286" s="112"/>
      <c r="K286" s="81"/>
      <c r="L286" s="568" t="s">
        <v>4694</v>
      </c>
      <c r="M286" s="17" t="s">
        <v>5811</v>
      </c>
      <c r="N286" s="2672" cm="1" t="n">
        <f t="array" ref="N286">INDEX('5층_부하량'!F3:F3000,MATCH(1,("5-DaHall 1-PDU-08"='5층_부하량'!A3:A3000)*(32='5층_부하량'!B3:B3000),0))</f>
        <v>0.0</v>
      </c>
      <c r="O286" s="21"/>
      <c r="P286" s="21"/>
      <c r="Q286" s="21"/>
      <c r="R286" s="69" t="s">
        <v>4590</v>
      </c>
      <c r="S286" s="17" t="s">
        <v>4642</v>
      </c>
      <c r="T286" s="70"/>
    </row>
    <row r="287" spans="1:20" x14ac:dyDescent="0.15">
      <c r="A287" s="321"/>
      <c r="B287" s="17" t="s">
        <v>4590</v>
      </c>
      <c r="C287" s="17" t="s">
        <v>4642</v>
      </c>
      <c r="D287" s="21"/>
      <c r="E287" s="2672" cm="1" t="n">
        <f t="array" ref="E287">INDEX('5층_부하량'!G3:G3000,MATCH(1,("5-DaHall 1-PDU-08"='5층_부하량'!A3:A3000)*(33='5층_부하량'!B3:B3000),0))</f>
        <v>0.0</v>
      </c>
      <c r="F287" s="21"/>
      <c r="G287" s="21"/>
      <c r="H287" s="17" t="s">
        <v>5811</v>
      </c>
      <c r="I287" s="549" t="s">
        <v>4697</v>
      </c>
      <c r="J287" s="112"/>
      <c r="K287" s="81"/>
      <c r="L287" s="568" t="s">
        <v>4698</v>
      </c>
      <c r="M287" s="17" t="s">
        <v>5811</v>
      </c>
      <c r="N287" s="21"/>
      <c r="O287" s="2672" cm="1" t="n">
        <f t="array" ref="O287">INDEX('5층_부하량'!G3:G3000,MATCH(1,("5-DaHall 1-PDU-08"='5층_부하량'!A3:A3000)*(34='5층_부하량'!B3:B3000),0))</f>
        <v>0.0</v>
      </c>
      <c r="P287" s="21"/>
      <c r="Q287" s="21"/>
      <c r="R287" s="69" t="s">
        <v>4590</v>
      </c>
      <c r="S287" s="17" t="s">
        <v>4642</v>
      </c>
      <c r="T287" s="70"/>
    </row>
    <row r="288" spans="1:20" ht="17.25" thickBot="1" x14ac:dyDescent="0.2">
      <c r="A288" s="38"/>
      <c r="B288" s="35" t="s">
        <v>4631</v>
      </c>
      <c r="C288" s="39" t="s">
        <v>4575</v>
      </c>
      <c r="D288" s="36"/>
      <c r="E288" s="36"/>
      <c r="F288" s="2671" cm="1" t="n">
        <f t="array" ref="F288">INDEX('5층_부하량'!H3:H3000,MATCH(1,("5-DaHall 1-PDU-08"='5층_부하량'!A3:A3000)*(35='5층_부하량'!B3:B3000),0))</f>
        <v>0.0</v>
      </c>
      <c r="G288" s="36"/>
      <c r="H288" s="35" t="s">
        <v>5811</v>
      </c>
      <c r="I288" s="551" t="s">
        <v>4701</v>
      </c>
      <c r="J288" s="85"/>
      <c r="K288" s="84"/>
      <c r="L288" s="572" t="s">
        <v>4703</v>
      </c>
      <c r="M288" s="35" t="s">
        <v>5811</v>
      </c>
      <c r="N288" s="36"/>
      <c r="O288" s="36"/>
      <c r="P288" s="2671" cm="1" t="n">
        <f t="array" ref="P288">INDEX('5층_부하량'!H3:H3000,MATCH(1,("5-DaHall 1-PDU-08"='5층_부하량'!A3:A3000)*(36='5층_부하량'!B3:B3000),0))</f>
        <v>0.0</v>
      </c>
      <c r="Q288" s="36"/>
      <c r="R288" s="78" t="s">
        <v>4590</v>
      </c>
      <c r="S288" s="35" t="s">
        <v>4642</v>
      </c>
      <c r="T288" s="79"/>
    </row>
    <row r="289" spans="1:20" ht="15" thickTop="1" thickBot="1" x14ac:dyDescent="0.2">
      <c r="M289" s="80" t="s">
        <v>5645</v>
      </c>
      <c r="N289" s="33" t="n">
        <f>SUM(D271:D288,N271:N288)</f>
        <v>8.280000000000001</v>
      </c>
      <c r="O289" s="33" t="n">
        <f>SUM(E271:E288,O271:O288)</f>
        <v>8.43</v>
      </c>
      <c r="P289" s="33" t="n">
        <f>SUM(F271:F288,P271:P288)</f>
        <v>1.3900000000000001</v>
      </c>
    </row>
    <row r="290" spans="1:20" ht="20.25" thickTop="1" thickBot="1" x14ac:dyDescent="0.2">
      <c r="A290" s="2" t="s">
        <v>6954</v>
      </c>
      <c r="C290" s="3660" t="s">
        <v>5848</v>
      </c>
      <c r="D290" s="3660"/>
      <c r="E290" s="3660"/>
      <c r="F290" s="3660"/>
      <c r="G290" s="53"/>
      <c r="H290" s="124"/>
      <c r="I290" s="124"/>
      <c r="J290" s="3661" t="s">
        <v>5063</v>
      </c>
      <c r="K290" s="3667"/>
      <c r="L290" s="124"/>
      <c r="M290" s="118" t="s">
        <v>5838</v>
      </c>
      <c r="N290" s="53"/>
      <c r="O290" s="53"/>
      <c r="P290" s="53"/>
      <c r="Q290" s="53"/>
      <c r="R290" s="53"/>
      <c r="S290" s="53"/>
    </row>
    <row r="291" spans="1:20" ht="15" thickTop="1" thickBot="1" x14ac:dyDescent="0.2">
      <c r="A291" s="3"/>
      <c r="D291" s="54"/>
      <c r="E291" s="54"/>
      <c r="F291" s="54"/>
      <c r="G291" s="54"/>
      <c r="H291" s="4"/>
      <c r="I291" s="4"/>
      <c r="K291" s="56"/>
      <c r="L291" s="565"/>
      <c r="M291" s="1371" t="s">
        <v>4562</v>
      </c>
      <c r="N291" s="1368"/>
      <c r="O291" s="1369"/>
      <c r="P291" s="1370"/>
      <c r="Q291" s="508" t="s">
        <v>4563</v>
      </c>
      <c r="R291" s="133"/>
      <c r="S291" s="128"/>
      <c r="T291" s="528"/>
    </row>
    <row r="292" spans="1:20" ht="15" thickTop="1" thickBot="1" x14ac:dyDescent="0.2">
      <c r="A292" s="5" t="s">
        <v>4564</v>
      </c>
      <c r="B292" s="6" t="s">
        <v>4565</v>
      </c>
      <c r="C292" s="7" t="s">
        <v>4566</v>
      </c>
      <c r="D292" s="6" t="s">
        <v>4567</v>
      </c>
      <c r="E292" s="6" t="s">
        <v>4568</v>
      </c>
      <c r="F292" s="6" t="s">
        <v>4569</v>
      </c>
      <c r="G292" s="6" t="s">
        <v>4570</v>
      </c>
      <c r="H292" s="8" t="s">
        <v>4571</v>
      </c>
      <c r="I292" s="547"/>
      <c r="J292" s="58" t="s">
        <v>4572</v>
      </c>
      <c r="K292" s="59" t="s">
        <v>4572</v>
      </c>
      <c r="L292" s="566"/>
      <c r="M292" s="8" t="s">
        <v>4571</v>
      </c>
      <c r="N292" s="6" t="s">
        <v>4567</v>
      </c>
      <c r="O292" s="6" t="s">
        <v>4568</v>
      </c>
      <c r="P292" s="6" t="s">
        <v>4569</v>
      </c>
      <c r="Q292" s="6" t="s">
        <v>4570</v>
      </c>
      <c r="R292" s="6" t="s">
        <v>4565</v>
      </c>
      <c r="S292" s="7" t="s">
        <v>4566</v>
      </c>
      <c r="T292" s="60" t="s">
        <v>4564</v>
      </c>
    </row>
    <row r="293" spans="1:20" ht="14.25" thickTop="1" x14ac:dyDescent="0.15">
      <c r="A293" s="10"/>
      <c r="B293" s="11" t="s">
        <v>4590</v>
      </c>
      <c r="C293" s="13" t="s">
        <v>4642</v>
      </c>
      <c r="D293" s="2669" t="n">
        <f>IFERROR(INDEX('5층_부하량'!F3:F3000,MATCH(1,("5-DaHall 1-PDU-10"='5층_부하량'!A3:A3000)*(1='5층_부하량'!B3:B3000),0)),0)</f>
        <v>0.0</v>
      </c>
      <c r="E293" s="15"/>
      <c r="F293" s="15"/>
      <c r="G293" s="15"/>
      <c r="H293" s="13" t="s">
        <v>5786</v>
      </c>
      <c r="I293" s="1177" t="s">
        <v>5787</v>
      </c>
      <c r="J293" s="61"/>
      <c r="K293" s="62"/>
      <c r="L293" s="567" t="s">
        <v>5788</v>
      </c>
      <c r="M293" s="11" t="s">
        <v>5786</v>
      </c>
      <c r="N293" s="2669" t="n">
        <f>IFERROR(INDEX('5층_부하량'!F3:F3000,MATCH(1,("5-DaHall 1-PDU-10"='5층_부하량'!A3:A3000)*(2='5층_부하량'!B3:B3000),0)),0)</f>
        <v>0.0</v>
      </c>
      <c r="O293" s="15"/>
      <c r="P293" s="15"/>
      <c r="Q293" s="15"/>
      <c r="R293" s="63" t="s">
        <v>4590</v>
      </c>
      <c r="S293" s="11" t="s">
        <v>4642</v>
      </c>
      <c r="T293" s="98"/>
    </row>
    <row r="294" spans="1:20" x14ac:dyDescent="0.15">
      <c r="A294" s="16"/>
      <c r="B294" s="17" t="s">
        <v>4590</v>
      </c>
      <c r="C294" s="17" t="s">
        <v>4642</v>
      </c>
      <c r="D294" s="19"/>
      <c r="E294" s="2670" t="n">
        <f>IFERROR(INDEX('5층_부하량'!G3:G3000,MATCH(1,("5-DaHall 1-PDU-10"='5층_부하량'!A3:A3000)*(3='5층_부하량'!B3:B3000),0)),0)</f>
        <v>0.0</v>
      </c>
      <c r="F294" s="19"/>
      <c r="G294" s="19"/>
      <c r="H294" s="17" t="s">
        <v>5790</v>
      </c>
      <c r="I294" s="549" t="s">
        <v>4638</v>
      </c>
      <c r="J294" s="65"/>
      <c r="K294" s="66"/>
      <c r="L294" s="549" t="s">
        <v>4583</v>
      </c>
      <c r="M294" s="17" t="s">
        <v>5786</v>
      </c>
      <c r="N294" s="19"/>
      <c r="O294" s="2670" t="n">
        <f>IFERROR(INDEX('5층_부하량'!G3:G3000,MATCH(1,("5-DaHall 1-PDU-10"='5층_부하량'!A3:A3000)*(4='5층_부하량'!B3:B3000),0)),0)</f>
        <v>0.0</v>
      </c>
      <c r="P294" s="19"/>
      <c r="Q294" s="19"/>
      <c r="R294" s="67" t="s">
        <v>4590</v>
      </c>
      <c r="S294" s="17" t="s">
        <v>4642</v>
      </c>
      <c r="T294" s="68"/>
    </row>
    <row r="295" spans="1:20" x14ac:dyDescent="0.15">
      <c r="A295" s="321"/>
      <c r="B295" s="17" t="s">
        <v>4590</v>
      </c>
      <c r="C295" s="17" t="s">
        <v>4642</v>
      </c>
      <c r="D295" s="21"/>
      <c r="E295" s="21"/>
      <c r="F295" s="2672" t="n">
        <f>IFERROR(INDEX('5층_부하량'!H3:H3000,MATCH(1,("5-DaHall 1-PDU-10"='5층_부하량'!A3:A3000)*(5='5층_부하량'!B3:B3000),0)),0)</f>
        <v>0.0</v>
      </c>
      <c r="G295" s="21"/>
      <c r="H295" s="17" t="s">
        <v>5786</v>
      </c>
      <c r="I295" s="549" t="s">
        <v>4641</v>
      </c>
      <c r="J295" s="112"/>
      <c r="K295" s="81"/>
      <c r="L295" s="568" t="s">
        <v>4588</v>
      </c>
      <c r="M295" s="17" t="s">
        <v>5786</v>
      </c>
      <c r="N295" s="21"/>
      <c r="O295" s="21"/>
      <c r="P295" s="2672" t="n">
        <f>IFERROR(INDEX('5층_부하량'!H3:H3000,MATCH(1,("5-DaHall 1-PDU-10"='5층_부하량'!A3:A3000)*(6='5층_부하량'!B3:B3000),0)),0)</f>
        <v>0.0</v>
      </c>
      <c r="Q295" s="21"/>
      <c r="R295" s="69" t="s">
        <v>4590</v>
      </c>
      <c r="S295" s="17" t="s">
        <v>4642</v>
      </c>
      <c r="T295" s="70"/>
    </row>
    <row r="296" spans="1:20" x14ac:dyDescent="0.15">
      <c r="A296" s="16"/>
      <c r="B296" s="17" t="s">
        <v>4590</v>
      </c>
      <c r="C296" s="17" t="s">
        <v>4642</v>
      </c>
      <c r="D296" s="2672" t="n">
        <f>IFERROR(INDEX('5층_부하량'!F3:F3000,MATCH(1,("5-DaHall 1-PDU-10"='5층_부하량'!A3:A3000)*(7='5층_부하량'!B3:B3000),0)),0)</f>
        <v>0.0</v>
      </c>
      <c r="E296" s="21"/>
      <c r="F296" s="21"/>
      <c r="G296" s="21"/>
      <c r="H296" s="17" t="s">
        <v>5795</v>
      </c>
      <c r="I296" s="549" t="s">
        <v>4645</v>
      </c>
      <c r="J296" s="112"/>
      <c r="K296" s="81"/>
      <c r="L296" s="568" t="s">
        <v>4593</v>
      </c>
      <c r="M296" s="17" t="s">
        <v>5795</v>
      </c>
      <c r="N296" s="2672" t="n">
        <f>IFERROR(INDEX('5층_부하량'!F3:F3000,MATCH(1,("5-DaHall 1-PDU-10"='5층_부하량'!A3:A3000)*(8='5층_부하량'!B3:B3000),0)),0)</f>
        <v>0.0</v>
      </c>
      <c r="O296" s="21"/>
      <c r="P296" s="21"/>
      <c r="Q296" s="21"/>
      <c r="R296" s="69" t="s">
        <v>4590</v>
      </c>
      <c r="S296" s="17" t="s">
        <v>4642</v>
      </c>
      <c r="T296" s="68"/>
    </row>
    <row r="297" spans="1:20" x14ac:dyDescent="0.15">
      <c r="A297" s="321"/>
      <c r="B297" s="17" t="s">
        <v>4590</v>
      </c>
      <c r="C297" s="17" t="s">
        <v>4642</v>
      </c>
      <c r="D297" s="21"/>
      <c r="E297" s="2672" t="n">
        <f>IFERROR(INDEX('5층_부하량'!G3:G3000,MATCH(1,("5-DaHall 1-PDU-10"='5층_부하량'!A3:A3000)*(9='5층_부하량'!B3:B3000),0)),0)</f>
        <v>0.0</v>
      </c>
      <c r="F297" s="21"/>
      <c r="G297" s="21"/>
      <c r="H297" s="17" t="s">
        <v>5790</v>
      </c>
      <c r="I297" s="549" t="s">
        <v>4648</v>
      </c>
      <c r="J297" s="112"/>
      <c r="K297" s="81"/>
      <c r="L297" s="568" t="s">
        <v>4596</v>
      </c>
      <c r="M297" s="17" t="s">
        <v>5790</v>
      </c>
      <c r="N297" s="21"/>
      <c r="O297" s="2672" t="n">
        <f>IFERROR(INDEX('5층_부하량'!G3:G3000,MATCH(1,("5-DaHall 1-PDU-10"='5층_부하량'!A3:A3000)*(10='5층_부하량'!B3:B3000),0)),0)</f>
        <v>0.0</v>
      </c>
      <c r="P297" s="21"/>
      <c r="Q297" s="21"/>
      <c r="R297" s="69" t="s">
        <v>4590</v>
      </c>
      <c r="S297" s="17" t="s">
        <v>4642</v>
      </c>
      <c r="T297" s="70"/>
    </row>
    <row r="298" spans="1:20" x14ac:dyDescent="0.15">
      <c r="A298" s="16"/>
      <c r="B298" s="23" t="s">
        <v>4590</v>
      </c>
      <c r="C298" s="17" t="s">
        <v>4642</v>
      </c>
      <c r="D298" s="25"/>
      <c r="E298" s="25"/>
      <c r="F298" s="2673" t="n">
        <f>IFERROR(INDEX('5층_부하량'!H3:H3000,MATCH(1,("5-DaHall 1-PDU-10"='5층_부하량'!A3:A3000)*(11='5층_부하량'!B3:B3000),0)),0)</f>
        <v>0.0</v>
      </c>
      <c r="G298" s="25"/>
      <c r="H298" s="23" t="s">
        <v>5801</v>
      </c>
      <c r="I298" s="555" t="s">
        <v>4653</v>
      </c>
      <c r="J298" s="113"/>
      <c r="K298" s="114"/>
      <c r="L298" s="569" t="s">
        <v>4599</v>
      </c>
      <c r="M298" s="23" t="s">
        <v>5801</v>
      </c>
      <c r="N298" s="25"/>
      <c r="O298" s="25"/>
      <c r="P298" s="2673" t="n">
        <f>IFERROR(INDEX('5층_부하량'!H3:H3000,MATCH(1,("5-DaHall 1-PDU-10"='5층_부하량'!A3:A3000)*(12='5층_부하량'!B3:B3000),0)),0)</f>
        <v>0.0</v>
      </c>
      <c r="Q298" s="25"/>
      <c r="R298" s="108" t="s">
        <v>4590</v>
      </c>
      <c r="S298" s="23" t="s">
        <v>4642</v>
      </c>
      <c r="T298" s="104"/>
    </row>
    <row r="299" spans="1:20" x14ac:dyDescent="0.15">
      <c r="A299" s="16"/>
      <c r="B299" s="23" t="s">
        <v>4590</v>
      </c>
      <c r="C299" s="23" t="s">
        <v>4642</v>
      </c>
      <c r="D299" s="2673" t="n">
        <f>IFERROR(INDEX('5층_부하량'!F3:F3000,MATCH(1,("5-DaHall 1-PDU-10"='5층_부하량'!A3:A3000)*(13='5층_부하량'!B3:B3000),0)),0)</f>
        <v>0.0</v>
      </c>
      <c r="E299" s="25"/>
      <c r="F299" s="25"/>
      <c r="G299" s="25"/>
      <c r="H299" s="23" t="s">
        <v>5801</v>
      </c>
      <c r="I299" s="555" t="s">
        <v>4657</v>
      </c>
      <c r="J299" s="113"/>
      <c r="K299" s="114"/>
      <c r="L299" s="569" t="s">
        <v>4601</v>
      </c>
      <c r="M299" s="23" t="s">
        <v>5801</v>
      </c>
      <c r="N299" s="2673" t="n">
        <f>IFERROR(INDEX('5층_부하량'!F3:F3000,MATCH(1,("5-DaHall 1-PDU-10"='5층_부하량'!A3:A3000)*(14='5층_부하량'!B3:B3000),0)),0)</f>
        <v>0.0</v>
      </c>
      <c r="O299" s="25"/>
      <c r="P299" s="25"/>
      <c r="Q299" s="25"/>
      <c r="R299" s="108" t="s">
        <v>4590</v>
      </c>
      <c r="S299" s="23" t="s">
        <v>4642</v>
      </c>
      <c r="T299" s="104"/>
    </row>
    <row r="300" spans="1:20" ht="14.25" thickBot="1" x14ac:dyDescent="0.2">
      <c r="A300" s="87"/>
      <c r="B300" s="88" t="s">
        <v>4590</v>
      </c>
      <c r="C300" s="88" t="s">
        <v>4642</v>
      </c>
      <c r="D300" s="90"/>
      <c r="E300" s="2688" t="n">
        <f>IFERROR(INDEX('5층_부하량'!G3:G3000,MATCH(1,("5-DaHall 1-PDU-10"='5층_부하량'!A3:A3000)*(15='5층_부하량'!B3:B3000),0)),0)</f>
        <v>0.0</v>
      </c>
      <c r="F300" s="90"/>
      <c r="G300" s="90"/>
      <c r="H300" s="88" t="s">
        <v>5801</v>
      </c>
      <c r="I300" s="553" t="s">
        <v>4661</v>
      </c>
      <c r="J300" s="115"/>
      <c r="K300" s="116"/>
      <c r="L300" s="570" t="s">
        <v>4603</v>
      </c>
      <c r="M300" s="88" t="s">
        <v>5801</v>
      </c>
      <c r="N300" s="90"/>
      <c r="O300" s="2688" t="n">
        <f>IFERROR(INDEX('5층_부하량'!G3:G3000,MATCH(1,("5-DaHall 1-PDU-10"='5층_부하량'!A3:A3000)*(16='5층_부하량'!B3:B3000),0)),0)</f>
        <v>0.0</v>
      </c>
      <c r="P300" s="90"/>
      <c r="Q300" s="90"/>
      <c r="R300" s="93" t="s">
        <v>4590</v>
      </c>
      <c r="S300" s="88" t="s">
        <v>4642</v>
      </c>
      <c r="T300" s="94"/>
    </row>
    <row r="301" spans="1:20" ht="14.25" thickTop="1" x14ac:dyDescent="0.15">
      <c r="A301" s="71"/>
      <c r="B301" s="72" t="s">
        <v>4590</v>
      </c>
      <c r="C301" s="72" t="s">
        <v>4642</v>
      </c>
      <c r="D301" s="74"/>
      <c r="E301" s="74"/>
      <c r="F301" s="2689" t="n">
        <f>IFERROR(INDEX('5층_부하량'!H3:H3000,MATCH(1,("5-DaHall 1-PDU-10"='5층_부하량'!A3:A3000)*(17='5층_부하량'!B3:B3000),0)),0)</f>
        <v>0.0</v>
      </c>
      <c r="G301" s="74"/>
      <c r="H301" s="72" t="s">
        <v>5801</v>
      </c>
      <c r="I301" s="550" t="s">
        <v>4665</v>
      </c>
      <c r="J301" s="117"/>
      <c r="K301" s="83"/>
      <c r="L301" s="571" t="s">
        <v>4605</v>
      </c>
      <c r="M301" s="72" t="s">
        <v>5801</v>
      </c>
      <c r="N301" s="74"/>
      <c r="O301" s="74"/>
      <c r="P301" s="2689" t="n">
        <f>IFERROR(INDEX('5층_부하량'!H3:H3000,MATCH(1,("5-DaHall 1-PDU-10"='5층_부하량'!A3:A3000)*(18='5층_부하량'!B3:B3000),0)),0)</f>
        <v>0.0</v>
      </c>
      <c r="Q301" s="74"/>
      <c r="R301" s="75" t="s">
        <v>4590</v>
      </c>
      <c r="S301" s="72" t="s">
        <v>4642</v>
      </c>
      <c r="T301" s="68"/>
    </row>
    <row r="302" spans="1:20" x14ac:dyDescent="0.15">
      <c r="A302" s="16"/>
      <c r="B302" s="17" t="s">
        <v>4590</v>
      </c>
      <c r="C302" s="17" t="s">
        <v>4642</v>
      </c>
      <c r="D302" s="2672" t="n">
        <f>IFERROR(INDEX('5층_부하량'!F3:F3000,MATCH(1,("5-DaHall 1-PDU-10"='5층_부하량'!A3:A3000)*(19='5층_부하량'!B3:B3000),0)),0)</f>
        <v>0.0</v>
      </c>
      <c r="E302" s="21"/>
      <c r="F302" s="21"/>
      <c r="G302" s="21"/>
      <c r="H302" s="17" t="s">
        <v>5811</v>
      </c>
      <c r="I302" s="549" t="s">
        <v>4670</v>
      </c>
      <c r="J302" s="112"/>
      <c r="K302" s="81"/>
      <c r="L302" s="568" t="s">
        <v>4609</v>
      </c>
      <c r="M302" s="17" t="s">
        <v>5811</v>
      </c>
      <c r="N302" s="2672" t="n">
        <f>IFERROR(INDEX('5층_부하량'!F3:F3000,MATCH(1,("5-DaHall 1-PDU-10"='5층_부하량'!A3:A3000)*(20='5층_부하량'!B3:B3000),0)),0)</f>
        <v>0.0</v>
      </c>
      <c r="O302" s="21"/>
      <c r="P302" s="21"/>
      <c r="Q302" s="21"/>
      <c r="R302" s="69" t="s">
        <v>4590</v>
      </c>
      <c r="S302" s="17" t="s">
        <v>4642</v>
      </c>
      <c r="T302" s="70"/>
    </row>
    <row r="303" spans="1:20" x14ac:dyDescent="0.15">
      <c r="A303" s="321"/>
      <c r="B303" s="17" t="s">
        <v>4590</v>
      </c>
      <c r="C303" s="17" t="s">
        <v>4642</v>
      </c>
      <c r="D303" s="21"/>
      <c r="E303" s="2672" t="n">
        <f>IFERROR(INDEX('5층_부하량'!G3:G3000,MATCH(1,("5-DaHall 1-PDU-10"='5층_부하량'!A3:A3000)*(21='5층_부하량'!B3:B3000),0)),0)</f>
        <v>0.0</v>
      </c>
      <c r="F303" s="21"/>
      <c r="G303" s="21"/>
      <c r="H303" s="17" t="s">
        <v>5811</v>
      </c>
      <c r="I303" s="549" t="s">
        <v>4674</v>
      </c>
      <c r="J303" s="112"/>
      <c r="K303" s="81"/>
      <c r="L303" s="568" t="s">
        <v>4613</v>
      </c>
      <c r="M303" s="17" t="s">
        <v>5811</v>
      </c>
      <c r="N303" s="21"/>
      <c r="O303" s="2672" t="n">
        <f>IFERROR(INDEX('5층_부하량'!G3:G3000,MATCH(1,("5-DaHall 1-PDU-10"='5층_부하량'!A3:A3000)*(22='5층_부하량'!B3:B3000),0)),0)</f>
        <v>0.0</v>
      </c>
      <c r="P303" s="21"/>
      <c r="Q303" s="21"/>
      <c r="R303" s="69" t="s">
        <v>4590</v>
      </c>
      <c r="S303" s="17" t="s">
        <v>4642</v>
      </c>
      <c r="T303" s="82"/>
    </row>
    <row r="304" spans="1:20" x14ac:dyDescent="0.15">
      <c r="A304" s="321"/>
      <c r="B304" s="17" t="s">
        <v>4590</v>
      </c>
      <c r="C304" s="17" t="s">
        <v>4642</v>
      </c>
      <c r="D304" s="21"/>
      <c r="E304" s="21"/>
      <c r="F304" s="2672" t="n">
        <f>IFERROR(INDEX('5층_부하량'!H3:H3000,MATCH(1,("5-DaHall 1-PDU-10"='5층_부하량'!A3:A3000)*(23='5층_부하량'!B3:B3000),0)),0)</f>
        <v>0.0</v>
      </c>
      <c r="G304" s="21"/>
      <c r="H304" s="17" t="s">
        <v>5811</v>
      </c>
      <c r="I304" s="549" t="s">
        <v>4678</v>
      </c>
      <c r="J304" s="112"/>
      <c r="K304" s="81"/>
      <c r="L304" s="568" t="s">
        <v>4680</v>
      </c>
      <c r="M304" s="17" t="s">
        <v>5811</v>
      </c>
      <c r="N304" s="21"/>
      <c r="O304" s="21"/>
      <c r="P304" s="2672" t="n">
        <f>IFERROR(INDEX('5층_부하량'!H3:H3000,MATCH(1,("5-DaHall 1-PDU-10"='5층_부하량'!A3:A3000)*(24='5층_부하량'!B3:B3000),0)),0)</f>
        <v>0.0</v>
      </c>
      <c r="Q304" s="21"/>
      <c r="R304" s="69" t="s">
        <v>4590</v>
      </c>
      <c r="S304" s="17" t="s">
        <v>4642</v>
      </c>
      <c r="T304" s="70"/>
    </row>
    <row r="305" spans="1:20" x14ac:dyDescent="0.15">
      <c r="A305" s="321"/>
      <c r="B305" s="17" t="s">
        <v>4590</v>
      </c>
      <c r="C305" s="17" t="s">
        <v>4642</v>
      </c>
      <c r="D305" s="2672" t="n">
        <f>IFERROR(INDEX('5층_부하량'!F3:F3000,MATCH(1,("5-DaHall 1-PDU-10"='5층_부하량'!A3:A3000)*(25='5층_부하량'!B3:B3000),0)),0)</f>
        <v>0.0</v>
      </c>
      <c r="E305" s="21"/>
      <c r="F305" s="21"/>
      <c r="G305" s="21"/>
      <c r="H305" s="17" t="s">
        <v>5811</v>
      </c>
      <c r="I305" s="549" t="s">
        <v>4683</v>
      </c>
      <c r="J305" s="112"/>
      <c r="K305" s="81"/>
      <c r="L305" s="568" t="s">
        <v>4685</v>
      </c>
      <c r="M305" s="17" t="s">
        <v>5811</v>
      </c>
      <c r="N305" s="2672" t="n">
        <f>IFERROR(INDEX('5층_부하량'!F3:F3000,MATCH(1,("5-DaHall 1-PDU-10"='5층_부하량'!A3:A3000)*(26='5층_부하량'!B3:B3000),0)),0)</f>
        <v>0.0</v>
      </c>
      <c r="O305" s="21"/>
      <c r="P305" s="21"/>
      <c r="Q305" s="21"/>
      <c r="R305" s="69" t="s">
        <v>4590</v>
      </c>
      <c r="S305" s="17" t="s">
        <v>4642</v>
      </c>
      <c r="T305" s="70"/>
    </row>
    <row r="306" spans="1:20" x14ac:dyDescent="0.15">
      <c r="A306" s="321"/>
      <c r="B306" s="17" t="s">
        <v>4590</v>
      </c>
      <c r="C306" s="17" t="s">
        <v>4642</v>
      </c>
      <c r="D306" s="21"/>
      <c r="E306" s="2672" t="n">
        <f>IFERROR(INDEX('5층_부하량'!G3:G3000,MATCH(1,("5-DaHall 1-PDU-10"='5층_부하량'!A3:A3000)*(27='5층_부하량'!B3:B3000),0)),0)</f>
        <v>0.0</v>
      </c>
      <c r="F306" s="21"/>
      <c r="G306" s="21"/>
      <c r="H306" s="17" t="s">
        <v>5811</v>
      </c>
      <c r="I306" s="549" t="s">
        <v>4688</v>
      </c>
      <c r="J306" s="112"/>
      <c r="K306" s="81"/>
      <c r="L306" s="568" t="s">
        <v>4689</v>
      </c>
      <c r="M306" s="17" t="s">
        <v>5811</v>
      </c>
      <c r="N306" s="21"/>
      <c r="O306" s="2672" t="n">
        <f>IFERROR(INDEX('5층_부하량'!G3:G3000,MATCH(1,("5-DaHall 1-PDU-10"='5층_부하량'!A3:A3000)*(28='5층_부하량'!B3:B3000),0)),0)</f>
        <v>0.0</v>
      </c>
      <c r="P306" s="21"/>
      <c r="Q306" s="21"/>
      <c r="R306" s="69" t="s">
        <v>4590</v>
      </c>
      <c r="S306" s="17" t="s">
        <v>4642</v>
      </c>
      <c r="T306" s="70"/>
    </row>
    <row r="307" spans="1:20" x14ac:dyDescent="0.15">
      <c r="A307" s="321"/>
      <c r="B307" s="17" t="s">
        <v>4590</v>
      </c>
      <c r="C307" s="17" t="s">
        <v>4642</v>
      </c>
      <c r="D307" s="21"/>
      <c r="E307" s="21"/>
      <c r="F307" s="2672" t="n">
        <f>IFERROR(INDEX('5층_부하량'!H3:H3000,MATCH(1,("5-DaHall 1-PDU-10"='5층_부하량'!A3:A3000)*(29='5층_부하량'!B3:B3000),0)),0)</f>
        <v>0.0</v>
      </c>
      <c r="G307" s="21"/>
      <c r="H307" s="17" t="s">
        <v>5811</v>
      </c>
      <c r="I307" s="549" t="s">
        <v>4691</v>
      </c>
      <c r="J307" s="112"/>
      <c r="K307" s="81"/>
      <c r="L307" s="568" t="s">
        <v>4692</v>
      </c>
      <c r="M307" s="17" t="s">
        <v>5811</v>
      </c>
      <c r="N307" s="21"/>
      <c r="O307" s="21"/>
      <c r="P307" s="2672" t="n">
        <f>IFERROR(INDEX('5층_부하량'!H3:H3000,MATCH(1,("5-DaHall 1-PDU-10"='5층_부하량'!A3:A3000)*(30='5층_부하량'!B3:B3000),0)),0)</f>
        <v>0.0</v>
      </c>
      <c r="Q307" s="21"/>
      <c r="R307" s="69" t="s">
        <v>4590</v>
      </c>
      <c r="S307" s="17" t="s">
        <v>4642</v>
      </c>
      <c r="T307" s="70"/>
    </row>
    <row r="308" spans="1:20" x14ac:dyDescent="0.15">
      <c r="A308" s="321"/>
      <c r="B308" s="17" t="s">
        <v>4590</v>
      </c>
      <c r="C308" s="17" t="s">
        <v>4642</v>
      </c>
      <c r="D308" s="2672" t="n">
        <f>IFERROR(INDEX('5층_부하량'!F3:F3000,MATCH(1,("5-DaHall 1-PDU-10"='5층_부하량'!A3:A3000)*(31='5층_부하량'!B3:B3000),0)),0)</f>
        <v>0.0</v>
      </c>
      <c r="E308" s="21"/>
      <c r="F308" s="21"/>
      <c r="G308" s="21"/>
      <c r="H308" s="17" t="s">
        <v>5811</v>
      </c>
      <c r="I308" s="549" t="s">
        <v>4693</v>
      </c>
      <c r="J308" s="112"/>
      <c r="K308" s="81"/>
      <c r="L308" s="568" t="s">
        <v>4694</v>
      </c>
      <c r="M308" s="17" t="s">
        <v>5811</v>
      </c>
      <c r="N308" s="2672" t="n">
        <f>IFERROR(INDEX('5층_부하량'!F3:F3000,MATCH(1,("5-DaHall 1-PDU-10"='5층_부하량'!A3:A3000)*(32='5층_부하량'!B3:B3000),0)),0)</f>
        <v>0.0</v>
      </c>
      <c r="O308" s="21"/>
      <c r="P308" s="21"/>
      <c r="Q308" s="21"/>
      <c r="R308" s="69" t="s">
        <v>4590</v>
      </c>
      <c r="S308" s="17" t="s">
        <v>4642</v>
      </c>
      <c r="T308" s="70"/>
    </row>
    <row r="309" spans="1:20" x14ac:dyDescent="0.15">
      <c r="A309" s="321"/>
      <c r="B309" s="17" t="s">
        <v>4590</v>
      </c>
      <c r="C309" s="17" t="s">
        <v>4642</v>
      </c>
      <c r="D309" s="21"/>
      <c r="E309" s="2672" t="n">
        <f>IFERROR(INDEX('5층_부하량'!G3:G3000,MATCH(1,("5-DaHall 1-PDU-10"='5층_부하량'!A3:A3000)*(33='5층_부하량'!B3:B3000),0)),0)</f>
        <v>0.0</v>
      </c>
      <c r="F309" s="21"/>
      <c r="G309" s="21"/>
      <c r="H309" s="17" t="s">
        <v>5811</v>
      </c>
      <c r="I309" s="549" t="s">
        <v>4697</v>
      </c>
      <c r="J309" s="112"/>
      <c r="K309" s="81"/>
      <c r="L309" s="568" t="s">
        <v>4698</v>
      </c>
      <c r="M309" s="17" t="s">
        <v>5811</v>
      </c>
      <c r="N309" s="21"/>
      <c r="O309" s="2672" t="n">
        <f>IFERROR(INDEX('5층_부하량'!G3:G3000,MATCH(1,("5-DaHall 1-PDU-10"='5층_부하량'!A3:A3000)*(34='5층_부하량'!B3:B3000),0)),0)</f>
        <v>0.0</v>
      </c>
      <c r="P309" s="21"/>
      <c r="Q309" s="21"/>
      <c r="R309" s="69" t="s">
        <v>4590</v>
      </c>
      <c r="S309" s="17" t="s">
        <v>4642</v>
      </c>
      <c r="T309" s="70"/>
    </row>
    <row r="310" spans="1:20" x14ac:dyDescent="0.15">
      <c r="A310" s="321"/>
      <c r="B310" s="17" t="s">
        <v>4590</v>
      </c>
      <c r="C310" s="17" t="s">
        <v>4642</v>
      </c>
      <c r="D310" s="21"/>
      <c r="E310" s="21"/>
      <c r="F310" s="2672" t="n">
        <f>IFERROR(INDEX('5층_부하량'!H3:H3000,MATCH(1,("5-DaHall 1-PDU-10"='5층_부하량'!A3:A3000)*(35='5층_부하량'!B3:B3000),0)),0)</f>
        <v>0.0</v>
      </c>
      <c r="G310" s="21"/>
      <c r="H310" s="17" t="s">
        <v>5811</v>
      </c>
      <c r="I310" s="549" t="s">
        <v>4701</v>
      </c>
      <c r="J310" s="112"/>
      <c r="K310" s="81"/>
      <c r="L310" s="568" t="s">
        <v>4703</v>
      </c>
      <c r="M310" s="17" t="s">
        <v>5811</v>
      </c>
      <c r="N310" s="21"/>
      <c r="O310" s="21"/>
      <c r="P310" s="2672" t="n">
        <f>IFERROR(INDEX('5층_부하량'!H3:H3000,MATCH(1,("5-DaHall 1-PDU-10"='5층_부하량'!A3:A3000)*(36='5층_부하량'!B3:B3000),0)),0)</f>
        <v>0.0</v>
      </c>
      <c r="Q310" s="21"/>
      <c r="R310" s="69" t="s">
        <v>4590</v>
      </c>
      <c r="S310" s="17" t="s">
        <v>4642</v>
      </c>
      <c r="T310" s="70"/>
    </row>
    <row r="311" spans="1:20" ht="14.25" thickBot="1" x14ac:dyDescent="0.2">
      <c r="A311" s="119"/>
      <c r="B311" s="29" t="s">
        <v>4590</v>
      </c>
      <c r="C311" s="29" t="s">
        <v>4642</v>
      </c>
      <c r="D311" s="2674" t="n">
        <f>IFERROR(INDEX('5층_부하량'!F3:F3000,MATCH(1,("5-DaHall 1-PDU-10"='5층_부하량'!A3:A3000)*(37='5층_부하량'!B3:B3000),0)),0)</f>
        <v>0.0</v>
      </c>
      <c r="E311" s="30"/>
      <c r="F311" s="30"/>
      <c r="G311" s="30"/>
      <c r="H311" s="29" t="s">
        <v>5811</v>
      </c>
      <c r="I311" s="556" t="s">
        <v>4927</v>
      </c>
      <c r="J311" s="120"/>
      <c r="K311" s="121"/>
      <c r="L311" s="573" t="s">
        <v>4928</v>
      </c>
      <c r="M311" s="29" t="s">
        <v>5811</v>
      </c>
      <c r="N311" s="2674" t="n">
        <f>IFERROR(INDEX('5층_부하량'!F3:F3000,MATCH(1,("5-DaHall 1-PDU-10"='5층_부하량'!A3:A3000)*(38='5층_부하량'!B3:B3000),0)),0)</f>
        <v>0.0</v>
      </c>
      <c r="O311" s="30"/>
      <c r="P311" s="30"/>
      <c r="Q311" s="30"/>
      <c r="R311" s="110" t="s">
        <v>4590</v>
      </c>
      <c r="S311" s="29" t="s">
        <v>4642</v>
      </c>
      <c r="T311" s="111"/>
    </row>
    <row r="312" spans="1:20" ht="15" thickTop="1" thickBot="1" x14ac:dyDescent="0.2">
      <c r="M312" s="80" t="s">
        <v>5645</v>
      </c>
      <c r="N312" s="33" t="n">
        <f>SUM(D293:D311,N293:N311)</f>
        <v>0.0</v>
      </c>
      <c r="O312" s="33" t="n">
        <f>SUM(E293:E311,O293:O311)</f>
        <v>0.0</v>
      </c>
      <c r="P312" s="33" t="n">
        <f>SUM(F293:F311,P293:P311)</f>
        <v>0.0</v>
      </c>
    </row>
    <row r="313" spans="1:20" ht="20.25" thickTop="1" thickBot="1" x14ac:dyDescent="0.2">
      <c r="A313" s="2" t="s">
        <v>6955</v>
      </c>
      <c r="C313" s="3660" t="s">
        <v>5849</v>
      </c>
      <c r="D313" s="3660"/>
      <c r="E313" s="3660"/>
      <c r="F313" s="3660"/>
      <c r="G313" s="53"/>
      <c r="H313" s="124"/>
      <c r="I313" s="124"/>
      <c r="J313" s="3661" t="s">
        <v>5646</v>
      </c>
      <c r="K313" s="3667"/>
      <c r="L313" s="124"/>
      <c r="M313" s="124"/>
      <c r="N313" s="53"/>
      <c r="O313" s="53"/>
      <c r="P313" s="53"/>
      <c r="Q313" s="53"/>
      <c r="R313" s="53"/>
      <c r="S313" s="53"/>
    </row>
    <row r="314" spans="1:20" ht="15" customHeight="1" thickTop="1" thickBot="1" x14ac:dyDescent="0.2">
      <c r="A314" s="3"/>
      <c r="D314" s="54"/>
      <c r="E314" s="54"/>
      <c r="F314" s="54"/>
      <c r="G314" s="54"/>
      <c r="H314" s="4"/>
      <c r="I314" s="4"/>
      <c r="K314" s="56"/>
      <c r="L314" s="565"/>
      <c r="M314" s="1371" t="s">
        <v>4562</v>
      </c>
      <c r="N314" s="1368">
        <v>15.3</v>
      </c>
      <c r="O314" s="1369">
        <v>10.199999999999999</v>
      </c>
      <c r="P314" s="1370">
        <v>9.9</v>
      </c>
      <c r="Q314" s="508" t="s">
        <v>4563</v>
      </c>
      <c r="R314" s="133"/>
      <c r="S314" s="128"/>
      <c r="T314" s="528"/>
    </row>
    <row r="315" spans="1:20" ht="15" thickTop="1" thickBot="1" x14ac:dyDescent="0.2">
      <c r="A315" s="5" t="s">
        <v>4564</v>
      </c>
      <c r="B315" s="6" t="s">
        <v>4565</v>
      </c>
      <c r="C315" s="7" t="s">
        <v>4566</v>
      </c>
      <c r="D315" s="6" t="s">
        <v>4567</v>
      </c>
      <c r="E315" s="6" t="s">
        <v>4568</v>
      </c>
      <c r="F315" s="6" t="s">
        <v>4569</v>
      </c>
      <c r="G315" s="6" t="s">
        <v>4570</v>
      </c>
      <c r="H315" s="8" t="s">
        <v>4571</v>
      </c>
      <c r="I315" s="547"/>
      <c r="J315" s="58" t="s">
        <v>4572</v>
      </c>
      <c r="K315" s="59" t="s">
        <v>4572</v>
      </c>
      <c r="L315" s="566"/>
      <c r="M315" s="8" t="s">
        <v>4571</v>
      </c>
      <c r="N315" s="6" t="s">
        <v>4567</v>
      </c>
      <c r="O315" s="6" t="s">
        <v>4568</v>
      </c>
      <c r="P315" s="6" t="s">
        <v>4569</v>
      </c>
      <c r="Q315" s="6" t="s">
        <v>4570</v>
      </c>
      <c r="R315" s="6" t="s">
        <v>4565</v>
      </c>
      <c r="S315" s="7" t="s">
        <v>4566</v>
      </c>
      <c r="T315" s="60" t="s">
        <v>4564</v>
      </c>
    </row>
    <row r="316" spans="1:20" ht="14.25" thickTop="1" x14ac:dyDescent="0.15">
      <c r="A316" s="10"/>
      <c r="B316" s="11" t="s">
        <v>4590</v>
      </c>
      <c r="C316" s="13" t="s">
        <v>4642</v>
      </c>
      <c r="D316" s="2681" cm="1" t="n">
        <f t="array" ref="D316">INDEX('5층_부하량'!F3:F3000,MATCH(1,("5-DaHall 1-PDU-11"='5층_부하량'!A3:A3000)*(1='5층_부하량'!B3:B3000),0))</f>
        <v>0.0</v>
      </c>
      <c r="E316" s="2681" cm="1" t="n">
        <f t="array" ref="E316">INDEX('5층_부하량'!G3:G3000,MATCH(1,("5-DaHall 1-PDU-11"='5층_부하량'!A3:A3000)*(1='5층_부하량'!B3:B3000),0))</f>
        <v>0.0</v>
      </c>
      <c r="F316" s="2681" cm="1" t="n">
        <f t="array" ref="F316">INDEX('5층_부하량'!H3:H3000,MATCH(1,("5-DaHall 1-PDU-11"='5층_부하량'!A3:A3000)*(1='5층_부하량'!B3:B3000),0))</f>
        <v>0.0</v>
      </c>
      <c r="G316" s="15"/>
      <c r="H316" s="13" t="s">
        <v>5786</v>
      </c>
      <c r="I316" s="1177" t="s">
        <v>5787</v>
      </c>
      <c r="J316" s="61"/>
      <c r="K316" s="62"/>
      <c r="L316" s="567" t="s">
        <v>5788</v>
      </c>
      <c r="M316" s="11" t="s">
        <v>5786</v>
      </c>
      <c r="N316" s="2681" cm="1" t="n">
        <f t="array" ref="N316">INDEX('5층_부하량'!F3:F3000,MATCH(1,("5-DaHall 1-PDU-11"='5층_부하량'!A3:A3000)*(2='5층_부하량'!B3:B3000),0))</f>
        <v>0.0</v>
      </c>
      <c r="O316" s="2681" cm="1" t="n">
        <f t="array" ref="O316">INDEX('5층_부하량'!G3:G3000,MATCH(1,("5-DaHall 1-PDU-11"='5층_부하량'!A3:A3000)*(2='5층_부하량'!B3:B3000),0))</f>
        <v>0.0</v>
      </c>
      <c r="P316" s="2681" cm="1" t="n">
        <f t="array" ref="P316">INDEX('5층_부하량'!H3:H3000,MATCH(1,("5-DaHall 1-PDU-11"='5층_부하량'!A3:A3000)*(2='5층_부하량'!B3:B3000),0))</f>
        <v>0.0</v>
      </c>
      <c r="Q316" s="15"/>
      <c r="R316" s="63" t="s">
        <v>4590</v>
      </c>
      <c r="S316" s="11" t="s">
        <v>4642</v>
      </c>
      <c r="T316" s="98"/>
    </row>
    <row r="317" spans="1:20" ht="16.5" x14ac:dyDescent="0.15">
      <c r="A317" s="16" t="s">
        <v>5850</v>
      </c>
      <c r="B317" s="17" t="s">
        <v>4631</v>
      </c>
      <c r="C317" s="18" t="s">
        <v>4575</v>
      </c>
      <c r="D317" s="2682" cm="1" t="n">
        <f t="array" ref="D317">INDEX('5층_부하량'!F3:F3000,MATCH(1,("5-DaHall 1-PDU-11"='5층_부하량'!A3:A3000)*(3='5층_부하량'!B3:B3000),0))</f>
        <v>0.0</v>
      </c>
      <c r="E317" s="383"/>
      <c r="F317" s="383"/>
      <c r="G317" s="19"/>
      <c r="H317" s="17" t="s">
        <v>5790</v>
      </c>
      <c r="I317" s="549" t="s">
        <v>4638</v>
      </c>
      <c r="J317" s="1031" t="s">
        <v>5832</v>
      </c>
      <c r="K317" s="1024"/>
      <c r="L317" s="549" t="s">
        <v>4583</v>
      </c>
      <c r="M317" s="17" t="s">
        <v>5786</v>
      </c>
      <c r="N317" s="2682" cm="1" t="n">
        <f t="array" ref="N317">INDEX('5층_부하량'!F3:F3000,MATCH(1,("5-DaHall 1-PDU-11"='5층_부하량'!A3:A3000)*(4='5층_부하량'!B3:B3000),0))</f>
        <v>0.0</v>
      </c>
      <c r="O317" s="383"/>
      <c r="P317" s="383"/>
      <c r="Q317" s="19"/>
      <c r="R317" s="67" t="s">
        <v>4631</v>
      </c>
      <c r="S317" s="72" t="s">
        <v>4642</v>
      </c>
      <c r="T317" s="68" t="s">
        <v>5851</v>
      </c>
    </row>
    <row r="318" spans="1:20" ht="16.5" x14ac:dyDescent="0.15">
      <c r="A318" s="599" t="s">
        <v>5852</v>
      </c>
      <c r="B318" s="17" t="s">
        <v>4631</v>
      </c>
      <c r="C318" s="18" t="s">
        <v>4575</v>
      </c>
      <c r="D318" s="387"/>
      <c r="E318" s="2679" cm="1" t="n">
        <f t="array" ref="E318">INDEX('5층_부하량'!G3:G3000,MATCH(1,("5-DaHall 1-PDU-11"='5층_부하량'!A3:A3000)*(5='5층_부하량'!B3:B3000),0))</f>
        <v>5.31</v>
      </c>
      <c r="F318" s="387"/>
      <c r="G318" s="21"/>
      <c r="H318" s="17" t="s">
        <v>5786</v>
      </c>
      <c r="I318" s="1207" t="s">
        <v>4641</v>
      </c>
      <c r="J318" s="1031" t="s">
        <v>5832</v>
      </c>
      <c r="K318" s="1024" t="s">
        <v>5832</v>
      </c>
      <c r="L318" s="549" t="s">
        <v>4588</v>
      </c>
      <c r="M318" s="17" t="s">
        <v>5786</v>
      </c>
      <c r="N318" s="387"/>
      <c r="O318" s="2679" cm="1" t="n">
        <f t="array" ref="O318">INDEX('5층_부하량'!G3:G3000,MATCH(1,("5-DaHall 1-PDU-11"='5층_부하량'!A3:A3000)*(6='5층_부하량'!B3:B3000),0))</f>
        <v>2.01</v>
      </c>
      <c r="P318" s="387"/>
      <c r="Q318" s="21"/>
      <c r="R318" s="69" t="s">
        <v>4631</v>
      </c>
      <c r="S318" s="18" t="s">
        <v>4575</v>
      </c>
      <c r="T318" s="70" t="s">
        <v>5853</v>
      </c>
    </row>
    <row r="319" spans="1:20" ht="16.5" x14ac:dyDescent="0.15">
      <c r="A319" s="16" t="s">
        <v>5854</v>
      </c>
      <c r="B319" s="17" t="s">
        <v>4631</v>
      </c>
      <c r="C319" s="18" t="s">
        <v>4575</v>
      </c>
      <c r="D319" s="387"/>
      <c r="E319" s="387"/>
      <c r="F319" s="2679" cm="1" t="n">
        <f t="array" ref="F319">INDEX('5층_부하량'!H3:H3000,MATCH(1,("5-DaHall 1-PDU-11"='5층_부하량'!A3:A3000)*(7='5층_부하량'!B3:B3000),0))</f>
        <v>2.0</v>
      </c>
      <c r="G319" s="21"/>
      <c r="H319" s="17" t="s">
        <v>5786</v>
      </c>
      <c r="I319" s="549" t="s">
        <v>4645</v>
      </c>
      <c r="J319" s="1031" t="s">
        <v>5832</v>
      </c>
      <c r="K319" s="1024" t="s">
        <v>5832</v>
      </c>
      <c r="L319" s="549" t="s">
        <v>4593</v>
      </c>
      <c r="M319" s="17" t="s">
        <v>5801</v>
      </c>
      <c r="N319" s="387"/>
      <c r="O319" s="387"/>
      <c r="P319" s="2679" cm="1" t="n">
        <f t="array" ref="P319">INDEX('5층_부하량'!H3:H3000,MATCH(1,("5-DaHall 1-PDU-11"='5층_부하량'!A3:A3000)*(8='5층_부하량'!B3:B3000),0))</f>
        <v>0.0</v>
      </c>
      <c r="Q319" s="21"/>
      <c r="R319" s="69" t="s">
        <v>4631</v>
      </c>
      <c r="S319" s="18" t="s">
        <v>4575</v>
      </c>
      <c r="T319" s="68" t="s">
        <v>2998</v>
      </c>
    </row>
    <row r="320" spans="1:20" ht="16.5" x14ac:dyDescent="0.15">
      <c r="A320" s="599" t="s">
        <v>5855</v>
      </c>
      <c r="B320" s="17" t="s">
        <v>4631</v>
      </c>
      <c r="C320" s="18" t="s">
        <v>4575</v>
      </c>
      <c r="D320" s="2679" cm="1" t="n">
        <f t="array" ref="D320">INDEX('5층_부하량'!F3:F3000,MATCH(1,("5-DaHall 1-PDU-11"='5층_부하량'!A3:A3000)*(9='5층_부하량'!B3:B3000),0))</f>
        <v>5.29</v>
      </c>
      <c r="E320" s="387"/>
      <c r="F320" s="387"/>
      <c r="G320" s="21"/>
      <c r="H320" s="17" t="s">
        <v>5786</v>
      </c>
      <c r="I320" s="1207" t="s">
        <v>4648</v>
      </c>
      <c r="J320" s="1023" t="s">
        <v>5828</v>
      </c>
      <c r="K320" s="1024" t="s">
        <v>5832</v>
      </c>
      <c r="L320" s="549" t="s">
        <v>4596</v>
      </c>
      <c r="M320" s="17" t="s">
        <v>5801</v>
      </c>
      <c r="N320" s="2679" cm="1" t="n">
        <f t="array" ref="N320">INDEX('5층_부하량'!F3:F3000,MATCH(1,("5-DaHall 1-PDU-11"='5층_부하량'!A3:A3000)*(10='5층_부하량'!B3:B3000),0))</f>
        <v>0.0</v>
      </c>
      <c r="O320" s="387"/>
      <c r="P320" s="387"/>
      <c r="Q320" s="21"/>
      <c r="R320" s="69" t="s">
        <v>4631</v>
      </c>
      <c r="S320" s="18" t="s">
        <v>4575</v>
      </c>
      <c r="T320" s="70" t="s">
        <v>3005</v>
      </c>
    </row>
    <row r="321" spans="1:20" ht="17.25" thickBot="1" x14ac:dyDescent="0.2">
      <c r="A321" s="662" t="s">
        <v>5856</v>
      </c>
      <c r="B321" s="23" t="s">
        <v>4631</v>
      </c>
      <c r="C321" s="24" t="s">
        <v>4575</v>
      </c>
      <c r="D321" s="417"/>
      <c r="E321" s="2686" cm="1" t="n">
        <f t="array" ref="E321">INDEX('5층_부하량'!G3:G3000,MATCH(1,("5-DaHall 1-PDU-11"='5층_부하량'!A3:A3000)*(11='5층_부하량'!B3:B3000),0))</f>
        <v>2.69</v>
      </c>
      <c r="F321" s="417"/>
      <c r="G321" s="25"/>
      <c r="H321" s="23" t="s">
        <v>5786</v>
      </c>
      <c r="I321" s="1209" t="s">
        <v>4653</v>
      </c>
      <c r="J321" s="1023" t="s">
        <v>5828</v>
      </c>
      <c r="K321" s="1032" t="s">
        <v>5832</v>
      </c>
      <c r="L321" s="555" t="s">
        <v>4599</v>
      </c>
      <c r="M321" s="23" t="s">
        <v>5801</v>
      </c>
      <c r="N321" s="417"/>
      <c r="O321" s="2686" cm="1" t="n">
        <f t="array" ref="O321">INDEX('5층_부하량'!G3:G3000,MATCH(1,("5-DaHall 1-PDU-11"='5층_부하량'!A3:A3000)*(12='5층_부하량'!B3:B3000),0))</f>
        <v>5.7</v>
      </c>
      <c r="P321" s="417"/>
      <c r="Q321" s="25"/>
      <c r="R321" s="108" t="s">
        <v>4631</v>
      </c>
      <c r="S321" s="24" t="s">
        <v>4575</v>
      </c>
      <c r="T321" s="104" t="s">
        <v>3010</v>
      </c>
    </row>
    <row r="322" spans="1:20" ht="17.25" thickTop="1" x14ac:dyDescent="0.15">
      <c r="A322" s="10" t="s">
        <v>5857</v>
      </c>
      <c r="B322" s="11" t="s">
        <v>4631</v>
      </c>
      <c r="C322" s="97" t="s">
        <v>4575</v>
      </c>
      <c r="D322" s="401"/>
      <c r="E322" s="401"/>
      <c r="F322" s="2678" cm="1" t="n">
        <f t="array" ref="F322">INDEX('5층_부하량'!H3:H3000,MATCH(1,("5-DaHall 1-PDU-11"='5층_부하량'!A3:A3000)*(13='5층_부하량'!B3:B3000),0))</f>
        <v>1.99</v>
      </c>
      <c r="G322" s="105"/>
      <c r="H322" s="11" t="s">
        <v>5786</v>
      </c>
      <c r="I322" s="1210" t="s">
        <v>4657</v>
      </c>
      <c r="J322" s="1026" t="s">
        <v>5832</v>
      </c>
      <c r="K322" s="1030" t="s">
        <v>5832</v>
      </c>
      <c r="L322" s="548" t="s">
        <v>4601</v>
      </c>
      <c r="M322" s="11" t="s">
        <v>5801</v>
      </c>
      <c r="N322" s="401"/>
      <c r="O322" s="401"/>
      <c r="P322" s="2678" cm="1" t="n">
        <f t="array" ref="P322">INDEX('5층_부하량'!H3:H3000,MATCH(1,("5-DaHall 1-PDU-11"='5층_부하량'!A3:A3000)*(14='5층_부하량'!B3:B3000),0))</f>
        <v>2.76</v>
      </c>
      <c r="Q322" s="105"/>
      <c r="R322" s="106" t="s">
        <v>4631</v>
      </c>
      <c r="S322" s="97" t="s">
        <v>4575</v>
      </c>
      <c r="T322" s="101" t="s">
        <v>3015</v>
      </c>
    </row>
    <row r="323" spans="1:20" ht="16.5" x14ac:dyDescent="0.15">
      <c r="A323" s="99" t="s">
        <v>5858</v>
      </c>
      <c r="B323" s="72" t="s">
        <v>4631</v>
      </c>
      <c r="C323" s="73" t="s">
        <v>4575</v>
      </c>
      <c r="D323" s="2687" cm="1" t="n">
        <f t="array" ref="D323">INDEX('5층_부하량'!F3:F3000,MATCH(1,("5-DaHall 1-PDU-11"='5층_부하량'!A3:A3000)*(15='5층_부하량'!B3:B3000),0))</f>
        <v>0.0</v>
      </c>
      <c r="E323" s="426"/>
      <c r="F323" s="426"/>
      <c r="G323" s="74"/>
      <c r="H323" s="72" t="s">
        <v>5801</v>
      </c>
      <c r="I323" s="1215" t="s">
        <v>4661</v>
      </c>
      <c r="J323" s="1033" t="s">
        <v>5832</v>
      </c>
      <c r="K323" s="1034" t="s">
        <v>5832</v>
      </c>
      <c r="L323" s="550" t="s">
        <v>4603</v>
      </c>
      <c r="M323" s="72" t="s">
        <v>5801</v>
      </c>
      <c r="N323" s="2687" cm="1" t="n">
        <f t="array" ref="N323">INDEX('5층_부하량'!F3:F3000,MATCH(1,("5-DaHall 1-PDU-11"='5층_부하량'!A3:A3000)*(16='5층_부하량'!B3:B3000),0))</f>
        <v>0.0</v>
      </c>
      <c r="O323" s="426"/>
      <c r="P323" s="426"/>
      <c r="Q323" s="74"/>
      <c r="R323" s="75" t="s">
        <v>4631</v>
      </c>
      <c r="S323" s="73" t="s">
        <v>4575</v>
      </c>
      <c r="T323" s="68" t="s">
        <v>3020</v>
      </c>
    </row>
    <row r="324" spans="1:20" ht="16.5" x14ac:dyDescent="0.15">
      <c r="A324" s="321" t="s">
        <v>5859</v>
      </c>
      <c r="B324" s="17" t="s">
        <v>4631</v>
      </c>
      <c r="C324" s="18" t="s">
        <v>4575</v>
      </c>
      <c r="D324" s="387"/>
      <c r="E324" s="2679" cm="1" t="n">
        <f t="array" ref="E324">INDEX('5층_부하량'!G3:G3000,MATCH(1,("5-DaHall 1-PDU-11"='5층_부하량'!A3:A3000)*(17='5층_부하량'!B3:B3000),0))</f>
        <v>0.0</v>
      </c>
      <c r="F324" s="387"/>
      <c r="G324" s="21"/>
      <c r="H324" s="17" t="s">
        <v>5801</v>
      </c>
      <c r="I324" s="1215" t="s">
        <v>4665</v>
      </c>
      <c r="J324" s="1033" t="s">
        <v>5832</v>
      </c>
      <c r="K324" s="1024" t="s">
        <v>5832</v>
      </c>
      <c r="L324" s="549" t="s">
        <v>4605</v>
      </c>
      <c r="M324" s="17" t="s">
        <v>5801</v>
      </c>
      <c r="N324" s="387"/>
      <c r="O324" s="2679" cm="1" t="n">
        <f t="array" ref="O324">INDEX('5층_부하량'!G3:G3000,MATCH(1,("5-DaHall 1-PDU-11"='5층_부하량'!A3:A3000)*(18='5층_부하량'!B3:B3000),0))</f>
        <v>3.54</v>
      </c>
      <c r="P324" s="387"/>
      <c r="Q324" s="21"/>
      <c r="R324" s="69" t="s">
        <v>4631</v>
      </c>
      <c r="S324" s="18" t="s">
        <v>4575</v>
      </c>
      <c r="T324" s="70" t="s">
        <v>3026</v>
      </c>
    </row>
    <row r="325" spans="1:20" ht="16.5" x14ac:dyDescent="0.15">
      <c r="A325" s="99" t="s">
        <v>5860</v>
      </c>
      <c r="B325" s="17" t="s">
        <v>4631</v>
      </c>
      <c r="C325" s="17" t="s">
        <v>4584</v>
      </c>
      <c r="D325" s="387"/>
      <c r="E325" s="387"/>
      <c r="F325" s="2679" cm="1" t="n">
        <f t="array" ref="F325">INDEX('5층_부하량'!H3:H3000,MATCH(1,("5-DaHall 1-PDU-11"='5층_부하량'!A3:A3000)*(19='5층_부하량'!B3:B3000),0))</f>
        <v>2.02</v>
      </c>
      <c r="G325" s="21"/>
      <c r="H325" s="17" t="s">
        <v>5811</v>
      </c>
      <c r="I325" s="1215" t="s">
        <v>4670</v>
      </c>
      <c r="J325" s="1033" t="s">
        <v>5832</v>
      </c>
      <c r="K325" s="1024" t="s">
        <v>5832</v>
      </c>
      <c r="L325" s="549" t="s">
        <v>4609</v>
      </c>
      <c r="M325" s="17" t="s">
        <v>5811</v>
      </c>
      <c r="N325" s="387"/>
      <c r="O325" s="387"/>
      <c r="P325" s="2679" cm="1" t="n">
        <f t="array" ref="P325">INDEX('5층_부하량'!H3:H3000,MATCH(1,("5-DaHall 1-PDU-11"='5층_부하량'!A3:A3000)*(20='5층_부하량'!B3:B3000),0))</f>
        <v>3.36</v>
      </c>
      <c r="Q325" s="21"/>
      <c r="R325" s="69" t="s">
        <v>4631</v>
      </c>
      <c r="S325" s="18" t="s">
        <v>4575</v>
      </c>
      <c r="T325" s="70" t="s">
        <v>3031</v>
      </c>
    </row>
    <row r="326" spans="1:20" ht="16.5" x14ac:dyDescent="0.15">
      <c r="A326" s="321" t="s">
        <v>5861</v>
      </c>
      <c r="B326" s="17" t="s">
        <v>4631</v>
      </c>
      <c r="C326" s="18" t="s">
        <v>4575</v>
      </c>
      <c r="D326" s="2679" cm="1" t="n">
        <f t="array" ref="D326">INDEX('5층_부하량'!F3:F3000,MATCH(1,("5-DaHall 1-PDU-11"='5층_부하량'!A3:A3000)*(21='5층_부하량'!B3:B3000),0))</f>
        <v>2.68</v>
      </c>
      <c r="E326" s="387"/>
      <c r="F326" s="387"/>
      <c r="G326" s="21"/>
      <c r="H326" s="17" t="s">
        <v>5811</v>
      </c>
      <c r="I326" s="1215" t="s">
        <v>4674</v>
      </c>
      <c r="J326" s="1033" t="s">
        <v>5862</v>
      </c>
      <c r="K326" s="1028"/>
      <c r="L326" s="568" t="s">
        <v>4613</v>
      </c>
      <c r="M326" s="17" t="s">
        <v>5811</v>
      </c>
      <c r="N326" s="2679" cm="1" t="n">
        <f t="array" ref="N326">INDEX('5층_부하량'!F3:F3000,MATCH(1,("5-DaHall 1-PDU-11"='5층_부하량'!A3:A3000)*(22='5층_부하량'!B3:B3000),0))</f>
        <v>0.0</v>
      </c>
      <c r="O326" s="387"/>
      <c r="P326" s="387"/>
      <c r="Q326" s="74"/>
      <c r="R326" s="75" t="s">
        <v>4579</v>
      </c>
      <c r="S326" s="73" t="s">
        <v>4575</v>
      </c>
      <c r="T326" s="82" t="s">
        <v>5863</v>
      </c>
    </row>
    <row r="327" spans="1:20" ht="16.5" x14ac:dyDescent="0.15">
      <c r="A327" s="99" t="s">
        <v>5864</v>
      </c>
      <c r="B327" s="17" t="s">
        <v>4631</v>
      </c>
      <c r="C327" s="18" t="s">
        <v>4575</v>
      </c>
      <c r="D327" s="387"/>
      <c r="E327" s="2679" cm="1" t="n">
        <f t="array" ref="E327">INDEX('5층_부하량'!G3:G3000,MATCH(1,("5-DaHall 1-PDU-11"='5층_부하량'!A3:A3000)*(23='5층_부하량'!B3:B3000),0))</f>
        <v>5.71</v>
      </c>
      <c r="F327" s="387"/>
      <c r="G327" s="21"/>
      <c r="H327" s="17" t="s">
        <v>5811</v>
      </c>
      <c r="I327" s="1215" t="s">
        <v>4678</v>
      </c>
      <c r="J327" s="1033" t="s">
        <v>5865</v>
      </c>
      <c r="K327" s="1035" t="s">
        <v>2824</v>
      </c>
      <c r="L327" s="568" t="s">
        <v>4680</v>
      </c>
      <c r="M327" s="17" t="s">
        <v>5811</v>
      </c>
      <c r="N327" s="387"/>
      <c r="O327" s="2679" cm="1" t="n">
        <f t="array" ref="O327">INDEX('5층_부하량'!G3:G3000,MATCH(1,("5-DaHall 1-PDU-11"='5층_부하량'!A3:A3000)*(24='5층_부하량'!B3:B3000),0))</f>
        <v>0.0</v>
      </c>
      <c r="P327" s="387"/>
      <c r="Q327" s="21"/>
      <c r="R327" s="69" t="s">
        <v>4579</v>
      </c>
      <c r="S327" s="18" t="s">
        <v>4575</v>
      </c>
      <c r="T327" s="663" t="s">
        <v>5866</v>
      </c>
    </row>
    <row r="328" spans="1:20" ht="16.5" x14ac:dyDescent="0.15">
      <c r="A328" s="321" t="s">
        <v>5867</v>
      </c>
      <c r="B328" s="17" t="s">
        <v>4631</v>
      </c>
      <c r="C328" s="18" t="s">
        <v>4575</v>
      </c>
      <c r="D328" s="387"/>
      <c r="E328" s="387"/>
      <c r="F328" s="2679" cm="1" t="n">
        <f t="array" ref="F328">INDEX('5층_부하량'!H3:H3000,MATCH(1,("5-DaHall 1-PDU-11"='5층_부하량'!A3:A3000)*(25='5층_부하량'!B3:B3000),0))</f>
        <v>3.61</v>
      </c>
      <c r="G328" s="21"/>
      <c r="H328" s="17" t="s">
        <v>5811</v>
      </c>
      <c r="I328" s="1215" t="s">
        <v>4683</v>
      </c>
      <c r="J328" s="1033" t="s">
        <v>5868</v>
      </c>
      <c r="K328" s="1035" t="s">
        <v>2824</v>
      </c>
      <c r="L328" s="1208" t="s">
        <v>4685</v>
      </c>
      <c r="M328" s="17" t="s">
        <v>5811</v>
      </c>
      <c r="N328" s="387"/>
      <c r="O328" s="387"/>
      <c r="P328" s="2679" cm="1" t="n">
        <f t="array" ref="P328">INDEX('5층_부하량'!H3:H3000,MATCH(1,("5-DaHall 1-PDU-11"='5층_부하량'!A3:A3000)*(26='5층_부하량'!B3:B3000),0))</f>
        <v>5.53</v>
      </c>
      <c r="Q328" s="21"/>
      <c r="R328" s="69" t="s">
        <v>4631</v>
      </c>
      <c r="S328" s="18" t="s">
        <v>4575</v>
      </c>
      <c r="T328" s="664" t="s">
        <v>5869</v>
      </c>
    </row>
    <row r="329" spans="1:20" ht="16.5" x14ac:dyDescent="0.15">
      <c r="A329" s="99" t="s">
        <v>5870</v>
      </c>
      <c r="B329" s="17" t="s">
        <v>4631</v>
      </c>
      <c r="C329" s="18" t="s">
        <v>4575</v>
      </c>
      <c r="D329" s="2679" cm="1" t="n">
        <f t="array" ref="D329">INDEX('5층_부하량'!F3:F3000,MATCH(1,("5-DaHall 1-PDU-11"='5층_부하량'!A3:A3000)*(27='5층_부하량'!B3:B3000),0))</f>
        <v>2.69</v>
      </c>
      <c r="E329" s="387"/>
      <c r="F329" s="387"/>
      <c r="G329" s="21"/>
      <c r="H329" s="17" t="s">
        <v>5811</v>
      </c>
      <c r="I329" s="1215" t="s">
        <v>4688</v>
      </c>
      <c r="J329" s="1033" t="s">
        <v>5871</v>
      </c>
      <c r="K329" s="1028"/>
      <c r="L329" s="1208" t="s">
        <v>4689</v>
      </c>
      <c r="M329" s="17" t="s">
        <v>5811</v>
      </c>
      <c r="N329" s="2679" cm="1" t="n">
        <f t="array" ref="N329">INDEX('5층_부하량'!F3:F3000,MATCH(1,("5-DaHall 1-PDU-11"='5층_부하량'!A3:A3000)*(28='5층_부하량'!B3:B3000),0))</f>
        <v>5.62</v>
      </c>
      <c r="O329" s="387"/>
      <c r="P329" s="387"/>
      <c r="Q329" s="21"/>
      <c r="R329" s="69" t="s">
        <v>4631</v>
      </c>
      <c r="S329" s="18" t="s">
        <v>4575</v>
      </c>
      <c r="T329" s="70" t="s">
        <v>5872</v>
      </c>
    </row>
    <row r="330" spans="1:20" ht="16.5" x14ac:dyDescent="0.15">
      <c r="A330" s="321" t="s">
        <v>5873</v>
      </c>
      <c r="B330" s="17" t="s">
        <v>4631</v>
      </c>
      <c r="C330" s="18" t="s">
        <v>4575</v>
      </c>
      <c r="D330" s="387"/>
      <c r="E330" s="2679" cm="1" t="n">
        <f t="array" ref="E330">INDEX('5층_부하량'!G3:G3000,MATCH(1,("5-DaHall 1-PDU-11"='5층_부하량'!A3:A3000)*(29='5층_부하량'!B3:B3000),0))</f>
        <v>5.55</v>
      </c>
      <c r="F330" s="387"/>
      <c r="G330" s="21"/>
      <c r="H330" s="17" t="s">
        <v>5811</v>
      </c>
      <c r="I330" s="1215" t="s">
        <v>4691</v>
      </c>
      <c r="J330" s="1033" t="s">
        <v>5874</v>
      </c>
      <c r="K330" s="1028"/>
      <c r="L330" s="568" t="s">
        <v>4692</v>
      </c>
      <c r="M330" s="17" t="s">
        <v>5811</v>
      </c>
      <c r="N330" s="387"/>
      <c r="O330" s="2679" cm="1" t="n">
        <f t="array" ref="O330">INDEX('5층_부하량'!G3:G3000,MATCH(1,("5-DaHall 1-PDU-11"='5층_부하량'!A3:A3000)*(30='5층_부하량'!B3:B3000),0))</f>
        <v>5.73</v>
      </c>
      <c r="P330" s="387"/>
      <c r="Q330" s="21"/>
      <c r="R330" s="69" t="s">
        <v>4631</v>
      </c>
      <c r="S330" s="18" t="s">
        <v>4575</v>
      </c>
      <c r="T330" s="70" t="s">
        <v>5875</v>
      </c>
    </row>
    <row r="331" spans="1:20" ht="17.25" thickBot="1" x14ac:dyDescent="0.2">
      <c r="A331" s="38" t="s">
        <v>5876</v>
      </c>
      <c r="B331" s="35" t="s">
        <v>4631</v>
      </c>
      <c r="C331" s="35" t="s">
        <v>4642</v>
      </c>
      <c r="D331" s="433"/>
      <c r="E331" s="433"/>
      <c r="F331" s="2680" cm="1" t="n">
        <f t="array" ref="F331">INDEX('5층_부하량'!H3:H3000,MATCH(1,("5-DaHall 1-PDU-11"='5층_부하량'!A3:A3000)*(31='5층_부하량'!B3:B3000),0))</f>
        <v>0.0</v>
      </c>
      <c r="G331" s="36"/>
      <c r="H331" s="35" t="s">
        <v>5811</v>
      </c>
      <c r="I331" s="551" t="s">
        <v>4693</v>
      </c>
      <c r="J331" s="1036"/>
      <c r="K331" s="1037" t="s">
        <v>5832</v>
      </c>
      <c r="L331" s="551" t="s">
        <v>4694</v>
      </c>
      <c r="M331" s="35" t="s">
        <v>5811</v>
      </c>
      <c r="N331" s="433"/>
      <c r="O331" s="433"/>
      <c r="P331" s="2680" cm="1" t="n">
        <f t="array" ref="P331">INDEX('5층_부하량'!H3:H3000,MATCH(1,("5-DaHall 1-PDU-11"='5층_부하량'!A3:A3000)*(32='5층_부하량'!B3:B3000),0))</f>
        <v>0.0</v>
      </c>
      <c r="Q331" s="36"/>
      <c r="R331" s="78" t="s">
        <v>4631</v>
      </c>
      <c r="S331" s="39" t="s">
        <v>4575</v>
      </c>
      <c r="T331" s="79"/>
    </row>
    <row r="332" spans="1:20" ht="15" thickTop="1" thickBot="1" x14ac:dyDescent="0.2">
      <c r="M332" s="80" t="s">
        <v>5645</v>
      </c>
      <c r="N332" s="33" t="n">
        <f>SUM(D316:D331,N316:N331)</f>
        <v>16.28</v>
      </c>
      <c r="O332" s="33" t="n">
        <f>SUM(E316:E331,O316:O331)</f>
        <v>36.24</v>
      </c>
      <c r="P332" s="33" t="n">
        <f>SUM(F316:F331,P316:P331)</f>
        <v>21.27</v>
      </c>
    </row>
    <row r="333" spans="1:20" ht="20.25" thickTop="1" thickBot="1" x14ac:dyDescent="0.2">
      <c r="A333" s="2" t="s">
        <v>6956</v>
      </c>
      <c r="C333" s="3660" t="s">
        <v>5877</v>
      </c>
      <c r="D333" s="3660"/>
      <c r="E333" s="3660"/>
      <c r="F333" s="3660"/>
      <c r="G333" s="53"/>
      <c r="H333" s="124"/>
      <c r="I333" s="124"/>
      <c r="J333" s="3661" t="s">
        <v>5646</v>
      </c>
      <c r="K333" s="3667"/>
      <c r="L333" s="124"/>
      <c r="M333" s="124"/>
      <c r="N333" s="53"/>
      <c r="O333" s="53"/>
      <c r="P333" s="53"/>
      <c r="Q333" s="53"/>
      <c r="R333" s="53"/>
      <c r="S333" s="53"/>
    </row>
    <row r="334" spans="1:20" ht="15" customHeight="1" thickTop="1" thickBot="1" x14ac:dyDescent="0.2">
      <c r="A334" s="3"/>
      <c r="D334" s="54"/>
      <c r="E334" s="54"/>
      <c r="F334" s="54"/>
      <c r="G334" s="54"/>
      <c r="H334" s="4"/>
      <c r="I334" s="4"/>
      <c r="K334" s="56"/>
      <c r="L334" s="565"/>
      <c r="M334" s="1371" t="s">
        <v>4562</v>
      </c>
      <c r="N334" s="1368">
        <v>12</v>
      </c>
      <c r="O334" s="1369">
        <v>18.7</v>
      </c>
      <c r="P334" s="1370">
        <v>14.6</v>
      </c>
      <c r="Q334" s="508" t="s">
        <v>4563</v>
      </c>
      <c r="R334" s="133"/>
      <c r="S334" s="128"/>
      <c r="T334" s="528"/>
    </row>
    <row r="335" spans="1:20" ht="15" thickTop="1" thickBot="1" x14ac:dyDescent="0.2">
      <c r="A335" s="5" t="s">
        <v>4564</v>
      </c>
      <c r="B335" s="6" t="s">
        <v>4565</v>
      </c>
      <c r="C335" s="7" t="s">
        <v>4566</v>
      </c>
      <c r="D335" s="6" t="s">
        <v>4567</v>
      </c>
      <c r="E335" s="6" t="s">
        <v>4568</v>
      </c>
      <c r="F335" s="6" t="s">
        <v>4569</v>
      </c>
      <c r="G335" s="6" t="s">
        <v>4570</v>
      </c>
      <c r="H335" s="8" t="s">
        <v>4571</v>
      </c>
      <c r="I335" s="547"/>
      <c r="J335" s="58" t="s">
        <v>4572</v>
      </c>
      <c r="K335" s="59" t="s">
        <v>4572</v>
      </c>
      <c r="L335" s="566"/>
      <c r="M335" s="8" t="s">
        <v>4571</v>
      </c>
      <c r="N335" s="6" t="s">
        <v>4567</v>
      </c>
      <c r="O335" s="6" t="s">
        <v>4568</v>
      </c>
      <c r="P335" s="6" t="s">
        <v>4569</v>
      </c>
      <c r="Q335" s="6" t="s">
        <v>4570</v>
      </c>
      <c r="R335" s="6" t="s">
        <v>4565</v>
      </c>
      <c r="S335" s="7" t="s">
        <v>4566</v>
      </c>
      <c r="T335" s="60" t="s">
        <v>4564</v>
      </c>
    </row>
    <row r="336" spans="1:20" ht="14.25" thickTop="1" x14ac:dyDescent="0.15">
      <c r="A336" s="10"/>
      <c r="B336" s="11" t="s">
        <v>4590</v>
      </c>
      <c r="C336" s="13" t="s">
        <v>4642</v>
      </c>
      <c r="D336" s="2681" cm="1" t="n">
        <f t="array" ref="D336">INDEX('5층_부하량'!F3:F3000,MATCH(1,("5-DaHall 1-PDU-13"='5층_부하량'!A3:A3000)*(1='5층_부하량'!B3:B3000),0))</f>
        <v>0.0</v>
      </c>
      <c r="E336" s="2681" cm="1" t="n">
        <f t="array" ref="E336">INDEX('5층_부하량'!G3:G3000,MATCH(1,("5-DaHall 1-PDU-13"='5층_부하량'!A3:A3000)*(1='5층_부하량'!B3:B3000),0))</f>
        <v>0.0</v>
      </c>
      <c r="F336" s="2681" cm="1" t="n">
        <f t="array" ref="F336">INDEX('5층_부하량'!H3:H3000,MATCH(1,("5-DaHall 1-PDU-13"='5층_부하량'!A3:A3000)*(1='5층_부하량'!B3:B3000),0))</f>
        <v>0.0</v>
      </c>
      <c r="G336" s="15"/>
      <c r="H336" s="13" t="s">
        <v>5786</v>
      </c>
      <c r="I336" s="1177" t="s">
        <v>5787</v>
      </c>
      <c r="J336" s="61"/>
      <c r="K336" s="62"/>
      <c r="L336" s="567" t="s">
        <v>5788</v>
      </c>
      <c r="M336" s="11" t="s">
        <v>5786</v>
      </c>
      <c r="N336" s="2681" cm="1" t="n">
        <f t="array" ref="N336">INDEX('5층_부하량'!F3:F3000,MATCH(1,("5-DaHall 1-PDU-13"='5층_부하량'!A3:A3000)*(2='5층_부하량'!B3:B3000),0))</f>
        <v>0.0</v>
      </c>
      <c r="O336" s="2681" cm="1" t="n">
        <f t="array" ref="O336">INDEX('5층_부하량'!G3:G3000,MATCH(1,("5-DaHall 1-PDU-13"='5층_부하량'!A3:A3000)*(2='5층_부하량'!B3:B3000),0))</f>
        <v>0.0</v>
      </c>
      <c r="P336" s="2681" cm="1" t="n">
        <f t="array" ref="P336">INDEX('5층_부하량'!H3:H3000,MATCH(1,("5-DaHall 1-PDU-13"='5층_부하량'!A3:A3000)*(2='5층_부하량'!B3:B3000),0))</f>
        <v>0.0</v>
      </c>
      <c r="Q336" s="15"/>
      <c r="R336" s="63" t="s">
        <v>4590</v>
      </c>
      <c r="S336" s="11" t="s">
        <v>4642</v>
      </c>
      <c r="T336" s="98"/>
    </row>
    <row r="337" spans="1:20" ht="16.5" x14ac:dyDescent="0.15">
      <c r="A337" s="16" t="s">
        <v>5878</v>
      </c>
      <c r="B337" s="17" t="s">
        <v>4631</v>
      </c>
      <c r="C337" s="18" t="s">
        <v>4575</v>
      </c>
      <c r="D337" s="2682" cm="1" t="n">
        <f t="array" ref="D337">INDEX('5층_부하량'!F3:F3000,MATCH(1,("5-DaHall 1-PDU-13"='5층_부하량'!A3:A3000)*(3='5층_부하량'!B3:B3000),0))</f>
        <v>6.43</v>
      </c>
      <c r="E337" s="383"/>
      <c r="F337" s="383"/>
      <c r="G337" s="19"/>
      <c r="H337" s="17" t="s">
        <v>5790</v>
      </c>
      <c r="I337" s="1207" t="s">
        <v>4638</v>
      </c>
      <c r="J337" s="1031" t="s">
        <v>5832</v>
      </c>
      <c r="K337" s="1024" t="s">
        <v>5832</v>
      </c>
      <c r="L337" s="549" t="s">
        <v>4583</v>
      </c>
      <c r="M337" s="17" t="s">
        <v>5786</v>
      </c>
      <c r="N337" s="2682" cm="1" t="n">
        <f t="array" ref="N337">INDEX('5층_부하량'!F3:F3000,MATCH(1,("5-DaHall 1-PDU-13"='5층_부하량'!A3:A3000)*(4='5층_부하량'!B3:B3000),0))</f>
        <v>0.0</v>
      </c>
      <c r="O337" s="383"/>
      <c r="P337" s="383"/>
      <c r="Q337" s="19"/>
      <c r="R337" s="67" t="s">
        <v>4631</v>
      </c>
      <c r="S337" s="18" t="s">
        <v>4575</v>
      </c>
      <c r="T337" s="68" t="s">
        <v>3097</v>
      </c>
    </row>
    <row r="338" spans="1:20" ht="16.5" x14ac:dyDescent="0.15">
      <c r="A338" s="599" t="s">
        <v>5879</v>
      </c>
      <c r="B338" s="17" t="s">
        <v>4631</v>
      </c>
      <c r="C338" s="18" t="s">
        <v>4575</v>
      </c>
      <c r="D338" s="387"/>
      <c r="E338" s="2679" cm="1" t="n">
        <f t="array" ref="E338">INDEX('5층_부하량'!G3:G3000,MATCH(1,("5-DaHall 1-PDU-13"='5층_부하량'!A3:A3000)*(5='5층_부하량'!B3:B3000),0))</f>
        <v>3.98</v>
      </c>
      <c r="F338" s="387"/>
      <c r="G338" s="21"/>
      <c r="H338" s="17" t="s">
        <v>5786</v>
      </c>
      <c r="I338" s="1207" t="s">
        <v>4641</v>
      </c>
      <c r="J338" s="1023" t="s">
        <v>5828</v>
      </c>
      <c r="K338" s="1024" t="s">
        <v>5832</v>
      </c>
      <c r="L338" s="549" t="s">
        <v>4588</v>
      </c>
      <c r="M338" s="17" t="s">
        <v>5786</v>
      </c>
      <c r="N338" s="387"/>
      <c r="O338" s="2679" cm="1" t="n">
        <f t="array" ref="O338">INDEX('5층_부하량'!G3:G3000,MATCH(1,("5-DaHall 1-PDU-13"='5층_부하량'!A3:A3000)*(6='5층_부하량'!B3:B3000),0))</f>
        <v>6.32</v>
      </c>
      <c r="P338" s="387"/>
      <c r="Q338" s="21"/>
      <c r="R338" s="69" t="s">
        <v>4631</v>
      </c>
      <c r="S338" s="18" t="s">
        <v>4575</v>
      </c>
      <c r="T338" s="70" t="s">
        <v>3104</v>
      </c>
    </row>
    <row r="339" spans="1:20" ht="16.5" x14ac:dyDescent="0.15">
      <c r="A339" s="16" t="s">
        <v>5880</v>
      </c>
      <c r="B339" s="17" t="s">
        <v>4631</v>
      </c>
      <c r="C339" s="18" t="s">
        <v>4575</v>
      </c>
      <c r="D339" s="387"/>
      <c r="E339" s="387"/>
      <c r="F339" s="2679" cm="1" t="n">
        <f t="array" ref="F339">INDEX('5층_부하량'!H3:H3000,MATCH(1,("5-DaHall 1-PDU-13"='5층_부하량'!A3:A3000)*(7='5층_부하량'!B3:B3000),0))</f>
        <v>0.73</v>
      </c>
      <c r="G339" s="21"/>
      <c r="H339" s="17" t="s">
        <v>5786</v>
      </c>
      <c r="I339" s="549" t="s">
        <v>4645</v>
      </c>
      <c r="J339" s="1031" t="s">
        <v>5832</v>
      </c>
      <c r="K339" s="1024" t="s">
        <v>5832</v>
      </c>
      <c r="L339" s="549" t="s">
        <v>4593</v>
      </c>
      <c r="M339" s="17" t="s">
        <v>5795</v>
      </c>
      <c r="N339" s="387"/>
      <c r="O339" s="387"/>
      <c r="P339" s="2679" cm="1" t="n">
        <f t="array" ref="P339">INDEX('5층_부하량'!H3:H3000,MATCH(1,("5-DaHall 1-PDU-13"='5층_부하량'!A3:A3000)*(8='5층_부하량'!B3:B3000),0))</f>
        <v>4.67</v>
      </c>
      <c r="Q339" s="21"/>
      <c r="R339" s="69" t="s">
        <v>4631</v>
      </c>
      <c r="S339" s="18" t="s">
        <v>4575</v>
      </c>
      <c r="T339" s="68" t="s">
        <v>3110</v>
      </c>
    </row>
    <row r="340" spans="1:20" ht="16.5" x14ac:dyDescent="0.15">
      <c r="A340" s="321" t="s">
        <v>5881</v>
      </c>
      <c r="B340" s="17" t="s">
        <v>4631</v>
      </c>
      <c r="C340" s="18" t="s">
        <v>4575</v>
      </c>
      <c r="D340" s="2679" cm="1" t="n">
        <f t="array" ref="D340">INDEX('5층_부하량'!F3:F3000,MATCH(1,("5-DaHall 1-PDU-13"='5층_부하량'!A3:A3000)*(9='5층_부하량'!B3:B3000),0))</f>
        <v>0.0</v>
      </c>
      <c r="E340" s="387"/>
      <c r="F340" s="387"/>
      <c r="G340" s="21"/>
      <c r="H340" s="17" t="s">
        <v>5786</v>
      </c>
      <c r="I340" s="549" t="s">
        <v>4648</v>
      </c>
      <c r="J340" s="1031" t="s">
        <v>5832</v>
      </c>
      <c r="K340" s="1024" t="s">
        <v>5832</v>
      </c>
      <c r="L340" s="549" t="s">
        <v>4596</v>
      </c>
      <c r="M340" s="17" t="s">
        <v>5795</v>
      </c>
      <c r="N340" s="2679" cm="1" t="n">
        <f t="array" ref="N340">INDEX('5층_부하량'!F3:F3000,MATCH(1,("5-DaHall 1-PDU-13"='5층_부하량'!A3:A3000)*(10='5층_부하량'!B3:B3000),0))</f>
        <v>5.99</v>
      </c>
      <c r="O340" s="387"/>
      <c r="P340" s="387"/>
      <c r="Q340" s="21"/>
      <c r="R340" s="69" t="s">
        <v>4631</v>
      </c>
      <c r="S340" s="18" t="s">
        <v>4575</v>
      </c>
      <c r="T340" s="70" t="s">
        <v>3117</v>
      </c>
    </row>
    <row r="341" spans="1:20" ht="17.25" thickBot="1" x14ac:dyDescent="0.2">
      <c r="A341" s="16" t="s">
        <v>5882</v>
      </c>
      <c r="B341" s="23" t="s">
        <v>4631</v>
      </c>
      <c r="C341" s="24" t="s">
        <v>4575</v>
      </c>
      <c r="D341" s="417"/>
      <c r="E341" s="2686" cm="1" t="n">
        <f t="array" ref="E341">INDEX('5층_부하량'!G3:G3000,MATCH(1,("5-DaHall 1-PDU-13"='5층_부하량'!A3:A3000)*(11='5층_부하량'!B3:B3000),0))</f>
        <v>3.32</v>
      </c>
      <c r="F341" s="417"/>
      <c r="G341" s="25"/>
      <c r="H341" s="23" t="s">
        <v>5883</v>
      </c>
      <c r="I341" s="555" t="s">
        <v>4653</v>
      </c>
      <c r="J341" s="1038" t="s">
        <v>5832</v>
      </c>
      <c r="K341" s="1032" t="s">
        <v>5832</v>
      </c>
      <c r="L341" s="555" t="s">
        <v>4599</v>
      </c>
      <c r="M341" s="23" t="s">
        <v>5801</v>
      </c>
      <c r="N341" s="417"/>
      <c r="O341" s="2686" cm="1" t="n">
        <f t="array" ref="O341">INDEX('5층_부하량'!G3:G3000,MATCH(1,("5-DaHall 1-PDU-13"='5층_부하량'!A3:A3000)*(12='5층_부하량'!B3:B3000),0))</f>
        <v>10.08</v>
      </c>
      <c r="P341" s="417"/>
      <c r="Q341" s="25"/>
      <c r="R341" s="108" t="s">
        <v>4631</v>
      </c>
      <c r="S341" s="24" t="s">
        <v>4575</v>
      </c>
      <c r="T341" s="104" t="s">
        <v>2542</v>
      </c>
    </row>
    <row r="342" spans="1:20" ht="17.25" thickTop="1" x14ac:dyDescent="0.15">
      <c r="A342" s="10" t="s">
        <v>3043</v>
      </c>
      <c r="B342" s="11" t="s">
        <v>4631</v>
      </c>
      <c r="C342" s="97" t="s">
        <v>4575</v>
      </c>
      <c r="D342" s="401"/>
      <c r="E342" s="401"/>
      <c r="F342" s="2678" cm="1" t="n">
        <f t="array" ref="F342">INDEX('5층_부하량'!H3:H3000,MATCH(1,("5-DaHall 1-PDU-13"='5층_부하량'!A3:A3000)*(13='5층_부하량'!B3:B3000),0))</f>
        <v>2.6</v>
      </c>
      <c r="G342" s="105"/>
      <c r="H342" s="11" t="s">
        <v>5811</v>
      </c>
      <c r="I342" s="548" t="s">
        <v>4657</v>
      </c>
      <c r="J342" s="1026" t="s">
        <v>5832</v>
      </c>
      <c r="K342" s="1030" t="s">
        <v>5832</v>
      </c>
      <c r="L342" s="548" t="s">
        <v>4601</v>
      </c>
      <c r="M342" s="11" t="s">
        <v>5801</v>
      </c>
      <c r="N342" s="401"/>
      <c r="O342" s="401"/>
      <c r="P342" s="2678" cm="1" t="n">
        <f t="array" ref="P342">INDEX('5층_부하량'!H3:H3000,MATCH(1,("5-DaHall 1-PDU-13"='5층_부하량'!A3:A3000)*(14='5층_부하량'!B3:B3000),0))</f>
        <v>0.0</v>
      </c>
      <c r="Q342" s="105"/>
      <c r="R342" s="106" t="s">
        <v>4631</v>
      </c>
      <c r="S342" s="97" t="s">
        <v>4575</v>
      </c>
      <c r="T342" s="101" t="s">
        <v>2548</v>
      </c>
    </row>
    <row r="343" spans="1:20" ht="16.5" x14ac:dyDescent="0.15">
      <c r="A343" s="665" t="s">
        <v>5884</v>
      </c>
      <c r="B343" s="72" t="s">
        <v>4631</v>
      </c>
      <c r="C343" s="73" t="s">
        <v>4575</v>
      </c>
      <c r="D343" s="2687" cm="1" t="n">
        <f t="array" ref="D343">INDEX('5층_부하량'!F3:F3000,MATCH(1,("5-DaHall 1-PDU-13"='5층_부하량'!A3:A3000)*(15='5층_부하량'!B3:B3000),0))</f>
        <v>0.0</v>
      </c>
      <c r="E343" s="426"/>
      <c r="F343" s="426"/>
      <c r="G343" s="74"/>
      <c r="H343" s="72" t="s">
        <v>5801</v>
      </c>
      <c r="I343" s="550" t="s">
        <v>4661</v>
      </c>
      <c r="J343" s="1023" t="s">
        <v>5828</v>
      </c>
      <c r="K343" s="1039" t="s">
        <v>5828</v>
      </c>
      <c r="L343" s="550" t="s">
        <v>4603</v>
      </c>
      <c r="M343" s="72" t="s">
        <v>5801</v>
      </c>
      <c r="N343" s="2687" cm="1" t="n">
        <f t="array" ref="N343">INDEX('5층_부하량'!F3:F3000,MATCH(1,("5-DaHall 1-PDU-13"='5층_부하량'!A3:A3000)*(16='5층_부하량'!B3:B3000),0))</f>
        <v>3.95</v>
      </c>
      <c r="O343" s="426"/>
      <c r="P343" s="426"/>
      <c r="Q343" s="74"/>
      <c r="R343" s="75" t="s">
        <v>4631</v>
      </c>
      <c r="S343" s="73" t="s">
        <v>4575</v>
      </c>
      <c r="T343" s="666" t="s">
        <v>5885</v>
      </c>
    </row>
    <row r="344" spans="1:20" ht="16.5" x14ac:dyDescent="0.15">
      <c r="A344" s="321" t="s">
        <v>5886</v>
      </c>
      <c r="B344" s="17" t="s">
        <v>4631</v>
      </c>
      <c r="C344" s="18" t="s">
        <v>4575</v>
      </c>
      <c r="D344" s="387"/>
      <c r="E344" s="2679" cm="1" t="n">
        <f t="array" ref="E344">INDEX('5층_부하량'!G3:G3000,MATCH(1,("5-DaHall 1-PDU-13"='5층_부하량'!A3:A3000)*(17='5층_부하량'!B3:B3000),0))</f>
        <v>0.0</v>
      </c>
      <c r="F344" s="387"/>
      <c r="G344" s="21"/>
      <c r="H344" s="17" t="s">
        <v>5801</v>
      </c>
      <c r="I344" s="549" t="s">
        <v>4665</v>
      </c>
      <c r="J344" s="1031" t="s">
        <v>5832</v>
      </c>
      <c r="K344" s="1024" t="s">
        <v>5832</v>
      </c>
      <c r="L344" s="549" t="s">
        <v>4605</v>
      </c>
      <c r="M344" s="17" t="s">
        <v>5801</v>
      </c>
      <c r="N344" s="387"/>
      <c r="O344" s="2679" cm="1" t="n">
        <f t="array" ref="O344">INDEX('5층_부하량'!G3:G3000,MATCH(1,("5-DaHall 1-PDU-13"='5층_부하량'!A3:A3000)*(18='5층_부하량'!B3:B3000),0))</f>
        <v>0.0</v>
      </c>
      <c r="P344" s="387"/>
      <c r="Q344" s="21"/>
      <c r="R344" s="69" t="s">
        <v>4631</v>
      </c>
      <c r="S344" s="1442" t="s">
        <v>4723</v>
      </c>
      <c r="T344" s="70" t="s">
        <v>5387</v>
      </c>
    </row>
    <row r="345" spans="1:20" ht="16.5" x14ac:dyDescent="0.15">
      <c r="A345" s="99" t="s">
        <v>3065</v>
      </c>
      <c r="B345" s="17" t="s">
        <v>4631</v>
      </c>
      <c r="C345" s="18" t="s">
        <v>4575</v>
      </c>
      <c r="D345" s="387"/>
      <c r="E345" s="387"/>
      <c r="F345" s="2679" cm="1" t="n">
        <f t="array" ref="F345">INDEX('5층_부하량'!H3:H3000,MATCH(1,("5-DaHall 1-PDU-13"='5층_부하량'!A3:A3000)*(19='5층_부하량'!B3:B3000),0))</f>
        <v>6.36</v>
      </c>
      <c r="G345" s="21"/>
      <c r="H345" s="17" t="s">
        <v>5811</v>
      </c>
      <c r="I345" s="549" t="s">
        <v>4670</v>
      </c>
      <c r="J345" s="1031" t="s">
        <v>5832</v>
      </c>
      <c r="K345" s="1024" t="s">
        <v>5832</v>
      </c>
      <c r="L345" s="549" t="s">
        <v>4609</v>
      </c>
      <c r="M345" s="17" t="s">
        <v>5811</v>
      </c>
      <c r="N345" s="387"/>
      <c r="O345" s="387"/>
      <c r="P345" s="2679" cm="1" t="n">
        <f t="array" ref="P345">INDEX('5층_부하량'!H3:H3000,MATCH(1,("5-DaHall 1-PDU-13"='5층_부하량'!A3:A3000)*(20='5층_부하량'!B3:B3000),0))</f>
        <v>4.4</v>
      </c>
      <c r="Q345" s="21"/>
      <c r="R345" s="69" t="s">
        <v>4631</v>
      </c>
      <c r="S345" s="1442" t="s">
        <v>4723</v>
      </c>
      <c r="T345" s="70" t="s">
        <v>5389</v>
      </c>
    </row>
    <row r="346" spans="1:20" ht="16.5" x14ac:dyDescent="0.15">
      <c r="A346" s="321" t="s">
        <v>3074</v>
      </c>
      <c r="B346" s="17" t="s">
        <v>4631</v>
      </c>
      <c r="C346" s="18" t="s">
        <v>4575</v>
      </c>
      <c r="D346" s="2679" cm="1" t="n">
        <f t="array" ref="D346">INDEX('5층_부하량'!F3:F3000,MATCH(1,("5-DaHall 1-PDU-13"='5층_부하량'!A3:A3000)*(21='5층_부하량'!B3:B3000),0))</f>
        <v>3.33</v>
      </c>
      <c r="E346" s="387"/>
      <c r="F346" s="387"/>
      <c r="G346" s="21"/>
      <c r="H346" s="17" t="s">
        <v>5811</v>
      </c>
      <c r="I346" s="549" t="s">
        <v>4674</v>
      </c>
      <c r="J346" s="1031" t="s">
        <v>5832</v>
      </c>
      <c r="K346" s="1024" t="s">
        <v>5832</v>
      </c>
      <c r="L346" s="549" t="s">
        <v>4613</v>
      </c>
      <c r="M346" s="17" t="s">
        <v>5811</v>
      </c>
      <c r="N346" s="2679" cm="1" t="n">
        <f t="array" ref="N346">INDEX('5층_부하량'!F3:F3000,MATCH(1,("5-DaHall 1-PDU-13"='5층_부하량'!A3:A3000)*(22='5층_부하량'!B3:B3000),0))</f>
        <v>0.0</v>
      </c>
      <c r="O346" s="387"/>
      <c r="P346" s="387"/>
      <c r="Q346" s="21"/>
      <c r="R346" s="69" t="s">
        <v>4631</v>
      </c>
      <c r="S346" s="1442" t="s">
        <v>4723</v>
      </c>
      <c r="T346" s="70" t="s">
        <v>5391</v>
      </c>
    </row>
    <row r="347" spans="1:20" ht="16.5" x14ac:dyDescent="0.15">
      <c r="A347" s="99" t="s">
        <v>3079</v>
      </c>
      <c r="B347" s="17" t="s">
        <v>4631</v>
      </c>
      <c r="C347" s="18" t="s">
        <v>4575</v>
      </c>
      <c r="D347" s="387"/>
      <c r="E347" s="2679" cm="1" t="n">
        <f t="array" ref="E347">INDEX('5층_부하량'!G3:G3000,MATCH(1,("5-DaHall 1-PDU-13"='5층_부하량'!A3:A3000)*(23='5층_부하량'!B3:B3000),0))</f>
        <v>10.11</v>
      </c>
      <c r="F347" s="387"/>
      <c r="G347" s="21"/>
      <c r="H347" s="17" t="s">
        <v>5811</v>
      </c>
      <c r="I347" s="549" t="s">
        <v>4678</v>
      </c>
      <c r="J347" s="1031" t="s">
        <v>5832</v>
      </c>
      <c r="K347" s="1024" t="s">
        <v>5832</v>
      </c>
      <c r="L347" s="549" t="s">
        <v>4680</v>
      </c>
      <c r="M347" s="17" t="s">
        <v>5811</v>
      </c>
      <c r="N347" s="387"/>
      <c r="O347" s="2679" cm="1" t="n">
        <f t="array" ref="O347">INDEX('5층_부하량'!G3:G3000,MATCH(1,("5-DaHall 1-PDU-13"='5층_부하량'!A3:A3000)*(24='5층_부하량'!B3:B3000),0))</f>
        <v>3.96</v>
      </c>
      <c r="P347" s="387"/>
      <c r="Q347" s="21"/>
      <c r="R347" s="69" t="s">
        <v>4631</v>
      </c>
      <c r="S347" s="1442" t="s">
        <v>4723</v>
      </c>
      <c r="T347" s="70" t="s">
        <v>3145</v>
      </c>
    </row>
    <row r="348" spans="1:20" ht="16.5" x14ac:dyDescent="0.15">
      <c r="A348" s="321" t="s">
        <v>3087</v>
      </c>
      <c r="B348" s="17" t="s">
        <v>4631</v>
      </c>
      <c r="C348" s="18" t="s">
        <v>4575</v>
      </c>
      <c r="D348" s="387"/>
      <c r="E348" s="387"/>
      <c r="F348" s="2679" cm="1" t="n">
        <f t="array" ref="F348">INDEX('5층_부하량'!H3:H3000,MATCH(1,("5-DaHall 1-PDU-13"='5층_부하량'!A3:A3000)*(25='5층_부하량'!B3:B3000),0))</f>
        <v>2.57</v>
      </c>
      <c r="G348" s="21"/>
      <c r="H348" s="17" t="s">
        <v>5811</v>
      </c>
      <c r="I348" s="549" t="s">
        <v>4683</v>
      </c>
      <c r="J348" s="1031" t="s">
        <v>5832</v>
      </c>
      <c r="K348" s="1024" t="s">
        <v>5832</v>
      </c>
      <c r="L348" s="549" t="s">
        <v>4685</v>
      </c>
      <c r="M348" s="17" t="s">
        <v>5811</v>
      </c>
      <c r="N348" s="387"/>
      <c r="O348" s="387"/>
      <c r="P348" s="2679" cm="1" t="n">
        <f t="array" ref="P348">INDEX('5층_부하량'!H3:H3000,MATCH(1,("5-DaHall 1-PDU-13"='5층_부하량'!A3:A3000)*(26='5층_부하량'!B3:B3000),0))</f>
        <v>2.1</v>
      </c>
      <c r="Q348" s="21"/>
      <c r="R348" s="69" t="s">
        <v>4631</v>
      </c>
      <c r="S348" s="18" t="s">
        <v>4575</v>
      </c>
      <c r="T348" s="70" t="s">
        <v>5887</v>
      </c>
    </row>
    <row r="349" spans="1:20" ht="16.5" x14ac:dyDescent="0.15">
      <c r="A349" s="99" t="s">
        <v>5374</v>
      </c>
      <c r="B349" s="17" t="s">
        <v>4631</v>
      </c>
      <c r="C349" s="18" t="s">
        <v>4575</v>
      </c>
      <c r="D349" s="2679" cm="1" t="n">
        <f t="array" ref="D349">INDEX('5층_부하량'!F3:F3000,MATCH(1,("5-DaHall 1-PDU-13"='5층_부하량'!A3:A3000)*(27='5층_부하량'!B3:B3000),0))</f>
        <v>0.0</v>
      </c>
      <c r="E349" s="387"/>
      <c r="F349" s="387"/>
      <c r="G349" s="21"/>
      <c r="H349" s="17" t="s">
        <v>5811</v>
      </c>
      <c r="I349" s="549" t="s">
        <v>4688</v>
      </c>
      <c r="J349" s="1031" t="s">
        <v>5832</v>
      </c>
      <c r="K349" s="1024" t="s">
        <v>5832</v>
      </c>
      <c r="L349" s="549" t="s">
        <v>4689</v>
      </c>
      <c r="M349" s="17" t="s">
        <v>5811</v>
      </c>
      <c r="N349" s="2679" cm="1" t="n">
        <f t="array" ref="N349">INDEX('5층_부하량'!F3:F3000,MATCH(1,("5-DaHall 1-PDU-13"='5층_부하량'!A3:A3000)*(28='5층_부하량'!B3:B3000),0))</f>
        <v>0.0</v>
      </c>
      <c r="O349" s="387"/>
      <c r="P349" s="387"/>
      <c r="Q349" s="21"/>
      <c r="R349" s="69" t="s">
        <v>4631</v>
      </c>
      <c r="S349" s="1442" t="s">
        <v>4723</v>
      </c>
      <c r="T349" s="70" t="s">
        <v>5888</v>
      </c>
    </row>
    <row r="350" spans="1:20" ht="16.5" x14ac:dyDescent="0.15">
      <c r="A350" s="321" t="s">
        <v>5375</v>
      </c>
      <c r="B350" s="17" t="s">
        <v>4631</v>
      </c>
      <c r="C350" s="18" t="s">
        <v>4575</v>
      </c>
      <c r="D350" s="387"/>
      <c r="E350" s="2679" cm="1" t="n">
        <f t="array" ref="E350">INDEX('5층_부하량'!G3:G3000,MATCH(1,("5-DaHall 1-PDU-13"='5층_부하량'!A3:A3000)*(29='5층_부하량'!B3:B3000),0))</f>
        <v>2.05</v>
      </c>
      <c r="F350" s="387"/>
      <c r="G350" s="21"/>
      <c r="H350" s="17" t="s">
        <v>5811</v>
      </c>
      <c r="I350" s="549" t="s">
        <v>4691</v>
      </c>
      <c r="J350" s="1031" t="s">
        <v>5832</v>
      </c>
      <c r="K350" s="1024" t="s">
        <v>5832</v>
      </c>
      <c r="L350" s="549" t="s">
        <v>4692</v>
      </c>
      <c r="M350" s="17" t="s">
        <v>5811</v>
      </c>
      <c r="N350" s="387"/>
      <c r="O350" s="2679" cm="1" t="n">
        <f t="array" ref="O350">INDEX('5층_부하량'!G3:G3000,MATCH(1,("5-DaHall 1-PDU-13"='5층_부하량'!A3:A3000)*(30='5층_부하량'!B3:B3000),0))</f>
        <v>0.0</v>
      </c>
      <c r="P350" s="387"/>
      <c r="Q350" s="21"/>
      <c r="R350" s="69" t="s">
        <v>4631</v>
      </c>
      <c r="S350" s="1442" t="s">
        <v>4723</v>
      </c>
      <c r="T350" s="70" t="s">
        <v>5889</v>
      </c>
    </row>
    <row r="351" spans="1:20" ht="17.25" thickBot="1" x14ac:dyDescent="0.2">
      <c r="A351" s="38" t="s">
        <v>5377</v>
      </c>
      <c r="B351" s="35" t="s">
        <v>4631</v>
      </c>
      <c r="C351" s="39" t="s">
        <v>4575</v>
      </c>
      <c r="D351" s="433"/>
      <c r="E351" s="433"/>
      <c r="F351" s="2680" cm="1" t="n">
        <f t="array" ref="F351">INDEX('5층_부하량'!H3:H3000,MATCH(1,("5-DaHall 1-PDU-13"='5층_부하량'!A3:A3000)*(31='5층_부하량'!B3:B3000),0))</f>
        <v>0.0</v>
      </c>
      <c r="G351" s="36"/>
      <c r="H351" s="35" t="s">
        <v>5811</v>
      </c>
      <c r="I351" s="551" t="s">
        <v>4693</v>
      </c>
      <c r="J351" s="1036" t="s">
        <v>5832</v>
      </c>
      <c r="K351" s="1037" t="s">
        <v>5832</v>
      </c>
      <c r="L351" s="551" t="s">
        <v>4694</v>
      </c>
      <c r="M351" s="35" t="s">
        <v>5811</v>
      </c>
      <c r="N351" s="433"/>
      <c r="O351" s="433"/>
      <c r="P351" s="2680" cm="1" t="n">
        <f t="array" ref="P351">INDEX('5층_부하량'!H3:H3000,MATCH(1,("5-DaHall 1-PDU-13"='5층_부하량'!A3:A3000)*(32='5층_부하량'!B3:B3000),0))</f>
        <v>0.0</v>
      </c>
      <c r="Q351" s="36"/>
      <c r="R351" s="78" t="s">
        <v>4631</v>
      </c>
      <c r="S351" s="39" t="s">
        <v>4575</v>
      </c>
      <c r="T351" s="122" t="s">
        <v>5890</v>
      </c>
    </row>
    <row r="352" spans="1:20" ht="15" thickTop="1" thickBot="1" x14ac:dyDescent="0.2">
      <c r="M352" s="80" t="s">
        <v>5645</v>
      </c>
      <c r="N352" s="33" t="n">
        <f>SUM(D336:D351,N336:N351)</f>
        <v>19.7</v>
      </c>
      <c r="O352" s="33" t="n">
        <f>SUM(E336:E351,O336:O351)</f>
        <v>39.82</v>
      </c>
      <c r="P352" s="33" t="n">
        <f>SUM(F336:F351,P336:P351)</f>
        <v>23.43</v>
      </c>
    </row>
    <row r="353" spans="1:20" s="356" customFormat="1" ht="20.25" thickTop="1" thickBot="1" x14ac:dyDescent="0.2">
      <c r="A353" s="355" t="s">
        <v>6957</v>
      </c>
      <c r="C353" s="3660" t="s">
        <v>5891</v>
      </c>
      <c r="D353" s="3660"/>
      <c r="E353" s="3660"/>
      <c r="F353" s="3660"/>
      <c r="G353" s="357"/>
      <c r="H353" s="358"/>
      <c r="I353" s="358"/>
      <c r="J353" s="3668" t="s">
        <v>4715</v>
      </c>
      <c r="K353" s="3669"/>
      <c r="L353" s="2442"/>
      <c r="M353" s="358"/>
      <c r="N353" s="357"/>
      <c r="O353" s="357"/>
      <c r="P353" s="357"/>
      <c r="Q353" s="357"/>
      <c r="R353" s="357"/>
      <c r="S353" s="357"/>
    </row>
    <row r="354" spans="1:20" s="356" customFormat="1" ht="15" customHeight="1" thickTop="1" thickBot="1" x14ac:dyDescent="0.2">
      <c r="A354" s="3"/>
      <c r="B354"/>
      <c r="C354"/>
      <c r="D354" s="54"/>
      <c r="E354" s="54"/>
      <c r="F354" s="54"/>
      <c r="G354" s="54"/>
      <c r="H354" s="4"/>
      <c r="I354" s="4"/>
      <c r="J354"/>
      <c r="K354" s="56"/>
      <c r="L354" s="565"/>
      <c r="M354" s="1371" t="s">
        <v>4562</v>
      </c>
      <c r="N354" s="1368">
        <v>19.100000000000001</v>
      </c>
      <c r="O354" s="1369">
        <v>6.2</v>
      </c>
      <c r="P354" s="1370">
        <v>14.5</v>
      </c>
      <c r="Q354" s="508" t="s">
        <v>4563</v>
      </c>
      <c r="R354" s="133"/>
      <c r="S354" s="128"/>
      <c r="T354" s="528"/>
    </row>
    <row r="355" spans="1:20" s="356" customFormat="1" ht="18" thickTop="1" thickBot="1" x14ac:dyDescent="0.2">
      <c r="A355" s="1306" t="s">
        <v>4564</v>
      </c>
      <c r="B355" s="365" t="s">
        <v>4565</v>
      </c>
      <c r="C355" s="366" t="s">
        <v>4566</v>
      </c>
      <c r="D355" s="365" t="s">
        <v>4567</v>
      </c>
      <c r="E355" s="365" t="s">
        <v>4568</v>
      </c>
      <c r="F355" s="365" t="s">
        <v>4569</v>
      </c>
      <c r="G355" s="365" t="s">
        <v>4570</v>
      </c>
      <c r="H355" s="367" t="s">
        <v>4571</v>
      </c>
      <c r="I355" s="557"/>
      <c r="J355" s="368" t="s">
        <v>4572</v>
      </c>
      <c r="K355" s="369" t="s">
        <v>4572</v>
      </c>
      <c r="L355" s="575"/>
      <c r="M355" s="367" t="s">
        <v>4571</v>
      </c>
      <c r="N355" s="365" t="s">
        <v>4567</v>
      </c>
      <c r="O355" s="365" t="s">
        <v>4568</v>
      </c>
      <c r="P355" s="365" t="s">
        <v>4569</v>
      </c>
      <c r="Q355" s="365" t="s">
        <v>4570</v>
      </c>
      <c r="R355" s="365" t="s">
        <v>4565</v>
      </c>
      <c r="S355" s="366" t="s">
        <v>4566</v>
      </c>
      <c r="T355" s="370" t="s">
        <v>4564</v>
      </c>
    </row>
    <row r="356" spans="1:20" s="356" customFormat="1" ht="17.25" thickTop="1" x14ac:dyDescent="0.15">
      <c r="A356" s="1307" t="s">
        <v>5892</v>
      </c>
      <c r="B356" s="372" t="s">
        <v>4635</v>
      </c>
      <c r="C356" s="389" t="s">
        <v>4575</v>
      </c>
      <c r="D356" s="2681" cm="1" t="n">
        <f t="array" ref="D356">INDEX('5층_부하량'!F3:F3000,MATCH(1,("5-DaHall 1-PDU-15"='5층_부하량'!A3:A3000)*(1='5층_부하량'!B3:B3000),0))</f>
        <v>6.1</v>
      </c>
      <c r="E356" s="2681" cm="1" t="n">
        <f t="array" ref="E356">INDEX('5층_부하량'!G3:G3000,MATCH(1,("5-DaHall 1-PDU-15"='5층_부하량'!A3:A3000)*(1='5층_부하량'!B3:B3000),0))</f>
        <v>1.29</v>
      </c>
      <c r="F356" s="2681" cm="1" t="n">
        <f t="array" ref="F356">INDEX('5층_부하량'!H3:H3000,MATCH(1,("5-DaHall 1-PDU-15"='5층_부하량'!A3:A3000)*(1='5층_부하량'!B3:B3000),0))</f>
        <v>8.28</v>
      </c>
      <c r="G356" s="377"/>
      <c r="H356" s="373" t="s">
        <v>5893</v>
      </c>
      <c r="I356" s="2443" t="s">
        <v>5894</v>
      </c>
      <c r="J356" s="1040" t="s">
        <v>3877</v>
      </c>
      <c r="K356" s="1041" t="s">
        <v>5895</v>
      </c>
      <c r="L356" s="1178" t="s">
        <v>5896</v>
      </c>
      <c r="M356" s="372" t="s">
        <v>5893</v>
      </c>
      <c r="N356" s="2681" cm="1" t="n">
        <f t="array" ref="N356">INDEX('5층_부하량'!F3:F3000,MATCH(1,("5-DaHall 1-PDU-15"='5층_부하량'!A3:A3000)*(2='5층_부하량'!B3:B3000),0))</f>
        <v>3.43</v>
      </c>
      <c r="O356" s="2681" cm="1" t="n">
        <f t="array" ref="O356">INDEX('5층_부하량'!G3:G3000,MATCH(1,("5-DaHall 1-PDU-15"='5층_부하량'!A3:A3000)*(2='5층_부하량'!B3:B3000),0))</f>
        <v>2.84</v>
      </c>
      <c r="P356" s="2681" cm="1" t="n">
        <f t="array" ref="P356">INDEX('5층_부하량'!H3:H3000,MATCH(1,("5-DaHall 1-PDU-15"='5층_부하량'!A3:A3000)*(2='5층_부하량'!B3:B3000),0))</f>
        <v>6.34</v>
      </c>
      <c r="Q356" s="377"/>
      <c r="R356" s="378" t="s">
        <v>4631</v>
      </c>
      <c r="S356" s="379" t="s">
        <v>4575</v>
      </c>
      <c r="T356" s="380" t="s">
        <v>5897</v>
      </c>
    </row>
    <row r="357" spans="1:20" s="356" customFormat="1" ht="16.5" x14ac:dyDescent="0.15">
      <c r="A357" s="1308"/>
      <c r="B357" s="382" t="s">
        <v>4590</v>
      </c>
      <c r="C357" s="382" t="s">
        <v>4642</v>
      </c>
      <c r="D357" s="2682" cm="1" t="n">
        <f t="array" ref="D357">INDEX('5층_부하량'!F3:F3000,MATCH(1,("5-DaHall 1-PDU-15"='5층_부하량'!A3:A3000)*(3='5층_부하량'!B3:B3000),0))</f>
        <v>0.0</v>
      </c>
      <c r="E357" s="2682" cm="1" t="n">
        <f t="array" ref="E357">INDEX('5층_부하량'!G3:G3000,MATCH(1,("5-DaHall 1-PDU-15"='5층_부하량'!A3:A3000)*(3='5층_부하량'!B3:B3000),0))</f>
        <v>0.0</v>
      </c>
      <c r="F357" s="2682" cm="1" t="n">
        <f t="array" ref="F357">INDEX('5층_부하량'!H3:H3000,MATCH(1,("5-DaHall 1-PDU-15"='5층_부하량'!A3:A3000)*(3='5층_부하량'!B3:B3000),0))</f>
        <v>0.0</v>
      </c>
      <c r="G357" s="383"/>
      <c r="H357" s="382" t="s">
        <v>5898</v>
      </c>
      <c r="I357" s="2444" t="s">
        <v>5899</v>
      </c>
      <c r="J357" s="1042"/>
      <c r="K357" s="1043" t="s">
        <v>5900</v>
      </c>
      <c r="L357" s="1179" t="s">
        <v>5901</v>
      </c>
      <c r="M357" s="382" t="s">
        <v>5893</v>
      </c>
      <c r="N357" s="2682" cm="1" t="n">
        <f t="array" ref="N357">INDEX('5층_부하량'!F3:F3000,MATCH(1,("5-DaHall 1-PDU-15"='5층_부하량'!A3:A3000)*(4='5층_부하량'!B3:B3000),0))</f>
        <v>0.0</v>
      </c>
      <c r="O357" s="2682" cm="1" t="n">
        <f t="array" ref="O357">INDEX('5층_부하량'!G3:G3000,MATCH(1,("5-DaHall 1-PDU-15"='5층_부하량'!A3:A3000)*(4='5층_부하량'!B3:B3000),0))</f>
        <v>0.0</v>
      </c>
      <c r="P357" s="2682" cm="1" t="n">
        <f t="array" ref="P357">INDEX('5층_부하량'!H3:H3000,MATCH(1,("5-DaHall 1-PDU-15"='5층_부하량'!A3:A3000)*(4='5층_부하량'!B3:B3000),0))</f>
        <v>0.0</v>
      </c>
      <c r="Q357" s="387"/>
      <c r="R357" s="394" t="s">
        <v>4590</v>
      </c>
      <c r="S357" s="382" t="s">
        <v>4642</v>
      </c>
      <c r="T357" s="390" t="s">
        <v>5902</v>
      </c>
    </row>
    <row r="358" spans="1:20" s="356" customFormat="1" ht="16.5" x14ac:dyDescent="0.15">
      <c r="A358" s="443" t="s">
        <v>5903</v>
      </c>
      <c r="B358" s="382" t="s">
        <v>4631</v>
      </c>
      <c r="C358" s="382" t="s">
        <v>4642</v>
      </c>
      <c r="D358" s="2679" cm="1" t="n">
        <f t="array" ref="D358">INDEX('5층_부하량'!F3:F3000,MATCH(1,("5-DaHall 1-PDU-15"='5층_부하량'!A3:A3000)*(5='5층_부하량'!B3:B3000),0))</f>
        <v>0.0</v>
      </c>
      <c r="E358" s="2679" cm="1" t="n">
        <f t="array" ref="E358">INDEX('5층_부하량'!G3:G3000,MATCH(1,("5-DaHall 1-PDU-15"='5층_부하량'!A3:A3000)*(5='5층_부하량'!B3:B3000),0))</f>
        <v>0.0</v>
      </c>
      <c r="F358" s="2679" cm="1" t="n">
        <f t="array" ref="F358">INDEX('5층_부하량'!H3:H3000,MATCH(1,("5-DaHall 1-PDU-15"='5층_부하량'!A3:A3000)*(5='5층_부하량'!B3:B3000),0))</f>
        <v>0.0</v>
      </c>
      <c r="G358" s="387"/>
      <c r="H358" s="382" t="s">
        <v>5786</v>
      </c>
      <c r="I358" s="2444" t="s">
        <v>5904</v>
      </c>
      <c r="J358" s="1044"/>
      <c r="K358" s="1045"/>
      <c r="L358" s="1180" t="s">
        <v>5905</v>
      </c>
      <c r="M358" s="382" t="s">
        <v>5786</v>
      </c>
      <c r="N358" s="2679" cm="1" t="n">
        <f t="array" ref="N358">INDEX('5층_부하량'!F3:F3000,MATCH(1,("5-DaHall 1-PDU-15"='5층_부하량'!A3:A3000)*(6='5층_부하량'!B3:B3000),0))</f>
        <v>0.0</v>
      </c>
      <c r="O358" s="2679" cm="1" t="n">
        <f t="array" ref="O358">INDEX('5층_부하량'!G3:G3000,MATCH(1,("5-DaHall 1-PDU-15"='5층_부하량'!A3:A3000)*(6='5층_부하량'!B3:B3000),0))</f>
        <v>0.0</v>
      </c>
      <c r="P358" s="2679" cm="1" t="n">
        <f t="array" ref="P358">INDEX('5층_부하량'!H3:H3000,MATCH(1,("5-DaHall 1-PDU-15"='5층_부하량'!A3:A3000)*(6='5층_부하량'!B3:B3000),0))</f>
        <v>0.0</v>
      </c>
      <c r="Q358" s="387"/>
      <c r="R358" s="394" t="s">
        <v>4590</v>
      </c>
      <c r="S358" s="382" t="s">
        <v>4642</v>
      </c>
      <c r="T358" s="395" t="s">
        <v>5906</v>
      </c>
    </row>
    <row r="359" spans="1:20" s="356" customFormat="1" ht="16.5" x14ac:dyDescent="0.15">
      <c r="A359" s="1309" t="s">
        <v>5907</v>
      </c>
      <c r="B359" s="382" t="s">
        <v>4631</v>
      </c>
      <c r="C359" s="389" t="s">
        <v>4575</v>
      </c>
      <c r="D359" s="2679" cm="1" t="n">
        <f t="array" ref="D359">INDEX('5층_부하량'!F3:F3000,MATCH(1,("5-DaHall 1-PDU-15"='5층_부하량'!A3:A3000)*(7='5층_부하량'!B3:B3000),0))</f>
        <v>3.98</v>
      </c>
      <c r="E359" s="387"/>
      <c r="F359" s="387"/>
      <c r="G359" s="387"/>
      <c r="H359" s="382" t="s">
        <v>5786</v>
      </c>
      <c r="I359" s="1211" t="s">
        <v>4645</v>
      </c>
      <c r="J359" s="1044" t="s">
        <v>2955</v>
      </c>
      <c r="K359" s="1045"/>
      <c r="L359" s="578" t="s">
        <v>4593</v>
      </c>
      <c r="M359" s="382" t="s">
        <v>5795</v>
      </c>
      <c r="N359" s="2679" cm="1" t="n">
        <f t="array" ref="N359">INDEX('5층_부하량'!F3:F3000,MATCH(1,("5-DaHall 1-PDU-15"='5층_부하량'!A3:A3000)*(8='5층_부하량'!B3:B3000),0))</f>
        <v>4.36</v>
      </c>
      <c r="O359" s="387"/>
      <c r="P359" s="387"/>
      <c r="Q359" s="387"/>
      <c r="R359" s="382" t="s">
        <v>4579</v>
      </c>
      <c r="S359" s="389" t="s">
        <v>4575</v>
      </c>
      <c r="T359" s="666" t="s">
        <v>5908</v>
      </c>
    </row>
    <row r="360" spans="1:20" s="356" customFormat="1" ht="17.25" thickBot="1" x14ac:dyDescent="0.2">
      <c r="A360" s="1310" t="s">
        <v>5909</v>
      </c>
      <c r="B360" s="88" t="s">
        <v>4631</v>
      </c>
      <c r="C360" s="89" t="s">
        <v>4575</v>
      </c>
      <c r="D360" s="398"/>
      <c r="E360" s="2673" cm="1" t="n">
        <f t="array" ref="E360">INDEX('5층_부하량'!G3:G3000,MATCH(1,("5-DaHall 1-PDU-15"='5층_부하량'!A3:A3000)*(9='5층_부하량'!B3:B3000),0))</f>
        <v>1.77</v>
      </c>
      <c r="F360" s="398"/>
      <c r="G360" s="398"/>
      <c r="H360" s="397" t="s">
        <v>5786</v>
      </c>
      <c r="I360" s="1218" t="s">
        <v>4648</v>
      </c>
      <c r="J360" s="1044" t="s">
        <v>2955</v>
      </c>
      <c r="K360" s="1046"/>
      <c r="L360" s="579" t="s">
        <v>4596</v>
      </c>
      <c r="M360" s="397" t="s">
        <v>5795</v>
      </c>
      <c r="N360" s="398"/>
      <c r="O360" s="2673" cm="1" t="n">
        <f t="array" ref="O360">INDEX('5층_부하량'!G3:G3000,MATCH(1,("5-DaHall 1-PDU-15"='5층_부하량'!A3:A3000)*(10='5층_부하량'!B3:B3000),0))</f>
        <v>9.05</v>
      </c>
      <c r="P360" s="398"/>
      <c r="Q360" s="398"/>
      <c r="R360" s="88" t="s">
        <v>4579</v>
      </c>
      <c r="S360" s="88" t="s">
        <v>4584</v>
      </c>
      <c r="T360" s="400" t="s">
        <v>5910</v>
      </c>
    </row>
    <row r="361" spans="1:20" s="356" customFormat="1" ht="17.25" thickTop="1" x14ac:dyDescent="0.15">
      <c r="A361" s="2407" t="s">
        <v>5911</v>
      </c>
      <c r="B361" s="2405" t="s">
        <v>4635</v>
      </c>
      <c r="C361" s="389" t="s">
        <v>4575</v>
      </c>
      <c r="D361" s="401"/>
      <c r="E361" s="401"/>
      <c r="F361" s="2683" cm="1" t="n">
        <f t="array" ref="F361">INDEX('5층_부하량'!H3:H3000,MATCH(1,("5-DaHall 1-PDU-15"='5층_부하량'!A3:A3000)*(11='5층_부하량'!B3:B3000),0))</f>
        <v>0.22</v>
      </c>
      <c r="G361" s="401"/>
      <c r="H361" s="372" t="s">
        <v>5786</v>
      </c>
      <c r="I361" s="559" t="s">
        <v>4653</v>
      </c>
      <c r="J361" s="1047"/>
      <c r="K361" s="1048" t="s">
        <v>5912</v>
      </c>
      <c r="L361" s="580" t="s">
        <v>4599</v>
      </c>
      <c r="M361" s="372" t="s">
        <v>5790</v>
      </c>
      <c r="N361" s="401"/>
      <c r="O361" s="401"/>
      <c r="P361" s="2683" cm="1" t="n">
        <f t="array" ref="P361">INDEX('5층_부하량'!H3:H3000,MATCH(1,("5-DaHall 1-PDU-15"='5층_부하량'!A3:A3000)*(12='5층_부하량'!B3:B3000),0))</f>
        <v>2.37</v>
      </c>
      <c r="Q361" s="401"/>
      <c r="R361" s="402" t="s">
        <v>4635</v>
      </c>
      <c r="S361" s="389" t="s">
        <v>4575</v>
      </c>
      <c r="T361" s="987" t="s">
        <v>5913</v>
      </c>
    </row>
    <row r="362" spans="1:20" s="356" customFormat="1" ht="24" x14ac:dyDescent="0.15">
      <c r="A362" s="1311" t="s">
        <v>5914</v>
      </c>
      <c r="B362" s="382" t="s">
        <v>4631</v>
      </c>
      <c r="C362" s="389" t="s">
        <v>4575</v>
      </c>
      <c r="D362" s="2679" cm="1" t="n">
        <f t="array" ref="D362">INDEX('5층_부하량'!F3:F3000,MATCH(1,("5-DaHall 1-PDU-15"='5층_부하량'!A3:A3000)*(13='5층_부하량'!B3:B3000),0))</f>
        <v>0.78</v>
      </c>
      <c r="E362" s="387"/>
      <c r="F362" s="387"/>
      <c r="G362" s="387"/>
      <c r="H362" s="382" t="s">
        <v>5790</v>
      </c>
      <c r="I362" s="558" t="s">
        <v>4657</v>
      </c>
      <c r="J362" s="1044"/>
      <c r="K362" s="1045"/>
      <c r="L362" s="578" t="s">
        <v>4601</v>
      </c>
      <c r="M362" s="382" t="s">
        <v>5790</v>
      </c>
      <c r="N362" s="2679" cm="1" t="n">
        <f t="array" ref="N362">INDEX('5층_부하량'!F3:F3000,MATCH(1,("5-DaHall 1-PDU-15"='5층_부하량'!A3:A3000)*(14='5층_부하량'!B3:B3000),0))</f>
        <v>1.6</v>
      </c>
      <c r="O362" s="387"/>
      <c r="P362" s="387"/>
      <c r="Q362" s="387"/>
      <c r="R362" s="382" t="s">
        <v>4579</v>
      </c>
      <c r="S362" s="389" t="s">
        <v>4575</v>
      </c>
      <c r="T362" s="670" t="s">
        <v>5915</v>
      </c>
    </row>
    <row r="363" spans="1:20" s="356" customFormat="1" ht="16.5" x14ac:dyDescent="0.15">
      <c r="A363" s="1312" t="s">
        <v>5916</v>
      </c>
      <c r="B363" s="382" t="s">
        <v>4590</v>
      </c>
      <c r="C363" s="382" t="s">
        <v>4642</v>
      </c>
      <c r="D363" s="387"/>
      <c r="E363" s="2679" cm="1" t="n">
        <f t="array" ref="E363">INDEX('5층_부하량'!G3:G3000,MATCH(1,("5-DaHall 1-PDU-15"='5층_부하량'!A3:A3000)*(15='5층_부하량'!B3:B3000),0))</f>
        <v>0.37</v>
      </c>
      <c r="F363" s="387"/>
      <c r="G363" s="387"/>
      <c r="H363" s="382" t="s">
        <v>5811</v>
      </c>
      <c r="I363" s="558" t="s">
        <v>4661</v>
      </c>
      <c r="J363" s="1044"/>
      <c r="K363" s="1045"/>
      <c r="L363" s="578" t="s">
        <v>4603</v>
      </c>
      <c r="M363" s="382" t="s">
        <v>5811</v>
      </c>
      <c r="N363" s="387"/>
      <c r="O363" s="2679" cm="1" t="n">
        <f t="array" ref="O363">INDEX('5층_부하량'!G3:G3000,MATCH(1,("5-DaHall 1-PDU-15"='5층_부하량'!A3:A3000)*(16='5층_부하량'!B3:B3000),0))</f>
        <v>8.38</v>
      </c>
      <c r="P363" s="387"/>
      <c r="Q363" s="387"/>
      <c r="R363" s="394" t="s">
        <v>4590</v>
      </c>
      <c r="S363" s="382" t="s">
        <v>4642</v>
      </c>
      <c r="T363" s="395"/>
    </row>
    <row r="364" spans="1:20" s="356" customFormat="1" ht="16.5" x14ac:dyDescent="0.15">
      <c r="A364" s="1311" t="s">
        <v>5917</v>
      </c>
      <c r="B364" s="382" t="s">
        <v>4590</v>
      </c>
      <c r="C364" s="382" t="s">
        <v>4642</v>
      </c>
      <c r="D364" s="387"/>
      <c r="E364" s="387"/>
      <c r="F364" s="2679" cm="1" t="n">
        <f t="array" ref="F364">INDEX('5층_부하량'!H3:H3000,MATCH(1,("5-DaHall 1-PDU-15"='5층_부하량'!A3:A3000)*(17='5층_부하량'!B3:B3000),0))</f>
        <v>0.0</v>
      </c>
      <c r="G364" s="387"/>
      <c r="H364" s="382" t="s">
        <v>5811</v>
      </c>
      <c r="I364" s="558" t="s">
        <v>4665</v>
      </c>
      <c r="J364" s="1044"/>
      <c r="K364" s="1045"/>
      <c r="L364" s="578" t="s">
        <v>4605</v>
      </c>
      <c r="M364" s="382" t="s">
        <v>5811</v>
      </c>
      <c r="N364" s="387"/>
      <c r="O364" s="387"/>
      <c r="P364" s="2679" cm="1" t="n">
        <f t="array" ref="P364">INDEX('5층_부하량'!H3:H3000,MATCH(1,("5-DaHall 1-PDU-15"='5층_부하량'!A3:A3000)*(18='5층_부하량'!B3:B3000),0))</f>
        <v>0.0</v>
      </c>
      <c r="Q364" s="387"/>
      <c r="R364" s="394" t="s">
        <v>4590</v>
      </c>
      <c r="S364" s="382" t="s">
        <v>4642</v>
      </c>
      <c r="T364" s="395"/>
    </row>
    <row r="365" spans="1:20" s="356" customFormat="1" ht="16.5" x14ac:dyDescent="0.15">
      <c r="A365" s="1312" t="s">
        <v>5918</v>
      </c>
      <c r="B365" s="382" t="s">
        <v>4590</v>
      </c>
      <c r="C365" s="382" t="s">
        <v>4642</v>
      </c>
      <c r="D365" s="2679" cm="1" t="n">
        <f t="array" ref="D365">INDEX('5층_부하량'!F3:F3000,MATCH(1,("5-DaHall 1-PDU-15"='5층_부하량'!A3:A3000)*(19='5층_부하량'!B3:B3000),0))</f>
        <v>4.37</v>
      </c>
      <c r="E365" s="387"/>
      <c r="F365" s="387"/>
      <c r="G365" s="387"/>
      <c r="H365" s="382" t="s">
        <v>5811</v>
      </c>
      <c r="I365" s="558" t="s">
        <v>4670</v>
      </c>
      <c r="J365" s="1044"/>
      <c r="K365" s="1045"/>
      <c r="L365" s="578" t="s">
        <v>4609</v>
      </c>
      <c r="M365" s="382" t="s">
        <v>5811</v>
      </c>
      <c r="N365" s="2679" cm="1" t="n">
        <f t="array" ref="N365">INDEX('5층_부하량'!F3:F3000,MATCH(1,("5-DaHall 1-PDU-15"='5층_부하량'!A3:A3000)*(20='5층_부하량'!B3:B3000),0))</f>
        <v>7.49</v>
      </c>
      <c r="O365" s="387"/>
      <c r="P365" s="387"/>
      <c r="Q365" s="387"/>
      <c r="R365" s="394" t="s">
        <v>4590</v>
      </c>
      <c r="S365" s="382" t="s">
        <v>4642</v>
      </c>
      <c r="T365" s="395"/>
    </row>
    <row r="366" spans="1:20" s="356" customFormat="1" ht="16.5" x14ac:dyDescent="0.15">
      <c r="A366" s="1311" t="s">
        <v>5919</v>
      </c>
      <c r="B366" s="382" t="s">
        <v>4940</v>
      </c>
      <c r="C366" s="382" t="s">
        <v>4584</v>
      </c>
      <c r="D366" s="387"/>
      <c r="E366" s="2679" cm="1" t="n">
        <f t="array" ref="E366">INDEX('5층_부하량'!G3:G3000,MATCH(1,("5-DaHall 1-PDU-15"='5층_부하량'!A3:A3000)*(21='5층_부하량'!B3:B3000),0))</f>
        <v>2.34</v>
      </c>
      <c r="F366" s="387"/>
      <c r="G366" s="387"/>
      <c r="H366" s="382" t="s">
        <v>5811</v>
      </c>
      <c r="I366" s="558" t="s">
        <v>4674</v>
      </c>
      <c r="J366" s="1042"/>
      <c r="K366" s="1045"/>
      <c r="L366" s="578" t="s">
        <v>4613</v>
      </c>
      <c r="M366" s="382" t="s">
        <v>5811</v>
      </c>
      <c r="N366" s="387"/>
      <c r="O366" s="2679" cm="1" t="n">
        <f t="array" ref="O366">INDEX('5층_부하량'!G3:G3000,MATCH(1,("5-DaHall 1-PDU-15"='5층_부하량'!A3:A3000)*(22='5층_부하량'!B3:B3000),0))</f>
        <v>1.5899999999999999</v>
      </c>
      <c r="P366" s="387"/>
      <c r="Q366" s="387"/>
      <c r="R366" s="394" t="s">
        <v>4590</v>
      </c>
      <c r="S366" s="382" t="s">
        <v>4642</v>
      </c>
      <c r="T366" s="395"/>
    </row>
    <row r="367" spans="1:20" s="356" customFormat="1" ht="16.5" x14ac:dyDescent="0.15">
      <c r="A367" s="1311" t="s">
        <v>5920</v>
      </c>
      <c r="B367" s="382" t="s">
        <v>4579</v>
      </c>
      <c r="C367" s="389" t="s">
        <v>4575</v>
      </c>
      <c r="D367" s="387"/>
      <c r="E367" s="387"/>
      <c r="F367" s="2679" cm="1" t="n">
        <f t="array" ref="F367">INDEX('5층_부하량'!H3:H3000,MATCH(1,("5-DaHall 1-PDU-15"='5층_부하량'!A3:A3000)*(23='5층_부하량'!B3:B3000),0))</f>
        <v>2.34</v>
      </c>
      <c r="G367" s="387"/>
      <c r="H367" s="382" t="s">
        <v>5811</v>
      </c>
      <c r="I367" s="558" t="s">
        <v>4678</v>
      </c>
      <c r="J367" s="1044" t="s">
        <v>5921</v>
      </c>
      <c r="K367" s="1045"/>
      <c r="L367" s="578" t="s">
        <v>4680</v>
      </c>
      <c r="M367" s="382" t="s">
        <v>5811</v>
      </c>
      <c r="N367" s="387"/>
      <c r="O367" s="387"/>
      <c r="P367" s="2679" cm="1" t="n">
        <f t="array" ref="P367">INDEX('5층_부하량'!H3:H3000,MATCH(1,("5-DaHall 1-PDU-15"='5층_부하량'!A3:A3000)*(24='5층_부하량'!B3:B3000),0))</f>
        <v>0.0</v>
      </c>
      <c r="Q367" s="387"/>
      <c r="R367" s="394" t="s">
        <v>4590</v>
      </c>
      <c r="S367" s="382" t="s">
        <v>4642</v>
      </c>
      <c r="T367" s="395"/>
    </row>
    <row r="368" spans="1:20" s="356" customFormat="1" ht="16.5" x14ac:dyDescent="0.15">
      <c r="A368" s="1313" t="s">
        <v>5922</v>
      </c>
      <c r="B368" s="382" t="s">
        <v>4940</v>
      </c>
      <c r="C368" s="382" t="s">
        <v>4584</v>
      </c>
      <c r="D368" s="2679" cm="1" t="n">
        <f t="array" ref="D368">INDEX('5층_부하량'!F3:F3000,MATCH(1,("5-DaHall 1-PDU-15"='5층_부하량'!A3:A3000)*(25='5층_부하량'!B3:B3000),0))</f>
        <v>0.0</v>
      </c>
      <c r="E368" s="387"/>
      <c r="F368" s="387"/>
      <c r="G368" s="387"/>
      <c r="H368" s="382" t="s">
        <v>5811</v>
      </c>
      <c r="I368" s="558" t="s">
        <v>4683</v>
      </c>
      <c r="J368" s="1044"/>
      <c r="K368" s="1045"/>
      <c r="L368" s="578" t="s">
        <v>4685</v>
      </c>
      <c r="M368" s="382" t="s">
        <v>5811</v>
      </c>
      <c r="N368" s="2679" cm="1" t="n">
        <f t="array" ref="N368">INDEX('5층_부하량'!F3:F3000,MATCH(1,("5-DaHall 1-PDU-15"='5층_부하량'!A3:A3000)*(26='5층_부하량'!B3:B3000),0))</f>
        <v>0.0</v>
      </c>
      <c r="O368" s="387"/>
      <c r="P368" s="387"/>
      <c r="Q368" s="387"/>
      <c r="R368" s="394" t="s">
        <v>4590</v>
      </c>
      <c r="S368" s="382" t="s">
        <v>4642</v>
      </c>
      <c r="T368" s="395"/>
    </row>
    <row r="369" spans="1:20" s="356" customFormat="1" ht="16.5" x14ac:dyDescent="0.15">
      <c r="A369" s="1311" t="s">
        <v>5923</v>
      </c>
      <c r="B369" s="382" t="s">
        <v>4940</v>
      </c>
      <c r="C369" s="382" t="s">
        <v>4584</v>
      </c>
      <c r="D369" s="387"/>
      <c r="E369" s="2679" cm="1" t="n">
        <f t="array" ref="E369">INDEX('5층_부하량'!G3:G3000,MATCH(1,("5-DaHall 1-PDU-15"='5층_부하량'!A3:A3000)*(27='5층_부하량'!B3:B3000),0))</f>
        <v>0.0</v>
      </c>
      <c r="F369" s="387"/>
      <c r="G369" s="387"/>
      <c r="H369" s="382" t="s">
        <v>5811</v>
      </c>
      <c r="I369" s="558" t="s">
        <v>4688</v>
      </c>
      <c r="J369" s="1042"/>
      <c r="K369" s="1045" t="s">
        <v>2937</v>
      </c>
      <c r="L369" s="1212" t="s">
        <v>4689</v>
      </c>
      <c r="M369" s="382" t="s">
        <v>5811</v>
      </c>
      <c r="N369" s="387"/>
      <c r="O369" s="2679" cm="1" t="n">
        <f t="array" ref="O369">INDEX('5층_부하량'!G3:G3000,MATCH(1,("5-DaHall 1-PDU-15"='5층_부하량'!A3:A3000)*(28='5층_부하량'!B3:B3000),0))</f>
        <v>0.72</v>
      </c>
      <c r="P369" s="387"/>
      <c r="Q369" s="387"/>
      <c r="R369" s="388" t="s">
        <v>4631</v>
      </c>
      <c r="S369" s="389" t="s">
        <v>4575</v>
      </c>
      <c r="T369" s="405" t="s">
        <v>5924</v>
      </c>
    </row>
    <row r="370" spans="1:20" s="356" customFormat="1" ht="17.25" thickBot="1" x14ac:dyDescent="0.2">
      <c r="A370" s="1314" t="s">
        <v>5925</v>
      </c>
      <c r="B370" s="35" t="s">
        <v>4579</v>
      </c>
      <c r="C370" s="39" t="s">
        <v>4575</v>
      </c>
      <c r="D370" s="408"/>
      <c r="E370" s="408"/>
      <c r="F370" s="2684" cm="1" t="n">
        <f t="array" ref="F370">INDEX('5층_부하량'!H3:H3000,MATCH(1,("5-DaHall 1-PDU-15"='5층_부하량'!A3:A3000)*(29='5층_부하량'!B3:B3000),0))</f>
        <v>0.72</v>
      </c>
      <c r="G370" s="408"/>
      <c r="H370" s="407" t="s">
        <v>5811</v>
      </c>
      <c r="I370" s="560" t="s">
        <v>4691</v>
      </c>
      <c r="J370" s="1049" t="s">
        <v>5921</v>
      </c>
      <c r="K370" s="1050"/>
      <c r="L370" s="581" t="s">
        <v>4692</v>
      </c>
      <c r="M370" s="407" t="s">
        <v>5811</v>
      </c>
      <c r="N370" s="408"/>
      <c r="O370" s="408"/>
      <c r="P370" s="2684" cm="1" t="n">
        <f t="array" ref="P370">INDEX('5층_부하량'!H3:H3000,MATCH(1,("5-DaHall 1-PDU-15"='5층_부하량'!A3:A3000)*(30='5층_부하량'!B3:B3000),0))</f>
        <v>0.0</v>
      </c>
      <c r="Q370" s="408"/>
      <c r="R370" s="409" t="s">
        <v>4590</v>
      </c>
      <c r="S370" s="407" t="s">
        <v>4642</v>
      </c>
      <c r="T370" s="410" t="s">
        <v>3869</v>
      </c>
    </row>
    <row r="371" spans="1:20" s="356" customFormat="1" ht="18" thickTop="1" thickBot="1" x14ac:dyDescent="0.2">
      <c r="L371" s="2445"/>
      <c r="M371" s="411" t="s">
        <v>5645</v>
      </c>
      <c r="N371" s="412" t="n">
        <f>SUM(D356:D370,N356:N370)</f>
        <v>32.11</v>
      </c>
      <c r="O371" s="412" t="n">
        <f>SUM(E356:E370,O356:O370)</f>
        <v>28.349999999999998</v>
      </c>
      <c r="P371" s="412" t="n">
        <f>SUM(F356:F370,P356:P370)</f>
        <v>20.27</v>
      </c>
    </row>
    <row r="372" spans="1:20" s="356" customFormat="1" ht="20.25" thickTop="1" thickBot="1" x14ac:dyDescent="0.2">
      <c r="A372" s="355" t="s">
        <v>6958</v>
      </c>
      <c r="C372" s="3660" t="s">
        <v>5926</v>
      </c>
      <c r="D372" s="3660"/>
      <c r="E372" s="3660"/>
      <c r="F372" s="3660"/>
      <c r="G372" s="357"/>
      <c r="H372" s="358"/>
      <c r="I372" s="358"/>
      <c r="J372" s="3668" t="s">
        <v>5646</v>
      </c>
      <c r="K372" s="3669"/>
      <c r="L372" s="2442"/>
      <c r="M372" s="358"/>
      <c r="N372" s="357"/>
      <c r="O372" s="357"/>
      <c r="P372" s="357"/>
      <c r="Q372" s="357"/>
      <c r="R372" s="357"/>
      <c r="S372" s="357"/>
    </row>
    <row r="373" spans="1:20" s="356" customFormat="1" ht="15" customHeight="1" thickTop="1" thickBot="1" x14ac:dyDescent="0.2">
      <c r="A373" s="3"/>
      <c r="B373"/>
      <c r="C373"/>
      <c r="D373" s="54"/>
      <c r="E373" s="54"/>
      <c r="F373" s="54"/>
      <c r="G373" s="54"/>
      <c r="H373" s="4"/>
      <c r="I373" s="4"/>
      <c r="J373"/>
      <c r="K373" s="56"/>
      <c r="L373" s="565"/>
      <c r="M373" s="1371" t="s">
        <v>4562</v>
      </c>
      <c r="N373" s="1368">
        <v>20.100000000000001</v>
      </c>
      <c r="O373" s="1369">
        <v>13.1</v>
      </c>
      <c r="P373" s="1370">
        <v>14</v>
      </c>
      <c r="Q373" s="508" t="s">
        <v>4563</v>
      </c>
      <c r="R373" s="133"/>
      <c r="S373" s="128"/>
      <c r="T373" s="528"/>
    </row>
    <row r="374" spans="1:20" s="356" customFormat="1" ht="18" thickTop="1" thickBot="1" x14ac:dyDescent="0.2">
      <c r="A374" s="364" t="s">
        <v>4564</v>
      </c>
      <c r="B374" s="365" t="s">
        <v>4565</v>
      </c>
      <c r="C374" s="366" t="s">
        <v>4566</v>
      </c>
      <c r="D374" s="365" t="s">
        <v>4567</v>
      </c>
      <c r="E374" s="365" t="s">
        <v>4568</v>
      </c>
      <c r="F374" s="365" t="s">
        <v>4569</v>
      </c>
      <c r="G374" s="365" t="s">
        <v>4570</v>
      </c>
      <c r="H374" s="367" t="s">
        <v>4571</v>
      </c>
      <c r="I374" s="557"/>
      <c r="J374" s="368" t="s">
        <v>4572</v>
      </c>
      <c r="K374" s="369" t="s">
        <v>4572</v>
      </c>
      <c r="L374" s="575"/>
      <c r="M374" s="367" t="s">
        <v>4571</v>
      </c>
      <c r="N374" s="365" t="s">
        <v>4567</v>
      </c>
      <c r="O374" s="365" t="s">
        <v>4568</v>
      </c>
      <c r="P374" s="365" t="s">
        <v>4569</v>
      </c>
      <c r="Q374" s="365" t="s">
        <v>4570</v>
      </c>
      <c r="R374" s="365" t="s">
        <v>4565</v>
      </c>
      <c r="S374" s="366" t="s">
        <v>4566</v>
      </c>
      <c r="T374" s="370" t="s">
        <v>4564</v>
      </c>
    </row>
    <row r="375" spans="1:20" s="356" customFormat="1" ht="17.25" thickTop="1" x14ac:dyDescent="0.15">
      <c r="A375" s="371"/>
      <c r="B375" s="372" t="s">
        <v>4590</v>
      </c>
      <c r="C375" s="373" t="s">
        <v>4642</v>
      </c>
      <c r="D375" s="2681" cm="1" t="n">
        <f t="array" ref="D375">INDEX('5층_부하량'!F3:F3000,MATCH(1,("5-DaHall 1-PDU-12"='5층_부하량'!A3:A3000)*(1='5층_부하량'!B3:B3000),0))</f>
        <v>0.0</v>
      </c>
      <c r="E375" s="2681" cm="1" t="n">
        <f t="array" ref="E375">INDEX('5층_부하량'!G3:G3000,MATCH(1,("5-DaHall 1-PDU-12"='5층_부하량'!A3:A3000)*(1='5층_부하량'!B3:B3000),0))</f>
        <v>0.0</v>
      </c>
      <c r="F375" s="2681" cm="1" t="n">
        <f t="array" ref="F375">INDEX('5층_부하량'!H3:H3000,MATCH(1,("5-DaHall 1-PDU-12"='5층_부하량'!A3:A3000)*(1='5층_부하량'!B3:B3000),0))</f>
        <v>0.0</v>
      </c>
      <c r="G375" s="374"/>
      <c r="H375" s="373" t="s">
        <v>5786</v>
      </c>
      <c r="I375" s="2446" t="s">
        <v>5894</v>
      </c>
      <c r="J375" s="1051"/>
      <c r="K375" s="1052"/>
      <c r="L375" s="1449" t="s">
        <v>5896</v>
      </c>
      <c r="M375" s="372" t="s">
        <v>5786</v>
      </c>
      <c r="N375" s="2681" cm="1" t="n">
        <f t="array" ref="N375">INDEX('5층_부하량'!F3:F3000,MATCH(1,("5-DaHall 1-PDU-12"='5층_부하량'!A3:A3000)*(2='5층_부하량'!B3:B3000),0))</f>
        <v>0.0</v>
      </c>
      <c r="O375" s="2681" cm="1" t="n">
        <f t="array" ref="O375">INDEX('5층_부하량'!G3:G3000,MATCH(1,("5-DaHall 1-PDU-12"='5층_부하량'!A3:A3000)*(2='5층_부하량'!B3:B3000),0))</f>
        <v>0.0</v>
      </c>
      <c r="P375" s="2681" cm="1" t="n">
        <f t="array" ref="P375">INDEX('5층_부하량'!H3:H3000,MATCH(1,("5-DaHall 1-PDU-12"='5층_부하량'!A3:A3000)*(2='5층_부하량'!B3:B3000),0))</f>
        <v>0.0</v>
      </c>
      <c r="Q375" s="374"/>
      <c r="R375" s="378" t="s">
        <v>4590</v>
      </c>
      <c r="S375" s="372" t="s">
        <v>4642</v>
      </c>
      <c r="T375" s="380"/>
    </row>
    <row r="376" spans="1:20" s="356" customFormat="1" ht="16.5" x14ac:dyDescent="0.15">
      <c r="A376" s="381" t="s">
        <v>5927</v>
      </c>
      <c r="B376" s="382" t="s">
        <v>4631</v>
      </c>
      <c r="C376" s="389" t="s">
        <v>4575</v>
      </c>
      <c r="D376" s="2682" cm="1" t="n">
        <f t="array" ref="D376">INDEX('5층_부하량'!F3:F3000,MATCH(1,("5-DaHall 1-PDU-12"='5층_부하량'!A3:A3000)*(3='5층_부하량'!B3:B3000),0))</f>
        <v>0.0</v>
      </c>
      <c r="E376" s="383"/>
      <c r="F376" s="383"/>
      <c r="G376" s="383"/>
      <c r="H376" s="382" t="s">
        <v>5790</v>
      </c>
      <c r="I376" s="558" t="s">
        <v>4638</v>
      </c>
      <c r="J376" s="1042" t="s">
        <v>5832</v>
      </c>
      <c r="K376" s="1043" t="s">
        <v>5832</v>
      </c>
      <c r="L376" s="577" t="s">
        <v>4583</v>
      </c>
      <c r="M376" s="382" t="s">
        <v>5786</v>
      </c>
      <c r="N376" s="2682" cm="1" t="n">
        <f t="array" ref="N376">INDEX('5층_부하량'!F3:F3000,MATCH(1,("5-DaHall 1-PDU-12"='5층_부하량'!A3:A3000)*(4='5층_부하량'!B3:B3000),0))</f>
        <v>1.92</v>
      </c>
      <c r="O376" s="383"/>
      <c r="P376" s="383"/>
      <c r="Q376" s="383"/>
      <c r="R376" s="388" t="s">
        <v>4631</v>
      </c>
      <c r="S376" s="389" t="s">
        <v>4575</v>
      </c>
      <c r="T376" s="395" t="s">
        <v>5928</v>
      </c>
    </row>
    <row r="377" spans="1:20" s="356" customFormat="1" ht="16.5" x14ac:dyDescent="0.15">
      <c r="A377" s="667" t="s">
        <v>5929</v>
      </c>
      <c r="B377" s="382" t="s">
        <v>4631</v>
      </c>
      <c r="C377" s="389" t="s">
        <v>4575</v>
      </c>
      <c r="D377" s="387"/>
      <c r="E377" s="2679" cm="1" t="n">
        <f t="array" ref="E377">INDEX('5층_부하량'!G3:G3000,MATCH(1,("5-DaHall 1-PDU-12"='5층_부하량'!A3:A3000)*(5='5층_부하량'!B3:B3000),0))</f>
        <v>2.98</v>
      </c>
      <c r="F377" s="387"/>
      <c r="G377" s="387"/>
      <c r="H377" s="382" t="s">
        <v>5786</v>
      </c>
      <c r="I377" s="1211" t="s">
        <v>4641</v>
      </c>
      <c r="J377" s="1053" t="s">
        <v>5828</v>
      </c>
      <c r="K377" s="1043" t="s">
        <v>5832</v>
      </c>
      <c r="L377" s="577" t="s">
        <v>4588</v>
      </c>
      <c r="M377" s="382" t="s">
        <v>5786</v>
      </c>
      <c r="N377" s="387"/>
      <c r="O377" s="2679" cm="1" t="n">
        <f t="array" ref="O377">INDEX('5층_부하량'!G3:G3000,MATCH(1,("5-DaHall 1-PDU-12"='5층_부하량'!A3:A3000)*(6='5층_부하량'!B3:B3000),0))</f>
        <v>0.0</v>
      </c>
      <c r="P377" s="387"/>
      <c r="Q377" s="387"/>
      <c r="R377" s="394" t="s">
        <v>4631</v>
      </c>
      <c r="S377" s="389" t="s">
        <v>4575</v>
      </c>
      <c r="T377" s="390" t="s">
        <v>2999</v>
      </c>
    </row>
    <row r="378" spans="1:20" s="356" customFormat="1" ht="16.5" x14ac:dyDescent="0.15">
      <c r="A378" s="391"/>
      <c r="B378" s="382" t="s">
        <v>4590</v>
      </c>
      <c r="C378" s="382" t="s">
        <v>4642</v>
      </c>
      <c r="D378" s="387"/>
      <c r="E378" s="387"/>
      <c r="F378" s="2679" cm="1" t="n">
        <f t="array" ref="F378">INDEX('5층_부하량'!H3:H3000,MATCH(1,("5-DaHall 1-PDU-12"='5층_부하량'!A3:A3000)*(7='5층_부하량'!B3:B3000),0))</f>
        <v>0.0</v>
      </c>
      <c r="G378" s="387"/>
      <c r="H378" s="382" t="s">
        <v>5786</v>
      </c>
      <c r="I378" s="1450" t="s">
        <v>4645</v>
      </c>
      <c r="J378" s="1042" t="s">
        <v>5832</v>
      </c>
      <c r="K378" s="1043" t="s">
        <v>5832</v>
      </c>
      <c r="L378" s="577" t="s">
        <v>4593</v>
      </c>
      <c r="M378" s="382" t="s">
        <v>5790</v>
      </c>
      <c r="N378" s="387"/>
      <c r="O378" s="387"/>
      <c r="P378" s="2679" cm="1" t="n">
        <f t="array" ref="P378">INDEX('5층_부하량'!H3:H3000,MATCH(1,("5-DaHall 1-PDU-12"='5층_부하량'!A3:A3000)*(8='5층_부하량'!B3:B3000),0))</f>
        <v>0.0</v>
      </c>
      <c r="Q378" s="387"/>
      <c r="R378" s="394" t="s">
        <v>4631</v>
      </c>
      <c r="S378" s="389" t="s">
        <v>4575</v>
      </c>
      <c r="T378" s="395" t="s">
        <v>3006</v>
      </c>
    </row>
    <row r="379" spans="1:20" s="356" customFormat="1" ht="16.5" x14ac:dyDescent="0.15">
      <c r="A379" s="668" t="s">
        <v>5930</v>
      </c>
      <c r="B379" s="382" t="s">
        <v>4631</v>
      </c>
      <c r="C379" s="389" t="s">
        <v>4575</v>
      </c>
      <c r="D379" s="2679" cm="1" t="n">
        <f t="array" ref="D379">INDEX('5층_부하량'!F3:F3000,MATCH(1,("5-DaHall 1-PDU-12"='5층_부하량'!A3:A3000)*(9='5층_부하량'!B3:B3000),0))</f>
        <v>2.96</v>
      </c>
      <c r="E379" s="387"/>
      <c r="F379" s="387"/>
      <c r="G379" s="387"/>
      <c r="H379" s="382" t="s">
        <v>5786</v>
      </c>
      <c r="I379" s="1211" t="s">
        <v>4648</v>
      </c>
      <c r="J379" s="1042" t="s">
        <v>5832</v>
      </c>
      <c r="K379" s="1043" t="s">
        <v>5832</v>
      </c>
      <c r="L379" s="577" t="s">
        <v>4596</v>
      </c>
      <c r="M379" s="382" t="s">
        <v>5801</v>
      </c>
      <c r="N379" s="2679" cm="1" t="n">
        <f t="array" ref="N379">INDEX('5층_부하량'!F3:F3000,MATCH(1,("5-DaHall 1-PDU-12"='5층_부하량'!A3:A3000)*(10='5층_부하량'!B3:B3000),0))</f>
        <v>3.15</v>
      </c>
      <c r="O379" s="387"/>
      <c r="P379" s="387"/>
      <c r="Q379" s="387"/>
      <c r="R379" s="394" t="s">
        <v>4631</v>
      </c>
      <c r="S379" s="389" t="s">
        <v>4575</v>
      </c>
      <c r="T379" s="413" t="s">
        <v>3011</v>
      </c>
    </row>
    <row r="380" spans="1:20" s="356" customFormat="1" ht="17.25" thickBot="1" x14ac:dyDescent="0.2">
      <c r="A380" s="414" t="s">
        <v>5931</v>
      </c>
      <c r="B380" s="415" t="s">
        <v>4631</v>
      </c>
      <c r="C380" s="416" t="s">
        <v>4575</v>
      </c>
      <c r="D380" s="417"/>
      <c r="E380" s="2686" cm="1" t="n">
        <f t="array" ref="E380">INDEX('5층_부하량'!G3:G3000,MATCH(1,("5-DaHall 1-PDU-12"='5층_부하량'!A3:A3000)*(11='5층_부하량'!B3:B3000),0))</f>
        <v>5.49</v>
      </c>
      <c r="F380" s="417"/>
      <c r="G380" s="417"/>
      <c r="H380" s="415" t="s">
        <v>5786</v>
      </c>
      <c r="I380" s="1213" t="s">
        <v>4653</v>
      </c>
      <c r="J380" s="1054" t="s">
        <v>5832</v>
      </c>
      <c r="K380" s="1055" t="s">
        <v>5832</v>
      </c>
      <c r="L380" s="582" t="s">
        <v>4599</v>
      </c>
      <c r="M380" s="415" t="s">
        <v>5801</v>
      </c>
      <c r="N380" s="417"/>
      <c r="O380" s="2686" cm="1" t="n">
        <f t="array" ref="O380">INDEX('5층_부하량'!G3:G3000,MATCH(1,("5-DaHall 1-PDU-12"='5층_부하량'!A3:A3000)*(12='5층_부하량'!B3:B3000),0))</f>
        <v>0.0</v>
      </c>
      <c r="P380" s="417"/>
      <c r="Q380" s="417"/>
      <c r="R380" s="421" t="s">
        <v>4631</v>
      </c>
      <c r="S380" s="416" t="s">
        <v>4575</v>
      </c>
      <c r="T380" s="422" t="s">
        <v>3016</v>
      </c>
    </row>
    <row r="381" spans="1:20" s="356" customFormat="1" ht="17.25" thickTop="1" x14ac:dyDescent="0.15">
      <c r="A381" s="403" t="s">
        <v>5932</v>
      </c>
      <c r="B381" s="372" t="s">
        <v>4631</v>
      </c>
      <c r="C381" s="379" t="s">
        <v>4575</v>
      </c>
      <c r="D381" s="401"/>
      <c r="E381" s="401"/>
      <c r="F381" s="2678" cm="1" t="n">
        <f t="array" ref="F381">INDEX('5층_부하량'!H3:H3000,MATCH(1,("5-DaHall 1-PDU-12"='5층_부하량'!A3:A3000)*(13='5층_부하량'!B3:B3000),0))</f>
        <v>3.64</v>
      </c>
      <c r="G381" s="401"/>
      <c r="H381" s="372" t="s">
        <v>5883</v>
      </c>
      <c r="I381" s="1216" t="s">
        <v>4657</v>
      </c>
      <c r="J381" s="1051" t="s">
        <v>5832</v>
      </c>
      <c r="K381" s="1052" t="s">
        <v>5832</v>
      </c>
      <c r="L381" s="576" t="s">
        <v>4601</v>
      </c>
      <c r="M381" s="372" t="s">
        <v>5801</v>
      </c>
      <c r="N381" s="401"/>
      <c r="O381" s="401"/>
      <c r="P381" s="2678" cm="1" t="n">
        <f t="array" ref="P381">INDEX('5층_부하량'!H3:H3000,MATCH(1,("5-DaHall 1-PDU-12"='5층_부하량'!A3:A3000)*(14='5층_부하량'!B3:B3000),0))</f>
        <v>0.0</v>
      </c>
      <c r="Q381" s="401"/>
      <c r="R381" s="402" t="s">
        <v>4631</v>
      </c>
      <c r="S381" s="379" t="s">
        <v>4575</v>
      </c>
      <c r="T381" s="423" t="s">
        <v>3021</v>
      </c>
    </row>
    <row r="382" spans="1:20" s="356" customFormat="1" ht="16.5" x14ac:dyDescent="0.15">
      <c r="A382" s="391" t="s">
        <v>5933</v>
      </c>
      <c r="B382" s="424" t="s">
        <v>4631</v>
      </c>
      <c r="C382" s="425" t="s">
        <v>4575</v>
      </c>
      <c r="D382" s="2687" cm="1" t="n">
        <f t="array" ref="D382">INDEX('5층_부하량'!F3:F3000,MATCH(1,("5-DaHall 1-PDU-12"='5층_부하량'!A3:A3000)*(15='5층_부하량'!B3:B3000),0))</f>
        <v>0.0</v>
      </c>
      <c r="E382" s="426"/>
      <c r="F382" s="426"/>
      <c r="G382" s="426"/>
      <c r="H382" s="424" t="s">
        <v>5801</v>
      </c>
      <c r="I382" s="1217" t="s">
        <v>4661</v>
      </c>
      <c r="J382" s="1056" t="s">
        <v>5832</v>
      </c>
      <c r="K382" s="1057" t="s">
        <v>5832</v>
      </c>
      <c r="L382" s="583" t="s">
        <v>4603</v>
      </c>
      <c r="M382" s="424" t="s">
        <v>5811</v>
      </c>
      <c r="N382" s="2687" cm="1" t="n">
        <f t="array" ref="N382">INDEX('5층_부하량'!F3:F3000,MATCH(1,("5-DaHall 1-PDU-12"='5층_부하량'!A3:A3000)*(16='5층_부하량'!B3:B3000),0))</f>
        <v>6.66</v>
      </c>
      <c r="O382" s="426"/>
      <c r="P382" s="426"/>
      <c r="Q382" s="426"/>
      <c r="R382" s="429" t="s">
        <v>4631</v>
      </c>
      <c r="S382" s="425" t="s">
        <v>4575</v>
      </c>
      <c r="T382" s="395" t="s">
        <v>3027</v>
      </c>
    </row>
    <row r="383" spans="1:20" s="356" customFormat="1" ht="16.5" x14ac:dyDescent="0.15">
      <c r="A383" s="403" t="s">
        <v>5934</v>
      </c>
      <c r="B383" s="382" t="s">
        <v>4631</v>
      </c>
      <c r="C383" s="17" t="s">
        <v>4584</v>
      </c>
      <c r="D383" s="387"/>
      <c r="E383" s="2679" cm="1" t="n">
        <f t="array" ref="E383">INDEX('5층_부하량'!G3:G3000,MATCH(1,("5-DaHall 1-PDU-12"='5층_부하량'!A3:A3000)*(17='5층_부하량'!B3:B3000),0))</f>
        <v>0.0</v>
      </c>
      <c r="F383" s="387"/>
      <c r="G383" s="387"/>
      <c r="H383" s="382" t="s">
        <v>5801</v>
      </c>
      <c r="I383" s="1211" t="s">
        <v>4665</v>
      </c>
      <c r="J383" s="1042" t="s">
        <v>5832</v>
      </c>
      <c r="K383" s="1043" t="s">
        <v>5832</v>
      </c>
      <c r="L383" s="577" t="s">
        <v>4605</v>
      </c>
      <c r="M383" s="382" t="s">
        <v>5801</v>
      </c>
      <c r="N383" s="387"/>
      <c r="O383" s="2679" cm="1" t="n">
        <f t="array" ref="O383">INDEX('5층_부하량'!G3:G3000,MATCH(1,("5-DaHall 1-PDU-12"='5층_부하량'!A3:A3000)*(18='5층_부하량'!B3:B3000),0))</f>
        <v>3.55</v>
      </c>
      <c r="P383" s="387"/>
      <c r="Q383" s="387"/>
      <c r="R383" s="394" t="s">
        <v>4631</v>
      </c>
      <c r="S383" s="389" t="s">
        <v>4575</v>
      </c>
      <c r="T383" s="395" t="s">
        <v>3032</v>
      </c>
    </row>
    <row r="384" spans="1:20" s="356" customFormat="1" ht="16.5" x14ac:dyDescent="0.15">
      <c r="A384" s="391" t="s">
        <v>5935</v>
      </c>
      <c r="B384" s="382" t="s">
        <v>4631</v>
      </c>
      <c r="C384" s="389" t="s">
        <v>4575</v>
      </c>
      <c r="D384" s="387"/>
      <c r="E384" s="387"/>
      <c r="F384" s="2679" cm="1" t="n">
        <f t="array" ref="F384">INDEX('5층_부하량'!H3:H3000,MATCH(1,("5-DaHall 1-PDU-12"='5층_부하량'!A3:A3000)*(19='5층_부하량'!B3:B3000),0))</f>
        <v>3.07</v>
      </c>
      <c r="G384" s="387"/>
      <c r="H384" s="382" t="s">
        <v>5811</v>
      </c>
      <c r="I384" s="1211" t="s">
        <v>4670</v>
      </c>
      <c r="J384" s="1042" t="s">
        <v>5862</v>
      </c>
      <c r="K384" s="1045"/>
      <c r="L384" s="1451" t="s">
        <v>4609</v>
      </c>
      <c r="M384" s="382" t="s">
        <v>5811</v>
      </c>
      <c r="N384" s="387"/>
      <c r="O384" s="387"/>
      <c r="P384" s="2679" cm="1" t="n">
        <f t="array" ref="P384">INDEX('5층_부하량'!H3:H3000,MATCH(1,("5-DaHall 1-PDU-12"='5층_부하량'!A3:A3000)*(20='5층_부하량'!B3:B3000),0))</f>
        <v>0.0</v>
      </c>
      <c r="Q384" s="387"/>
      <c r="R384" s="394" t="s">
        <v>4590</v>
      </c>
      <c r="S384" s="382" t="s">
        <v>4642</v>
      </c>
      <c r="T384" s="430"/>
    </row>
    <row r="385" spans="1:20" s="356" customFormat="1" ht="16.5" x14ac:dyDescent="0.15">
      <c r="A385" s="403" t="s">
        <v>5936</v>
      </c>
      <c r="B385" s="382" t="s">
        <v>4631</v>
      </c>
      <c r="C385" s="389" t="s">
        <v>4575</v>
      </c>
      <c r="D385" s="2679" cm="1" t="n">
        <f t="array" ref="D385">INDEX('5층_부하량'!F3:F3000,MATCH(1,("5-DaHall 1-PDU-12"='5층_부하량'!A3:A3000)*(21='5층_부하량'!B3:B3000),0))</f>
        <v>5.36</v>
      </c>
      <c r="E385" s="387"/>
      <c r="F385" s="387"/>
      <c r="G385" s="387"/>
      <c r="H385" s="382" t="s">
        <v>5811</v>
      </c>
      <c r="I385" s="1211" t="s">
        <v>4674</v>
      </c>
      <c r="J385" s="1042" t="s">
        <v>5865</v>
      </c>
      <c r="K385" s="1045"/>
      <c r="L385" s="578" t="s">
        <v>4613</v>
      </c>
      <c r="M385" s="382" t="s">
        <v>5811</v>
      </c>
      <c r="N385" s="2679" cm="1" t="n">
        <f t="array" ref="N385">INDEX('5층_부하량'!F3:F3000,MATCH(1,("5-DaHall 1-PDU-12"='5층_부하량'!A3:A3000)*(22='5층_부하량'!B3:B3000),0))</f>
        <v>0.0</v>
      </c>
      <c r="O385" s="387"/>
      <c r="P385" s="387"/>
      <c r="Q385" s="387"/>
      <c r="R385" s="394" t="s">
        <v>5937</v>
      </c>
      <c r="S385" s="382" t="s">
        <v>5660</v>
      </c>
      <c r="T385" s="422" t="s">
        <v>5938</v>
      </c>
    </row>
    <row r="386" spans="1:20" s="356" customFormat="1" ht="16.5" x14ac:dyDescent="0.15">
      <c r="A386" s="391" t="s">
        <v>5939</v>
      </c>
      <c r="B386" s="382" t="s">
        <v>4631</v>
      </c>
      <c r="C386" s="389" t="s">
        <v>4575</v>
      </c>
      <c r="D386" s="387"/>
      <c r="E386" s="2679" cm="1" t="n">
        <f t="array" ref="E386">INDEX('5층_부하량'!G3:G3000,MATCH(1,("5-DaHall 1-PDU-12"='5층_부하량'!A3:A3000)*(23='5층_부하량'!B3:B3000),0))</f>
        <v>0.0</v>
      </c>
      <c r="F386" s="387"/>
      <c r="G386" s="387"/>
      <c r="H386" s="382" t="s">
        <v>5811</v>
      </c>
      <c r="I386" s="1211" t="s">
        <v>4678</v>
      </c>
      <c r="J386" s="1042" t="s">
        <v>5868</v>
      </c>
      <c r="K386" s="1058" t="s">
        <v>2824</v>
      </c>
      <c r="L386" s="578" t="s">
        <v>4680</v>
      </c>
      <c r="M386" s="382" t="s">
        <v>5811</v>
      </c>
      <c r="N386" s="387"/>
      <c r="O386" s="2679" cm="1" t="n">
        <f t="array" ref="O386">INDEX('5층_부하량'!G3:G3000,MATCH(1,("5-DaHall 1-PDU-12"='5층_부하량'!A3:A3000)*(24='5층_부하량'!B3:B3000),0))</f>
        <v>6.74</v>
      </c>
      <c r="P386" s="387"/>
      <c r="Q386" s="387"/>
      <c r="R386" s="394" t="s">
        <v>4631</v>
      </c>
      <c r="S386" s="389" t="s">
        <v>4575</v>
      </c>
      <c r="T386" s="670" t="s">
        <v>5940</v>
      </c>
    </row>
    <row r="387" spans="1:20" s="356" customFormat="1" ht="16.5" x14ac:dyDescent="0.15">
      <c r="A387" s="403" t="s">
        <v>5941</v>
      </c>
      <c r="B387" s="382" t="s">
        <v>4631</v>
      </c>
      <c r="C387" s="389" t="s">
        <v>4575</v>
      </c>
      <c r="D387" s="387"/>
      <c r="E387" s="387"/>
      <c r="F387" s="2679" cm="1" t="n">
        <f t="array" ref="F387">INDEX('5층_부하량'!H3:H3000,MATCH(1,("5-DaHall 1-PDU-12"='5층_부하량'!A3:A3000)*(25='5층_부하량'!B3:B3000),0))</f>
        <v>3.54</v>
      </c>
      <c r="G387" s="387"/>
      <c r="H387" s="382" t="s">
        <v>5811</v>
      </c>
      <c r="I387" s="1211" t="s">
        <v>4683</v>
      </c>
      <c r="J387" s="1042" t="s">
        <v>5871</v>
      </c>
      <c r="K387" s="1058" t="s">
        <v>5828</v>
      </c>
      <c r="L387" s="1212" t="s">
        <v>4685</v>
      </c>
      <c r="M387" s="382" t="s">
        <v>5811</v>
      </c>
      <c r="N387" s="387"/>
      <c r="O387" s="387"/>
      <c r="P387" s="2679" cm="1" t="n">
        <f t="array" ref="P387">INDEX('5층_부하량'!H3:H3000,MATCH(1,("5-DaHall 1-PDU-12"='5층_부하량'!A3:A3000)*(26='5층_부하량'!B3:B3000),0))</f>
        <v>5.03</v>
      </c>
      <c r="Q387" s="387"/>
      <c r="R387" s="394" t="s">
        <v>4631</v>
      </c>
      <c r="S387" s="389" t="s">
        <v>4575</v>
      </c>
      <c r="T387" s="671" t="s">
        <v>5942</v>
      </c>
    </row>
    <row r="388" spans="1:20" s="356" customFormat="1" ht="16.5" x14ac:dyDescent="0.15">
      <c r="A388" s="391" t="s">
        <v>5943</v>
      </c>
      <c r="B388" s="382" t="s">
        <v>4631</v>
      </c>
      <c r="C388" s="389" t="s">
        <v>4575</v>
      </c>
      <c r="D388" s="2679" cm="1" t="n">
        <f t="array" ref="D388">INDEX('5층_부하량'!F3:F3000,MATCH(1,("5-DaHall 1-PDU-12"='5층_부하량'!A3:A3000)*(27='5층_부하량'!B3:B3000),0))</f>
        <v>0.0</v>
      </c>
      <c r="E388" s="387"/>
      <c r="F388" s="387"/>
      <c r="G388" s="387"/>
      <c r="H388" s="382" t="s">
        <v>5811</v>
      </c>
      <c r="I388" s="1211" t="s">
        <v>4688</v>
      </c>
      <c r="J388" s="1042" t="s">
        <v>5874</v>
      </c>
      <c r="K388" s="1045"/>
      <c r="L388" s="1212" t="s">
        <v>4689</v>
      </c>
      <c r="M388" s="382" t="s">
        <v>5811</v>
      </c>
      <c r="N388" s="2679" cm="1" t="n">
        <f t="array" ref="N388">INDEX('5층_부하량'!F3:F3000,MATCH(1,("5-DaHall 1-PDU-12"='5층_부하량'!A3:A3000)*(28='5층_부하량'!B3:B3000),0))</f>
        <v>6.0</v>
      </c>
      <c r="O388" s="387"/>
      <c r="P388" s="387"/>
      <c r="Q388" s="387"/>
      <c r="R388" s="394" t="s">
        <v>4631</v>
      </c>
      <c r="S388" s="389" t="s">
        <v>4575</v>
      </c>
      <c r="T388" s="395" t="s">
        <v>5944</v>
      </c>
    </row>
    <row r="389" spans="1:20" s="356" customFormat="1" ht="16.5" x14ac:dyDescent="0.15">
      <c r="A389" s="403" t="s">
        <v>5945</v>
      </c>
      <c r="B389" s="382" t="s">
        <v>4631</v>
      </c>
      <c r="C389" s="389" t="s">
        <v>4575</v>
      </c>
      <c r="D389" s="387"/>
      <c r="E389" s="2679" cm="1" t="n">
        <f t="array" ref="E389">INDEX('5층_부하량'!G3:G3000,MATCH(1,("5-DaHall 1-PDU-12"='5층_부하량'!A3:A3000)*(29='5층_부하량'!B3:B3000),0))</f>
        <v>5.05</v>
      </c>
      <c r="F389" s="387"/>
      <c r="G389" s="387"/>
      <c r="H389" s="382" t="s">
        <v>5811</v>
      </c>
      <c r="I389" s="1450" t="s">
        <v>4691</v>
      </c>
      <c r="J389" s="1042" t="s">
        <v>5832</v>
      </c>
      <c r="K389" s="1058" t="s">
        <v>5828</v>
      </c>
      <c r="L389" s="1212" t="s">
        <v>4692</v>
      </c>
      <c r="M389" s="382" t="s">
        <v>5811</v>
      </c>
      <c r="N389" s="387"/>
      <c r="O389" s="2679" cm="1" t="n">
        <f t="array" ref="O389">INDEX('5층_부하량'!G3:G3000,MATCH(1,("5-DaHall 1-PDU-12"='5층_부하량'!A3:A3000)*(30='5층_부하량'!B3:B3000),0))</f>
        <v>6.54</v>
      </c>
      <c r="P389" s="387"/>
      <c r="Q389" s="387"/>
      <c r="R389" s="394" t="s">
        <v>4590</v>
      </c>
      <c r="S389" s="389" t="s">
        <v>4575</v>
      </c>
      <c r="T389" s="672" t="s">
        <v>5946</v>
      </c>
    </row>
    <row r="390" spans="1:20" s="356" customFormat="1" ht="17.25" thickBot="1" x14ac:dyDescent="0.2">
      <c r="A390" s="431" t="s">
        <v>5947</v>
      </c>
      <c r="B390" s="432" t="s">
        <v>4631</v>
      </c>
      <c r="C390" s="432" t="s">
        <v>4642</v>
      </c>
      <c r="D390" s="433"/>
      <c r="E390" s="433"/>
      <c r="F390" s="2680" cm="1" t="n">
        <f t="array" ref="F390">INDEX('5층_부하량'!H3:H3000,MATCH(1,("5-DaHall 1-PDU-12"='5층_부하량'!A3:A3000)*(31='5층_부하량'!B3:B3000),0))</f>
        <v>6.57</v>
      </c>
      <c r="G390" s="433"/>
      <c r="H390" s="432" t="s">
        <v>5811</v>
      </c>
      <c r="I390" s="1452" t="s">
        <v>4693</v>
      </c>
      <c r="J390" s="1059" t="s">
        <v>5832</v>
      </c>
      <c r="K390" s="1060" t="s">
        <v>5832</v>
      </c>
      <c r="L390" s="1219" t="s">
        <v>5948</v>
      </c>
      <c r="M390" s="432" t="s">
        <v>5811</v>
      </c>
      <c r="N390" s="433"/>
      <c r="O390" s="433"/>
      <c r="P390" s="2680" cm="1" t="n">
        <f t="array" ref="P390">INDEX('5층_부하량'!H3:H3000,MATCH(1,("5-DaHall 1-PDU-12"='5층_부하량'!A3:A3000)*(32='5층_부하량'!B3:B3000),0))</f>
        <v>3.48</v>
      </c>
      <c r="Q390" s="433"/>
      <c r="R390" s="436" t="s">
        <v>4631</v>
      </c>
      <c r="S390" s="437" t="s">
        <v>4575</v>
      </c>
      <c r="T390" s="438" t="s">
        <v>5949</v>
      </c>
    </row>
    <row r="391" spans="1:20" s="356" customFormat="1" ht="18" thickTop="1" thickBot="1" x14ac:dyDescent="0.2">
      <c r="L391" s="2445"/>
      <c r="M391" s="411" t="s">
        <v>5645</v>
      </c>
      <c r="N391" s="412" t="n">
        <f>SUM(D375:D390,N375:N390)</f>
        <v>26.05</v>
      </c>
      <c r="O391" s="412" t="n">
        <f>SUM(E375:E390,O375:O390)</f>
        <v>30.35</v>
      </c>
      <c r="P391" s="412" t="n">
        <f>SUM(F375:F390,P375:P390)</f>
        <v>25.330000000000002</v>
      </c>
    </row>
    <row r="392" spans="1:20" s="356" customFormat="1" ht="20.25" thickTop="1" thickBot="1" x14ac:dyDescent="0.2">
      <c r="A392" s="355" t="s">
        <v>6959</v>
      </c>
      <c r="C392" s="3660" t="s">
        <v>5950</v>
      </c>
      <c r="D392" s="3660"/>
      <c r="E392" s="3660"/>
      <c r="F392" s="3660"/>
      <c r="G392" s="357"/>
      <c r="H392" s="358"/>
      <c r="I392" s="358"/>
      <c r="J392" s="3668" t="s">
        <v>5646</v>
      </c>
      <c r="K392" s="3669"/>
      <c r="L392" s="2442"/>
      <c r="M392" s="358"/>
      <c r="N392" s="357"/>
      <c r="O392" s="357"/>
      <c r="P392" s="357"/>
      <c r="Q392" s="357"/>
      <c r="R392" s="357"/>
      <c r="S392" s="357"/>
    </row>
    <row r="393" spans="1:20" s="356" customFormat="1" ht="18" customHeight="1" thickTop="1" thickBot="1" x14ac:dyDescent="0.2">
      <c r="A393" s="3"/>
      <c r="B393"/>
      <c r="C393"/>
      <c r="D393" s="54"/>
      <c r="E393" s="54"/>
      <c r="F393" s="54"/>
      <c r="G393" s="54"/>
      <c r="H393" s="4"/>
      <c r="I393" s="4"/>
      <c r="J393"/>
      <c r="K393" s="56"/>
      <c r="L393" s="565"/>
      <c r="M393" s="1371" t="s">
        <v>4562</v>
      </c>
      <c r="N393" s="1368">
        <v>13.4</v>
      </c>
      <c r="O393" s="1369">
        <v>11.6</v>
      </c>
      <c r="P393" s="1370">
        <v>7.6</v>
      </c>
      <c r="Q393" s="508" t="s">
        <v>4563</v>
      </c>
      <c r="R393" s="133"/>
      <c r="S393" s="128"/>
      <c r="T393" s="528"/>
    </row>
    <row r="394" spans="1:20" s="356" customFormat="1" ht="18" thickTop="1" thickBot="1" x14ac:dyDescent="0.2">
      <c r="A394" s="364" t="s">
        <v>4564</v>
      </c>
      <c r="B394" s="365" t="s">
        <v>4565</v>
      </c>
      <c r="C394" s="366" t="s">
        <v>4566</v>
      </c>
      <c r="D394" s="365" t="s">
        <v>4567</v>
      </c>
      <c r="E394" s="365" t="s">
        <v>4568</v>
      </c>
      <c r="F394" s="365" t="s">
        <v>4569</v>
      </c>
      <c r="G394" s="365" t="s">
        <v>4570</v>
      </c>
      <c r="H394" s="367" t="s">
        <v>4571</v>
      </c>
      <c r="I394" s="557"/>
      <c r="J394" s="368" t="s">
        <v>4572</v>
      </c>
      <c r="K394" s="369" t="s">
        <v>4572</v>
      </c>
      <c r="L394" s="575"/>
      <c r="M394" s="367" t="s">
        <v>4571</v>
      </c>
      <c r="N394" s="365" t="s">
        <v>4567</v>
      </c>
      <c r="O394" s="365" t="s">
        <v>4568</v>
      </c>
      <c r="P394" s="365" t="s">
        <v>4569</v>
      </c>
      <c r="Q394" s="365" t="s">
        <v>4570</v>
      </c>
      <c r="R394" s="365" t="s">
        <v>4565</v>
      </c>
      <c r="S394" s="366" t="s">
        <v>4566</v>
      </c>
      <c r="T394" s="370" t="s">
        <v>4564</v>
      </c>
    </row>
    <row r="395" spans="1:20" s="356" customFormat="1" ht="17.25" thickTop="1" x14ac:dyDescent="0.15">
      <c r="A395" s="371"/>
      <c r="B395" s="372" t="s">
        <v>4590</v>
      </c>
      <c r="C395" s="373" t="s">
        <v>4642</v>
      </c>
      <c r="D395" s="2681" cm="1" t="n">
        <f t="array" ref="D395">INDEX('5층_부하량'!F3:F3000,MATCH(1,("5-DaHall 1-PDU-14"='5층_부하량'!A3:A3000)*(1='5층_부하량'!B3:B3000),0))</f>
        <v>0.0</v>
      </c>
      <c r="E395" s="2681" cm="1" t="n">
        <f t="array" ref="E395">INDEX('5층_부하량'!G3:G3000,MATCH(1,("5-DaHall 1-PDU-14"='5층_부하량'!A3:A3000)*(1='5층_부하량'!B3:B3000),0))</f>
        <v>0.0</v>
      </c>
      <c r="F395" s="2681" cm="1" t="n">
        <f t="array" ref="F395">INDEX('5층_부하량'!H3:H3000,MATCH(1,("5-DaHall 1-PDU-14"='5층_부하량'!A3:A3000)*(1='5층_부하량'!B3:B3000),0))</f>
        <v>0.0</v>
      </c>
      <c r="G395" s="374"/>
      <c r="H395" s="373" t="s">
        <v>5786</v>
      </c>
      <c r="I395" s="2446" t="s">
        <v>5894</v>
      </c>
      <c r="J395" s="1051"/>
      <c r="K395" s="1052"/>
      <c r="L395" s="1449" t="s">
        <v>5896</v>
      </c>
      <c r="M395" s="372" t="s">
        <v>5786</v>
      </c>
      <c r="N395" s="2681" cm="1" t="n">
        <f t="array" ref="N395">INDEX('5층_부하량'!F3:F3000,MATCH(1,("5-DaHall 1-PDU-14"='5층_부하량'!A3:A3000)*(2='5층_부하량'!B3:B3000),0))</f>
        <v>0.0</v>
      </c>
      <c r="O395" s="2681" cm="1" t="n">
        <f t="array" ref="O395">INDEX('5층_부하량'!G3:G3000,MATCH(1,("5-DaHall 1-PDU-14"='5층_부하량'!A3:A3000)*(2='5층_부하량'!B3:B3000),0))</f>
        <v>0.0</v>
      </c>
      <c r="P395" s="2681" cm="1" t="n">
        <f t="array" ref="P395">INDEX('5층_부하량'!H3:H3000,MATCH(1,("5-DaHall 1-PDU-14"='5층_부하량'!A3:A3000)*(2='5층_부하량'!B3:B3000),0))</f>
        <v>0.0</v>
      </c>
      <c r="Q395" s="374"/>
      <c r="R395" s="378" t="s">
        <v>4590</v>
      </c>
      <c r="S395" s="372" t="s">
        <v>4642</v>
      </c>
      <c r="T395" s="380"/>
    </row>
    <row r="396" spans="1:20" s="356" customFormat="1" ht="16.5" x14ac:dyDescent="0.15">
      <c r="A396" s="667" t="s">
        <v>5951</v>
      </c>
      <c r="B396" s="382" t="s">
        <v>4631</v>
      </c>
      <c r="C396" s="389" t="s">
        <v>4575</v>
      </c>
      <c r="D396" s="2682" cm="1" t="n">
        <f t="array" ref="D396">INDEX('5층_부하량'!F3:F3000,MATCH(1,("5-DaHall 1-PDU-14"='5층_부하량'!A3:A3000)*(3='5층_부하량'!B3:B3000),0))</f>
        <v>3.2800000000000002</v>
      </c>
      <c r="E396" s="383"/>
      <c r="F396" s="383"/>
      <c r="G396" s="383"/>
      <c r="H396" s="382" t="s">
        <v>5790</v>
      </c>
      <c r="I396" s="1211" t="s">
        <v>4638</v>
      </c>
      <c r="J396" s="669" t="s">
        <v>5828</v>
      </c>
      <c r="K396" s="385" t="s">
        <v>5832</v>
      </c>
      <c r="L396" s="577" t="s">
        <v>4583</v>
      </c>
      <c r="M396" s="382" t="s">
        <v>5786</v>
      </c>
      <c r="N396" s="2682" cm="1" t="n">
        <f t="array" ref="N396">INDEX('5층_부하량'!F3:F3000,MATCH(1,("5-DaHall 1-PDU-14"='5층_부하량'!A3:A3000)*(4='5층_부하량'!B3:B3000),0))</f>
        <v>7.85</v>
      </c>
      <c r="O396" s="383"/>
      <c r="P396" s="383"/>
      <c r="Q396" s="383"/>
      <c r="R396" s="388" t="s">
        <v>4631</v>
      </c>
      <c r="S396" s="389" t="s">
        <v>4575</v>
      </c>
      <c r="T396" s="395" t="s">
        <v>3105</v>
      </c>
    </row>
    <row r="397" spans="1:20" s="356" customFormat="1" ht="16.5" x14ac:dyDescent="0.15">
      <c r="A397" s="381" t="s">
        <v>5952</v>
      </c>
      <c r="B397" s="382" t="s">
        <v>4631</v>
      </c>
      <c r="C397" s="389" t="s">
        <v>4575</v>
      </c>
      <c r="D397" s="387"/>
      <c r="E397" s="2679" cm="1" t="n">
        <f t="array" ref="E397">INDEX('5층_부하량'!G3:G3000,MATCH(1,("5-DaHall 1-PDU-14"='5층_부하량'!A3:A3000)*(5='5층_부하량'!B3:B3000),0))</f>
        <v>0.0</v>
      </c>
      <c r="F397" s="387"/>
      <c r="G397" s="387"/>
      <c r="H397" s="382" t="s">
        <v>5786</v>
      </c>
      <c r="I397" s="1450" t="s">
        <v>4641</v>
      </c>
      <c r="J397" s="384" t="s">
        <v>5832</v>
      </c>
      <c r="K397" s="385" t="s">
        <v>5832</v>
      </c>
      <c r="L397" s="577" t="s">
        <v>4588</v>
      </c>
      <c r="M397" s="382" t="s">
        <v>5786</v>
      </c>
      <c r="N397" s="387"/>
      <c r="O397" s="2679" cm="1" t="n">
        <f t="array" ref="O397">INDEX('5층_부하량'!G3:G3000,MATCH(1,("5-DaHall 1-PDU-14"='5층_부하량'!A3:A3000)*(6='5층_부하량'!B3:B3000),0))</f>
        <v>3.16</v>
      </c>
      <c r="P397" s="387"/>
      <c r="Q397" s="387"/>
      <c r="R397" s="394" t="s">
        <v>4631</v>
      </c>
      <c r="S397" s="389" t="s">
        <v>4575</v>
      </c>
      <c r="T397" s="390" t="s">
        <v>3111</v>
      </c>
    </row>
    <row r="398" spans="1:20" s="356" customFormat="1" ht="16.5" x14ac:dyDescent="0.15">
      <c r="A398" s="391" t="s">
        <v>5953</v>
      </c>
      <c r="B398" s="382" t="s">
        <v>4631</v>
      </c>
      <c r="C398" s="389" t="s">
        <v>4575</v>
      </c>
      <c r="D398" s="387"/>
      <c r="E398" s="387"/>
      <c r="F398" s="2679" cm="1" t="n">
        <f t="array" ref="F398">INDEX('5층_부하량'!H3:H3000,MATCH(1,("5-DaHall 1-PDU-14"='5층_부하량'!A3:A3000)*(7='5층_부하량'!B3:B3000),0))</f>
        <v>1.83</v>
      </c>
      <c r="G398" s="387"/>
      <c r="H398" s="382" t="s">
        <v>5786</v>
      </c>
      <c r="I398" s="1450" t="s">
        <v>4645</v>
      </c>
      <c r="J398" s="384" t="s">
        <v>5832</v>
      </c>
      <c r="K398" s="385" t="s">
        <v>5832</v>
      </c>
      <c r="L398" s="577" t="s">
        <v>4593</v>
      </c>
      <c r="M398" s="382" t="s">
        <v>5795</v>
      </c>
      <c r="N398" s="387"/>
      <c r="O398" s="387"/>
      <c r="P398" s="2679" cm="1" t="n">
        <f t="array" ref="P398">INDEX('5층_부하량'!H3:H3000,MATCH(1,("5-DaHall 1-PDU-14"='5층_부하량'!A3:A3000)*(8='5층_부하량'!B3:B3000),0))</f>
        <v>0.0</v>
      </c>
      <c r="Q398" s="387"/>
      <c r="R398" s="394" t="s">
        <v>4631</v>
      </c>
      <c r="S398" s="389" t="s">
        <v>4575</v>
      </c>
      <c r="T398" s="395" t="s">
        <v>3118</v>
      </c>
    </row>
    <row r="399" spans="1:20" s="356" customFormat="1" ht="16.5" x14ac:dyDescent="0.15">
      <c r="A399" s="381" t="s">
        <v>5954</v>
      </c>
      <c r="B399" s="382" t="s">
        <v>4631</v>
      </c>
      <c r="C399" s="424" t="s">
        <v>4642</v>
      </c>
      <c r="D399" s="2679" cm="1" t="n">
        <f t="array" ref="D399">INDEX('5층_부하량'!F3:F3000,MATCH(1,("5-DaHall 1-PDU-14"='5층_부하량'!A3:A3000)*(9='5층_부하량'!B3:B3000),0))</f>
        <v>1.07</v>
      </c>
      <c r="E399" s="387"/>
      <c r="F399" s="387"/>
      <c r="G399" s="387"/>
      <c r="H399" s="382" t="s">
        <v>5786</v>
      </c>
      <c r="I399" s="558" t="s">
        <v>4648</v>
      </c>
      <c r="J399" s="384" t="s">
        <v>5832</v>
      </c>
      <c r="K399" s="385" t="s">
        <v>5832</v>
      </c>
      <c r="L399" s="577" t="s">
        <v>4596</v>
      </c>
      <c r="M399" s="382" t="s">
        <v>5795</v>
      </c>
      <c r="N399" s="2679" cm="1" t="n">
        <f t="array" ref="N399">INDEX('5층_부하량'!F3:F3000,MATCH(1,("5-DaHall 1-PDU-14"='5층_부하량'!A3:A3000)*(10='5층_부하량'!B3:B3000),0))</f>
        <v>2.69</v>
      </c>
      <c r="O399" s="387"/>
      <c r="P399" s="387"/>
      <c r="Q399" s="387"/>
      <c r="R399" s="394" t="s">
        <v>4631</v>
      </c>
      <c r="S399" s="389" t="s">
        <v>4575</v>
      </c>
      <c r="T399" s="413" t="s">
        <v>2543</v>
      </c>
    </row>
    <row r="400" spans="1:20" s="356" customFormat="1" ht="17.25" thickBot="1" x14ac:dyDescent="0.2">
      <c r="A400" s="439" t="s">
        <v>3044</v>
      </c>
      <c r="B400" s="415" t="s">
        <v>4631</v>
      </c>
      <c r="C400" s="416" t="s">
        <v>4575</v>
      </c>
      <c r="D400" s="417"/>
      <c r="E400" s="2686" cm="1" t="n">
        <f t="array" ref="E400">INDEX('5층_부하량'!G3:G3000,MATCH(1,("5-DaHall 1-PDU-14"='5층_부하량'!A3:A3000)*(11='5층_부하량'!B3:B3000),0))</f>
        <v>3.6</v>
      </c>
      <c r="F400" s="417"/>
      <c r="G400" s="417"/>
      <c r="H400" s="415" t="s">
        <v>5883</v>
      </c>
      <c r="I400" s="561" t="s">
        <v>4653</v>
      </c>
      <c r="J400" s="419" t="s">
        <v>5832</v>
      </c>
      <c r="K400" s="420" t="s">
        <v>5832</v>
      </c>
      <c r="L400" s="582" t="s">
        <v>4599</v>
      </c>
      <c r="M400" s="415" t="s">
        <v>5801</v>
      </c>
      <c r="N400" s="417"/>
      <c r="O400" s="2686" cm="1" t="n">
        <f t="array" ref="O400">INDEX('5층_부하량'!G3:G3000,MATCH(1,("5-DaHall 1-PDU-14"='5층_부하량'!A3:A3000)*(12='5층_부하량'!B3:B3000),0))</f>
        <v>2.67</v>
      </c>
      <c r="P400" s="417"/>
      <c r="Q400" s="417"/>
      <c r="R400" s="421" t="s">
        <v>4631</v>
      </c>
      <c r="S400" s="416" t="s">
        <v>4575</v>
      </c>
      <c r="T400" s="440" t="s">
        <v>2549</v>
      </c>
    </row>
    <row r="401" spans="1:20" s="356" customFormat="1" ht="17.25" thickTop="1" x14ac:dyDescent="0.15">
      <c r="A401" s="673" t="s">
        <v>5955</v>
      </c>
      <c r="B401" s="372" t="s">
        <v>4631</v>
      </c>
      <c r="C401" s="379" t="s">
        <v>4575</v>
      </c>
      <c r="D401" s="401"/>
      <c r="E401" s="401"/>
      <c r="F401" s="2678" cm="1" t="n">
        <f t="array" ref="F401">INDEX('5층_부하량'!H3:H3000,MATCH(1,("5-DaHall 1-PDU-14"='5층_부하량'!A3:A3000)*(13='5층_부하량'!B3:B3000),0))</f>
        <v>1.83</v>
      </c>
      <c r="G401" s="401"/>
      <c r="H401" s="372" t="s">
        <v>5883</v>
      </c>
      <c r="I401" s="559" t="s">
        <v>4657</v>
      </c>
      <c r="J401" s="674" t="s">
        <v>5828</v>
      </c>
      <c r="K401" s="675" t="s">
        <v>5828</v>
      </c>
      <c r="L401" s="576" t="s">
        <v>4601</v>
      </c>
      <c r="M401" s="372" t="s">
        <v>5801</v>
      </c>
      <c r="N401" s="401"/>
      <c r="O401" s="401"/>
      <c r="P401" s="2678" cm="1" t="n">
        <f t="array" ref="P401">INDEX('5층_부하량'!H3:H3000,MATCH(1,("5-DaHall 1-PDU-14"='5층_부하량'!A3:A3000)*(14='5층_부하량'!B3:B3000),0))</f>
        <v>3.24</v>
      </c>
      <c r="Q401" s="401"/>
      <c r="R401" s="402" t="s">
        <v>4631</v>
      </c>
      <c r="S401" s="379" t="s">
        <v>4575</v>
      </c>
      <c r="T401" s="676" t="s">
        <v>5956</v>
      </c>
    </row>
    <row r="402" spans="1:20" s="356" customFormat="1" ht="16.5" x14ac:dyDescent="0.15">
      <c r="A402" s="403" t="s">
        <v>5957</v>
      </c>
      <c r="B402" s="424" t="s">
        <v>4631</v>
      </c>
      <c r="C402" s="425" t="s">
        <v>4575</v>
      </c>
      <c r="D402" s="2687" cm="1" t="n">
        <f t="array" ref="D402">INDEX('5층_부하량'!F3:F3000,MATCH(1,("5-DaHall 1-PDU-14"='5층_부하량'!A3:A3000)*(15='5층_부하량'!B3:B3000),0))</f>
        <v>0.0</v>
      </c>
      <c r="E402" s="426"/>
      <c r="F402" s="426"/>
      <c r="G402" s="426"/>
      <c r="H402" s="424" t="s">
        <v>5801</v>
      </c>
      <c r="I402" s="562" t="s">
        <v>4661</v>
      </c>
      <c r="J402" s="427" t="s">
        <v>5832</v>
      </c>
      <c r="K402" s="428" t="s">
        <v>5832</v>
      </c>
      <c r="L402" s="1453" t="s">
        <v>4603</v>
      </c>
      <c r="M402" s="424" t="s">
        <v>5801</v>
      </c>
      <c r="N402" s="2687" cm="1" t="n">
        <f t="array" ref="N402">INDEX('5층_부하량'!F3:F3000,MATCH(1,("5-DaHall 1-PDU-14"='5층_부하량'!A3:A3000)*(16='5층_부하량'!B3:B3000),0))</f>
        <v>0.0</v>
      </c>
      <c r="O402" s="426"/>
      <c r="P402" s="426"/>
      <c r="Q402" s="21"/>
      <c r="R402" s="69" t="s">
        <v>4631</v>
      </c>
      <c r="S402" s="1442" t="s">
        <v>4723</v>
      </c>
      <c r="T402" s="390" t="s">
        <v>5429</v>
      </c>
    </row>
    <row r="403" spans="1:20" s="356" customFormat="1" ht="16.5" x14ac:dyDescent="0.15">
      <c r="A403" s="391" t="s">
        <v>3066</v>
      </c>
      <c r="B403" s="382" t="s">
        <v>4631</v>
      </c>
      <c r="C403" s="389" t="s">
        <v>4575</v>
      </c>
      <c r="D403" s="387"/>
      <c r="E403" s="2679" cm="1" t="n">
        <f t="array" ref="E403">INDEX('5층_부하량'!G3:G3000,MATCH(1,("5-DaHall 1-PDU-14"='5층_부하량'!A3:A3000)*(17='5층_부하량'!B3:B3000),0))</f>
        <v>1.07</v>
      </c>
      <c r="F403" s="387"/>
      <c r="G403" s="387"/>
      <c r="H403" s="382" t="s">
        <v>5801</v>
      </c>
      <c r="I403" s="558" t="s">
        <v>4665</v>
      </c>
      <c r="J403" s="384" t="s">
        <v>5832</v>
      </c>
      <c r="K403" s="385" t="s">
        <v>5832</v>
      </c>
      <c r="L403" s="1454" t="s">
        <v>4605</v>
      </c>
      <c r="M403" s="382" t="s">
        <v>5801</v>
      </c>
      <c r="N403" s="387"/>
      <c r="O403" s="2679" cm="1" t="n">
        <f t="array" ref="O403">INDEX('5층_부하량'!G3:G3000,MATCH(1,("5-DaHall 1-PDU-14"='5층_부하량'!A3:A3000)*(18='5층_부하량'!B3:B3000),0))</f>
        <v>7.93</v>
      </c>
      <c r="P403" s="387"/>
      <c r="Q403" s="21"/>
      <c r="R403" s="69" t="s">
        <v>4631</v>
      </c>
      <c r="S403" s="1442" t="s">
        <v>4723</v>
      </c>
      <c r="T403" s="395" t="s">
        <v>5431</v>
      </c>
    </row>
    <row r="404" spans="1:20" s="356" customFormat="1" ht="16.5" x14ac:dyDescent="0.15">
      <c r="A404" s="403" t="s">
        <v>3075</v>
      </c>
      <c r="B404" s="382" t="s">
        <v>4631</v>
      </c>
      <c r="C404" s="389" t="s">
        <v>4575</v>
      </c>
      <c r="D404" s="387"/>
      <c r="E404" s="387"/>
      <c r="F404" s="2679" cm="1" t="n">
        <f t="array" ref="F404">INDEX('5층_부하량'!H3:H3000,MATCH(1,("5-DaHall 1-PDU-14"='5층_부하량'!A3:A3000)*(19='5층_부하량'!B3:B3000),0))</f>
        <v>3.15</v>
      </c>
      <c r="G404" s="387"/>
      <c r="H404" s="382" t="s">
        <v>5811</v>
      </c>
      <c r="I404" s="558" t="s">
        <v>4670</v>
      </c>
      <c r="J404" s="384" t="s">
        <v>5832</v>
      </c>
      <c r="K404" s="385" t="s">
        <v>5832</v>
      </c>
      <c r="L404" s="577" t="s">
        <v>4609</v>
      </c>
      <c r="M404" s="382" t="s">
        <v>5811</v>
      </c>
      <c r="N404" s="387"/>
      <c r="O404" s="387"/>
      <c r="P404" s="2679" cm="1" t="n">
        <f t="array" ref="P404">INDEX('5층_부하량'!H3:H3000,MATCH(1,("5-DaHall 1-PDU-14"='5층_부하량'!A3:A3000)*(20='5층_부하량'!B3:B3000),0))</f>
        <v>0.0</v>
      </c>
      <c r="Q404" s="21"/>
      <c r="R404" s="69" t="s">
        <v>4631</v>
      </c>
      <c r="S404" s="1442" t="s">
        <v>4723</v>
      </c>
      <c r="T404" s="395" t="s">
        <v>5433</v>
      </c>
    </row>
    <row r="405" spans="1:20" s="356" customFormat="1" ht="16.5" x14ac:dyDescent="0.15">
      <c r="A405" s="391" t="s">
        <v>3080</v>
      </c>
      <c r="B405" s="382" t="s">
        <v>4631</v>
      </c>
      <c r="C405" s="389" t="s">
        <v>4575</v>
      </c>
      <c r="D405" s="2679" cm="1" t="n">
        <f t="array" ref="D405">INDEX('5층_부하량'!F3:F3000,MATCH(1,("5-DaHall 1-PDU-14"='5층_부하량'!A3:A3000)*(21='5층_부하량'!B3:B3000),0))</f>
        <v>3.58</v>
      </c>
      <c r="E405" s="387"/>
      <c r="F405" s="387"/>
      <c r="G405" s="387"/>
      <c r="H405" s="382" t="s">
        <v>5811</v>
      </c>
      <c r="I405" s="558" t="s">
        <v>4674</v>
      </c>
      <c r="J405" s="384" t="s">
        <v>5832</v>
      </c>
      <c r="K405" s="385" t="s">
        <v>5832</v>
      </c>
      <c r="L405" s="577" t="s">
        <v>4613</v>
      </c>
      <c r="M405" s="382" t="s">
        <v>5811</v>
      </c>
      <c r="N405" s="2679" cm="1" t="n">
        <f t="array" ref="N405">INDEX('5층_부하량'!F3:F3000,MATCH(1,("5-DaHall 1-PDU-14"='5층_부하량'!A3:A3000)*(22='5층_부하량'!B3:B3000),0))</f>
        <v>0.0</v>
      </c>
      <c r="O405" s="387"/>
      <c r="P405" s="387"/>
      <c r="Q405" s="21"/>
      <c r="R405" s="69" t="s">
        <v>4631</v>
      </c>
      <c r="S405" s="1442" t="s">
        <v>4723</v>
      </c>
      <c r="T405" s="395" t="s">
        <v>3146</v>
      </c>
    </row>
    <row r="406" spans="1:20" s="356" customFormat="1" ht="16.5" x14ac:dyDescent="0.15">
      <c r="A406" s="403" t="s">
        <v>3088</v>
      </c>
      <c r="B406" s="382" t="s">
        <v>4631</v>
      </c>
      <c r="C406" s="389" t="s">
        <v>4575</v>
      </c>
      <c r="D406" s="387"/>
      <c r="E406" s="2679" cm="1" t="n">
        <f t="array" ref="E406">INDEX('5층_부하량'!G3:G3000,MATCH(1,("5-DaHall 1-PDU-14"='5층_부하량'!A3:A3000)*(23='5층_부하량'!B3:B3000),0))</f>
        <v>3.25</v>
      </c>
      <c r="F406" s="387"/>
      <c r="G406" s="387"/>
      <c r="H406" s="382" t="s">
        <v>5811</v>
      </c>
      <c r="I406" s="558" t="s">
        <v>4678</v>
      </c>
      <c r="J406" s="384" t="s">
        <v>5832</v>
      </c>
      <c r="K406" s="385" t="s">
        <v>5832</v>
      </c>
      <c r="L406" s="577" t="s">
        <v>4680</v>
      </c>
      <c r="M406" s="382" t="s">
        <v>5811</v>
      </c>
      <c r="N406" s="387"/>
      <c r="O406" s="2679" cm="1" t="n">
        <f t="array" ref="O406">INDEX('5층_부하량'!G3:G3000,MATCH(1,("5-DaHall 1-PDU-14"='5층_부하량'!A3:A3000)*(24='5층_부하량'!B3:B3000),0))</f>
        <v>5.7</v>
      </c>
      <c r="P406" s="387"/>
      <c r="Q406" s="387"/>
      <c r="R406" s="394" t="s">
        <v>4631</v>
      </c>
      <c r="S406" s="389" t="s">
        <v>4575</v>
      </c>
      <c r="T406" s="395" t="s">
        <v>5958</v>
      </c>
    </row>
    <row r="407" spans="1:20" s="356" customFormat="1" ht="16.5" x14ac:dyDescent="0.15">
      <c r="A407" s="391" t="s">
        <v>5416</v>
      </c>
      <c r="B407" s="382" t="s">
        <v>4631</v>
      </c>
      <c r="C407" s="389" t="s">
        <v>4575</v>
      </c>
      <c r="D407" s="387"/>
      <c r="E407" s="387"/>
      <c r="F407" s="2679" cm="1" t="n">
        <f t="array" ref="F407">INDEX('5층_부하량'!H3:H3000,MATCH(1,("5-DaHall 1-PDU-14"='5층_부하량'!A3:A3000)*(25='5층_부하량'!B3:B3000),0))</f>
        <v>0.0</v>
      </c>
      <c r="G407" s="387"/>
      <c r="H407" s="382" t="s">
        <v>5811</v>
      </c>
      <c r="I407" s="1450" t="s">
        <v>4683</v>
      </c>
      <c r="J407" s="384" t="s">
        <v>5832</v>
      </c>
      <c r="K407" s="385" t="s">
        <v>5832</v>
      </c>
      <c r="L407" s="577" t="s">
        <v>4685</v>
      </c>
      <c r="M407" s="382" t="s">
        <v>5811</v>
      </c>
      <c r="N407" s="387"/>
      <c r="O407" s="387"/>
      <c r="P407" s="2679" cm="1" t="n">
        <f t="array" ref="P407">INDEX('5층_부하량'!H3:H3000,MATCH(1,("5-DaHall 1-PDU-14"='5층_부하량'!A3:A3000)*(26='5층_부하량'!B3:B3000),0))</f>
        <v>0.0</v>
      </c>
      <c r="Q407" s="387"/>
      <c r="R407" s="394" t="s">
        <v>4579</v>
      </c>
      <c r="S407" s="1442" t="s">
        <v>4723</v>
      </c>
      <c r="T407" s="395" t="s">
        <v>5959</v>
      </c>
    </row>
    <row r="408" spans="1:20" s="356" customFormat="1" ht="16.5" x14ac:dyDescent="0.15">
      <c r="A408" s="403" t="s">
        <v>5417</v>
      </c>
      <c r="B408" s="382" t="s">
        <v>4631</v>
      </c>
      <c r="C408" s="389" t="s">
        <v>4575</v>
      </c>
      <c r="D408" s="2679" cm="1" t="n">
        <f t="array" ref="D408">INDEX('5층_부하량'!F3:F3000,MATCH(1,("5-DaHall 1-PDU-14"='5층_부하량'!A3:A3000)*(27='5층_부하량'!B3:B3000),0))</f>
        <v>0.0</v>
      </c>
      <c r="E408" s="387"/>
      <c r="F408" s="387"/>
      <c r="G408" s="387"/>
      <c r="H408" s="382" t="s">
        <v>5811</v>
      </c>
      <c r="I408" s="1450" t="s">
        <v>4688</v>
      </c>
      <c r="J408" s="384" t="s">
        <v>5832</v>
      </c>
      <c r="K408" s="385" t="s">
        <v>5832</v>
      </c>
      <c r="L408" s="577" t="s">
        <v>4689</v>
      </c>
      <c r="M408" s="382" t="s">
        <v>5811</v>
      </c>
      <c r="N408" s="2679" cm="1" t="n">
        <f t="array" ref="N408">INDEX('5층_부하량'!F3:F3000,MATCH(1,("5-DaHall 1-PDU-14"='5층_부하량'!A3:A3000)*(28='5층_부하량'!B3:B3000),0))</f>
        <v>5.5600000000000005</v>
      </c>
      <c r="O408" s="387"/>
      <c r="P408" s="387"/>
      <c r="Q408" s="387"/>
      <c r="R408" s="394" t="s">
        <v>4579</v>
      </c>
      <c r="S408" s="1442" t="s">
        <v>4723</v>
      </c>
      <c r="T408" s="395" t="s">
        <v>5960</v>
      </c>
    </row>
    <row r="409" spans="1:20" s="356" customFormat="1" ht="16.5" x14ac:dyDescent="0.15">
      <c r="A409" s="391" t="s">
        <v>5419</v>
      </c>
      <c r="B409" s="382" t="s">
        <v>4631</v>
      </c>
      <c r="C409" s="389" t="s">
        <v>4575</v>
      </c>
      <c r="D409" s="387"/>
      <c r="E409" s="2679" cm="1" t="n">
        <f t="array" ref="E409">INDEX('5층_부하량'!G3:G3000,MATCH(1,("5-DaHall 1-PDU-14"='5층_부하량'!A3:A3000)*(29='5층_부하량'!B3:B3000),0))</f>
        <v>0.0</v>
      </c>
      <c r="F409" s="387"/>
      <c r="G409" s="387"/>
      <c r="H409" s="382" t="s">
        <v>5811</v>
      </c>
      <c r="I409" s="558" t="s">
        <v>4691</v>
      </c>
      <c r="J409" s="384" t="s">
        <v>5832</v>
      </c>
      <c r="K409" s="385" t="s">
        <v>5832</v>
      </c>
      <c r="L409" s="577" t="s">
        <v>4692</v>
      </c>
      <c r="M409" s="382" t="s">
        <v>5811</v>
      </c>
      <c r="N409" s="387"/>
      <c r="O409" s="2679" cm="1" t="n">
        <f t="array" ref="O409">INDEX('5층_부하량'!G3:G3000,MATCH(1,("5-DaHall 1-PDU-14"='5층_부하량'!A3:A3000)*(30='5층_부하량'!B3:B3000),0))</f>
        <v>1.21</v>
      </c>
      <c r="P409" s="387"/>
      <c r="Q409" s="387"/>
      <c r="R409" s="394" t="s">
        <v>4631</v>
      </c>
      <c r="S409" s="389" t="s">
        <v>4575</v>
      </c>
      <c r="T409" s="395" t="s">
        <v>5961</v>
      </c>
    </row>
    <row r="410" spans="1:20" s="356" customFormat="1" ht="17.25" thickBot="1" x14ac:dyDescent="0.2">
      <c r="A410" s="431" t="s">
        <v>3098</v>
      </c>
      <c r="B410" s="432" t="s">
        <v>4631</v>
      </c>
      <c r="C410" s="437" t="s">
        <v>4575</v>
      </c>
      <c r="D410" s="433"/>
      <c r="E410" s="433"/>
      <c r="F410" s="2680" cm="1" t="n">
        <f t="array" ref="F410">INDEX('5층_부하량'!H3:H3000,MATCH(1,("5-DaHall 1-PDU-14"='5층_부하량'!A3:A3000)*(31='5층_부하량'!B3:B3000),0))</f>
        <v>0.0</v>
      </c>
      <c r="G410" s="433"/>
      <c r="H410" s="432" t="s">
        <v>5811</v>
      </c>
      <c r="I410" s="563" t="s">
        <v>4693</v>
      </c>
      <c r="J410" s="434" t="s">
        <v>5832</v>
      </c>
      <c r="K410" s="441"/>
      <c r="L410" s="584" t="s">
        <v>4694</v>
      </c>
      <c r="M410" s="432" t="s">
        <v>5811</v>
      </c>
      <c r="N410" s="433"/>
      <c r="O410" s="433"/>
      <c r="P410" s="2680" cm="1" t="n">
        <f t="array" ref="P410">INDEX('5층_부하량'!H3:H3000,MATCH(1,("5-DaHall 1-PDU-14"='5층_부하량'!A3:A3000)*(32='5층_부하량'!B3:B3000),0))</f>
        <v>1.25</v>
      </c>
      <c r="Q410" s="433"/>
      <c r="R410" s="436" t="s">
        <v>4631</v>
      </c>
      <c r="S410" s="437" t="s">
        <v>4575</v>
      </c>
      <c r="T410" s="442" t="s">
        <v>5962</v>
      </c>
    </row>
    <row r="411" spans="1:20" s="356" customFormat="1" ht="18" thickTop="1" thickBot="1" x14ac:dyDescent="0.2">
      <c r="L411" s="2445"/>
      <c r="M411" s="411" t="s">
        <v>5645</v>
      </c>
      <c r="N411" s="412" t="n">
        <f>SUM(D395:D410,N395:N410)</f>
        <v>24.03</v>
      </c>
      <c r="O411" s="412" t="n">
        <f>SUM(E395:E410,O395:O410)</f>
        <v>28.59</v>
      </c>
      <c r="P411" s="412" t="n">
        <f>SUM(F395:F410,P395:P410)</f>
        <v>11.3</v>
      </c>
    </row>
    <row r="412" spans="1:20" s="356" customFormat="1" ht="20.25" thickTop="1" thickBot="1" x14ac:dyDescent="0.2">
      <c r="A412" s="355" t="s">
        <v>6960</v>
      </c>
      <c r="C412" s="3660" t="s">
        <v>5963</v>
      </c>
      <c r="D412" s="3660"/>
      <c r="E412" s="3660"/>
      <c r="F412" s="3660"/>
      <c r="G412" s="357"/>
      <c r="H412" s="358"/>
      <c r="I412" s="358"/>
      <c r="J412" s="3668" t="s">
        <v>4715</v>
      </c>
      <c r="K412" s="3669"/>
      <c r="L412" s="2442"/>
      <c r="M412" s="358"/>
      <c r="N412" s="357"/>
      <c r="O412" s="357"/>
      <c r="P412" s="357"/>
      <c r="Q412" s="357"/>
      <c r="R412" s="357"/>
      <c r="S412" s="357"/>
    </row>
    <row r="413" spans="1:20" s="356" customFormat="1" ht="15" customHeight="1" thickTop="1" thickBot="1" x14ac:dyDescent="0.2">
      <c r="A413" s="359"/>
      <c r="D413" s="360"/>
      <c r="E413" s="360"/>
      <c r="F413" s="360"/>
      <c r="G413" s="360"/>
      <c r="H413" s="361"/>
      <c r="I413" s="361"/>
      <c r="K413" s="362"/>
      <c r="L413" s="574"/>
      <c r="M413" s="1371" t="s">
        <v>4562</v>
      </c>
      <c r="N413" s="1368">
        <v>20.100000000000001</v>
      </c>
      <c r="O413" s="1369">
        <v>11.1</v>
      </c>
      <c r="P413" s="1370">
        <v>16</v>
      </c>
      <c r="Q413" s="508" t="s">
        <v>4563</v>
      </c>
      <c r="R413" s="1372"/>
      <c r="T413" s="363" t="s">
        <v>5964</v>
      </c>
    </row>
    <row r="414" spans="1:20" s="356" customFormat="1" ht="18" thickTop="1" thickBot="1" x14ac:dyDescent="0.2">
      <c r="A414" s="364" t="s">
        <v>4564</v>
      </c>
      <c r="B414" s="365" t="s">
        <v>4565</v>
      </c>
      <c r="C414" s="366" t="s">
        <v>4566</v>
      </c>
      <c r="D414" s="365" t="s">
        <v>4567</v>
      </c>
      <c r="E414" s="365" t="s">
        <v>4568</v>
      </c>
      <c r="F414" s="365" t="s">
        <v>4569</v>
      </c>
      <c r="G414" s="365" t="s">
        <v>4570</v>
      </c>
      <c r="H414" s="367" t="s">
        <v>4571</v>
      </c>
      <c r="I414" s="557"/>
      <c r="J414" s="368" t="s">
        <v>4572</v>
      </c>
      <c r="K414" s="369" t="s">
        <v>4572</v>
      </c>
      <c r="L414" s="575"/>
      <c r="M414" s="367" t="s">
        <v>4571</v>
      </c>
      <c r="N414" s="365" t="s">
        <v>4567</v>
      </c>
      <c r="O414" s="365" t="s">
        <v>4568</v>
      </c>
      <c r="P414" s="365" t="s">
        <v>4569</v>
      </c>
      <c r="Q414" s="365" t="s">
        <v>4570</v>
      </c>
      <c r="R414" s="365" t="s">
        <v>4565</v>
      </c>
      <c r="S414" s="366" t="s">
        <v>4566</v>
      </c>
      <c r="T414" s="370" t="s">
        <v>4564</v>
      </c>
    </row>
    <row r="415" spans="1:20" s="356" customFormat="1" ht="17.25" thickTop="1" x14ac:dyDescent="0.15">
      <c r="A415" s="474" t="s">
        <v>5965</v>
      </c>
      <c r="B415" s="372" t="s">
        <v>4635</v>
      </c>
      <c r="C415" s="389" t="s">
        <v>4575</v>
      </c>
      <c r="D415" s="2681" cm="1" t="n">
        <f t="array" ref="D415">INDEX('5층_부하량'!F3:F3000,MATCH(1,("5-DaHall 1-PDU-16"='5층_부하량'!A3:A3000)*(1='5층_부하량'!B3:B3000),0))</f>
        <v>4.77</v>
      </c>
      <c r="E415" s="2681" cm="1" t="n">
        <f t="array" ref="E415">INDEX('5층_부하량'!G3:G3000,MATCH(1,("5-DaHall 1-PDU-16"='5층_부하량'!A3:A3000)*(1='5층_부하량'!B3:B3000),0))</f>
        <v>1.37</v>
      </c>
      <c r="F415" s="2681" cm="1" t="n">
        <f t="array" ref="F415">INDEX('5층_부하량'!H3:H3000,MATCH(1,("5-DaHall 1-PDU-16"='5층_부하량'!A3:A3000)*(1='5층_부하량'!B3:B3000),0))</f>
        <v>6.16</v>
      </c>
      <c r="G415" s="377"/>
      <c r="H415" s="373" t="s">
        <v>5893</v>
      </c>
      <c r="I415" s="2443" t="s">
        <v>5894</v>
      </c>
      <c r="J415" s="1040" t="s">
        <v>3877</v>
      </c>
      <c r="K415" s="1041" t="s">
        <v>5895</v>
      </c>
      <c r="L415" s="1178" t="s">
        <v>5896</v>
      </c>
      <c r="M415" s="372" t="s">
        <v>5893</v>
      </c>
      <c r="N415" s="2681" cm="1" t="n">
        <f t="array" ref="N415">INDEX('5층_부하량'!F3:F3000,MATCH(1,("5-DaHall 1-PDU-16"='5층_부하량'!A3:A3000)*(2='5층_부하량'!B3:B3000),0))</f>
        <v>3.19</v>
      </c>
      <c r="O415" s="2681" cm="1" t="n">
        <f t="array" ref="O415">INDEX('5층_부하량'!G3:G3000,MATCH(1,("5-DaHall 1-PDU-16"='5층_부하량'!A3:A3000)*(2='5층_부하량'!B3:B3000),0))</f>
        <v>3.18</v>
      </c>
      <c r="P415" s="2681" cm="1" t="n">
        <f t="array" ref="P415">INDEX('5층_부하량'!H3:H3000,MATCH(1,("5-DaHall 1-PDU-16"='5층_부하량'!A3:A3000)*(2='5층_부하량'!B3:B3000),0))</f>
        <v>2.06</v>
      </c>
      <c r="Q415" s="377"/>
      <c r="R415" s="378" t="s">
        <v>4631</v>
      </c>
      <c r="S415" s="379" t="s">
        <v>4575</v>
      </c>
      <c r="T415" s="380" t="s">
        <v>5966</v>
      </c>
    </row>
    <row r="416" spans="1:20" s="356" customFormat="1" ht="16.5" x14ac:dyDescent="0.15">
      <c r="A416" s="381"/>
      <c r="B416" s="382" t="s">
        <v>4590</v>
      </c>
      <c r="C416" s="382" t="s">
        <v>4642</v>
      </c>
      <c r="D416" s="2682" cm="1" t="n">
        <f t="array" ref="D416">INDEX('5층_부하량'!F3:F3000,MATCH(1,("5-DaHall 1-PDU-16"='5층_부하량'!A3:A3000)*(3='5층_부하량'!B3:B3000),0))</f>
        <v>0.0</v>
      </c>
      <c r="E416" s="2682" cm="1" t="n">
        <f t="array" ref="E416">INDEX('5층_부하량'!G3:G3000,MATCH(1,("5-DaHall 1-PDU-16"='5층_부하량'!A3:A3000)*(3='5층_부하량'!B3:B3000),0))</f>
        <v>0.0</v>
      </c>
      <c r="F416" s="2682" cm="1" t="n">
        <f t="array" ref="F416">INDEX('5층_부하량'!H3:H3000,MATCH(1,("5-DaHall 1-PDU-16"='5층_부하량'!A3:A3000)*(3='5층_부하량'!B3:B3000),0))</f>
        <v>0.0</v>
      </c>
      <c r="G416" s="383"/>
      <c r="H416" s="382" t="s">
        <v>5898</v>
      </c>
      <c r="I416" s="2447" t="s">
        <v>5899</v>
      </c>
      <c r="J416" s="1042"/>
      <c r="K416" s="1322" t="s">
        <v>5900</v>
      </c>
      <c r="L416" s="1455" t="s">
        <v>5901</v>
      </c>
      <c r="M416" s="382" t="s">
        <v>5893</v>
      </c>
      <c r="N416" s="2679" cm="1" t="n">
        <f t="array" ref="N416">INDEX('5층_부하량'!F3:F3000,MATCH(1,("5-DaHall 1-PDU-16"='5층_부하량'!A3:A3000)*(4='5층_부하량'!B3:B3000),0))</f>
        <v>0.0</v>
      </c>
      <c r="O416" s="2679" cm="1" t="n">
        <f t="array" ref="O416">INDEX('5층_부하량'!G3:G3000,MATCH(1,("5-DaHall 1-PDU-16"='5층_부하량'!A3:A3000)*(4='5층_부하량'!B3:B3000),0))</f>
        <v>0.0</v>
      </c>
      <c r="P416" s="2679" cm="1" t="n">
        <f t="array" ref="P416">INDEX('5층_부하량'!H3:H3000,MATCH(1,("5-DaHall 1-PDU-16"='5층_부하량'!A3:A3000)*(4='5층_부하량'!B3:B3000),0))</f>
        <v>0.0</v>
      </c>
      <c r="Q416" s="387"/>
      <c r="R416" s="394" t="s">
        <v>4590</v>
      </c>
      <c r="S416" s="382" t="s">
        <v>4642</v>
      </c>
      <c r="T416" s="1323" t="s">
        <v>5967</v>
      </c>
    </row>
    <row r="417" spans="1:20" s="356" customFormat="1" ht="16.5" x14ac:dyDescent="0.15">
      <c r="A417" s="391" t="s">
        <v>5903</v>
      </c>
      <c r="B417" s="382" t="s">
        <v>4590</v>
      </c>
      <c r="C417" s="382" t="s">
        <v>4642</v>
      </c>
      <c r="D417" s="2679" cm="1" t="n">
        <f t="array" ref="D417">INDEX('5층_부하량'!F3:F3000,MATCH(1,("5-DaHall 1-PDU-16"='5층_부하량'!A3:A3000)*(5='5층_부하량'!B3:B3000),0))</f>
        <v>0.0</v>
      </c>
      <c r="E417" s="2679" cm="1" t="n">
        <f t="array" ref="E417">INDEX('5층_부하량'!G3:G3000,MATCH(1,("5-DaHall 1-PDU-16"='5층_부하량'!A3:A3000)*(5='5층_부하량'!B3:B3000),0))</f>
        <v>0.0</v>
      </c>
      <c r="F417" s="2679" cm="1" t="n">
        <f t="array" ref="F417">INDEX('5층_부하량'!H3:H3000,MATCH(1,("5-DaHall 1-PDU-16"='5층_부하량'!A3:A3000)*(5='5층_부하량'!B3:B3000),0))</f>
        <v>0.0</v>
      </c>
      <c r="G417" s="387"/>
      <c r="H417" s="382" t="s">
        <v>5786</v>
      </c>
      <c r="I417" s="2447" t="s">
        <v>5904</v>
      </c>
      <c r="J417" s="1044"/>
      <c r="K417" s="1045"/>
      <c r="L417" s="1456" t="s">
        <v>5905</v>
      </c>
      <c r="M417" s="382" t="s">
        <v>5786</v>
      </c>
      <c r="N417" s="2679" cm="1" t="n">
        <f t="array" ref="N417">INDEX('5층_부하량'!F3:F3000,MATCH(1,("5-DaHall 1-PDU-16"='5층_부하량'!A3:A3000)*(6='5층_부하량'!B3:B3000),0))</f>
        <v>0.0</v>
      </c>
      <c r="O417" s="2679" cm="1" t="n">
        <f t="array" ref="O417">INDEX('5층_부하량'!G3:G3000,MATCH(1,("5-DaHall 1-PDU-16"='5층_부하량'!A3:A3000)*(6='5층_부하량'!B3:B3000),0))</f>
        <v>0.0</v>
      </c>
      <c r="P417" s="2679" cm="1" t="n">
        <f t="array" ref="P417">INDEX('5층_부하량'!H3:H3000,MATCH(1,("5-DaHall 1-PDU-16"='5층_부하량'!A3:A3000)*(6='5층_부하량'!B3:B3000),0))</f>
        <v>0.0</v>
      </c>
      <c r="Q417" s="387"/>
      <c r="R417" s="394" t="s">
        <v>4590</v>
      </c>
      <c r="S417" s="382" t="s">
        <v>4642</v>
      </c>
      <c r="T417" s="395" t="s">
        <v>5906</v>
      </c>
    </row>
    <row r="418" spans="1:20" s="356" customFormat="1" ht="16.5" x14ac:dyDescent="0.15">
      <c r="A418" s="988" t="s">
        <v>5968</v>
      </c>
      <c r="B418" s="382" t="s">
        <v>4631</v>
      </c>
      <c r="C418" s="389" t="s">
        <v>4575</v>
      </c>
      <c r="D418" s="2679" cm="1" t="n">
        <f t="array" ref="D418">INDEX('5층_부하량'!F3:F3000,MATCH(1,("5-DaHall 1-PDU-16"='5층_부하량'!A3:A3000)*(7='5층_부하량'!B3:B3000),0))</f>
        <v>4.18</v>
      </c>
      <c r="E418" s="387"/>
      <c r="F418" s="387"/>
      <c r="G418" s="387"/>
      <c r="H418" s="382" t="s">
        <v>5786</v>
      </c>
      <c r="I418" s="1211" t="s">
        <v>4645</v>
      </c>
      <c r="J418" s="1044" t="s">
        <v>2955</v>
      </c>
      <c r="K418" s="1045"/>
      <c r="L418" s="1451" t="s">
        <v>4593</v>
      </c>
      <c r="M418" s="382" t="s">
        <v>5795</v>
      </c>
      <c r="N418" s="2679" cm="1" t="n">
        <f t="array" ref="N418">INDEX('5층_부하량'!F3:F3000,MATCH(1,("5-DaHall 1-PDU-16"='5층_부하량'!A3:A3000)*(8='5층_부하량'!B3:B3000),0))</f>
        <v>5.18</v>
      </c>
      <c r="O418" s="387"/>
      <c r="P418" s="387"/>
      <c r="Q418" s="387"/>
      <c r="R418" s="382" t="s">
        <v>4579</v>
      </c>
      <c r="S418" s="389" t="s">
        <v>4575</v>
      </c>
      <c r="T418" s="666" t="s">
        <v>5908</v>
      </c>
    </row>
    <row r="419" spans="1:20" s="356" customFormat="1" ht="17.25" thickBot="1" x14ac:dyDescent="0.2">
      <c r="A419" s="989" t="s">
        <v>5969</v>
      </c>
      <c r="B419" s="88" t="s">
        <v>4631</v>
      </c>
      <c r="C419" s="89" t="s">
        <v>4575</v>
      </c>
      <c r="D419" s="398"/>
      <c r="E419" s="2673" cm="1" t="n">
        <f t="array" ref="E419">INDEX('5층_부하량'!G3:G3000,MATCH(1,("5-DaHall 1-PDU-16"='5층_부하량'!A3:A3000)*(9='5층_부하량'!B3:B3000),0))</f>
        <v>3.73</v>
      </c>
      <c r="F419" s="398"/>
      <c r="G419" s="398"/>
      <c r="H419" s="397" t="s">
        <v>5786</v>
      </c>
      <c r="I419" s="1218" t="s">
        <v>4648</v>
      </c>
      <c r="J419" s="1044" t="s">
        <v>2955</v>
      </c>
      <c r="K419" s="1046"/>
      <c r="L419" s="1457" t="s">
        <v>4596</v>
      </c>
      <c r="M419" s="397" t="s">
        <v>5795</v>
      </c>
      <c r="N419" s="398"/>
      <c r="O419" s="2685" cm="1" t="n">
        <f t="array" ref="O419">INDEX('5층_부하량'!G3:G3000,MATCH(1,("5-DaHall 1-PDU-16"='5층_부하량'!A3:A3000)*(10='5층_부하량'!B3:B3000),0))</f>
        <v>1.02</v>
      </c>
      <c r="P419" s="398"/>
      <c r="Q419" s="398"/>
      <c r="R419" s="399" t="s">
        <v>4590</v>
      </c>
      <c r="S419" s="397" t="s">
        <v>4642</v>
      </c>
      <c r="T419" s="400" t="s">
        <v>5910</v>
      </c>
    </row>
    <row r="420" spans="1:20" s="356" customFormat="1" ht="17.25" thickTop="1" x14ac:dyDescent="0.15">
      <c r="A420" s="2406" t="s">
        <v>5970</v>
      </c>
      <c r="B420" s="382" t="s">
        <v>4631</v>
      </c>
      <c r="C420" s="389" t="s">
        <v>4575</v>
      </c>
      <c r="D420" s="401"/>
      <c r="E420" s="401"/>
      <c r="F420" s="2683" cm="1" t="n">
        <f t="array" ref="F420">INDEX('5층_부하량'!H3:H3000,MATCH(1,("5-DaHall 1-PDU-16"='5층_부하량'!A3:A3000)*(11='5층_부하량'!B3:B3000),0))</f>
        <v>0.73</v>
      </c>
      <c r="G420" s="401"/>
      <c r="H420" s="372" t="s">
        <v>5786</v>
      </c>
      <c r="I420" s="559" t="s">
        <v>4653</v>
      </c>
      <c r="J420" s="1047"/>
      <c r="K420" s="1048" t="s">
        <v>5912</v>
      </c>
      <c r="L420" s="580" t="s">
        <v>4599</v>
      </c>
      <c r="M420" s="372" t="s">
        <v>5790</v>
      </c>
      <c r="N420" s="401"/>
      <c r="O420" s="401"/>
      <c r="P420" s="2683" cm="1" t="n">
        <f t="array" ref="P420">INDEX('5층_부하량'!H3:H3000,MATCH(1,("5-DaHall 1-PDU-16"='5층_부하량'!A3:A3000)*(12='5층_부하량'!B3:B3000),0))</f>
        <v>2.63</v>
      </c>
      <c r="Q420" s="401"/>
      <c r="R420" s="402" t="s">
        <v>4635</v>
      </c>
      <c r="S420" s="389" t="s">
        <v>4575</v>
      </c>
      <c r="T420" s="987" t="s">
        <v>5971</v>
      </c>
    </row>
    <row r="421" spans="1:20" s="356" customFormat="1" ht="24" x14ac:dyDescent="0.15">
      <c r="A421" s="448" t="s">
        <v>5972</v>
      </c>
      <c r="B421" s="382" t="s">
        <v>4631</v>
      </c>
      <c r="C421" s="389" t="s">
        <v>4575</v>
      </c>
      <c r="D421" s="2679" cm="1" t="n">
        <f t="array" ref="D421">INDEX('5층_부하량'!F3:F3000,MATCH(1,("5-DaHall 1-PDU-16"='5층_부하량'!A3:A3000)*(13='5층_부하량'!B3:B3000),0))</f>
        <v>1.63</v>
      </c>
      <c r="E421" s="387"/>
      <c r="F421" s="387"/>
      <c r="G421" s="387"/>
      <c r="H421" s="382" t="s">
        <v>5790</v>
      </c>
      <c r="I421" s="558" t="s">
        <v>4657</v>
      </c>
      <c r="J421" s="1044"/>
      <c r="K421" s="1045"/>
      <c r="L421" s="1451" t="s">
        <v>4601</v>
      </c>
      <c r="M421" s="382" t="s">
        <v>5790</v>
      </c>
      <c r="N421" s="2679" cm="1" t="n">
        <f t="array" ref="N421">INDEX('5층_부하량'!F3:F3000,MATCH(1,("5-DaHall 1-PDU-16"='5층_부하량'!A3:A3000)*(14='5층_부하량'!B3:B3000),0))</f>
        <v>1.74</v>
      </c>
      <c r="O421" s="387"/>
      <c r="P421" s="387"/>
      <c r="Q421" s="387"/>
      <c r="R421" s="382" t="s">
        <v>4579</v>
      </c>
      <c r="S421" s="389" t="s">
        <v>4575</v>
      </c>
      <c r="T421" s="670" t="s">
        <v>5973</v>
      </c>
    </row>
    <row r="422" spans="1:20" s="356" customFormat="1" ht="16.5" x14ac:dyDescent="0.15">
      <c r="A422" s="1311" t="s">
        <v>3852</v>
      </c>
      <c r="B422" s="382" t="s">
        <v>4631</v>
      </c>
      <c r="C422" s="389" t="s">
        <v>4575</v>
      </c>
      <c r="D422" s="387"/>
      <c r="E422" s="2679" cm="1" t="n">
        <f t="array" ref="E422">INDEX('5층_부하량'!G3:G3000,MATCH(1,("5-DaHall 1-PDU-16"='5층_부하량'!A3:A3000)*(15='5층_부하량'!B3:B3000),0))</f>
        <v>2.46</v>
      </c>
      <c r="F422" s="387"/>
      <c r="G422" s="387"/>
      <c r="H422" s="2448" t="s">
        <v>5974</v>
      </c>
      <c r="I422" s="558" t="s">
        <v>4661</v>
      </c>
      <c r="J422" s="1044"/>
      <c r="K422" s="1045"/>
      <c r="L422" s="1451" t="s">
        <v>4603</v>
      </c>
      <c r="M422" s="382" t="s">
        <v>5811</v>
      </c>
      <c r="N422" s="387"/>
      <c r="O422" s="2679" cm="1" t="n">
        <f t="array" ref="O422">INDEX('5층_부하량'!G3:G3000,MATCH(1,("5-DaHall 1-PDU-16"='5층_부하량'!A3:A3000)*(16='5층_부하량'!B3:B3000),0))</f>
        <v>8.25</v>
      </c>
      <c r="P422" s="387"/>
      <c r="Q422" s="387"/>
      <c r="R422" s="394" t="s">
        <v>4590</v>
      </c>
      <c r="S422" s="382" t="s">
        <v>4642</v>
      </c>
      <c r="T422" s="395"/>
    </row>
    <row r="423" spans="1:20" s="356" customFormat="1" ht="16.5" x14ac:dyDescent="0.15">
      <c r="A423" s="1311" t="s">
        <v>3856</v>
      </c>
      <c r="B423" s="382" t="s">
        <v>4631</v>
      </c>
      <c r="C423" s="389" t="s">
        <v>4575</v>
      </c>
      <c r="D423" s="387"/>
      <c r="E423" s="387"/>
      <c r="F423" s="2679" cm="1" t="n">
        <f t="array" ref="F423">INDEX('5층_부하량'!H3:H3000,MATCH(1,("5-DaHall 1-PDU-16"='5층_부하량'!A3:A3000)*(17='5층_부하량'!B3:B3000),0))</f>
        <v>1.6</v>
      </c>
      <c r="G423" s="387"/>
      <c r="H423" s="382" t="s">
        <v>5811</v>
      </c>
      <c r="I423" s="558" t="s">
        <v>4665</v>
      </c>
      <c r="J423" s="1044"/>
      <c r="K423" s="1045"/>
      <c r="L423" s="1451" t="s">
        <v>4605</v>
      </c>
      <c r="M423" s="382" t="s">
        <v>5811</v>
      </c>
      <c r="N423" s="387"/>
      <c r="O423" s="387"/>
      <c r="P423" s="2679" cm="1" t="n">
        <f t="array" ref="P423">INDEX('5층_부하량'!H3:H3000,MATCH(1,("5-DaHall 1-PDU-16"='5층_부하량'!A3:A3000)*(18='5층_부하량'!B3:B3000),0))</f>
        <v>0.0</v>
      </c>
      <c r="Q423" s="387"/>
      <c r="R423" s="394" t="s">
        <v>4590</v>
      </c>
      <c r="S423" s="382" t="s">
        <v>4642</v>
      </c>
      <c r="T423" s="395"/>
    </row>
    <row r="424" spans="1:20" s="356" customFormat="1" ht="16.5" x14ac:dyDescent="0.15">
      <c r="A424" s="1311" t="s">
        <v>3858</v>
      </c>
      <c r="B424" s="382" t="s">
        <v>4631</v>
      </c>
      <c r="C424" s="389" t="s">
        <v>4575</v>
      </c>
      <c r="D424" s="2679" cm="1" t="n">
        <f t="array" ref="D424">INDEX('5층_부하량'!F3:F3000,MATCH(1,("5-DaHall 1-PDU-16"='5층_부하량'!A3:A3000)*(19='5층_부하량'!B3:B3000),0))</f>
        <v>4.91</v>
      </c>
      <c r="E424" s="387"/>
      <c r="F424" s="387"/>
      <c r="G424" s="387"/>
      <c r="H424" s="382" t="s">
        <v>5811</v>
      </c>
      <c r="I424" s="558" t="s">
        <v>4670</v>
      </c>
      <c r="J424" s="1044"/>
      <c r="K424" s="2332" t="s">
        <v>5975</v>
      </c>
      <c r="L424" s="1451" t="s">
        <v>4609</v>
      </c>
      <c r="M424" s="382" t="s">
        <v>5811</v>
      </c>
      <c r="N424" s="2679" cm="1" t="n">
        <f t="array" ref="N424">INDEX('5층_부하량'!F3:F3000,MATCH(1,("5-DaHall 1-PDU-16"='5층_부하량'!A3:A3000)*(20='5층_부하량'!B3:B3000),0))</f>
        <v>1.03</v>
      </c>
      <c r="O424" s="387"/>
      <c r="P424" s="387"/>
      <c r="Q424" s="387"/>
      <c r="R424" s="382" t="s">
        <v>4579</v>
      </c>
      <c r="S424" s="389" t="s">
        <v>4575</v>
      </c>
      <c r="T424" s="2333" t="s">
        <v>4094</v>
      </c>
    </row>
    <row r="425" spans="1:20" s="356" customFormat="1" ht="24" x14ac:dyDescent="0.15">
      <c r="A425" s="2331" t="s">
        <v>5976</v>
      </c>
      <c r="B425" s="382" t="s">
        <v>4631</v>
      </c>
      <c r="C425" s="389" t="s">
        <v>4575</v>
      </c>
      <c r="D425" s="387"/>
      <c r="E425" s="2679" cm="1" t="n">
        <f t="array" ref="E425">INDEX('5층_부하량'!G3:G3000,MATCH(1,("5-DaHall 1-PDU-16"='5층_부하량'!A3:A3000)*(21='5층_부하량'!B3:B3000),0))</f>
        <v>2.6</v>
      </c>
      <c r="F425" s="387"/>
      <c r="G425" s="387"/>
      <c r="H425" s="382" t="s">
        <v>5811</v>
      </c>
      <c r="I425" s="1450" t="s">
        <v>4674</v>
      </c>
      <c r="J425" s="1044"/>
      <c r="K425" s="2332" t="s">
        <v>5977</v>
      </c>
      <c r="L425" s="1451" t="s">
        <v>4613</v>
      </c>
      <c r="M425" s="382" t="s">
        <v>5811</v>
      </c>
      <c r="N425" s="387"/>
      <c r="O425" s="2679" cm="1" t="n">
        <f t="array" ref="O425">INDEX('5층_부하량'!G3:G3000,MATCH(1,("5-DaHall 1-PDU-16"='5층_부하량'!A3:A3000)*(22='5층_부하량'!B3:B3000),0))</f>
        <v>1.73</v>
      </c>
      <c r="P425" s="387"/>
      <c r="Q425" s="387"/>
      <c r="R425" s="382" t="s">
        <v>4579</v>
      </c>
      <c r="S425" s="389" t="s">
        <v>4575</v>
      </c>
      <c r="T425" s="2333" t="s">
        <v>4095</v>
      </c>
    </row>
    <row r="426" spans="1:20" s="356" customFormat="1" ht="16.5" x14ac:dyDescent="0.15">
      <c r="A426" s="443" t="s">
        <v>5922</v>
      </c>
      <c r="B426" s="382" t="s">
        <v>4631</v>
      </c>
      <c r="C426" s="389" t="s">
        <v>4575</v>
      </c>
      <c r="D426" s="387"/>
      <c r="E426" s="387"/>
      <c r="F426" s="2679" cm="1" t="n">
        <f t="array" ref="F426">INDEX('5층_부하량'!H3:H3000,MATCH(1,("5-DaHall 1-PDU-16"='5층_부하량'!A3:A3000)*(23='5층_부하량'!B3:B3000),0))</f>
        <v>0.0</v>
      </c>
      <c r="G426" s="387"/>
      <c r="H426" s="382" t="s">
        <v>5811</v>
      </c>
      <c r="I426" s="558" t="s">
        <v>4678</v>
      </c>
      <c r="J426" s="1042" t="s">
        <v>5978</v>
      </c>
      <c r="K426" s="1043" t="s">
        <v>5978</v>
      </c>
      <c r="L426" s="577" t="s">
        <v>4680</v>
      </c>
      <c r="M426" s="382" t="s">
        <v>5811</v>
      </c>
      <c r="N426" s="387"/>
      <c r="O426" s="387"/>
      <c r="P426" s="2679" cm="1" t="n">
        <f t="array" ref="P426">INDEX('5층_부하량'!H3:H3000,MATCH(1,("5-DaHall 1-PDU-16"='5층_부하량'!A3:A3000)*(24='5층_부하량'!B3:B3000),0))</f>
        <v>1.54</v>
      </c>
      <c r="Q426" s="387"/>
      <c r="R426" s="394" t="s">
        <v>4631</v>
      </c>
      <c r="S426" s="389" t="s">
        <v>4575</v>
      </c>
      <c r="T426" s="395" t="s">
        <v>3867</v>
      </c>
    </row>
    <row r="427" spans="1:20" s="356" customFormat="1" ht="16.5" x14ac:dyDescent="0.15">
      <c r="A427" s="403"/>
      <c r="B427" s="382" t="s">
        <v>4631</v>
      </c>
      <c r="C427" s="389" t="s">
        <v>4575</v>
      </c>
      <c r="D427" s="2679" cm="1" t="n">
        <f t="array" ref="D427">INDEX('5층_부하량'!F3:F3000,MATCH(1,("5-DaHall 1-PDU-16"='5층_부하량'!A3:A3000)*(25='5층_부하량'!B3:B3000),0))</f>
        <v>0.61</v>
      </c>
      <c r="E427" s="387"/>
      <c r="F427" s="387"/>
      <c r="G427" s="387"/>
      <c r="H427" s="382" t="s">
        <v>5811</v>
      </c>
      <c r="I427" s="558" t="s">
        <v>4683</v>
      </c>
      <c r="J427" s="1042" t="s">
        <v>5978</v>
      </c>
      <c r="K427" s="1043"/>
      <c r="L427" s="1454" t="s">
        <v>4685</v>
      </c>
      <c r="M427" s="382" t="s">
        <v>5811</v>
      </c>
      <c r="N427" s="2679" cm="1" t="n">
        <f t="array" ref="N427">INDEX('5층_부하량'!F3:F3000,MATCH(1,("5-DaHall 1-PDU-16"='5층_부하량'!A3:A3000)*(26='5층_부하량'!B3:B3000),0))</f>
        <v>0.61</v>
      </c>
      <c r="O427" s="387"/>
      <c r="P427" s="387"/>
      <c r="Q427" s="387"/>
      <c r="R427" s="394" t="s">
        <v>4590</v>
      </c>
      <c r="S427" s="382" t="s">
        <v>4642</v>
      </c>
      <c r="T427" s="395"/>
    </row>
    <row r="428" spans="1:20" s="356" customFormat="1" ht="18" x14ac:dyDescent="0.15">
      <c r="A428" s="444" t="s">
        <v>3863</v>
      </c>
      <c r="B428" s="382" t="s">
        <v>4631</v>
      </c>
      <c r="C428" s="389" t="s">
        <v>4575</v>
      </c>
      <c r="D428" s="387"/>
      <c r="E428" s="2679" cm="1" t="n">
        <f t="array" ref="E428">INDEX('5층_부하량'!G3:G3000,MATCH(1,("5-DaHall 1-PDU-16"='5층_부하량'!A3:A3000)*(27='5층_부하량'!B3:B3000),0))</f>
        <v>3.69</v>
      </c>
      <c r="F428" s="387"/>
      <c r="G428" s="387"/>
      <c r="H428" s="382" t="s">
        <v>5811</v>
      </c>
      <c r="I428" s="558" t="s">
        <v>4688</v>
      </c>
      <c r="J428" s="1042" t="s">
        <v>5978</v>
      </c>
      <c r="K428" s="1045" t="s">
        <v>5979</v>
      </c>
      <c r="L428" s="1212" t="s">
        <v>4689</v>
      </c>
      <c r="M428" s="382" t="s">
        <v>5811</v>
      </c>
      <c r="N428" s="387"/>
      <c r="O428" s="2679" cm="1" t="n">
        <f t="array" ref="O428">INDEX('5층_부하량'!G3:G3000,MATCH(1,("5-DaHall 1-PDU-16"='5층_부하량'!A3:A3000)*(28='5층_부하량'!B3:B3000),0))</f>
        <v>0.31</v>
      </c>
      <c r="P428" s="387"/>
      <c r="Q428" s="387"/>
      <c r="R428" s="394" t="s">
        <v>4631</v>
      </c>
      <c r="S428" s="389" t="s">
        <v>4575</v>
      </c>
      <c r="T428" s="405" t="s">
        <v>5980</v>
      </c>
    </row>
    <row r="429" spans="1:20" s="356" customFormat="1" ht="17.25" thickBot="1" x14ac:dyDescent="0.2">
      <c r="A429" s="406" t="s">
        <v>3865</v>
      </c>
      <c r="B429" s="407" t="s">
        <v>4631</v>
      </c>
      <c r="C429" s="445" t="s">
        <v>4575</v>
      </c>
      <c r="D429" s="408"/>
      <c r="E429" s="408"/>
      <c r="F429" s="2684" cm="1" t="n">
        <f t="array" ref="F429">INDEX('5층_부하량'!H3:H3000,MATCH(1,("5-DaHall 1-PDU-16"='5층_부하량'!A3:A3000)*(29='5층_부하량'!B3:B3000),0))</f>
        <v>2.23</v>
      </c>
      <c r="G429" s="408"/>
      <c r="H429" s="407" t="s">
        <v>5811</v>
      </c>
      <c r="I429" s="560" t="s">
        <v>4691</v>
      </c>
      <c r="J429" s="1061" t="s">
        <v>5978</v>
      </c>
      <c r="K429" s="1062" t="s">
        <v>5978</v>
      </c>
      <c r="L429" s="585" t="s">
        <v>4692</v>
      </c>
      <c r="M429" s="407" t="s">
        <v>5811</v>
      </c>
      <c r="N429" s="408"/>
      <c r="O429" s="408"/>
      <c r="P429" s="2684" cm="1" t="n">
        <f t="array" ref="P429">INDEX('5층_부하량'!H3:H3000,MATCH(1,("5-DaHall 1-PDU-16"='5층_부하량'!A3:A3000)*(30='5층_부하량'!B3:B3000),0))</f>
        <v>0.53</v>
      </c>
      <c r="Q429" s="408"/>
      <c r="R429" s="409" t="s">
        <v>4631</v>
      </c>
      <c r="S429" s="445" t="s">
        <v>4575</v>
      </c>
      <c r="T429" s="410" t="s">
        <v>3869</v>
      </c>
    </row>
    <row r="430" spans="1:20" s="356" customFormat="1" ht="18" thickTop="1" thickBot="1" x14ac:dyDescent="0.2">
      <c r="L430" s="2445"/>
      <c r="M430" s="411" t="s">
        <v>5645</v>
      </c>
      <c r="N430" s="412" t="n">
        <f>SUM(D415:D429,N415:N429)</f>
        <v>27.849999999999998</v>
      </c>
      <c r="O430" s="412" t="n">
        <f>SUM(E415:E429,O415:O429)</f>
        <v>28.34</v>
      </c>
      <c r="P430" s="412" t="n">
        <f>SUM(F415:F429,P415:P429)</f>
        <v>17.48</v>
      </c>
    </row>
    <row r="431" spans="1:20" s="356" customFormat="1" ht="20.25" thickTop="1" thickBot="1" x14ac:dyDescent="0.2">
      <c r="A431" s="355" t="s">
        <v>5981</v>
      </c>
      <c r="D431" s="357"/>
      <c r="E431" s="357"/>
      <c r="F431" s="357"/>
      <c r="G431" s="357"/>
      <c r="H431" s="358"/>
      <c r="I431" s="358"/>
      <c r="J431" s="3668" t="s">
        <v>5982</v>
      </c>
      <c r="K431" s="3669"/>
      <c r="L431" s="2442"/>
      <c r="M431" s="358"/>
      <c r="N431" s="357"/>
      <c r="O431" s="357"/>
      <c r="P431" s="357"/>
      <c r="Q431" s="357"/>
      <c r="R431" s="357"/>
      <c r="S431" s="357"/>
    </row>
    <row r="432" spans="1:20" s="356" customFormat="1" ht="18" thickTop="1" thickBot="1" x14ac:dyDescent="0.2">
      <c r="A432" s="3"/>
      <c r="B432"/>
      <c r="C432"/>
      <c r="D432" s="54"/>
      <c r="E432" s="54"/>
      <c r="F432" s="54"/>
      <c r="G432" s="54"/>
      <c r="H432" s="4"/>
      <c r="I432" s="4"/>
      <c r="J432"/>
      <c r="K432" s="56"/>
      <c r="L432" s="565"/>
      <c r="M432" s="1371" t="s">
        <v>4562</v>
      </c>
      <c r="N432" s="1368">
        <v>0</v>
      </c>
      <c r="O432" s="1369">
        <v>0</v>
      </c>
      <c r="P432" s="1370">
        <v>0</v>
      </c>
      <c r="Q432" s="508" t="s">
        <v>4563</v>
      </c>
      <c r="R432" s="133"/>
      <c r="S432" s="128"/>
      <c r="T432" s="528"/>
    </row>
    <row r="433" spans="1:20" s="356" customFormat="1" ht="18" thickTop="1" thickBot="1" x14ac:dyDescent="0.2">
      <c r="A433" s="364" t="s">
        <v>4564</v>
      </c>
      <c r="B433" s="365" t="s">
        <v>4565</v>
      </c>
      <c r="C433" s="366" t="s">
        <v>4566</v>
      </c>
      <c r="D433" s="365" t="s">
        <v>4567</v>
      </c>
      <c r="E433" s="365" t="s">
        <v>4568</v>
      </c>
      <c r="F433" s="365" t="s">
        <v>4569</v>
      </c>
      <c r="G433" s="365" t="s">
        <v>4570</v>
      </c>
      <c r="H433" s="367" t="s">
        <v>4571</v>
      </c>
      <c r="I433" s="557"/>
      <c r="J433" s="368" t="s">
        <v>4572</v>
      </c>
      <c r="K433" s="369" t="s">
        <v>4572</v>
      </c>
      <c r="L433" s="575"/>
      <c r="M433" s="367" t="s">
        <v>4571</v>
      </c>
      <c r="N433" s="365" t="s">
        <v>4567</v>
      </c>
      <c r="O433" s="365" t="s">
        <v>4568</v>
      </c>
      <c r="P433" s="365" t="s">
        <v>4569</v>
      </c>
      <c r="Q433" s="365" t="s">
        <v>4570</v>
      </c>
      <c r="R433" s="365" t="s">
        <v>4565</v>
      </c>
      <c r="S433" s="366" t="s">
        <v>4566</v>
      </c>
      <c r="T433" s="370" t="s">
        <v>4564</v>
      </c>
    </row>
    <row r="434" spans="1:20" s="356" customFormat="1" ht="17.25" thickTop="1" x14ac:dyDescent="0.15">
      <c r="A434" s="371"/>
      <c r="B434" s="372" t="s">
        <v>4590</v>
      </c>
      <c r="C434" s="373" t="s">
        <v>4642</v>
      </c>
      <c r="D434" s="374"/>
      <c r="E434" s="374"/>
      <c r="F434" s="374"/>
      <c r="G434" s="374"/>
      <c r="H434" s="373" t="s">
        <v>5893</v>
      </c>
      <c r="I434" s="2443" t="s">
        <v>5894</v>
      </c>
      <c r="J434" s="375"/>
      <c r="K434" s="376"/>
      <c r="L434" s="1178" t="s">
        <v>5896</v>
      </c>
      <c r="M434" s="372" t="s">
        <v>5893</v>
      </c>
      <c r="N434" s="374"/>
      <c r="O434" s="374"/>
      <c r="P434" s="374"/>
      <c r="Q434" s="374"/>
      <c r="R434" s="378" t="s">
        <v>4590</v>
      </c>
      <c r="S434" s="372" t="s">
        <v>4642</v>
      </c>
      <c r="T434" s="380"/>
    </row>
    <row r="435" spans="1:20" s="356" customFormat="1" ht="16.5" x14ac:dyDescent="0.15">
      <c r="A435" s="446" t="s">
        <v>5983</v>
      </c>
      <c r="B435" s="382" t="s">
        <v>4631</v>
      </c>
      <c r="C435" s="389" t="s">
        <v>4575</v>
      </c>
      <c r="D435" s="386"/>
      <c r="E435" s="386"/>
      <c r="F435" s="386"/>
      <c r="G435" s="383"/>
      <c r="H435" s="382" t="s">
        <v>5790</v>
      </c>
      <c r="I435" s="2444" t="s">
        <v>5899</v>
      </c>
      <c r="J435" s="384" t="s">
        <v>5978</v>
      </c>
      <c r="K435" s="385"/>
      <c r="L435" s="1179" t="s">
        <v>5901</v>
      </c>
      <c r="M435" s="382" t="s">
        <v>5786</v>
      </c>
      <c r="N435" s="383"/>
      <c r="O435" s="383"/>
      <c r="P435" s="383"/>
      <c r="Q435" s="383"/>
      <c r="R435" s="388" t="s">
        <v>4590</v>
      </c>
      <c r="S435" s="382" t="s">
        <v>4642</v>
      </c>
      <c r="T435" s="390"/>
    </row>
    <row r="436" spans="1:20" s="356" customFormat="1" ht="16.5" x14ac:dyDescent="0.15">
      <c r="A436" s="391"/>
      <c r="B436" s="382" t="s">
        <v>4590</v>
      </c>
      <c r="C436" s="382" t="s">
        <v>4642</v>
      </c>
      <c r="D436" s="387"/>
      <c r="E436" s="387"/>
      <c r="F436" s="387"/>
      <c r="G436" s="387"/>
      <c r="H436" s="382" t="s">
        <v>5786</v>
      </c>
      <c r="I436" s="558" t="s">
        <v>4641</v>
      </c>
      <c r="J436" s="392"/>
      <c r="K436" s="393"/>
      <c r="L436" s="578" t="s">
        <v>4588</v>
      </c>
      <c r="M436" s="382" t="s">
        <v>5786</v>
      </c>
      <c r="N436" s="387"/>
      <c r="O436" s="387"/>
      <c r="P436" s="387"/>
      <c r="Q436" s="387"/>
      <c r="R436" s="394" t="s">
        <v>4590</v>
      </c>
      <c r="S436" s="382" t="s">
        <v>4642</v>
      </c>
      <c r="T436" s="395"/>
    </row>
    <row r="437" spans="1:20" s="356" customFormat="1" ht="16.5" x14ac:dyDescent="0.15">
      <c r="A437" s="396" t="s">
        <v>5984</v>
      </c>
      <c r="B437" s="382" t="s">
        <v>4590</v>
      </c>
      <c r="C437" s="382" t="s">
        <v>4642</v>
      </c>
      <c r="D437" s="387"/>
      <c r="E437" s="387"/>
      <c r="F437" s="387"/>
      <c r="G437" s="387"/>
      <c r="H437" s="382" t="s">
        <v>5786</v>
      </c>
      <c r="I437" s="558" t="s">
        <v>4645</v>
      </c>
      <c r="J437" s="392"/>
      <c r="K437" s="385" t="s">
        <v>5978</v>
      </c>
      <c r="L437" s="577" t="s">
        <v>4593</v>
      </c>
      <c r="M437" s="382" t="s">
        <v>5795</v>
      </c>
      <c r="N437" s="387"/>
      <c r="O437" s="404"/>
      <c r="P437" s="387"/>
      <c r="Q437" s="387"/>
      <c r="R437" s="394" t="s">
        <v>4631</v>
      </c>
      <c r="S437" s="389" t="s">
        <v>4575</v>
      </c>
      <c r="T437" s="390" t="s">
        <v>5984</v>
      </c>
    </row>
    <row r="438" spans="1:20" s="356" customFormat="1" ht="16.5" x14ac:dyDescent="0.15">
      <c r="A438" s="396" t="s">
        <v>5906</v>
      </c>
      <c r="B438" s="415" t="s">
        <v>4590</v>
      </c>
      <c r="C438" s="415" t="s">
        <v>4642</v>
      </c>
      <c r="D438" s="417"/>
      <c r="E438" s="417"/>
      <c r="F438" s="417"/>
      <c r="G438" s="417"/>
      <c r="H438" s="415" t="s">
        <v>5801</v>
      </c>
      <c r="I438" s="561" t="s">
        <v>4648</v>
      </c>
      <c r="J438" s="447"/>
      <c r="K438" s="420" t="s">
        <v>5978</v>
      </c>
      <c r="L438" s="582" t="s">
        <v>4596</v>
      </c>
      <c r="M438" s="415" t="s">
        <v>5811</v>
      </c>
      <c r="N438" s="417"/>
      <c r="O438" s="417"/>
      <c r="P438" s="418"/>
      <c r="Q438" s="417"/>
      <c r="R438" s="421" t="s">
        <v>4631</v>
      </c>
      <c r="S438" s="416" t="s">
        <v>4575</v>
      </c>
      <c r="T438" s="413" t="s">
        <v>5984</v>
      </c>
    </row>
    <row r="439" spans="1:20" s="356" customFormat="1" ht="16.5" x14ac:dyDescent="0.15">
      <c r="A439" s="448" t="s">
        <v>5984</v>
      </c>
      <c r="B439" s="382" t="s">
        <v>4631</v>
      </c>
      <c r="C439" s="389" t="s">
        <v>4575</v>
      </c>
      <c r="D439" s="404"/>
      <c r="E439" s="387"/>
      <c r="F439" s="387"/>
      <c r="G439" s="387"/>
      <c r="H439" s="382" t="s">
        <v>5801</v>
      </c>
      <c r="I439" s="558" t="s">
        <v>4653</v>
      </c>
      <c r="J439" s="384" t="s">
        <v>5978</v>
      </c>
      <c r="K439" s="393"/>
      <c r="L439" s="578" t="s">
        <v>4599</v>
      </c>
      <c r="M439" s="382" t="s">
        <v>5811</v>
      </c>
      <c r="N439" s="387"/>
      <c r="O439" s="387"/>
      <c r="P439" s="387"/>
      <c r="Q439" s="387"/>
      <c r="R439" s="394" t="s">
        <v>4590</v>
      </c>
      <c r="S439" s="382" t="s">
        <v>4642</v>
      </c>
      <c r="T439" s="395" t="s">
        <v>5906</v>
      </c>
    </row>
    <row r="440" spans="1:20" s="356" customFormat="1" ht="16.5" x14ac:dyDescent="0.15">
      <c r="A440" s="391"/>
      <c r="B440" s="382" t="s">
        <v>4631</v>
      </c>
      <c r="C440" s="415" t="s">
        <v>4642</v>
      </c>
      <c r="D440" s="387"/>
      <c r="E440" s="387"/>
      <c r="F440" s="387"/>
      <c r="G440" s="387"/>
      <c r="H440" s="382" t="s">
        <v>5801</v>
      </c>
      <c r="I440" s="558" t="s">
        <v>4657</v>
      </c>
      <c r="J440" s="392"/>
      <c r="K440" s="393"/>
      <c r="L440" s="578" t="s">
        <v>4601</v>
      </c>
      <c r="M440" s="382" t="s">
        <v>5811</v>
      </c>
      <c r="N440" s="387"/>
      <c r="O440" s="387"/>
      <c r="P440" s="387"/>
      <c r="Q440" s="387"/>
      <c r="R440" s="394" t="s">
        <v>4590</v>
      </c>
      <c r="S440" s="382" t="s">
        <v>4642</v>
      </c>
      <c r="T440" s="395" t="s">
        <v>5906</v>
      </c>
    </row>
    <row r="441" spans="1:20" s="356" customFormat="1" ht="17.25" thickBot="1" x14ac:dyDescent="0.2">
      <c r="A441" s="431" t="s">
        <v>5985</v>
      </c>
      <c r="B441" s="432" t="s">
        <v>4631</v>
      </c>
      <c r="C441" s="437" t="s">
        <v>4575</v>
      </c>
      <c r="D441" s="433"/>
      <c r="E441" s="433"/>
      <c r="F441" s="435"/>
      <c r="G441" s="433"/>
      <c r="H441" s="432" t="s">
        <v>5801</v>
      </c>
      <c r="I441" s="563" t="s">
        <v>4661</v>
      </c>
      <c r="J441" s="449" t="s">
        <v>5978</v>
      </c>
      <c r="K441" s="441"/>
      <c r="L441" s="584" t="s">
        <v>4603</v>
      </c>
      <c r="M441" s="432" t="s">
        <v>5811</v>
      </c>
      <c r="N441" s="433"/>
      <c r="O441" s="433"/>
      <c r="P441" s="433"/>
      <c r="Q441" s="433"/>
      <c r="R441" s="436" t="s">
        <v>4590</v>
      </c>
      <c r="S441" s="432" t="s">
        <v>4642</v>
      </c>
      <c r="T441" s="438"/>
    </row>
    <row r="442" spans="1:20" s="356" customFormat="1" ht="18" thickTop="1" thickBot="1" x14ac:dyDescent="0.2">
      <c r="A442" s="450"/>
      <c r="B442" s="358"/>
      <c r="C442" s="451"/>
      <c r="D442" s="452"/>
      <c r="E442" s="452"/>
      <c r="F442" s="452"/>
      <c r="G442" s="452"/>
      <c r="H442" s="358"/>
      <c r="I442" s="358"/>
      <c r="J442" s="453"/>
      <c r="K442" s="453"/>
      <c r="L442" s="586"/>
      <c r="M442" s="2449" t="s">
        <v>5986</v>
      </c>
      <c r="N442" s="608" t="n">
        <f>SUM(D434:D441,N434:N441)</f>
        <v>0.0</v>
      </c>
      <c r="O442" s="608" t="n">
        <f>SUM(E434:E441,O434:O441)</f>
        <v>0.0</v>
      </c>
      <c r="P442" s="608" t="n">
        <f>SUM(F434:F441,P434:P441)</f>
        <v>0.0</v>
      </c>
      <c r="Q442" s="452"/>
      <c r="R442" s="454"/>
      <c r="S442" s="358"/>
      <c r="T442" s="361"/>
    </row>
    <row r="443" spans="1:20" s="356" customFormat="1" ht="20.25" thickTop="1" thickBot="1" x14ac:dyDescent="0.2">
      <c r="A443" s="355" t="s">
        <v>6961</v>
      </c>
      <c r="C443" s="3660" t="s">
        <v>5987</v>
      </c>
      <c r="D443" s="3660"/>
      <c r="E443" s="3660"/>
      <c r="F443" s="3660"/>
      <c r="G443" s="357"/>
      <c r="H443" s="358"/>
      <c r="I443" s="358"/>
      <c r="J443" s="3668" t="s">
        <v>5063</v>
      </c>
      <c r="K443" s="3669"/>
      <c r="L443" s="2442"/>
      <c r="M443" s="358"/>
      <c r="N443" s="357"/>
      <c r="O443" s="357"/>
      <c r="P443" s="357"/>
      <c r="Q443" s="357"/>
      <c r="R443" s="357"/>
      <c r="S443" s="357"/>
    </row>
    <row r="444" spans="1:20" s="356" customFormat="1" ht="15" customHeight="1" thickTop="1" thickBot="1" x14ac:dyDescent="0.2">
      <c r="A444" s="3"/>
      <c r="B444"/>
      <c r="C444"/>
      <c r="D444" s="54"/>
      <c r="E444" s="54"/>
      <c r="F444" s="54"/>
      <c r="G444" s="54"/>
      <c r="H444" s="4"/>
      <c r="I444" s="4"/>
      <c r="J444"/>
      <c r="K444" s="56"/>
      <c r="L444" s="565"/>
      <c r="M444" s="1371" t="s">
        <v>4562</v>
      </c>
      <c r="N444" s="1368">
        <v>5.5</v>
      </c>
      <c r="O444" s="1369">
        <v>7.2</v>
      </c>
      <c r="P444" s="1370">
        <v>2.2999999999999998</v>
      </c>
      <c r="Q444" s="508" t="s">
        <v>4563</v>
      </c>
      <c r="R444" s="133"/>
      <c r="S444" s="128"/>
      <c r="T444" s="363"/>
    </row>
    <row r="445" spans="1:20" s="356" customFormat="1" ht="18" thickTop="1" thickBot="1" x14ac:dyDescent="0.2">
      <c r="A445" s="364" t="s">
        <v>4564</v>
      </c>
      <c r="B445" s="365" t="s">
        <v>4565</v>
      </c>
      <c r="C445" s="366" t="s">
        <v>4566</v>
      </c>
      <c r="D445" s="365" t="s">
        <v>4567</v>
      </c>
      <c r="E445" s="365" t="s">
        <v>4568</v>
      </c>
      <c r="F445" s="365" t="s">
        <v>4569</v>
      </c>
      <c r="G445" s="365" t="s">
        <v>4570</v>
      </c>
      <c r="H445" s="367" t="s">
        <v>4571</v>
      </c>
      <c r="I445" s="557"/>
      <c r="J445" s="368" t="s">
        <v>4572</v>
      </c>
      <c r="K445" s="369" t="s">
        <v>4572</v>
      </c>
      <c r="L445" s="575"/>
      <c r="M445" s="367" t="s">
        <v>4571</v>
      </c>
      <c r="N445" s="365" t="s">
        <v>4567</v>
      </c>
      <c r="O445" s="365" t="s">
        <v>4568</v>
      </c>
      <c r="P445" s="365" t="s">
        <v>4569</v>
      </c>
      <c r="Q445" s="365" t="s">
        <v>4570</v>
      </c>
      <c r="R445" s="365" t="s">
        <v>4565</v>
      </c>
      <c r="S445" s="366" t="s">
        <v>4566</v>
      </c>
      <c r="T445" s="370" t="s">
        <v>4564</v>
      </c>
    </row>
    <row r="446" spans="1:20" s="356" customFormat="1" ht="17.25" thickTop="1" x14ac:dyDescent="0.15">
      <c r="A446" s="474" t="s">
        <v>5988</v>
      </c>
      <c r="B446" s="378" t="s">
        <v>5989</v>
      </c>
      <c r="C446" s="379" t="s">
        <v>4575</v>
      </c>
      <c r="D446" s="2678" cm="1" t="n">
        <f t="array" ref="D446">INDEX('5층_부하량'!F3:F3000,MATCH(1,("5-DaHall 1-PDU-17"='5층_부하량'!A3:A3000)*(1='5층_부하량'!B3:B3000),0))</f>
        <v>0.76</v>
      </c>
      <c r="E446" s="401"/>
      <c r="F446" s="401"/>
      <c r="G446" s="374"/>
      <c r="H446" s="2450" t="s">
        <v>4597</v>
      </c>
      <c r="I446" s="2451" t="s">
        <v>4577</v>
      </c>
      <c r="J446" s="1040" t="s">
        <v>5990</v>
      </c>
      <c r="K446" s="1041" t="s">
        <v>5991</v>
      </c>
      <c r="L446" s="587" t="s">
        <v>4863</v>
      </c>
      <c r="M446" s="372" t="s">
        <v>4597</v>
      </c>
      <c r="N446" s="2678" cm="1" t="n">
        <f t="array" ref="N446">INDEX('5층_부하량'!F3:F3000,MATCH(1,("5-DaHall 1-PDU-17"='5층_부하량'!A3:A3000)*(2='5층_부하량'!B3:B3000),0))</f>
        <v>0.85</v>
      </c>
      <c r="O446" s="401"/>
      <c r="P446" s="401"/>
      <c r="Q446" s="374"/>
      <c r="R446" s="378" t="s">
        <v>5989</v>
      </c>
      <c r="S446" s="379" t="s">
        <v>4575</v>
      </c>
      <c r="T446" s="1233" t="s">
        <v>5992</v>
      </c>
    </row>
    <row r="447" spans="1:20" s="356" customFormat="1" ht="16.5" x14ac:dyDescent="0.15">
      <c r="A447" s="391" t="s">
        <v>5993</v>
      </c>
      <c r="B447" s="388" t="s">
        <v>5989</v>
      </c>
      <c r="C447" s="389" t="s">
        <v>4575</v>
      </c>
      <c r="D447" s="387"/>
      <c r="E447" s="2672" cm="1" t="n">
        <f t="array" ref="E447">INDEX('5층_부하량'!G3:G3000,MATCH(1,("5-DaHall 1-PDU-17"='5층_부하량'!A3:A3000)*(3='5층_부하량'!B3:B3000),0))</f>
        <v>0.0</v>
      </c>
      <c r="F447" s="387"/>
      <c r="G447" s="383"/>
      <c r="H447" s="1319" t="s">
        <v>4597</v>
      </c>
      <c r="I447" s="1320" t="s">
        <v>4582</v>
      </c>
      <c r="J447" s="1042" t="s">
        <v>5994</v>
      </c>
      <c r="K447" s="1043" t="s">
        <v>5995</v>
      </c>
      <c r="L447" s="577" t="s">
        <v>4865</v>
      </c>
      <c r="M447" s="1319" t="s">
        <v>4597</v>
      </c>
      <c r="N447" s="387"/>
      <c r="O447" s="2672" cm="1" t="n">
        <f t="array" ref="O447">INDEX('5층_부하량'!G3:G3000,MATCH(1,("5-DaHall 1-PDU-17"='5층_부하량'!A3:A3000)*(4='5층_부하량'!B3:B3000),0))</f>
        <v>0.0</v>
      </c>
      <c r="P447" s="387"/>
      <c r="Q447" s="387"/>
      <c r="R447" s="388" t="s">
        <v>5989</v>
      </c>
      <c r="S447" s="389" t="s">
        <v>4575</v>
      </c>
      <c r="T447" s="395" t="s">
        <v>5996</v>
      </c>
    </row>
    <row r="448" spans="1:20" s="356" customFormat="1" ht="16.5" x14ac:dyDescent="0.15">
      <c r="A448" s="391" t="s">
        <v>5997</v>
      </c>
      <c r="B448" s="388" t="s">
        <v>5989</v>
      </c>
      <c r="C448" s="389" t="s">
        <v>4575</v>
      </c>
      <c r="D448" s="387"/>
      <c r="E448" s="387"/>
      <c r="F448" s="2679" cm="1" t="n">
        <f t="array" ref="F448">INDEX('5층_부하량'!H3:H3000,MATCH(1,("5-DaHall 1-PDU-17"='5층_부하량'!A3:A3000)*(5='5층_부하량'!B3:B3000),0))</f>
        <v>7.31</v>
      </c>
      <c r="G448" s="387"/>
      <c r="H448" s="1319" t="s">
        <v>4597</v>
      </c>
      <c r="I448" s="1320" t="s">
        <v>4587</v>
      </c>
      <c r="J448" s="1042" t="s">
        <v>5998</v>
      </c>
      <c r="K448" s="1045" t="s">
        <v>5999</v>
      </c>
      <c r="L448" s="578" t="s">
        <v>4868</v>
      </c>
      <c r="M448" s="1319" t="s">
        <v>4597</v>
      </c>
      <c r="N448" s="387"/>
      <c r="O448" s="387"/>
      <c r="P448" s="2679" cm="1" t="n">
        <f t="array" ref="P448">INDEX('5층_부하량'!H3:H3000,MATCH(1,("5-DaHall 1-PDU-17"='5층_부하량'!A3:A3000)*(6='5층_부하량'!B3:B3000),0))</f>
        <v>0.54</v>
      </c>
      <c r="Q448" s="387"/>
      <c r="R448" s="388" t="s">
        <v>5989</v>
      </c>
      <c r="S448" s="389" t="s">
        <v>4575</v>
      </c>
      <c r="T448" s="395" t="s">
        <v>6000</v>
      </c>
    </row>
    <row r="449" spans="1:20" s="356" customFormat="1" ht="16.5" x14ac:dyDescent="0.15">
      <c r="A449" s="391" t="s">
        <v>6001</v>
      </c>
      <c r="B449" s="388" t="s">
        <v>5989</v>
      </c>
      <c r="C449" s="389" t="s">
        <v>4575</v>
      </c>
      <c r="D449" s="2679" cm="1" t="n">
        <f t="array" ref="D449">INDEX('5층_부하량'!F3:F3000,MATCH(1,("5-DaHall 1-PDU-17"='5층_부하량'!A3:A3000)*(7='5층_부하량'!B3:B3000),0))</f>
        <v>0.0</v>
      </c>
      <c r="E449" s="387"/>
      <c r="F449" s="387"/>
      <c r="G449" s="387"/>
      <c r="H449" s="1319" t="s">
        <v>4597</v>
      </c>
      <c r="I449" s="1320" t="s">
        <v>4645</v>
      </c>
      <c r="J449" s="1042" t="s">
        <v>6002</v>
      </c>
      <c r="K449" s="1043" t="s">
        <v>6003</v>
      </c>
      <c r="L449" s="578" t="s">
        <v>4593</v>
      </c>
      <c r="M449" s="1319" t="s">
        <v>4597</v>
      </c>
      <c r="N449" s="2679" cm="1" t="n">
        <f t="array" ref="N449">INDEX('5층_부하량'!F3:F3000,MATCH(1,("5-DaHall 1-PDU-17"='5층_부하량'!A3:A3000)*(8='5층_부하량'!B3:B3000),0))</f>
        <v>2.45</v>
      </c>
      <c r="O449" s="387"/>
      <c r="P449" s="387"/>
      <c r="Q449" s="387"/>
      <c r="R449" s="388" t="s">
        <v>5989</v>
      </c>
      <c r="S449" s="389" t="s">
        <v>4575</v>
      </c>
      <c r="T449" s="395" t="s">
        <v>6004</v>
      </c>
    </row>
    <row r="450" spans="1:20" s="356" customFormat="1" ht="16.5" x14ac:dyDescent="0.15">
      <c r="A450" s="391" t="s">
        <v>6005</v>
      </c>
      <c r="B450" s="388" t="s">
        <v>5989</v>
      </c>
      <c r="C450" s="389" t="s">
        <v>4575</v>
      </c>
      <c r="D450" s="387"/>
      <c r="E450" s="2672" cm="1" t="n">
        <f t="array" ref="E450">INDEX('5층_부하량'!G3:G3000,MATCH(1,("5-DaHall 1-PDU-17"='5층_부하량'!A3:A3000)*(9='5층_부하량'!B3:B3000),0))</f>
        <v>7.31</v>
      </c>
      <c r="F450" s="387"/>
      <c r="G450" s="387"/>
      <c r="H450" s="1319" t="s">
        <v>4597</v>
      </c>
      <c r="I450" s="1320" t="s">
        <v>4648</v>
      </c>
      <c r="J450" s="1042" t="s">
        <v>6006</v>
      </c>
      <c r="K450" s="1045" t="s">
        <v>6007</v>
      </c>
      <c r="L450" s="578" t="s">
        <v>4596</v>
      </c>
      <c r="M450" s="1319" t="s">
        <v>4597</v>
      </c>
      <c r="N450" s="387"/>
      <c r="O450" s="2672" cm="1" t="n">
        <f t="array" ref="O450">INDEX('5층_부하량'!G3:G3000,MATCH(1,("5-DaHall 1-PDU-17"='5층_부하량'!A3:A3000)*(10='5층_부하량'!B3:B3000),0))</f>
        <v>0.0</v>
      </c>
      <c r="P450" s="387"/>
      <c r="Q450" s="387"/>
      <c r="R450" s="388" t="s">
        <v>5989</v>
      </c>
      <c r="S450" s="389" t="s">
        <v>4575</v>
      </c>
      <c r="T450" s="395" t="s">
        <v>6008</v>
      </c>
    </row>
    <row r="451" spans="1:20" s="356" customFormat="1" ht="16.5" x14ac:dyDescent="0.15">
      <c r="A451" s="391" t="s">
        <v>6009</v>
      </c>
      <c r="B451" s="388" t="s">
        <v>5989</v>
      </c>
      <c r="C451" s="389" t="s">
        <v>4575</v>
      </c>
      <c r="D451" s="387"/>
      <c r="E451" s="387"/>
      <c r="F451" s="2679" cm="1" t="n">
        <f t="array" ref="F451">INDEX('5층_부하량'!H3:H3000,MATCH(1,("5-DaHall 1-PDU-17"='5층_부하량'!A3:A3000)*(11='5층_부하량'!B3:B3000),0))</f>
        <v>0.55</v>
      </c>
      <c r="G451" s="387"/>
      <c r="H451" s="1319" t="s">
        <v>4597</v>
      </c>
      <c r="I451" s="1320" t="s">
        <v>4653</v>
      </c>
      <c r="J451" s="1042" t="s">
        <v>6010</v>
      </c>
      <c r="K451" s="1043" t="s">
        <v>6011</v>
      </c>
      <c r="L451" s="578" t="s">
        <v>4599</v>
      </c>
      <c r="M451" s="1319" t="s">
        <v>4597</v>
      </c>
      <c r="N451" s="387"/>
      <c r="O451" s="387"/>
      <c r="P451" s="2679" cm="1" t="n">
        <f t="array" ref="P451">INDEX('5층_부하량'!H3:H3000,MATCH(1,("5-DaHall 1-PDU-17"='5층_부하량'!A3:A3000)*(12='5층_부하량'!B3:B3000),0))</f>
        <v>1.15</v>
      </c>
      <c r="Q451" s="387"/>
      <c r="R451" s="388" t="s">
        <v>5989</v>
      </c>
      <c r="S451" s="389" t="s">
        <v>4575</v>
      </c>
      <c r="T451" s="395" t="s">
        <v>6012</v>
      </c>
    </row>
    <row r="452" spans="1:20" s="356" customFormat="1" ht="16.5" x14ac:dyDescent="0.15">
      <c r="A452" s="391" t="s">
        <v>6013</v>
      </c>
      <c r="B452" s="388" t="s">
        <v>5989</v>
      </c>
      <c r="C452" s="389" t="s">
        <v>4575</v>
      </c>
      <c r="D452" s="2679" cm="1" t="n">
        <f t="array" ref="D452">INDEX('5층_부하량'!F3:F3000,MATCH(1,("5-DaHall 1-PDU-17"='5층_부하량'!A3:A3000)*(13='5층_부하량'!B3:B3000),0))</f>
        <v>1.8399999999999999</v>
      </c>
      <c r="E452" s="387"/>
      <c r="F452" s="387"/>
      <c r="G452" s="387"/>
      <c r="H452" s="1319" t="s">
        <v>4597</v>
      </c>
      <c r="I452" s="1320" t="s">
        <v>4657</v>
      </c>
      <c r="J452" s="1042" t="s">
        <v>6014</v>
      </c>
      <c r="K452" s="1045" t="s">
        <v>6015</v>
      </c>
      <c r="L452" s="578" t="s">
        <v>4601</v>
      </c>
      <c r="M452" s="1319" t="s">
        <v>4597</v>
      </c>
      <c r="N452" s="2679" cm="1" t="n">
        <f t="array" ref="N452">INDEX('5층_부하량'!F3:F3000,MATCH(1,("5-DaHall 1-PDU-17"='5층_부하량'!A3:A3000)*(14='5층_부하량'!B3:B3000),0))</f>
        <v>0.0</v>
      </c>
      <c r="O452" s="387"/>
      <c r="P452" s="387"/>
      <c r="Q452" s="387"/>
      <c r="R452" s="388" t="s">
        <v>5989</v>
      </c>
      <c r="S452" s="1232" t="s">
        <v>4723</v>
      </c>
      <c r="T452" s="395" t="s">
        <v>6016</v>
      </c>
    </row>
    <row r="453" spans="1:20" s="356" customFormat="1" ht="16.5" x14ac:dyDescent="0.15">
      <c r="A453" s="448" t="s">
        <v>6017</v>
      </c>
      <c r="B453" s="388" t="s">
        <v>5989</v>
      </c>
      <c r="C453" s="1232" t="s">
        <v>4723</v>
      </c>
      <c r="D453" s="387"/>
      <c r="E453" s="2679" cm="1" t="n">
        <f t="array" ref="E453">INDEX('5층_부하량'!G3:G3000,MATCH(1,("5-DaHall 1-PDU-17"='5층_부하량'!A3:A3000)*(15='5층_부하량'!B3:B3000),0))</f>
        <v>0.0</v>
      </c>
      <c r="F453" s="387"/>
      <c r="G453" s="387"/>
      <c r="H453" s="1319" t="s">
        <v>6018</v>
      </c>
      <c r="I453" s="1320" t="s">
        <v>4661</v>
      </c>
      <c r="J453" s="1042" t="s">
        <v>6019</v>
      </c>
      <c r="K453" s="1043" t="s">
        <v>6020</v>
      </c>
      <c r="L453" s="578" t="s">
        <v>4603</v>
      </c>
      <c r="M453" s="1319" t="s">
        <v>4597</v>
      </c>
      <c r="N453" s="387"/>
      <c r="O453" s="2679" cm="1" t="n">
        <f t="array" ref="O453">INDEX('5층_부하량'!G3:G3000,MATCH(1,("5-DaHall 1-PDU-17"='5층_부하량'!A3:A3000)*(16='5층_부하량'!B3:B3000),0))</f>
        <v>0.0</v>
      </c>
      <c r="P453" s="387"/>
      <c r="Q453" s="387"/>
      <c r="R453" s="388" t="s">
        <v>5989</v>
      </c>
      <c r="S453" s="1232" t="s">
        <v>4723</v>
      </c>
      <c r="T453" s="395" t="s">
        <v>6021</v>
      </c>
    </row>
    <row r="454" spans="1:20" s="356" customFormat="1" ht="16.5" x14ac:dyDescent="0.15">
      <c r="A454" s="448" t="s">
        <v>6022</v>
      </c>
      <c r="B454" s="388" t="s">
        <v>5989</v>
      </c>
      <c r="C454" s="389" t="s">
        <v>4575</v>
      </c>
      <c r="D454" s="387"/>
      <c r="E454" s="387"/>
      <c r="F454" s="2679" cm="1" t="n">
        <f t="array" ref="F454">INDEX('5층_부하량'!H3:H3000,MATCH(1,("5-DaHall 1-PDU-17"='5층_부하량'!A3:A3000)*(17='5층_부하량'!B3:B3000),0))</f>
        <v>0.8</v>
      </c>
      <c r="G454" s="387"/>
      <c r="H454" s="1232" t="s">
        <v>4597</v>
      </c>
      <c r="I454" s="1320" t="s">
        <v>4665</v>
      </c>
      <c r="J454" s="1042" t="s">
        <v>6023</v>
      </c>
      <c r="K454" s="1045" t="s">
        <v>6024</v>
      </c>
      <c r="L454" s="578" t="s">
        <v>4605</v>
      </c>
      <c r="M454" s="1319" t="s">
        <v>4597</v>
      </c>
      <c r="N454" s="387"/>
      <c r="O454" s="387"/>
      <c r="P454" s="2679" cm="1" t="n">
        <f t="array" ref="P454">INDEX('5층_부하량'!H3:H3000,MATCH(1,("5-DaHall 1-PDU-17"='5층_부하량'!A3:A3000)*(18='5층_부하량'!B3:B3000),0))</f>
        <v>0.85</v>
      </c>
      <c r="Q454" s="387"/>
      <c r="R454" s="388" t="s">
        <v>5989</v>
      </c>
      <c r="S454" s="1232" t="s">
        <v>4723</v>
      </c>
      <c r="T454" s="395" t="s">
        <v>6025</v>
      </c>
    </row>
    <row r="455" spans="1:20" s="356" customFormat="1" ht="16.5" x14ac:dyDescent="0.15">
      <c r="A455" s="448" t="s">
        <v>6026</v>
      </c>
      <c r="B455" s="388" t="s">
        <v>5989</v>
      </c>
      <c r="C455" s="1232" t="s">
        <v>4723</v>
      </c>
      <c r="D455" s="2679" cm="1" t="n">
        <f t="array" ref="D455">INDEX('5층_부하량'!F3:F3000,MATCH(1,("5-DaHall 1-PDU-17"='5층_부하량'!A3:A3000)*(19='5층_부하량'!B3:B3000),0))</f>
        <v>0.0</v>
      </c>
      <c r="E455" s="387"/>
      <c r="F455" s="387"/>
      <c r="G455" s="387"/>
      <c r="H455" s="1232" t="s">
        <v>4597</v>
      </c>
      <c r="I455" s="1320" t="s">
        <v>4670</v>
      </c>
      <c r="J455" s="1042" t="s">
        <v>6027</v>
      </c>
      <c r="K455" s="1043" t="s">
        <v>6028</v>
      </c>
      <c r="L455" s="578" t="s">
        <v>4609</v>
      </c>
      <c r="M455" s="1319" t="s">
        <v>4597</v>
      </c>
      <c r="N455" s="2679" cm="1" t="n">
        <f t="array" ref="N455">INDEX('5층_부하량'!F3:F3000,MATCH(1,("5-DaHall 1-PDU-17"='5층_부하량'!A3:A3000)*(20='5층_부하량'!B3:B3000),0))</f>
        <v>0.0</v>
      </c>
      <c r="O455" s="387"/>
      <c r="P455" s="387"/>
      <c r="Q455" s="387"/>
      <c r="R455" s="388" t="s">
        <v>5989</v>
      </c>
      <c r="S455" s="1232" t="s">
        <v>4723</v>
      </c>
      <c r="T455" s="395" t="s">
        <v>6029</v>
      </c>
    </row>
    <row r="456" spans="1:20" s="356" customFormat="1" ht="16.5" x14ac:dyDescent="0.15">
      <c r="A456" s="448" t="s">
        <v>6030</v>
      </c>
      <c r="B456" s="388" t="s">
        <v>5989</v>
      </c>
      <c r="C456" s="1232" t="s">
        <v>4723</v>
      </c>
      <c r="D456" s="387"/>
      <c r="E456" s="2672" cm="1" t="n">
        <f t="array" ref="E456">INDEX('5층_부하량'!G3:G3000,MATCH(1,("5-DaHall 1-PDU-17"='5층_부하량'!A3:A3000)*(21='5층_부하량'!B3:B3000),0))</f>
        <v>2.45</v>
      </c>
      <c r="F456" s="387"/>
      <c r="G456" s="387"/>
      <c r="H456" s="1319" t="s">
        <v>4597</v>
      </c>
      <c r="I456" s="1320" t="s">
        <v>4612</v>
      </c>
      <c r="J456" s="1042" t="s">
        <v>6031</v>
      </c>
      <c r="K456" s="1045" t="s">
        <v>6032</v>
      </c>
      <c r="L456" s="578" t="s">
        <v>4893</v>
      </c>
      <c r="M456" s="1319" t="s">
        <v>4597</v>
      </c>
      <c r="N456" s="387"/>
      <c r="O456" s="2672" cm="1" t="n">
        <f t="array" ref="O456">INDEX('5층_부하량'!G3:G3000,MATCH(1,("5-DaHall 1-PDU-17"='5층_부하량'!A3:A3000)*(22='5층_부하량'!B3:B3000),0))</f>
        <v>0.0</v>
      </c>
      <c r="P456" s="387"/>
      <c r="Q456" s="387"/>
      <c r="R456" s="388" t="s">
        <v>5989</v>
      </c>
      <c r="S456" s="1232" t="s">
        <v>4723</v>
      </c>
      <c r="T456" s="395" t="s">
        <v>6033</v>
      </c>
    </row>
    <row r="457" spans="1:20" s="356" customFormat="1" ht="16.5" x14ac:dyDescent="0.15">
      <c r="A457" s="448" t="s">
        <v>6034</v>
      </c>
      <c r="B457" s="388" t="s">
        <v>5989</v>
      </c>
      <c r="C457" s="1232" t="s">
        <v>4723</v>
      </c>
      <c r="D457" s="387"/>
      <c r="E457" s="387"/>
      <c r="F457" s="2679" cm="1" t="n">
        <f t="array" ref="F457">INDEX('5층_부하량'!H3:H3000,MATCH(1,("5-DaHall 1-PDU-17"='5층_부하량'!A3:A3000)*(23='5층_부하량'!B3:B3000),0))</f>
        <v>1.15</v>
      </c>
      <c r="G457" s="417"/>
      <c r="H457" s="1321" t="s">
        <v>4597</v>
      </c>
      <c r="I457" s="1320" t="s">
        <v>4896</v>
      </c>
      <c r="J457" s="1054" t="s">
        <v>6035</v>
      </c>
      <c r="K457" s="1043" t="s">
        <v>6036</v>
      </c>
      <c r="L457" s="578" t="s">
        <v>4897</v>
      </c>
      <c r="M457" s="1321" t="s">
        <v>4597</v>
      </c>
      <c r="N457" s="387"/>
      <c r="O457" s="387"/>
      <c r="P457" s="2679" cm="1" t="n">
        <f t="array" ref="P457">INDEX('5층_부하량'!H3:H3000,MATCH(1,("5-DaHall 1-PDU-17"='5층_부하량'!A3:A3000)*(24='5층_부하량'!B3:B3000),0))</f>
        <v>0.0</v>
      </c>
      <c r="Q457" s="417"/>
      <c r="R457" s="388" t="s">
        <v>5989</v>
      </c>
      <c r="S457" s="389" t="s">
        <v>4575</v>
      </c>
      <c r="T457" s="413" t="s">
        <v>6037</v>
      </c>
    </row>
    <row r="458" spans="1:20" s="356" customFormat="1" ht="16.5" x14ac:dyDescent="0.15">
      <c r="A458" s="396" t="s">
        <v>6038</v>
      </c>
      <c r="B458" s="388" t="s">
        <v>5989</v>
      </c>
      <c r="C458" s="389" t="s">
        <v>4575</v>
      </c>
      <c r="D458" s="2679" cm="1" t="n">
        <f t="array" ref="D458">INDEX('5층_부하량'!F3:F3000,MATCH(1,("5-DaHall 1-PDU-17"='5층_부하량'!A3:A3000)*(25='5층_부하량'!B3:B3000),0))</f>
        <v>1.8399999999999999</v>
      </c>
      <c r="E458" s="387"/>
      <c r="F458" s="387"/>
      <c r="G458" s="417"/>
      <c r="H458" s="415" t="s">
        <v>4597</v>
      </c>
      <c r="I458" s="2452" t="s">
        <v>6039</v>
      </c>
      <c r="J458" s="1054" t="s">
        <v>6040</v>
      </c>
      <c r="K458" s="1045"/>
      <c r="L458" s="589" t="s">
        <v>4901</v>
      </c>
      <c r="M458" s="415" t="s">
        <v>4597</v>
      </c>
      <c r="N458" s="2679" cm="1" t="n">
        <f t="array" ref="N458">INDEX('5층_부하량'!F3:F3000,MATCH(1,("5-DaHall 1-PDU-17"='5층_부하량'!A3:A3000)*(26='5층_부하량'!B3:B3000),0))</f>
        <v>0.0</v>
      </c>
      <c r="O458" s="387"/>
      <c r="P458" s="387"/>
      <c r="Q458" s="417"/>
      <c r="R458" s="1315" t="s">
        <v>565</v>
      </c>
      <c r="S458" s="1316" t="s">
        <v>4723</v>
      </c>
      <c r="T458" s="413"/>
    </row>
    <row r="459" spans="1:20" s="356" customFormat="1" ht="16.5" x14ac:dyDescent="0.15">
      <c r="A459" s="396"/>
      <c r="B459" s="1315" t="s">
        <v>565</v>
      </c>
      <c r="C459" s="1316" t="s">
        <v>4723</v>
      </c>
      <c r="D459" s="387"/>
      <c r="E459" s="2679" cm="1" t="n">
        <f t="array" ref="E459">INDEX('5층_부하량'!G3:G3000,MATCH(1,("5-DaHall 1-PDU-17"='5층_부하량'!A3:A3000)*(27='5층_부하량'!B3:B3000),0))</f>
        <v>0.0</v>
      </c>
      <c r="F459" s="387"/>
      <c r="G459" s="417"/>
      <c r="H459" s="415" t="s">
        <v>4597</v>
      </c>
      <c r="I459" s="2452" t="s">
        <v>6041</v>
      </c>
      <c r="J459" s="1054"/>
      <c r="K459" s="1318"/>
      <c r="L459" s="589" t="s">
        <v>4906</v>
      </c>
      <c r="M459" s="415" t="s">
        <v>4597</v>
      </c>
      <c r="N459" s="387"/>
      <c r="O459" s="2679" cm="1" t="n">
        <f t="array" ref="O459">INDEX('5층_부하량'!G3:G3000,MATCH(1,("5-DaHall 1-PDU-17"='5층_부하량'!A3:A3000)*(28='5층_부하량'!B3:B3000),0))</f>
        <v>0.0</v>
      </c>
      <c r="P459" s="387"/>
      <c r="Q459" s="417"/>
      <c r="R459" s="1315" t="s">
        <v>565</v>
      </c>
      <c r="S459" s="1316" t="s">
        <v>4723</v>
      </c>
      <c r="T459" s="413"/>
    </row>
    <row r="460" spans="1:20" s="356" customFormat="1" ht="16.5" x14ac:dyDescent="0.15">
      <c r="A460" s="396"/>
      <c r="B460" s="1315" t="s">
        <v>565</v>
      </c>
      <c r="C460" s="1316" t="s">
        <v>4723</v>
      </c>
      <c r="D460" s="387"/>
      <c r="E460" s="387"/>
      <c r="F460" s="2679" cm="1" t="n">
        <f t="array" ref="F460">INDEX('5층_부하량'!H3:H3000,MATCH(1,("5-DaHall 1-PDU-17"='5층_부하량'!A3:A3000)*(29='5층_부하량'!B3:B3000),0))</f>
        <v>0.0</v>
      </c>
      <c r="G460" s="417"/>
      <c r="H460" s="415" t="s">
        <v>4597</v>
      </c>
      <c r="I460" s="2452" t="s">
        <v>6042</v>
      </c>
      <c r="J460" s="1054"/>
      <c r="K460" s="1318"/>
      <c r="L460" s="589" t="s">
        <v>4911</v>
      </c>
      <c r="M460" s="415" t="s">
        <v>4597</v>
      </c>
      <c r="N460" s="387"/>
      <c r="O460" s="387"/>
      <c r="P460" s="2679" cm="1" t="n">
        <f t="array" ref="P460">INDEX('5층_부하량'!H3:H3000,MATCH(1,("5-DaHall 1-PDU-17"='5층_부하량'!A3:A3000)*(30='5층_부하량'!B3:B3000),0))</f>
        <v>0.0</v>
      </c>
      <c r="Q460" s="417"/>
      <c r="R460" s="1315" t="s">
        <v>565</v>
      </c>
      <c r="S460" s="1316" t="s">
        <v>4723</v>
      </c>
      <c r="T460" s="413"/>
    </row>
    <row r="461" spans="1:20" s="356" customFormat="1" ht="16.5" x14ac:dyDescent="0.15">
      <c r="A461" s="396"/>
      <c r="B461" s="1315" t="s">
        <v>565</v>
      </c>
      <c r="C461" s="1316" t="s">
        <v>4723</v>
      </c>
      <c r="D461" s="2679" cm="1" t="n">
        <f t="array" ref="D461">INDEX('5층_부하량'!F3:F3000,MATCH(1,("5-DaHall 1-PDU-17"='5층_부하량'!A3:A3000)*(31='5층_부하량'!B3:B3000),0))</f>
        <v>0.0</v>
      </c>
      <c r="E461" s="387"/>
      <c r="F461" s="387"/>
      <c r="G461" s="417"/>
      <c r="H461" s="415" t="s">
        <v>4597</v>
      </c>
      <c r="I461" s="2452" t="s">
        <v>6043</v>
      </c>
      <c r="J461" s="1054"/>
      <c r="K461" s="1318"/>
      <c r="L461" s="589" t="s">
        <v>4915</v>
      </c>
      <c r="M461" s="415" t="s">
        <v>4597</v>
      </c>
      <c r="N461" s="2679" cm="1" t="n">
        <f t="array" ref="N461">INDEX('5층_부하량'!F3:F3000,MATCH(1,("5-DaHall 1-PDU-17"='5층_부하량'!A3:A3000)*(32='5층_부하량'!B3:B3000),0))</f>
        <v>0.0</v>
      </c>
      <c r="O461" s="387"/>
      <c r="P461" s="387"/>
      <c r="Q461" s="417"/>
      <c r="R461" s="1315" t="s">
        <v>565</v>
      </c>
      <c r="S461" s="1316" t="s">
        <v>4723</v>
      </c>
      <c r="T461" s="413"/>
    </row>
    <row r="462" spans="1:20" s="356" customFormat="1" ht="17.25" thickBot="1" x14ac:dyDescent="0.2">
      <c r="A462" s="431"/>
      <c r="B462" s="436" t="s">
        <v>4590</v>
      </c>
      <c r="C462" s="432" t="s">
        <v>4642</v>
      </c>
      <c r="D462" s="433"/>
      <c r="E462" s="2680" cm="1" t="n">
        <f t="array" ref="E462">INDEX('5층_부하량'!G3:G3000,MATCH(1,("5-DaHall 1-PDU-17"='5층_부하량'!A3:A3000)*(33='5층_부하량'!B3:B3000),0))</f>
        <v>0.0</v>
      </c>
      <c r="F462" s="433"/>
      <c r="G462" s="433"/>
      <c r="H462" s="432" t="s">
        <v>4597</v>
      </c>
      <c r="I462" s="2453" t="s">
        <v>6044</v>
      </c>
      <c r="J462" s="1059"/>
      <c r="K462" s="1230"/>
      <c r="L462" s="1231" t="s">
        <v>4919</v>
      </c>
      <c r="M462" s="432" t="s">
        <v>4597</v>
      </c>
      <c r="N462" s="433"/>
      <c r="O462" s="2680" cm="1" t="n">
        <f t="array" ref="O462">INDEX('5층_부하량'!G3:G3000,MATCH(1,("5-DaHall 1-PDU-17"='5층_부하량'!A3:A3000)*(34='5층_부하량'!B3:B3000),0))</f>
        <v>0.0</v>
      </c>
      <c r="P462" s="433"/>
      <c r="Q462" s="433"/>
      <c r="R462" s="436" t="s">
        <v>4590</v>
      </c>
      <c r="S462" s="432" t="s">
        <v>4642</v>
      </c>
      <c r="T462" s="438"/>
    </row>
    <row r="463" spans="1:20" s="356" customFormat="1" ht="18" thickTop="1" thickBot="1" x14ac:dyDescent="0.2">
      <c r="L463" s="2445"/>
      <c r="M463" s="411" t="s">
        <v>5645</v>
      </c>
      <c r="N463" s="412" t="n">
        <f>SUM(D446:D462,N446:N462)</f>
        <v>7.739999999999999</v>
      </c>
      <c r="O463" s="412" t="n">
        <f>SUM(E446:E462,O446:O462)</f>
        <v>9.76</v>
      </c>
      <c r="P463" s="412" t="n">
        <f>SUM(F446:F462,P446:P462)</f>
        <v>12.350000000000001</v>
      </c>
    </row>
    <row r="464" spans="1:20" s="356" customFormat="1" ht="20.25" thickTop="1" thickBot="1" x14ac:dyDescent="0.2">
      <c r="A464" s="355" t="s">
        <v>6962</v>
      </c>
      <c r="C464" s="3660" t="s">
        <v>6045</v>
      </c>
      <c r="D464" s="3660"/>
      <c r="E464" s="3660"/>
      <c r="F464" s="3660"/>
      <c r="G464" s="357"/>
      <c r="H464" s="358"/>
      <c r="I464" s="358"/>
      <c r="J464" s="3668" t="s">
        <v>5063</v>
      </c>
      <c r="K464" s="3669"/>
      <c r="L464" s="2442"/>
      <c r="M464" s="358"/>
      <c r="N464" s="357"/>
      <c r="O464" s="357"/>
      <c r="P464" s="357"/>
      <c r="Q464" s="357"/>
      <c r="R464" s="357"/>
      <c r="S464" s="357"/>
    </row>
    <row r="465" spans="1:20" s="356" customFormat="1" ht="15" customHeight="1" thickTop="1" thickBot="1" x14ac:dyDescent="0.2">
      <c r="A465" s="3"/>
      <c r="B465"/>
      <c r="C465"/>
      <c r="D465" s="54"/>
      <c r="E465" s="54"/>
      <c r="F465" s="54"/>
      <c r="G465" s="54"/>
      <c r="H465" s="4"/>
      <c r="I465" s="4"/>
      <c r="J465"/>
      <c r="K465" s="56"/>
      <c r="L465" s="565"/>
      <c r="M465" s="1371" t="s">
        <v>4562</v>
      </c>
      <c r="N465" s="1368">
        <v>4.5999999999999996</v>
      </c>
      <c r="O465" s="1369">
        <v>5</v>
      </c>
      <c r="P465" s="1370">
        <v>1.5</v>
      </c>
      <c r="Q465" s="508" t="s">
        <v>4563</v>
      </c>
      <c r="R465" s="133"/>
      <c r="S465" s="128"/>
      <c r="T465" s="363"/>
    </row>
    <row r="466" spans="1:20" s="356" customFormat="1" ht="18" thickTop="1" thickBot="1" x14ac:dyDescent="0.2">
      <c r="A466" s="364" t="s">
        <v>4564</v>
      </c>
      <c r="B466" s="365" t="s">
        <v>4565</v>
      </c>
      <c r="C466" s="366" t="s">
        <v>4566</v>
      </c>
      <c r="D466" s="365" t="s">
        <v>4567</v>
      </c>
      <c r="E466" s="365" t="s">
        <v>4568</v>
      </c>
      <c r="F466" s="365" t="s">
        <v>4569</v>
      </c>
      <c r="G466" s="365" t="s">
        <v>4570</v>
      </c>
      <c r="H466" s="367" t="s">
        <v>4571</v>
      </c>
      <c r="I466" s="557"/>
      <c r="J466" s="368" t="s">
        <v>4572</v>
      </c>
      <c r="K466" s="369" t="s">
        <v>4572</v>
      </c>
      <c r="L466" s="575"/>
      <c r="M466" s="367" t="s">
        <v>4571</v>
      </c>
      <c r="N466" s="365" t="s">
        <v>4567</v>
      </c>
      <c r="O466" s="365" t="s">
        <v>4568</v>
      </c>
      <c r="P466" s="365" t="s">
        <v>4569</v>
      </c>
      <c r="Q466" s="365" t="s">
        <v>4570</v>
      </c>
      <c r="R466" s="365" t="s">
        <v>4565</v>
      </c>
      <c r="S466" s="366" t="s">
        <v>4566</v>
      </c>
      <c r="T466" s="370" t="s">
        <v>4564</v>
      </c>
    </row>
    <row r="467" spans="1:20" s="356" customFormat="1" ht="17.25" thickTop="1" x14ac:dyDescent="0.15">
      <c r="A467" s="474" t="s">
        <v>5988</v>
      </c>
      <c r="B467" s="378" t="s">
        <v>5989</v>
      </c>
      <c r="C467" s="379" t="s">
        <v>4575</v>
      </c>
      <c r="D467" s="2678" cm="1" t="n">
        <f t="array" ref="D467">INDEX('5층_부하량'!F3:F3000,MATCH(1,("5-DaHall 1-PDU-18"='5층_부하량'!A3:A3000)*(1='5층_부하량'!B3:B3000),0))</f>
        <v>1.12</v>
      </c>
      <c r="E467" s="401"/>
      <c r="F467" s="401"/>
      <c r="G467" s="374"/>
      <c r="H467" s="2450" t="s">
        <v>4597</v>
      </c>
      <c r="I467" s="2451" t="s">
        <v>4577</v>
      </c>
      <c r="J467" s="1040" t="s">
        <v>6046</v>
      </c>
      <c r="K467" s="1041" t="s">
        <v>6047</v>
      </c>
      <c r="L467" s="587" t="s">
        <v>4863</v>
      </c>
      <c r="M467" s="372" t="s">
        <v>4597</v>
      </c>
      <c r="N467" s="2678" cm="1" t="n">
        <f t="array" ref="N467">INDEX('5층_부하량'!F3:F3000,MATCH(1,("5-DaHall 1-PDU-18"='5층_부하량'!A3:A3000)*(2='5층_부하량'!B3:B3000),0))</f>
        <v>0.79</v>
      </c>
      <c r="O467" s="401"/>
      <c r="P467" s="401"/>
      <c r="Q467" s="374"/>
      <c r="R467" s="378" t="s">
        <v>5989</v>
      </c>
      <c r="S467" s="379" t="s">
        <v>4575</v>
      </c>
      <c r="T467" s="1233" t="s">
        <v>5992</v>
      </c>
    </row>
    <row r="468" spans="1:20" s="356" customFormat="1" ht="16.5" x14ac:dyDescent="0.15">
      <c r="A468" s="391" t="s">
        <v>5993</v>
      </c>
      <c r="B468" s="388" t="s">
        <v>5989</v>
      </c>
      <c r="C468" s="389" t="s">
        <v>4575</v>
      </c>
      <c r="D468" s="387"/>
      <c r="E468" s="2672" cm="1" t="n">
        <f t="array" ref="E468">INDEX('5층_부하량'!G3:G3000,MATCH(1,("5-DaHall 1-PDU-18"='5층_부하량'!A3:A3000)*(3='5층_부하량'!B3:B3000),0))</f>
        <v>0.0</v>
      </c>
      <c r="F468" s="387"/>
      <c r="G468" s="383"/>
      <c r="H468" s="1319" t="s">
        <v>4597</v>
      </c>
      <c r="I468" s="1320" t="s">
        <v>4582</v>
      </c>
      <c r="J468" s="1042" t="s">
        <v>6048</v>
      </c>
      <c r="K468" s="1043" t="s">
        <v>6049</v>
      </c>
      <c r="L468" s="577" t="s">
        <v>4865</v>
      </c>
      <c r="M468" s="1319" t="s">
        <v>4597</v>
      </c>
      <c r="N468" s="387"/>
      <c r="O468" s="2672" cm="1" t="n">
        <f t="array" ref="O468">INDEX('5층_부하량'!G3:G3000,MATCH(1,("5-DaHall 1-PDU-18"='5층_부하량'!A3:A3000)*(4='5층_부하량'!B3:B3000),0))</f>
        <v>0.0</v>
      </c>
      <c r="P468" s="387"/>
      <c r="Q468" s="387"/>
      <c r="R468" s="388" t="s">
        <v>5989</v>
      </c>
      <c r="S468" s="389" t="s">
        <v>4575</v>
      </c>
      <c r="T468" s="395" t="s">
        <v>5996</v>
      </c>
    </row>
    <row r="469" spans="1:20" s="356" customFormat="1" ht="16.5" x14ac:dyDescent="0.15">
      <c r="A469" s="391" t="s">
        <v>5997</v>
      </c>
      <c r="B469" s="388" t="s">
        <v>5989</v>
      </c>
      <c r="C469" s="389" t="s">
        <v>4575</v>
      </c>
      <c r="D469" s="387"/>
      <c r="E469" s="387"/>
      <c r="F469" s="2679" cm="1" t="n">
        <f t="array" ref="F469">INDEX('5층_부하량'!H3:H3000,MATCH(1,("5-DaHall 1-PDU-18"='5층_부하량'!A3:A3000)*(5='5층_부하량'!B3:B3000),0))</f>
        <v>5.0</v>
      </c>
      <c r="G469" s="387"/>
      <c r="H469" s="1319" t="s">
        <v>4597</v>
      </c>
      <c r="I469" s="1320" t="s">
        <v>4587</v>
      </c>
      <c r="J469" s="1042" t="s">
        <v>6050</v>
      </c>
      <c r="K469" s="1045" t="s">
        <v>6051</v>
      </c>
      <c r="L469" s="578" t="s">
        <v>4868</v>
      </c>
      <c r="M469" s="1319" t="s">
        <v>4597</v>
      </c>
      <c r="N469" s="387"/>
      <c r="O469" s="387"/>
      <c r="P469" s="2679" cm="1" t="n">
        <f t="array" ref="P469">INDEX('5층_부하량'!H3:H3000,MATCH(1,("5-DaHall 1-PDU-18"='5층_부하량'!A3:A3000)*(6='5층_부하량'!B3:B3000),0))</f>
        <v>0.42</v>
      </c>
      <c r="Q469" s="387"/>
      <c r="R469" s="388" t="s">
        <v>5989</v>
      </c>
      <c r="S469" s="389" t="s">
        <v>4575</v>
      </c>
      <c r="T469" s="395" t="s">
        <v>6000</v>
      </c>
    </row>
    <row r="470" spans="1:20" s="356" customFormat="1" ht="16.5" x14ac:dyDescent="0.15">
      <c r="A470" s="391" t="s">
        <v>6001</v>
      </c>
      <c r="B470" s="388" t="s">
        <v>5989</v>
      </c>
      <c r="C470" s="389" t="s">
        <v>4575</v>
      </c>
      <c r="D470" s="2679" cm="1" t="n">
        <f t="array" ref="D470">INDEX('5층_부하량'!F3:F3000,MATCH(1,("5-DaHall 1-PDU-18"='5층_부하량'!A3:A3000)*(7='5층_부하량'!B3:B3000),0))</f>
        <v>0.0</v>
      </c>
      <c r="E470" s="387"/>
      <c r="F470" s="387"/>
      <c r="G470" s="387"/>
      <c r="H470" s="1319" t="s">
        <v>4597</v>
      </c>
      <c r="I470" s="1320" t="s">
        <v>4645</v>
      </c>
      <c r="J470" s="1042" t="s">
        <v>6052</v>
      </c>
      <c r="K470" s="1043" t="s">
        <v>6053</v>
      </c>
      <c r="L470" s="578" t="s">
        <v>4593</v>
      </c>
      <c r="M470" s="1319" t="s">
        <v>4597</v>
      </c>
      <c r="N470" s="2679" cm="1" t="n">
        <f t="array" ref="N470">INDEX('5층_부하량'!F3:F3000,MATCH(1,("5-DaHall 1-PDU-18"='5층_부하량'!A3:A3000)*(8='5층_부하량'!B3:B3000),0))</f>
        <v>2.3</v>
      </c>
      <c r="O470" s="387"/>
      <c r="P470" s="387"/>
      <c r="Q470" s="387"/>
      <c r="R470" s="388" t="s">
        <v>5989</v>
      </c>
      <c r="S470" s="389" t="s">
        <v>4575</v>
      </c>
      <c r="T470" s="395" t="s">
        <v>6004</v>
      </c>
    </row>
    <row r="471" spans="1:20" s="356" customFormat="1" ht="16.5" x14ac:dyDescent="0.15">
      <c r="A471" s="391" t="s">
        <v>6005</v>
      </c>
      <c r="B471" s="388" t="s">
        <v>5989</v>
      </c>
      <c r="C471" s="389" t="s">
        <v>4575</v>
      </c>
      <c r="D471" s="387"/>
      <c r="E471" s="2672" cm="1" t="n">
        <f t="array" ref="E471">INDEX('5층_부하량'!G3:G3000,MATCH(1,("5-DaHall 1-PDU-18"='5층_부하량'!A3:A3000)*(9='5층_부하량'!B3:B3000),0))</f>
        <v>5.02</v>
      </c>
      <c r="F471" s="387"/>
      <c r="G471" s="387"/>
      <c r="H471" s="1319" t="s">
        <v>4597</v>
      </c>
      <c r="I471" s="1320" t="s">
        <v>4648</v>
      </c>
      <c r="J471" s="1042" t="s">
        <v>6054</v>
      </c>
      <c r="K471" s="1045" t="s">
        <v>6055</v>
      </c>
      <c r="L471" s="578" t="s">
        <v>4596</v>
      </c>
      <c r="M471" s="1319" t="s">
        <v>4597</v>
      </c>
      <c r="N471" s="387"/>
      <c r="O471" s="2672" cm="1" t="n">
        <f t="array" ref="O471">INDEX('5층_부하량'!G3:G3000,MATCH(1,("5-DaHall 1-PDU-18"='5층_부하량'!A3:A3000)*(10='5층_부하량'!B3:B3000),0))</f>
        <v>0.0</v>
      </c>
      <c r="P471" s="387"/>
      <c r="Q471" s="387"/>
      <c r="R471" s="388" t="s">
        <v>5989</v>
      </c>
      <c r="S471" s="389" t="s">
        <v>4575</v>
      </c>
      <c r="T471" s="395" t="s">
        <v>6008</v>
      </c>
    </row>
    <row r="472" spans="1:20" s="356" customFormat="1" ht="16.5" x14ac:dyDescent="0.15">
      <c r="A472" s="391" t="s">
        <v>6009</v>
      </c>
      <c r="B472" s="388" t="s">
        <v>5989</v>
      </c>
      <c r="C472" s="389" t="s">
        <v>4575</v>
      </c>
      <c r="D472" s="387"/>
      <c r="E472" s="387"/>
      <c r="F472" s="2679" cm="1" t="n">
        <f t="array" ref="F472">INDEX('5층_부하량'!H3:H3000,MATCH(1,("5-DaHall 1-PDU-18"='5층_부하량'!A3:A3000)*(11='5층_부하량'!B3:B3000),0))</f>
        <v>0.42</v>
      </c>
      <c r="G472" s="387"/>
      <c r="H472" s="1319" t="s">
        <v>4597</v>
      </c>
      <c r="I472" s="1320" t="s">
        <v>4653</v>
      </c>
      <c r="J472" s="1042" t="s">
        <v>6056</v>
      </c>
      <c r="K472" s="1043" t="s">
        <v>6057</v>
      </c>
      <c r="L472" s="578" t="s">
        <v>4599</v>
      </c>
      <c r="M472" s="1319" t="s">
        <v>4597</v>
      </c>
      <c r="N472" s="387"/>
      <c r="O472" s="387"/>
      <c r="P472" s="2679" cm="1" t="n">
        <f t="array" ref="P472">INDEX('5층_부하량'!H3:H3000,MATCH(1,("5-DaHall 1-PDU-18"='5층_부하량'!A3:A3000)*(12='5층_부하량'!B3:B3000),0))</f>
        <v>1.08</v>
      </c>
      <c r="Q472" s="387"/>
      <c r="R472" s="388" t="s">
        <v>5989</v>
      </c>
      <c r="S472" s="389" t="s">
        <v>4575</v>
      </c>
      <c r="T472" s="395" t="s">
        <v>6012</v>
      </c>
    </row>
    <row r="473" spans="1:20" s="356" customFormat="1" ht="16.5" x14ac:dyDescent="0.15">
      <c r="A473" s="391" t="s">
        <v>6013</v>
      </c>
      <c r="B473" s="388" t="s">
        <v>5989</v>
      </c>
      <c r="C473" s="389" t="s">
        <v>4575</v>
      </c>
      <c r="D473" s="2679" cm="1" t="n">
        <f t="array" ref="D473">INDEX('5층_부하량'!F3:F3000,MATCH(1,("5-DaHall 1-PDU-18"='5층_부하량'!A3:A3000)*(13='5층_부하량'!B3:B3000),0))</f>
        <v>1.01</v>
      </c>
      <c r="E473" s="387"/>
      <c r="F473" s="387"/>
      <c r="G473" s="387"/>
      <c r="H473" s="1319" t="s">
        <v>4597</v>
      </c>
      <c r="I473" s="1320" t="s">
        <v>4657</v>
      </c>
      <c r="J473" s="1042" t="s">
        <v>6058</v>
      </c>
      <c r="K473" s="1045" t="s">
        <v>6059</v>
      </c>
      <c r="L473" s="578" t="s">
        <v>4601</v>
      </c>
      <c r="M473" s="1319" t="s">
        <v>4597</v>
      </c>
      <c r="N473" s="2679" cm="1" t="n">
        <f t="array" ref="N473">INDEX('5층_부하량'!F3:F3000,MATCH(1,("5-DaHall 1-PDU-18"='5층_부하량'!A3:A3000)*(14='5층_부하량'!B3:B3000),0))</f>
        <v>0.0</v>
      </c>
      <c r="O473" s="387"/>
      <c r="P473" s="387"/>
      <c r="Q473" s="387"/>
      <c r="R473" s="388" t="s">
        <v>5989</v>
      </c>
      <c r="S473" s="1232" t="s">
        <v>4723</v>
      </c>
      <c r="T473" s="395" t="s">
        <v>6016</v>
      </c>
    </row>
    <row r="474" spans="1:20" s="356" customFormat="1" ht="16.5" x14ac:dyDescent="0.15">
      <c r="A474" s="448" t="s">
        <v>6017</v>
      </c>
      <c r="B474" s="388" t="s">
        <v>5989</v>
      </c>
      <c r="C474" s="1232" t="s">
        <v>4723</v>
      </c>
      <c r="D474" s="387"/>
      <c r="E474" s="2679" cm="1" t="n">
        <f t="array" ref="E474">INDEX('5층_부하량'!G3:G3000,MATCH(1,("5-DaHall 1-PDU-18"='5층_부하량'!A3:A3000)*(15='5층_부하량'!B3:B3000),0))</f>
        <v>0.0</v>
      </c>
      <c r="F474" s="387"/>
      <c r="G474" s="387"/>
      <c r="H474" s="1319" t="s">
        <v>6018</v>
      </c>
      <c r="I474" s="1320" t="s">
        <v>4661</v>
      </c>
      <c r="J474" s="1042" t="s">
        <v>6060</v>
      </c>
      <c r="K474" s="1043" t="s">
        <v>6061</v>
      </c>
      <c r="L474" s="578" t="s">
        <v>4603</v>
      </c>
      <c r="M474" s="1319" t="s">
        <v>4597</v>
      </c>
      <c r="N474" s="387"/>
      <c r="O474" s="2679" cm="1" t="n">
        <f t="array" ref="O474">INDEX('5층_부하량'!G3:G3000,MATCH(1,("5-DaHall 1-PDU-18"='5층_부하량'!A3:A3000)*(16='5층_부하량'!B3:B3000),0))</f>
        <v>0.0</v>
      </c>
      <c r="P474" s="387"/>
      <c r="Q474" s="387"/>
      <c r="R474" s="388" t="s">
        <v>5989</v>
      </c>
      <c r="S474" s="1232" t="s">
        <v>4723</v>
      </c>
      <c r="T474" s="395" t="s">
        <v>6021</v>
      </c>
    </row>
    <row r="475" spans="1:20" s="356" customFormat="1" ht="16.5" x14ac:dyDescent="0.15">
      <c r="A475" s="448" t="s">
        <v>6022</v>
      </c>
      <c r="B475" s="388" t="s">
        <v>5989</v>
      </c>
      <c r="C475" s="1232" t="s">
        <v>4723</v>
      </c>
      <c r="D475" s="387"/>
      <c r="E475" s="387"/>
      <c r="F475" s="2679" cm="1" t="n">
        <f t="array" ref="F475">INDEX('5층_부하량'!H3:H3000,MATCH(1,("5-DaHall 1-PDU-18"='5층_부하량'!A3:A3000)*(17='5층_부하량'!B3:B3000),0))</f>
        <v>0.0</v>
      </c>
      <c r="G475" s="387"/>
      <c r="H475" s="1232" t="s">
        <v>4597</v>
      </c>
      <c r="I475" s="1320" t="s">
        <v>4665</v>
      </c>
      <c r="J475" s="1042" t="s">
        <v>6062</v>
      </c>
      <c r="K475" s="1045" t="s">
        <v>6063</v>
      </c>
      <c r="L475" s="578" t="s">
        <v>4605</v>
      </c>
      <c r="M475" s="1319" t="s">
        <v>4597</v>
      </c>
      <c r="N475" s="387"/>
      <c r="O475" s="387"/>
      <c r="P475" s="2679" cm="1" t="n">
        <f t="array" ref="P475">INDEX('5층_부하량'!H3:H3000,MATCH(1,("5-DaHall 1-PDU-18"='5층_부하량'!A3:A3000)*(18='5층_부하량'!B3:B3000),0))</f>
        <v>0.8</v>
      </c>
      <c r="Q475" s="387"/>
      <c r="R475" s="388" t="s">
        <v>5989</v>
      </c>
      <c r="S475" s="1232" t="s">
        <v>4723</v>
      </c>
      <c r="T475" s="395" t="s">
        <v>6025</v>
      </c>
    </row>
    <row r="476" spans="1:20" s="356" customFormat="1" ht="16.5" x14ac:dyDescent="0.15">
      <c r="A476" s="448" t="s">
        <v>6026</v>
      </c>
      <c r="B476" s="388" t="s">
        <v>5989</v>
      </c>
      <c r="C476" s="1232" t="s">
        <v>4723</v>
      </c>
      <c r="D476" s="2679" cm="1" t="n">
        <f t="array" ref="D476">INDEX('5층_부하량'!F3:F3000,MATCH(1,("5-DaHall 1-PDU-18"='5층_부하량'!A3:A3000)*(19='5층_부하량'!B3:B3000),0))</f>
        <v>0.0</v>
      </c>
      <c r="E476" s="387"/>
      <c r="F476" s="387"/>
      <c r="G476" s="387"/>
      <c r="H476" s="1232" t="s">
        <v>4597</v>
      </c>
      <c r="I476" s="1320" t="s">
        <v>4670</v>
      </c>
      <c r="J476" s="1042" t="s">
        <v>6064</v>
      </c>
      <c r="K476" s="1043" t="s">
        <v>6065</v>
      </c>
      <c r="L476" s="578" t="s">
        <v>4609</v>
      </c>
      <c r="M476" s="1319" t="s">
        <v>4597</v>
      </c>
      <c r="N476" s="2679" cm="1" t="n">
        <f t="array" ref="N476">INDEX('5층_부하량'!F3:F3000,MATCH(1,("5-DaHall 1-PDU-18"='5층_부하량'!A3:A3000)*(20='5층_부하량'!B3:B3000),0))</f>
        <v>0.0</v>
      </c>
      <c r="O476" s="387"/>
      <c r="P476" s="387"/>
      <c r="Q476" s="387"/>
      <c r="R476" s="388" t="s">
        <v>5989</v>
      </c>
      <c r="S476" s="1232" t="s">
        <v>4723</v>
      </c>
      <c r="T476" s="395" t="s">
        <v>6029</v>
      </c>
    </row>
    <row r="477" spans="1:20" s="356" customFormat="1" ht="16.5" x14ac:dyDescent="0.15">
      <c r="A477" s="448" t="s">
        <v>6030</v>
      </c>
      <c r="B477" s="388" t="s">
        <v>5989</v>
      </c>
      <c r="C477" s="1232" t="s">
        <v>4723</v>
      </c>
      <c r="D477" s="387"/>
      <c r="E477" s="2672" cm="1" t="n">
        <f t="array" ref="E477">INDEX('5층_부하량'!G3:G3000,MATCH(1,("5-DaHall 1-PDU-18"='5층_부하량'!A3:A3000)*(21='5층_부하량'!B3:B3000),0))</f>
        <v>2.32</v>
      </c>
      <c r="F477" s="387"/>
      <c r="G477" s="387"/>
      <c r="H477" s="1319" t="s">
        <v>4597</v>
      </c>
      <c r="I477" s="1320" t="s">
        <v>4612</v>
      </c>
      <c r="J477" s="1042" t="s">
        <v>6066</v>
      </c>
      <c r="K477" s="1045" t="s">
        <v>6067</v>
      </c>
      <c r="L477" s="578" t="s">
        <v>4893</v>
      </c>
      <c r="M477" s="1319" t="s">
        <v>4597</v>
      </c>
      <c r="N477" s="387"/>
      <c r="O477" s="2672" cm="1" t="n">
        <f t="array" ref="O477">INDEX('5층_부하량'!G3:G3000,MATCH(1,("5-DaHall 1-PDU-18"='5층_부하량'!A3:A3000)*(22='5층_부하량'!B3:B3000),0))</f>
        <v>0.0</v>
      </c>
      <c r="P477" s="387"/>
      <c r="Q477" s="387"/>
      <c r="R477" s="388" t="s">
        <v>5989</v>
      </c>
      <c r="S477" s="1232" t="s">
        <v>4723</v>
      </c>
      <c r="T477" s="395" t="s">
        <v>6033</v>
      </c>
    </row>
    <row r="478" spans="1:20" s="356" customFormat="1" ht="16.5" x14ac:dyDescent="0.15">
      <c r="A478" s="448" t="s">
        <v>6034</v>
      </c>
      <c r="B478" s="388" t="s">
        <v>5989</v>
      </c>
      <c r="C478" s="1232" t="s">
        <v>4723</v>
      </c>
      <c r="D478" s="387"/>
      <c r="E478" s="387"/>
      <c r="F478" s="2679" cm="1" t="n">
        <f t="array" ref="F478">INDEX('5층_부하량'!H3:H3000,MATCH(1,("5-DaHall 1-PDU-18"='5층_부하량'!A3:A3000)*(23='5층_부하량'!B3:B3000),0))</f>
        <v>1.07</v>
      </c>
      <c r="G478" s="417"/>
      <c r="H478" s="1321" t="s">
        <v>4597</v>
      </c>
      <c r="I478" s="1320" t="s">
        <v>4896</v>
      </c>
      <c r="J478" s="1042" t="s">
        <v>6068</v>
      </c>
      <c r="K478" s="1043" t="s">
        <v>6069</v>
      </c>
      <c r="L478" s="578" t="s">
        <v>4897</v>
      </c>
      <c r="M478" s="1321" t="s">
        <v>4597</v>
      </c>
      <c r="N478" s="387"/>
      <c r="O478" s="387"/>
      <c r="P478" s="2679" cm="1" t="n">
        <f t="array" ref="P478">INDEX('5층_부하량'!H3:H3000,MATCH(1,("5-DaHall 1-PDU-18"='5층_부하량'!A3:A3000)*(24='5층_부하량'!B3:B3000),0))</f>
        <v>0.0</v>
      </c>
      <c r="Q478" s="417"/>
      <c r="R478" s="388" t="s">
        <v>5989</v>
      </c>
      <c r="S478" s="389" t="s">
        <v>4575</v>
      </c>
      <c r="T478" s="413" t="s">
        <v>6070</v>
      </c>
    </row>
    <row r="479" spans="1:20" s="356" customFormat="1" ht="16.5" x14ac:dyDescent="0.15">
      <c r="A479" s="396" t="s">
        <v>6038</v>
      </c>
      <c r="B479" s="388" t="s">
        <v>5989</v>
      </c>
      <c r="C479" s="389" t="s">
        <v>4575</v>
      </c>
      <c r="D479" s="2679" cm="1" t="n">
        <f t="array" ref="D479">INDEX('5층_부하량'!F3:F3000,MATCH(1,("5-DaHall 1-PDU-18"='5층_부하량'!A3:A3000)*(25='5층_부하량'!B3:B3000),0))</f>
        <v>1.02</v>
      </c>
      <c r="E479" s="387"/>
      <c r="F479" s="387"/>
      <c r="G479" s="417"/>
      <c r="H479" s="415" t="s">
        <v>4597</v>
      </c>
      <c r="I479" s="2452" t="s">
        <v>6039</v>
      </c>
      <c r="J479" s="1042" t="s">
        <v>6071</v>
      </c>
      <c r="K479" s="1318"/>
      <c r="L479" s="589" t="s">
        <v>4901</v>
      </c>
      <c r="M479" s="415" t="s">
        <v>4597</v>
      </c>
      <c r="N479" s="2679" cm="1" t="n">
        <f t="array" ref="N479">INDEX('5층_부하량'!F3:F3000,MATCH(1,("5-DaHall 1-PDU-18"='5층_부하량'!A3:A3000)*(26='5층_부하량'!B3:B3000),0))</f>
        <v>0.0</v>
      </c>
      <c r="O479" s="387"/>
      <c r="P479" s="387"/>
      <c r="Q479" s="417"/>
      <c r="R479" s="1315" t="s">
        <v>565</v>
      </c>
      <c r="S479" s="1316" t="s">
        <v>4723</v>
      </c>
      <c r="T479" s="413"/>
    </row>
    <row r="480" spans="1:20" s="356" customFormat="1" ht="16.5" x14ac:dyDescent="0.15">
      <c r="A480" s="396"/>
      <c r="B480" s="1315" t="s">
        <v>565</v>
      </c>
      <c r="C480" s="1316" t="s">
        <v>4723</v>
      </c>
      <c r="D480" s="387"/>
      <c r="E480" s="2679" cm="1" t="n">
        <f t="array" ref="E480">INDEX('5층_부하량'!G3:G3000,MATCH(1,("5-DaHall 1-PDU-18"='5층_부하량'!A3:A3000)*(27='5층_부하량'!B3:B3000),0))</f>
        <v>0.0</v>
      </c>
      <c r="F480" s="387"/>
      <c r="G480" s="417"/>
      <c r="H480" s="415" t="s">
        <v>4597</v>
      </c>
      <c r="I480" s="2452" t="s">
        <v>6041</v>
      </c>
      <c r="J480" s="1317"/>
      <c r="K480" s="1318"/>
      <c r="L480" s="589" t="s">
        <v>4906</v>
      </c>
      <c r="M480" s="415" t="s">
        <v>4597</v>
      </c>
      <c r="N480" s="387"/>
      <c r="O480" s="2679" cm="1" t="n">
        <f t="array" ref="O480">INDEX('5층_부하량'!G3:G3000,MATCH(1,("5-DaHall 1-PDU-18"='5층_부하량'!A3:A3000)*(28='5층_부하량'!B3:B3000),0))</f>
        <v>0.0</v>
      </c>
      <c r="P480" s="387"/>
      <c r="Q480" s="417"/>
      <c r="R480" s="1315" t="s">
        <v>565</v>
      </c>
      <c r="S480" s="1316" t="s">
        <v>4723</v>
      </c>
      <c r="T480" s="413"/>
    </row>
    <row r="481" spans="1:20" s="356" customFormat="1" ht="16.5" x14ac:dyDescent="0.15">
      <c r="A481" s="396"/>
      <c r="B481" s="1315" t="s">
        <v>565</v>
      </c>
      <c r="C481" s="1316" t="s">
        <v>4723</v>
      </c>
      <c r="D481" s="387"/>
      <c r="E481" s="387"/>
      <c r="F481" s="2679" cm="1" t="n">
        <f t="array" ref="F481">INDEX('5층_부하량'!H3:H3000,MATCH(1,("5-DaHall 1-PDU-18"='5층_부하량'!A3:A3000)*(29='5층_부하량'!B3:B3000),0))</f>
        <v>0.0</v>
      </c>
      <c r="G481" s="417"/>
      <c r="H481" s="415" t="s">
        <v>4597</v>
      </c>
      <c r="I481" s="2452" t="s">
        <v>6042</v>
      </c>
      <c r="J481" s="1317"/>
      <c r="K481" s="1318"/>
      <c r="L481" s="589" t="s">
        <v>4911</v>
      </c>
      <c r="M481" s="415" t="s">
        <v>4597</v>
      </c>
      <c r="N481" s="387"/>
      <c r="O481" s="387"/>
      <c r="P481" s="2679" cm="1" t="n">
        <f t="array" ref="P481">INDEX('5층_부하량'!H3:H3000,MATCH(1,("5-DaHall 1-PDU-18"='5층_부하량'!A3:A3000)*(30='5층_부하량'!B3:B3000),0))</f>
        <v>0.0</v>
      </c>
      <c r="Q481" s="417"/>
      <c r="R481" s="1315" t="s">
        <v>565</v>
      </c>
      <c r="S481" s="1316" t="s">
        <v>4723</v>
      </c>
      <c r="T481" s="413"/>
    </row>
    <row r="482" spans="1:20" s="356" customFormat="1" ht="16.5" x14ac:dyDescent="0.15">
      <c r="A482" s="396"/>
      <c r="B482" s="1315" t="s">
        <v>565</v>
      </c>
      <c r="C482" s="1316" t="s">
        <v>4723</v>
      </c>
      <c r="D482" s="2679" cm="1" t="n">
        <f t="array" ref="D482">INDEX('5층_부하량'!F3:F3000,MATCH(1,("5-DaHall 1-PDU-18"='5층_부하량'!A3:A3000)*(31='5층_부하량'!B3:B3000),0))</f>
        <v>0.0</v>
      </c>
      <c r="E482" s="387"/>
      <c r="F482" s="387"/>
      <c r="G482" s="417"/>
      <c r="H482" s="415" t="s">
        <v>4597</v>
      </c>
      <c r="I482" s="2452" t="s">
        <v>6043</v>
      </c>
      <c r="J482" s="1317"/>
      <c r="K482" s="1318"/>
      <c r="L482" s="589" t="s">
        <v>4915</v>
      </c>
      <c r="M482" s="415" t="s">
        <v>4597</v>
      </c>
      <c r="N482" s="2679" cm="1" t="n">
        <f t="array" ref="N482">INDEX('5층_부하량'!F3:F3000,MATCH(1,("5-DaHall 1-PDU-18"='5층_부하량'!A3:A3000)*(32='5층_부하량'!B3:B3000),0))</f>
        <v>0.0</v>
      </c>
      <c r="O482" s="387"/>
      <c r="P482" s="387"/>
      <c r="Q482" s="417"/>
      <c r="R482" s="1315" t="s">
        <v>565</v>
      </c>
      <c r="S482" s="1316" t="s">
        <v>4723</v>
      </c>
      <c r="T482" s="413"/>
    </row>
    <row r="483" spans="1:20" s="356" customFormat="1" ht="17.25" thickBot="1" x14ac:dyDescent="0.2">
      <c r="A483" s="431"/>
      <c r="B483" s="436" t="s">
        <v>4590</v>
      </c>
      <c r="C483" s="432" t="s">
        <v>4642</v>
      </c>
      <c r="D483" s="433"/>
      <c r="E483" s="2680" cm="1" t="n">
        <f t="array" ref="E483">INDEX('5층_부하량'!G3:G3000,MATCH(1,("5-DaHall 1-PDU-18"='5층_부하량'!A3:A3000)*(33='5층_부하량'!B3:B3000),0))</f>
        <v>0.0</v>
      </c>
      <c r="F483" s="433"/>
      <c r="G483" s="433"/>
      <c r="H483" s="432" t="s">
        <v>4597</v>
      </c>
      <c r="I483" s="2453" t="s">
        <v>6044</v>
      </c>
      <c r="J483" s="1229"/>
      <c r="K483" s="1230"/>
      <c r="L483" s="1231" t="s">
        <v>4919</v>
      </c>
      <c r="M483" s="432" t="s">
        <v>4597</v>
      </c>
      <c r="N483" s="433"/>
      <c r="O483" s="2680" cm="1" t="n">
        <f t="array" ref="O483">INDEX('5층_부하량'!G3:G3000,MATCH(1,("5-DaHall 1-PDU-18"='5층_부하량'!A3:A3000)*(34='5층_부하량'!B3:B3000),0))</f>
        <v>0.0</v>
      </c>
      <c r="P483" s="433"/>
      <c r="Q483" s="433"/>
      <c r="R483" s="436" t="s">
        <v>4590</v>
      </c>
      <c r="S483" s="432" t="s">
        <v>4642</v>
      </c>
      <c r="T483" s="438"/>
    </row>
    <row r="484" spans="1:20" s="356" customFormat="1" ht="18" thickTop="1" thickBot="1" x14ac:dyDescent="0.2">
      <c r="L484" s="2445"/>
      <c r="M484" s="411" t="s">
        <v>5645</v>
      </c>
      <c r="N484" s="412" t="n">
        <f>SUM(D467:D483,N467:N483)</f>
        <v>6.24</v>
      </c>
      <c r="O484" s="412" t="n">
        <f>SUM(E467:E483,O467:O483)</f>
        <v>7.34</v>
      </c>
      <c r="P484" s="412" t="n">
        <f>SUM(F467:F483,P467:P483)</f>
        <v>8.790000000000001</v>
      </c>
    </row>
    <row r="485" spans="1:20" s="356" customFormat="1" ht="20.25" thickTop="1" thickBot="1" x14ac:dyDescent="0.2">
      <c r="A485" s="355" t="s">
        <v>6963</v>
      </c>
      <c r="C485" s="3660" t="s">
        <v>6072</v>
      </c>
      <c r="D485" s="3660"/>
      <c r="E485" s="3660"/>
      <c r="F485" s="3660"/>
      <c r="G485" s="357"/>
      <c r="H485" s="358"/>
      <c r="I485" s="358"/>
      <c r="J485" s="3668" t="s">
        <v>4715</v>
      </c>
      <c r="K485" s="3669"/>
      <c r="L485" s="2442"/>
      <c r="M485" s="358"/>
      <c r="N485" s="357"/>
      <c r="O485" s="357"/>
      <c r="P485" s="357"/>
      <c r="Q485" s="357"/>
      <c r="R485" s="357"/>
      <c r="S485" s="357"/>
    </row>
    <row r="486" spans="1:20" s="356" customFormat="1" ht="15" customHeight="1" thickTop="1" thickBot="1" x14ac:dyDescent="0.2">
      <c r="A486" s="3"/>
      <c r="B486"/>
      <c r="C486"/>
      <c r="D486" s="54"/>
      <c r="E486" s="54"/>
      <c r="F486" s="54"/>
      <c r="G486" s="54"/>
      <c r="H486" s="4"/>
      <c r="I486" s="4"/>
      <c r="J486"/>
      <c r="K486" s="56"/>
      <c r="L486" s="565"/>
      <c r="M486" s="1371" t="s">
        <v>4562</v>
      </c>
      <c r="N486" s="1368">
        <v>35.1</v>
      </c>
      <c r="O486" s="1369">
        <v>38.9</v>
      </c>
      <c r="P486" s="1370">
        <v>22.2</v>
      </c>
      <c r="Q486" s="508" t="s">
        <v>4563</v>
      </c>
      <c r="R486" s="133"/>
      <c r="S486" s="128"/>
      <c r="T486" s="363"/>
    </row>
    <row r="487" spans="1:20" s="356" customFormat="1" ht="18" thickTop="1" thickBot="1" x14ac:dyDescent="0.2">
      <c r="A487" s="364" t="s">
        <v>4564</v>
      </c>
      <c r="B487" s="365" t="s">
        <v>4565</v>
      </c>
      <c r="C487" s="366" t="s">
        <v>4566</v>
      </c>
      <c r="D487" s="365" t="s">
        <v>4567</v>
      </c>
      <c r="E487" s="365" t="s">
        <v>4568</v>
      </c>
      <c r="F487" s="365" t="s">
        <v>4569</v>
      </c>
      <c r="G487" s="365" t="s">
        <v>4570</v>
      </c>
      <c r="H487" s="367" t="s">
        <v>4571</v>
      </c>
      <c r="I487" s="557"/>
      <c r="J487" s="368" t="s">
        <v>4572</v>
      </c>
      <c r="K487" s="369" t="s">
        <v>4572</v>
      </c>
      <c r="L487" s="575"/>
      <c r="M487" s="367" t="s">
        <v>4571</v>
      </c>
      <c r="N487" s="365" t="s">
        <v>4567</v>
      </c>
      <c r="O487" s="365" t="s">
        <v>4568</v>
      </c>
      <c r="P487" s="365" t="s">
        <v>4569</v>
      </c>
      <c r="Q487" s="365" t="s">
        <v>4570</v>
      </c>
      <c r="R487" s="365" t="s">
        <v>4565</v>
      </c>
      <c r="S487" s="366" t="s">
        <v>4566</v>
      </c>
      <c r="T487" s="370" t="s">
        <v>4564</v>
      </c>
    </row>
    <row r="488" spans="1:20" s="356" customFormat="1" ht="17.25" thickTop="1" x14ac:dyDescent="0.15">
      <c r="A488" s="474" t="s">
        <v>6073</v>
      </c>
      <c r="B488" s="378" t="s">
        <v>5989</v>
      </c>
      <c r="C488" s="379" t="s">
        <v>4575</v>
      </c>
      <c r="D488" s="2678" cm="1" t="n">
        <f t="array" ref="D488">INDEX('5층_부하량'!F3:F3000,MATCH(1,("5-DaHall 1-PDU-19"='5층_부하량'!A3:A3000)*(1='5층_부하량'!B3:B3000),0))</f>
        <v>9.4</v>
      </c>
      <c r="E488" s="401"/>
      <c r="F488" s="401"/>
      <c r="G488" s="374"/>
      <c r="H488" s="2450" t="s">
        <v>4936</v>
      </c>
      <c r="I488" s="2451" t="s">
        <v>4577</v>
      </c>
      <c r="J488" s="1040"/>
      <c r="K488" s="1041"/>
      <c r="L488" s="587" t="s">
        <v>4863</v>
      </c>
      <c r="M488" s="372" t="s">
        <v>5001</v>
      </c>
      <c r="N488" s="2678" cm="1" t="n">
        <f t="array" ref="N488">INDEX('5층_부하량'!F3:F3000,MATCH(1,("5-DaHall 1-PDU-19"='5층_부하량'!A3:A3000)*(2='5층_부하량'!B3:B3000),0))</f>
        <v>8.6</v>
      </c>
      <c r="O488" s="401"/>
      <c r="P488" s="401"/>
      <c r="Q488" s="374"/>
      <c r="R488" s="378" t="s">
        <v>5989</v>
      </c>
      <c r="S488" s="379" t="s">
        <v>4575</v>
      </c>
      <c r="T488" s="1233" t="s">
        <v>6074</v>
      </c>
    </row>
    <row r="489" spans="1:20" s="356" customFormat="1" ht="16.5" x14ac:dyDescent="0.15">
      <c r="A489" s="391" t="s">
        <v>6075</v>
      </c>
      <c r="B489" s="388" t="s">
        <v>5989</v>
      </c>
      <c r="C489" s="389" t="s">
        <v>4575</v>
      </c>
      <c r="D489" s="387"/>
      <c r="E489" s="2672" cm="1" t="n">
        <f t="array" ref="E489">INDEX('5층_부하량'!G3:G3000,MATCH(1,("5-DaHall 1-PDU-19"='5층_부하량'!A3:A3000)*(3='5층_부하량'!B3:B3000),0))</f>
        <v>7.55</v>
      </c>
      <c r="F489" s="387"/>
      <c r="G489" s="383"/>
      <c r="H489" s="382" t="s">
        <v>5001</v>
      </c>
      <c r="I489" s="2452" t="s">
        <v>4582</v>
      </c>
      <c r="J489" s="1042"/>
      <c r="K489" s="1043"/>
      <c r="L489" s="588" t="s">
        <v>4865</v>
      </c>
      <c r="M489" s="382" t="s">
        <v>5001</v>
      </c>
      <c r="N489" s="387"/>
      <c r="O489" s="2672" cm="1" t="n">
        <f t="array" ref="O489">INDEX('5층_부하량'!G3:G3000,MATCH(1,("5-DaHall 1-PDU-19"='5층_부하량'!A3:A3000)*(4='5층_부하량'!B3:B3000),0))</f>
        <v>9.47</v>
      </c>
      <c r="P489" s="387"/>
      <c r="Q489" s="387"/>
      <c r="R489" s="388" t="s">
        <v>5989</v>
      </c>
      <c r="S489" s="389" t="s">
        <v>4575</v>
      </c>
      <c r="T489" s="395" t="s">
        <v>6076</v>
      </c>
    </row>
    <row r="490" spans="1:20" s="356" customFormat="1" ht="16.5" x14ac:dyDescent="0.15">
      <c r="A490" s="391" t="s">
        <v>6077</v>
      </c>
      <c r="B490" s="388" t="s">
        <v>5989</v>
      </c>
      <c r="C490" s="389" t="s">
        <v>4575</v>
      </c>
      <c r="D490" s="387"/>
      <c r="E490" s="387"/>
      <c r="F490" s="2679" cm="1" t="n">
        <f t="array" ref="F490">INDEX('5층_부하량'!H3:H3000,MATCH(1,("5-DaHall 1-PDU-19"='5층_부하량'!A3:A3000)*(5='5층_부하량'!B3:B3000),0))</f>
        <v>8.62</v>
      </c>
      <c r="G490" s="387"/>
      <c r="H490" s="382" t="s">
        <v>5001</v>
      </c>
      <c r="I490" s="2452" t="s">
        <v>4587</v>
      </c>
      <c r="J490" s="1044"/>
      <c r="K490" s="1045"/>
      <c r="L490" s="589" t="s">
        <v>4868</v>
      </c>
      <c r="M490" s="1234" t="s">
        <v>6078</v>
      </c>
      <c r="N490" s="387"/>
      <c r="O490" s="387"/>
      <c r="P490" s="2679" cm="1" t="n">
        <f t="array" ref="P490">INDEX('5층_부하량'!H3:H3000,MATCH(1,("5-DaHall 1-PDU-19"='5층_부하량'!A3:A3000)*(6='5층_부하량'!B3:B3000),0))</f>
        <v>5.5600000000000005</v>
      </c>
      <c r="Q490" s="387"/>
      <c r="R490" s="388" t="s">
        <v>5989</v>
      </c>
      <c r="S490" s="389" t="s">
        <v>4575</v>
      </c>
      <c r="T490" s="395" t="s">
        <v>6079</v>
      </c>
    </row>
    <row r="491" spans="1:20" s="356" customFormat="1" ht="16.5" x14ac:dyDescent="0.15">
      <c r="A491" s="391" t="s">
        <v>6080</v>
      </c>
      <c r="B491" s="388" t="s">
        <v>5989</v>
      </c>
      <c r="C491" s="389" t="s">
        <v>4575</v>
      </c>
      <c r="D491" s="2679" cm="1" t="n">
        <f t="array" ref="D491">INDEX('5층_부하량'!F3:F3000,MATCH(1,("5-DaHall 1-PDU-19"='5층_부하량'!A3:A3000)*(7='5층_부하량'!B3:B3000),0))</f>
        <v>10.37</v>
      </c>
      <c r="E491" s="387"/>
      <c r="F491" s="387"/>
      <c r="G491" s="387"/>
      <c r="H491" s="382" t="s">
        <v>5001</v>
      </c>
      <c r="I491" s="558" t="s">
        <v>4645</v>
      </c>
      <c r="J491" s="1044"/>
      <c r="K491" s="1045"/>
      <c r="L491" s="578" t="s">
        <v>4593</v>
      </c>
      <c r="M491" s="382" t="s">
        <v>5001</v>
      </c>
      <c r="N491" s="2679" cm="1" t="n">
        <f t="array" ref="N491">INDEX('5층_부하량'!F3:F3000,MATCH(1,("5-DaHall 1-PDU-19"='5층_부하량'!A3:A3000)*(8='5층_부하량'!B3:B3000),0))</f>
        <v>10.83</v>
      </c>
      <c r="O491" s="387"/>
      <c r="P491" s="387"/>
      <c r="Q491" s="387"/>
      <c r="R491" s="388" t="s">
        <v>5989</v>
      </c>
      <c r="S491" s="389" t="s">
        <v>4575</v>
      </c>
      <c r="T491" s="395" t="s">
        <v>6081</v>
      </c>
    </row>
    <row r="492" spans="1:20" s="356" customFormat="1" ht="16.5" x14ac:dyDescent="0.15">
      <c r="A492" s="391" t="s">
        <v>6082</v>
      </c>
      <c r="B492" s="388" t="s">
        <v>5989</v>
      </c>
      <c r="C492" s="389" t="s">
        <v>4575</v>
      </c>
      <c r="D492" s="387"/>
      <c r="E492" s="2672" cm="1" t="n">
        <f t="array" ref="E492">INDEX('5층_부하량'!G3:G3000,MATCH(1,("5-DaHall 1-PDU-19"='5층_부하량'!A3:A3000)*(9='5층_부하량'!B3:B3000),0))</f>
        <v>9.94</v>
      </c>
      <c r="F492" s="387"/>
      <c r="G492" s="387"/>
      <c r="H492" s="382" t="s">
        <v>5001</v>
      </c>
      <c r="I492" s="558" t="s">
        <v>4648</v>
      </c>
      <c r="J492" s="1044"/>
      <c r="K492" s="1045"/>
      <c r="L492" s="578" t="s">
        <v>4596</v>
      </c>
      <c r="M492" s="382" t="s">
        <v>5001</v>
      </c>
      <c r="N492" s="387"/>
      <c r="O492" s="2672" cm="1" t="n">
        <f t="array" ref="O492">INDEX('5층_부하량'!G3:G3000,MATCH(1,("5-DaHall 1-PDU-19"='5층_부하량'!A3:A3000)*(10='5층_부하량'!B3:B3000),0))</f>
        <v>8.24</v>
      </c>
      <c r="P492" s="387"/>
      <c r="Q492" s="387"/>
      <c r="R492" s="388" t="s">
        <v>5989</v>
      </c>
      <c r="S492" s="389" t="s">
        <v>4575</v>
      </c>
      <c r="T492" s="395" t="s">
        <v>6083</v>
      </c>
    </row>
    <row r="493" spans="1:20" s="356" customFormat="1" ht="16.5" x14ac:dyDescent="0.15">
      <c r="A493" s="391" t="s">
        <v>6084</v>
      </c>
      <c r="B493" s="388" t="s">
        <v>5989</v>
      </c>
      <c r="C493" s="389" t="s">
        <v>4575</v>
      </c>
      <c r="D493" s="387"/>
      <c r="E493" s="387"/>
      <c r="F493" s="2679" cm="1" t="n">
        <f t="array" ref="F493">INDEX('5층_부하량'!H3:H3000,MATCH(1,("5-DaHall 1-PDU-19"='5층_부하량'!A3:A3000)*(11='5층_부하량'!B3:B3000),0))</f>
        <v>13.25</v>
      </c>
      <c r="G493" s="387"/>
      <c r="H493" s="382" t="s">
        <v>5001</v>
      </c>
      <c r="I493" s="558" t="s">
        <v>4653</v>
      </c>
      <c r="J493" s="1044"/>
      <c r="K493" s="1045"/>
      <c r="L493" s="578" t="s">
        <v>4599</v>
      </c>
      <c r="M493" s="1234" t="s">
        <v>6078</v>
      </c>
      <c r="N493" s="387"/>
      <c r="O493" s="387"/>
      <c r="P493" s="2679" cm="1" t="n">
        <f t="array" ref="P493">INDEX('5층_부하량'!H3:H3000,MATCH(1,("5-DaHall 1-PDU-19"='5층_부하량'!A3:A3000)*(12='5층_부하량'!B3:B3000),0))</f>
        <v>4.7</v>
      </c>
      <c r="Q493" s="387"/>
      <c r="R493" s="388" t="s">
        <v>5989</v>
      </c>
      <c r="S493" s="389" t="s">
        <v>4575</v>
      </c>
      <c r="T493" s="395" t="s">
        <v>6085</v>
      </c>
    </row>
    <row r="494" spans="1:20" s="356" customFormat="1" ht="16.5" x14ac:dyDescent="0.15">
      <c r="A494" s="391" t="s">
        <v>6086</v>
      </c>
      <c r="B494" s="388" t="s">
        <v>5989</v>
      </c>
      <c r="C494" s="389" t="s">
        <v>4575</v>
      </c>
      <c r="D494" s="2679" cm="1" t="n">
        <f t="array" ref="D494">INDEX('5층_부하량'!F3:F3000,MATCH(1,("5-DaHall 1-PDU-19"='5층_부하량'!A3:A3000)*(13='5층_부하량'!B3:B3000),0))</f>
        <v>12.45</v>
      </c>
      <c r="E494" s="387"/>
      <c r="F494" s="387"/>
      <c r="G494" s="387"/>
      <c r="H494" s="382" t="s">
        <v>5001</v>
      </c>
      <c r="I494" s="558" t="s">
        <v>4657</v>
      </c>
      <c r="J494" s="1044"/>
      <c r="K494" s="1045"/>
      <c r="L494" s="578" t="s">
        <v>4601</v>
      </c>
      <c r="M494" s="1234" t="s">
        <v>6078</v>
      </c>
      <c r="N494" s="2679" cm="1" t="n">
        <f t="array" ref="N494">INDEX('5층_부하량'!F3:F3000,MATCH(1,("5-DaHall 1-PDU-19"='5층_부하량'!A3:A3000)*(14='5층_부하량'!B3:B3000),0))</f>
        <v>3.11</v>
      </c>
      <c r="O494" s="387"/>
      <c r="P494" s="387"/>
      <c r="Q494" s="387"/>
      <c r="R494" s="388" t="s">
        <v>5989</v>
      </c>
      <c r="S494" s="389" t="s">
        <v>4575</v>
      </c>
      <c r="T494" s="395" t="s">
        <v>6087</v>
      </c>
    </row>
    <row r="495" spans="1:20" s="356" customFormat="1" ht="16.5" x14ac:dyDescent="0.15">
      <c r="A495" s="448" t="s">
        <v>6088</v>
      </c>
      <c r="B495" s="388" t="s">
        <v>5989</v>
      </c>
      <c r="C495" s="389" t="s">
        <v>4575</v>
      </c>
      <c r="D495" s="387"/>
      <c r="E495" s="2679" cm="1" t="n">
        <f t="array" ref="E495">INDEX('5층_부하량'!G3:G3000,MATCH(1,("5-DaHall 1-PDU-19"='5층_부하량'!A3:A3000)*(15='5층_부하량'!B3:B3000),0))</f>
        <v>10.73</v>
      </c>
      <c r="F495" s="387"/>
      <c r="G495" s="387"/>
      <c r="H495" s="1234" t="s">
        <v>6078</v>
      </c>
      <c r="I495" s="558" t="s">
        <v>4661</v>
      </c>
      <c r="J495" s="1044"/>
      <c r="K495" s="1045"/>
      <c r="L495" s="578" t="s">
        <v>4603</v>
      </c>
      <c r="M495" s="382" t="s">
        <v>5001</v>
      </c>
      <c r="N495" s="387"/>
      <c r="O495" s="2679" cm="1" t="n">
        <f t="array" ref="O495">INDEX('5층_부하량'!G3:G3000,MATCH(1,("5-DaHall 1-PDU-19"='5층_부하량'!A3:A3000)*(16='5층_부하량'!B3:B3000),0))</f>
        <v>14.87</v>
      </c>
      <c r="P495" s="387"/>
      <c r="Q495" s="387"/>
      <c r="R495" s="388" t="s">
        <v>5989</v>
      </c>
      <c r="S495" s="1232" t="s">
        <v>4723</v>
      </c>
      <c r="T495" s="395" t="s">
        <v>6089</v>
      </c>
    </row>
    <row r="496" spans="1:20" s="356" customFormat="1" ht="16.5" x14ac:dyDescent="0.15">
      <c r="A496" s="448" t="s">
        <v>6090</v>
      </c>
      <c r="B496" s="388" t="s">
        <v>5989</v>
      </c>
      <c r="C496" s="389" t="s">
        <v>4575</v>
      </c>
      <c r="D496" s="387"/>
      <c r="E496" s="387"/>
      <c r="F496" s="2679" cm="1" t="n">
        <f t="array" ref="F496">INDEX('5층_부하량'!H3:H3000,MATCH(1,("5-DaHall 1-PDU-19"='5층_부하량'!A3:A3000)*(17='5층_부하량'!B3:B3000),0))</f>
        <v>6.06</v>
      </c>
      <c r="G496" s="387"/>
      <c r="H496" s="1235" t="s">
        <v>4576</v>
      </c>
      <c r="I496" s="558" t="s">
        <v>4665</v>
      </c>
      <c r="J496" s="1044"/>
      <c r="K496" s="1045"/>
      <c r="L496" s="578" t="s">
        <v>4605</v>
      </c>
      <c r="M496" s="382" t="s">
        <v>5001</v>
      </c>
      <c r="N496" s="387"/>
      <c r="O496" s="387"/>
      <c r="P496" s="2679" cm="1" t="n">
        <f t="array" ref="P496">INDEX('5층_부하량'!H3:H3000,MATCH(1,("5-DaHall 1-PDU-19"='5층_부하량'!A3:A3000)*(18='5층_부하량'!B3:B3000),0))</f>
        <v>11.12</v>
      </c>
      <c r="Q496" s="387"/>
      <c r="R496" s="388" t="s">
        <v>5989</v>
      </c>
      <c r="S496" s="1232" t="s">
        <v>4723</v>
      </c>
      <c r="T496" s="395" t="s">
        <v>6091</v>
      </c>
    </row>
    <row r="497" spans="1:20" s="356" customFormat="1" ht="16.5" x14ac:dyDescent="0.15">
      <c r="A497" s="448" t="s">
        <v>6092</v>
      </c>
      <c r="B497" s="388" t="s">
        <v>5989</v>
      </c>
      <c r="C497" s="389" t="s">
        <v>4575</v>
      </c>
      <c r="D497" s="2679" cm="1" t="n">
        <f t="array" ref="D497">INDEX('5층_부하량'!F3:F3000,MATCH(1,("5-DaHall 1-PDU-19"='5층_부하량'!A3:A3000)*(19='5층_부하량'!B3:B3000),0))</f>
        <v>6.15</v>
      </c>
      <c r="E497" s="387"/>
      <c r="F497" s="387"/>
      <c r="G497" s="387"/>
      <c r="H497" s="1235" t="s">
        <v>4576</v>
      </c>
      <c r="I497" s="558" t="s">
        <v>4670</v>
      </c>
      <c r="J497" s="1044"/>
      <c r="K497" s="1045"/>
      <c r="L497" s="578" t="s">
        <v>4609</v>
      </c>
      <c r="M497" s="382" t="s">
        <v>5001</v>
      </c>
      <c r="N497" s="2679" cm="1" t="n">
        <f t="array" ref="N497">INDEX('5층_부하량'!F3:F3000,MATCH(1,("5-DaHall 1-PDU-19"='5층_부하량'!A3:A3000)*(20='5층_부하량'!B3:B3000),0))</f>
        <v>12.03</v>
      </c>
      <c r="O497" s="387"/>
      <c r="P497" s="387"/>
      <c r="Q497" s="387"/>
      <c r="R497" s="388" t="s">
        <v>5989</v>
      </c>
      <c r="S497" s="1232" t="s">
        <v>4723</v>
      </c>
      <c r="T497" s="395" t="s">
        <v>6093</v>
      </c>
    </row>
    <row r="498" spans="1:20" s="356" customFormat="1" ht="16.5" x14ac:dyDescent="0.15">
      <c r="A498" s="448"/>
      <c r="B498" s="388" t="s">
        <v>565</v>
      </c>
      <c r="C498" s="1232" t="s">
        <v>4723</v>
      </c>
      <c r="D498" s="387"/>
      <c r="E498" s="2672" cm="1" t="n">
        <f t="array" ref="E498">INDEX('5층_부하량'!G3:G3000,MATCH(1,("5-DaHall 1-PDU-19"='5층_부하량'!A3:A3000)*(21='5층_부하량'!B3:B3000),0))</f>
        <v>10.29</v>
      </c>
      <c r="F498" s="387"/>
      <c r="G498" s="387"/>
      <c r="H498" s="382" t="s">
        <v>5001</v>
      </c>
      <c r="I498" s="2452" t="s">
        <v>6094</v>
      </c>
      <c r="J498" s="1044"/>
      <c r="K498" s="1045"/>
      <c r="L498" s="589" t="s">
        <v>6095</v>
      </c>
      <c r="M498" s="382" t="s">
        <v>5001</v>
      </c>
      <c r="N498" s="387"/>
      <c r="O498" s="2672" cm="1" t="n">
        <f t="array" ref="O498">INDEX('5층_부하량'!G3:G3000,MATCH(1,("5-DaHall 1-PDU-19"='5층_부하량'!A3:A3000)*(22='5층_부하량'!B3:B3000),0))</f>
        <v>10.5</v>
      </c>
      <c r="P498" s="387"/>
      <c r="Q498" s="387"/>
      <c r="R498" s="388" t="s">
        <v>5989</v>
      </c>
      <c r="S498" s="1232" t="s">
        <v>4723</v>
      </c>
      <c r="T498" s="395" t="s">
        <v>6096</v>
      </c>
    </row>
    <row r="499" spans="1:20" s="356" customFormat="1" ht="17.25" thickBot="1" x14ac:dyDescent="0.2">
      <c r="A499" s="431"/>
      <c r="B499" s="436" t="s">
        <v>4590</v>
      </c>
      <c r="C499" s="432" t="s">
        <v>4642</v>
      </c>
      <c r="D499" s="433"/>
      <c r="E499" s="433"/>
      <c r="F499" s="2680" cm="1" t="n">
        <f t="array" ref="F499">INDEX('5층_부하량'!H3:H3000,MATCH(1,("5-DaHall 1-PDU-19"='5층_부하량'!A3:A3000)*(23='5층_부하량'!B3:B3000),0))</f>
        <v>11.63</v>
      </c>
      <c r="G499" s="433"/>
      <c r="H499" s="432" t="s">
        <v>5001</v>
      </c>
      <c r="I499" s="2453" t="s">
        <v>6097</v>
      </c>
      <c r="J499" s="1229"/>
      <c r="K499" s="1230"/>
      <c r="L499" s="1231" t="s">
        <v>6098</v>
      </c>
      <c r="M499" s="432" t="s">
        <v>5001</v>
      </c>
      <c r="N499" s="433"/>
      <c r="O499" s="433"/>
      <c r="P499" s="2680" cm="1" t="n">
        <f t="array" ref="P499">INDEX('5층_부하량'!H3:H3000,MATCH(1,("5-DaHall 1-PDU-19"='5층_부하량'!A3:A3000)*(24='5층_부하량'!B3:B3000),0))</f>
        <v>0.0</v>
      </c>
      <c r="Q499" s="433"/>
      <c r="R499" s="436" t="s">
        <v>4590</v>
      </c>
      <c r="S499" s="432" t="s">
        <v>4642</v>
      </c>
      <c r="T499" s="438"/>
    </row>
    <row r="500" spans="1:20" s="356" customFormat="1" ht="18" thickTop="1" thickBot="1" x14ac:dyDescent="0.2">
      <c r="L500" s="2445"/>
      <c r="M500" s="411" t="s">
        <v>5645</v>
      </c>
      <c r="N500" s="412" t="n">
        <f>SUM(D488:D499,N488:N499)</f>
        <v>72.94</v>
      </c>
      <c r="O500" s="412" t="n">
        <f>SUM(E488:E499,O488:O499)</f>
        <v>81.59</v>
      </c>
      <c r="P500" s="412" t="n">
        <f>SUM(F488:F499,P488:P499)</f>
        <v>60.94</v>
      </c>
    </row>
    <row r="501" spans="1:20" s="356" customFormat="1" ht="20.25" thickTop="1" thickBot="1" x14ac:dyDescent="0.2">
      <c r="A501" s="355" t="s">
        <v>6964</v>
      </c>
      <c r="C501" s="3660" t="s">
        <v>6099</v>
      </c>
      <c r="D501" s="3660"/>
      <c r="E501" s="3660"/>
      <c r="F501" s="3660"/>
      <c r="G501" s="357"/>
      <c r="H501" s="358"/>
      <c r="I501" s="358"/>
      <c r="J501" s="3668" t="s">
        <v>4715</v>
      </c>
      <c r="K501" s="3669"/>
      <c r="L501" s="2442"/>
      <c r="M501" s="358"/>
      <c r="N501" s="357"/>
      <c r="O501" s="357"/>
      <c r="P501" s="357"/>
      <c r="Q501" s="357"/>
      <c r="R501" s="357"/>
      <c r="S501" s="357"/>
    </row>
    <row r="502" spans="1:20" s="356" customFormat="1" ht="15" customHeight="1" thickTop="1" thickBot="1" x14ac:dyDescent="0.2">
      <c r="A502" s="3"/>
      <c r="B502"/>
      <c r="C502"/>
      <c r="D502" s="54"/>
      <c r="E502" s="54"/>
      <c r="F502" s="54"/>
      <c r="G502" s="54"/>
      <c r="H502" s="4"/>
      <c r="I502" s="4"/>
      <c r="J502"/>
      <c r="K502" s="56"/>
      <c r="L502" s="565"/>
      <c r="M502" s="1371" t="s">
        <v>4562</v>
      </c>
      <c r="N502" s="1368">
        <v>28.1</v>
      </c>
      <c r="O502" s="1369">
        <v>32.6</v>
      </c>
      <c r="P502" s="1370">
        <v>23.1</v>
      </c>
      <c r="Q502" s="508" t="s">
        <v>4563</v>
      </c>
      <c r="R502" s="133"/>
      <c r="S502" s="128"/>
      <c r="T502" s="363"/>
    </row>
    <row r="503" spans="1:20" s="356" customFormat="1" ht="18" thickTop="1" thickBot="1" x14ac:dyDescent="0.2">
      <c r="A503" s="364" t="s">
        <v>4564</v>
      </c>
      <c r="B503" s="365" t="s">
        <v>4565</v>
      </c>
      <c r="C503" s="366" t="s">
        <v>4566</v>
      </c>
      <c r="D503" s="365" t="s">
        <v>4567</v>
      </c>
      <c r="E503" s="365" t="s">
        <v>4568</v>
      </c>
      <c r="F503" s="365" t="s">
        <v>4569</v>
      </c>
      <c r="G503" s="365" t="s">
        <v>4570</v>
      </c>
      <c r="H503" s="367" t="s">
        <v>4571</v>
      </c>
      <c r="I503" s="557"/>
      <c r="J503" s="368" t="s">
        <v>4572</v>
      </c>
      <c r="K503" s="369" t="s">
        <v>4572</v>
      </c>
      <c r="L503" s="575"/>
      <c r="M503" s="367" t="s">
        <v>4571</v>
      </c>
      <c r="N503" s="365" t="s">
        <v>4567</v>
      </c>
      <c r="O503" s="365" t="s">
        <v>4568</v>
      </c>
      <c r="P503" s="365" t="s">
        <v>4569</v>
      </c>
      <c r="Q503" s="365" t="s">
        <v>4570</v>
      </c>
      <c r="R503" s="365" t="s">
        <v>4565</v>
      </c>
      <c r="S503" s="366" t="s">
        <v>4566</v>
      </c>
      <c r="T503" s="370" t="s">
        <v>4564</v>
      </c>
    </row>
    <row r="504" spans="1:20" s="356" customFormat="1" ht="17.25" thickTop="1" x14ac:dyDescent="0.15">
      <c r="A504" s="474" t="s">
        <v>6100</v>
      </c>
      <c r="B504" s="378" t="s">
        <v>5989</v>
      </c>
      <c r="C504" s="379" t="s">
        <v>4575</v>
      </c>
      <c r="D504" s="2678" cm="1" t="n">
        <f t="array" ref="D504">INDEX('5층_부하량'!F3:F3000,MATCH(1,("5-DaHall 1-PDU-20"='5층_부하량'!A3:A3000)*(1='5층_부하량'!B3:B3000),0))</f>
        <v>9.39</v>
      </c>
      <c r="E504" s="401"/>
      <c r="F504" s="401"/>
      <c r="G504" s="374"/>
      <c r="H504" s="2450" t="s">
        <v>4936</v>
      </c>
      <c r="I504" s="2451" t="s">
        <v>4577</v>
      </c>
      <c r="J504" s="1040"/>
      <c r="K504" s="1041"/>
      <c r="L504" s="587" t="s">
        <v>4863</v>
      </c>
      <c r="M504" s="372" t="s">
        <v>5001</v>
      </c>
      <c r="N504" s="2678" cm="1" t="n">
        <f t="array" ref="N504">INDEX('5층_부하량'!F3:F3000,MATCH(1,("5-DaHall 1-PDU-20"='5층_부하량'!A3:A3000)*(2='5층_부하량'!B3:B3000),0))</f>
        <v>9.55</v>
      </c>
      <c r="O504" s="401"/>
      <c r="P504" s="401"/>
      <c r="Q504" s="374"/>
      <c r="R504" s="378" t="s">
        <v>5989</v>
      </c>
      <c r="S504" s="379" t="s">
        <v>4575</v>
      </c>
      <c r="T504" s="1233" t="s">
        <v>6101</v>
      </c>
    </row>
    <row r="505" spans="1:20" s="356" customFormat="1" ht="16.5" x14ac:dyDescent="0.15">
      <c r="A505" s="391" t="s">
        <v>6102</v>
      </c>
      <c r="B505" s="388" t="s">
        <v>5989</v>
      </c>
      <c r="C505" s="389" t="s">
        <v>4575</v>
      </c>
      <c r="D505" s="387"/>
      <c r="E505" s="2672" cm="1" t="n">
        <f t="array" ref="E505">INDEX('5층_부하량'!G3:G3000,MATCH(1,("5-DaHall 1-PDU-20"='5층_부하량'!A3:A3000)*(3='5층_부하량'!B3:B3000),0))</f>
        <v>7.21</v>
      </c>
      <c r="F505" s="387"/>
      <c r="G505" s="383"/>
      <c r="H505" s="382" t="s">
        <v>5001</v>
      </c>
      <c r="I505" s="2452" t="s">
        <v>4582</v>
      </c>
      <c r="J505" s="1042"/>
      <c r="K505" s="1043"/>
      <c r="L505" s="588" t="s">
        <v>4865</v>
      </c>
      <c r="M505" s="382" t="s">
        <v>5001</v>
      </c>
      <c r="N505" s="387"/>
      <c r="O505" s="2672" cm="1" t="n">
        <f t="array" ref="O505">INDEX('5층_부하량'!G3:G3000,MATCH(1,("5-DaHall 1-PDU-20"='5층_부하량'!A3:A3000)*(4='5층_부하량'!B3:B3000),0))</f>
        <v>9.22</v>
      </c>
      <c r="P505" s="387"/>
      <c r="Q505" s="387"/>
      <c r="R505" s="388" t="s">
        <v>5989</v>
      </c>
      <c r="S505" s="389" t="s">
        <v>4575</v>
      </c>
      <c r="T505" s="395" t="s">
        <v>6103</v>
      </c>
    </row>
    <row r="506" spans="1:20" s="356" customFormat="1" ht="16.5" x14ac:dyDescent="0.15">
      <c r="A506" s="391" t="s">
        <v>6104</v>
      </c>
      <c r="B506" s="388" t="s">
        <v>5989</v>
      </c>
      <c r="C506" s="389" t="s">
        <v>4575</v>
      </c>
      <c r="D506" s="387"/>
      <c r="E506" s="387"/>
      <c r="F506" s="2679" cm="1" t="n">
        <f t="array" ref="F506">INDEX('5층_부하량'!H3:H3000,MATCH(1,("5-DaHall 1-PDU-20"='5층_부하량'!A3:A3000)*(5='5층_부하량'!B3:B3000),0))</f>
        <v>8.53</v>
      </c>
      <c r="G506" s="387"/>
      <c r="H506" s="382" t="s">
        <v>5001</v>
      </c>
      <c r="I506" s="2452" t="s">
        <v>4587</v>
      </c>
      <c r="J506" s="1044"/>
      <c r="K506" s="1045"/>
      <c r="L506" s="589" t="s">
        <v>4868</v>
      </c>
      <c r="M506" s="1234" t="s">
        <v>6078</v>
      </c>
      <c r="N506" s="387"/>
      <c r="O506" s="387"/>
      <c r="P506" s="2679" cm="1" t="n">
        <f t="array" ref="P506">INDEX('5층_부하량'!H3:H3000,MATCH(1,("5-DaHall 1-PDU-20"='5층_부하량'!A3:A3000)*(6='5층_부하량'!B3:B3000),0))</f>
        <v>4.71</v>
      </c>
      <c r="Q506" s="387"/>
      <c r="R506" s="388" t="s">
        <v>5989</v>
      </c>
      <c r="S506" s="389" t="s">
        <v>4575</v>
      </c>
      <c r="T506" s="395" t="s">
        <v>6105</v>
      </c>
    </row>
    <row r="507" spans="1:20" s="356" customFormat="1" ht="16.5" x14ac:dyDescent="0.15">
      <c r="A507" s="391" t="s">
        <v>6106</v>
      </c>
      <c r="B507" s="388" t="s">
        <v>5989</v>
      </c>
      <c r="C507" s="389" t="s">
        <v>4575</v>
      </c>
      <c r="D507" s="2679" cm="1" t="n">
        <f t="array" ref="D507">INDEX('5층_부하량'!F3:F3000,MATCH(1,("5-DaHall 1-PDU-20"='5층_부하량'!A3:A3000)*(7='5층_부하량'!B3:B3000),0))</f>
        <v>10.53</v>
      </c>
      <c r="E507" s="387"/>
      <c r="F507" s="387"/>
      <c r="G507" s="387"/>
      <c r="H507" s="382" t="s">
        <v>5001</v>
      </c>
      <c r="I507" s="558" t="s">
        <v>4645</v>
      </c>
      <c r="J507" s="1044"/>
      <c r="K507" s="1045"/>
      <c r="L507" s="578" t="s">
        <v>4593</v>
      </c>
      <c r="M507" s="382" t="s">
        <v>5001</v>
      </c>
      <c r="N507" s="2679" cm="1" t="n">
        <f t="array" ref="N507">INDEX('5층_부하량'!F3:F3000,MATCH(1,("5-DaHall 1-PDU-20"='5층_부하량'!A3:A3000)*(8='5층_부하량'!B3:B3000),0))</f>
        <v>11.41</v>
      </c>
      <c r="O507" s="387"/>
      <c r="P507" s="387"/>
      <c r="Q507" s="387"/>
      <c r="R507" s="388" t="s">
        <v>5989</v>
      </c>
      <c r="S507" s="389" t="s">
        <v>4575</v>
      </c>
      <c r="T507" s="395" t="s">
        <v>6107</v>
      </c>
    </row>
    <row r="508" spans="1:20" s="356" customFormat="1" ht="16.5" x14ac:dyDescent="0.15">
      <c r="A508" s="391" t="s">
        <v>6108</v>
      </c>
      <c r="B508" s="388" t="s">
        <v>5989</v>
      </c>
      <c r="C508" s="389" t="s">
        <v>4575</v>
      </c>
      <c r="D508" s="387"/>
      <c r="E508" s="2672" cm="1" t="n">
        <f t="array" ref="E508">INDEX('5층_부하량'!G3:G3000,MATCH(1,("5-DaHall 1-PDU-20"='5층_부하량'!A3:A3000)*(9='5층_부하량'!B3:B3000),0))</f>
        <v>9.61</v>
      </c>
      <c r="F508" s="387"/>
      <c r="G508" s="387"/>
      <c r="H508" s="382" t="s">
        <v>5001</v>
      </c>
      <c r="I508" s="558" t="s">
        <v>4648</v>
      </c>
      <c r="J508" s="1044"/>
      <c r="K508" s="1045"/>
      <c r="L508" s="578" t="s">
        <v>4596</v>
      </c>
      <c r="M508" s="382" t="s">
        <v>5001</v>
      </c>
      <c r="N508" s="387"/>
      <c r="O508" s="2672" cm="1" t="n">
        <f t="array" ref="O508">INDEX('5층_부하량'!G3:G3000,MATCH(1,("5-DaHall 1-PDU-20"='5층_부하량'!A3:A3000)*(10='5층_부하량'!B3:B3000),0))</f>
        <v>8.46</v>
      </c>
      <c r="P508" s="387"/>
      <c r="Q508" s="387"/>
      <c r="R508" s="388" t="s">
        <v>5989</v>
      </c>
      <c r="S508" s="389" t="s">
        <v>4575</v>
      </c>
      <c r="T508" s="395" t="s">
        <v>6109</v>
      </c>
    </row>
    <row r="509" spans="1:20" s="356" customFormat="1" ht="16.5" x14ac:dyDescent="0.15">
      <c r="A509" s="391" t="s">
        <v>6110</v>
      </c>
      <c r="B509" s="388" t="s">
        <v>5989</v>
      </c>
      <c r="C509" s="389" t="s">
        <v>4575</v>
      </c>
      <c r="D509" s="387"/>
      <c r="E509" s="387"/>
      <c r="F509" s="2679" cm="1" t="n">
        <f t="array" ref="F509">INDEX('5층_부하량'!H3:H3000,MATCH(1,("5-DaHall 1-PDU-20"='5층_부하량'!A3:A3000)*(11='5층_부하량'!B3:B3000),0))</f>
        <v>12.9</v>
      </c>
      <c r="G509" s="387"/>
      <c r="H509" s="382" t="s">
        <v>5001</v>
      </c>
      <c r="I509" s="558" t="s">
        <v>4653</v>
      </c>
      <c r="J509" s="1044"/>
      <c r="K509" s="1045"/>
      <c r="L509" s="578" t="s">
        <v>4599</v>
      </c>
      <c r="M509" s="1234" t="s">
        <v>6078</v>
      </c>
      <c r="N509" s="387"/>
      <c r="O509" s="387"/>
      <c r="P509" s="2679" cm="1" t="n">
        <f t="array" ref="P509">INDEX('5층_부하량'!H3:H3000,MATCH(1,("5-DaHall 1-PDU-20"='5층_부하량'!A3:A3000)*(12='5층_부하량'!B3:B3000),0))</f>
        <v>4.64</v>
      </c>
      <c r="Q509" s="387"/>
      <c r="R509" s="388" t="s">
        <v>5989</v>
      </c>
      <c r="S509" s="389" t="s">
        <v>4575</v>
      </c>
      <c r="T509" s="395" t="s">
        <v>6111</v>
      </c>
    </row>
    <row r="510" spans="1:20" s="356" customFormat="1" ht="16.5" x14ac:dyDescent="0.15">
      <c r="A510" s="391" t="s">
        <v>6112</v>
      </c>
      <c r="B510" s="388" t="s">
        <v>5989</v>
      </c>
      <c r="C510" s="389" t="s">
        <v>4575</v>
      </c>
      <c r="D510" s="2679" cm="1" t="n">
        <f t="array" ref="D510">INDEX('5층_부하량'!F3:F3000,MATCH(1,("5-DaHall 1-PDU-20"='5층_부하량'!A3:A3000)*(13='5층_부하량'!B3:B3000),0))</f>
        <v>11.93</v>
      </c>
      <c r="E510" s="387"/>
      <c r="F510" s="387"/>
      <c r="G510" s="387"/>
      <c r="H510" s="382" t="s">
        <v>5001</v>
      </c>
      <c r="I510" s="558" t="s">
        <v>4657</v>
      </c>
      <c r="J510" s="1044"/>
      <c r="K510" s="1045"/>
      <c r="L510" s="578" t="s">
        <v>4601</v>
      </c>
      <c r="M510" s="1234" t="s">
        <v>6078</v>
      </c>
      <c r="N510" s="2679" cm="1" t="n">
        <f t="array" ref="N510">INDEX('5층_부하량'!F3:F3000,MATCH(1,("5-DaHall 1-PDU-20"='5층_부하량'!A3:A3000)*(14='5층_부하량'!B3:B3000),0))</f>
        <v>3.04</v>
      </c>
      <c r="O510" s="387"/>
      <c r="P510" s="387"/>
      <c r="Q510" s="387"/>
      <c r="R510" s="388" t="s">
        <v>5989</v>
      </c>
      <c r="S510" s="389" t="s">
        <v>4575</v>
      </c>
      <c r="T510" s="395" t="s">
        <v>6113</v>
      </c>
    </row>
    <row r="511" spans="1:20" s="356" customFormat="1" ht="16.5" x14ac:dyDescent="0.15">
      <c r="A511" s="448" t="s">
        <v>6114</v>
      </c>
      <c r="B511" s="388" t="s">
        <v>5989</v>
      </c>
      <c r="C511" s="389" t="s">
        <v>4575</v>
      </c>
      <c r="D511" s="387"/>
      <c r="E511" s="2679" cm="1" t="n">
        <f t="array" ref="E511">INDEX('5층_부하량'!G3:G3000,MATCH(1,("5-DaHall 1-PDU-20"='5층_부하량'!A3:A3000)*(15='5층_부하량'!B3:B3000),0))</f>
        <v>11.38</v>
      </c>
      <c r="F511" s="387"/>
      <c r="G511" s="387"/>
      <c r="H511" s="1234" t="s">
        <v>6078</v>
      </c>
      <c r="I511" s="558" t="s">
        <v>4661</v>
      </c>
      <c r="J511" s="1044"/>
      <c r="K511" s="1045"/>
      <c r="L511" s="578" t="s">
        <v>4603</v>
      </c>
      <c r="M511" s="382" t="s">
        <v>5001</v>
      </c>
      <c r="N511" s="387"/>
      <c r="O511" s="2679" cm="1" t="n">
        <f t="array" ref="O511">INDEX('5층_부하량'!G3:G3000,MATCH(1,("5-DaHall 1-PDU-20"='5층_부하량'!A3:A3000)*(16='5층_부하량'!B3:B3000),0))</f>
        <v>15.05</v>
      </c>
      <c r="P511" s="387"/>
      <c r="Q511" s="387"/>
      <c r="R511" s="388" t="s">
        <v>5989</v>
      </c>
      <c r="S511" s="1232" t="s">
        <v>4723</v>
      </c>
      <c r="T511" s="395" t="s">
        <v>6115</v>
      </c>
    </row>
    <row r="512" spans="1:20" s="356" customFormat="1" ht="16.5" x14ac:dyDescent="0.15">
      <c r="A512" s="448" t="s">
        <v>6116</v>
      </c>
      <c r="B512" s="388" t="s">
        <v>5989</v>
      </c>
      <c r="C512" s="389" t="s">
        <v>4575</v>
      </c>
      <c r="D512" s="387"/>
      <c r="E512" s="387"/>
      <c r="F512" s="2679" cm="1" t="n">
        <f t="array" ref="F512">INDEX('5층_부하량'!H3:H3000,MATCH(1,("5-DaHall 1-PDU-20"='5층_부하량'!A3:A3000)*(17='5층_부하량'!B3:B3000),0))</f>
        <v>5.93</v>
      </c>
      <c r="G512" s="387"/>
      <c r="H512" s="1235" t="s">
        <v>4576</v>
      </c>
      <c r="I512" s="558" t="s">
        <v>4665</v>
      </c>
      <c r="J512" s="1044"/>
      <c r="K512" s="1045"/>
      <c r="L512" s="578" t="s">
        <v>4605</v>
      </c>
      <c r="M512" s="382" t="s">
        <v>5001</v>
      </c>
      <c r="N512" s="387"/>
      <c r="O512" s="387"/>
      <c r="P512" s="2679" cm="1" t="n">
        <f t="array" ref="P512">INDEX('5층_부하량'!H3:H3000,MATCH(1,("5-DaHall 1-PDU-20"='5층_부하량'!A3:A3000)*(18='5층_부하량'!B3:B3000),0))</f>
        <v>10.57</v>
      </c>
      <c r="Q512" s="387"/>
      <c r="R512" s="388" t="s">
        <v>5989</v>
      </c>
      <c r="S512" s="1232" t="s">
        <v>4723</v>
      </c>
      <c r="T512" s="395" t="s">
        <v>6117</v>
      </c>
    </row>
    <row r="513" spans="1:20" s="356" customFormat="1" ht="16.5" x14ac:dyDescent="0.15">
      <c r="A513" s="448" t="s">
        <v>6118</v>
      </c>
      <c r="B513" s="388" t="s">
        <v>5989</v>
      </c>
      <c r="C513" s="389" t="s">
        <v>4575</v>
      </c>
      <c r="D513" s="2679" cm="1" t="n">
        <f t="array" ref="D513">INDEX('5층_부하량'!F3:F3000,MATCH(1,("5-DaHall 1-PDU-20"='5층_부하량'!A3:A3000)*(19='5층_부하량'!B3:B3000),0))</f>
        <v>6.55</v>
      </c>
      <c r="E513" s="387"/>
      <c r="F513" s="387"/>
      <c r="G513" s="387"/>
      <c r="H513" s="1235" t="s">
        <v>4576</v>
      </c>
      <c r="I513" s="558" t="s">
        <v>4670</v>
      </c>
      <c r="J513" s="1044"/>
      <c r="K513" s="1045"/>
      <c r="L513" s="578" t="s">
        <v>4609</v>
      </c>
      <c r="M513" s="382" t="s">
        <v>5001</v>
      </c>
      <c r="N513" s="2679" cm="1" t="n">
        <f t="array" ref="N513">INDEX('5층_부하량'!F3:F3000,MATCH(1,("5-DaHall 1-PDU-20"='5층_부하량'!A3:A3000)*(20='5층_부하량'!B3:B3000),0))</f>
        <v>12.25</v>
      </c>
      <c r="O513" s="387"/>
      <c r="P513" s="387"/>
      <c r="Q513" s="387"/>
      <c r="R513" s="388" t="s">
        <v>5989</v>
      </c>
      <c r="S513" s="1232" t="s">
        <v>4723</v>
      </c>
      <c r="T513" s="395" t="s">
        <v>6119</v>
      </c>
    </row>
    <row r="514" spans="1:20" s="356" customFormat="1" ht="16.5" x14ac:dyDescent="0.15">
      <c r="A514" s="448"/>
      <c r="B514" s="388" t="s">
        <v>565</v>
      </c>
      <c r="C514" s="1232" t="s">
        <v>4723</v>
      </c>
      <c r="D514" s="387"/>
      <c r="E514" s="2672" cm="1" t="n">
        <f t="array" ref="E514">INDEX('5층_부하량'!G3:G3000,MATCH(1,("5-DaHall 1-PDU-20"='5층_부하량'!A3:A3000)*(21='5층_부하량'!B3:B3000),0))</f>
        <v>9.97</v>
      </c>
      <c r="F514" s="387"/>
      <c r="G514" s="387"/>
      <c r="H514" s="382" t="s">
        <v>5001</v>
      </c>
      <c r="I514" s="2452" t="s">
        <v>6094</v>
      </c>
      <c r="J514" s="1044"/>
      <c r="K514" s="1045"/>
      <c r="L514" s="589" t="s">
        <v>6095</v>
      </c>
      <c r="M514" s="382" t="s">
        <v>5001</v>
      </c>
      <c r="N514" s="387"/>
      <c r="O514" s="2672" cm="1" t="n">
        <f t="array" ref="O514">INDEX('5층_부하량'!G3:G3000,MATCH(1,("5-DaHall 1-PDU-20"='5층_부하량'!A3:A3000)*(22='5층_부하량'!B3:B3000),0))</f>
        <v>5.87</v>
      </c>
      <c r="P514" s="387"/>
      <c r="Q514" s="387"/>
      <c r="R514" s="388" t="s">
        <v>5989</v>
      </c>
      <c r="S514" s="1232" t="s">
        <v>4723</v>
      </c>
      <c r="T514" s="395" t="s">
        <v>6120</v>
      </c>
    </row>
    <row r="515" spans="1:20" s="356" customFormat="1" ht="17.25" thickBot="1" x14ac:dyDescent="0.2">
      <c r="A515" s="431"/>
      <c r="B515" s="436" t="s">
        <v>4590</v>
      </c>
      <c r="C515" s="432" t="s">
        <v>4642</v>
      </c>
      <c r="D515" s="433"/>
      <c r="E515" s="433"/>
      <c r="F515" s="2680" cm="1" t="n">
        <f t="array" ref="F515">INDEX('5층_부하량'!H3:H3000,MATCH(1,("5-DaHall 1-PDU-20"='5층_부하량'!A3:A3000)*(23='5층_부하량'!B3:B3000),0))</f>
        <v>5.96</v>
      </c>
      <c r="G515" s="433"/>
      <c r="H515" s="432" t="s">
        <v>5001</v>
      </c>
      <c r="I515" s="2453" t="s">
        <v>6097</v>
      </c>
      <c r="J515" s="1229"/>
      <c r="K515" s="1230"/>
      <c r="L515" s="1231" t="s">
        <v>6098</v>
      </c>
      <c r="M515" s="432" t="s">
        <v>5001</v>
      </c>
      <c r="N515" s="433"/>
      <c r="O515" s="433"/>
      <c r="P515" s="2680" cm="1" t="n">
        <f t="array" ref="P515">INDEX('5층_부하량'!H3:H3000,MATCH(1,("5-DaHall 1-PDU-20"='5층_부하량'!A3:A3000)*(24='5층_부하량'!B3:B3000),0))</f>
        <v>0.0</v>
      </c>
      <c r="Q515" s="433"/>
      <c r="R515" s="436" t="s">
        <v>4590</v>
      </c>
      <c r="S515" s="432" t="s">
        <v>4642</v>
      </c>
      <c r="T515" s="438"/>
    </row>
    <row r="516" spans="1:20" s="356" customFormat="1" ht="18" thickTop="1" thickBot="1" x14ac:dyDescent="0.2">
      <c r="L516" s="2445"/>
      <c r="M516" s="411" t="s">
        <v>5645</v>
      </c>
      <c r="N516" s="412" t="n">
        <f>SUM(D504:D515,N504:N515)</f>
        <v>74.65</v>
      </c>
      <c r="O516" s="412" t="n">
        <f>SUM(E504:E515,O504:O515)</f>
        <v>76.77000000000001</v>
      </c>
      <c r="P516" s="412" t="n">
        <f>SUM(F504:F515,P504:P515)</f>
        <v>53.24</v>
      </c>
    </row>
    <row r="517" spans="1:20" s="356" customFormat="1" ht="20.25" thickTop="1" thickBot="1" x14ac:dyDescent="0.2">
      <c r="A517" s="355" t="s">
        <v>6965</v>
      </c>
      <c r="C517" s="3660" t="s">
        <v>6121</v>
      </c>
      <c r="D517" s="3660"/>
      <c r="E517" s="3660"/>
      <c r="F517" s="3660"/>
      <c r="G517" s="357"/>
      <c r="H517" s="358"/>
      <c r="I517" s="358"/>
      <c r="J517" s="3668" t="s">
        <v>4715</v>
      </c>
      <c r="K517" s="3669"/>
      <c r="L517" s="2442"/>
      <c r="M517" s="358"/>
      <c r="N517" s="357"/>
      <c r="O517" s="357"/>
      <c r="P517" s="357"/>
      <c r="Q517" s="357"/>
      <c r="R517" s="357"/>
      <c r="S517" s="357"/>
    </row>
    <row r="518" spans="1:20" s="356" customFormat="1" ht="15" customHeight="1" thickTop="1" thickBot="1" x14ac:dyDescent="0.2">
      <c r="A518" s="3"/>
      <c r="B518"/>
      <c r="C518"/>
      <c r="D518" s="54"/>
      <c r="E518" s="54"/>
      <c r="F518" s="54"/>
      <c r="G518" s="54"/>
      <c r="H518" s="4"/>
      <c r="I518" s="4"/>
      <c r="J518"/>
      <c r="K518" s="56"/>
      <c r="L518" s="565"/>
      <c r="M518" s="1371" t="s">
        <v>4562</v>
      </c>
      <c r="N518" s="1368">
        <v>41.9</v>
      </c>
      <c r="O518" s="1369">
        <v>33.6</v>
      </c>
      <c r="P518" s="1370">
        <v>29.3</v>
      </c>
      <c r="Q518" s="508" t="s">
        <v>4563</v>
      </c>
      <c r="R518" s="133"/>
      <c r="S518" s="128"/>
      <c r="T518" s="363"/>
    </row>
    <row r="519" spans="1:20" s="356" customFormat="1" ht="18" thickTop="1" thickBot="1" x14ac:dyDescent="0.2">
      <c r="A519" s="364" t="s">
        <v>4564</v>
      </c>
      <c r="B519" s="365" t="s">
        <v>4565</v>
      </c>
      <c r="C519" s="366" t="s">
        <v>4566</v>
      </c>
      <c r="D519" s="365" t="s">
        <v>4567</v>
      </c>
      <c r="E519" s="365" t="s">
        <v>4568</v>
      </c>
      <c r="F519" s="365" t="s">
        <v>4569</v>
      </c>
      <c r="G519" s="365" t="s">
        <v>4570</v>
      </c>
      <c r="H519" s="367" t="s">
        <v>4571</v>
      </c>
      <c r="I519" s="557"/>
      <c r="J519" s="368" t="s">
        <v>4572</v>
      </c>
      <c r="K519" s="369" t="s">
        <v>4572</v>
      </c>
      <c r="L519" s="575"/>
      <c r="M519" s="367" t="s">
        <v>4571</v>
      </c>
      <c r="N519" s="365" t="s">
        <v>4567</v>
      </c>
      <c r="O519" s="365" t="s">
        <v>4568</v>
      </c>
      <c r="P519" s="365" t="s">
        <v>4569</v>
      </c>
      <c r="Q519" s="365" t="s">
        <v>4570</v>
      </c>
      <c r="R519" s="365" t="s">
        <v>4565</v>
      </c>
      <c r="S519" s="366" t="s">
        <v>4566</v>
      </c>
      <c r="T519" s="370" t="s">
        <v>4564</v>
      </c>
    </row>
    <row r="520" spans="1:20" s="356" customFormat="1" ht="17.25" thickTop="1" x14ac:dyDescent="0.15">
      <c r="A520" s="474" t="s">
        <v>6122</v>
      </c>
      <c r="B520" s="378" t="s">
        <v>5989</v>
      </c>
      <c r="C520" s="379" t="s">
        <v>4575</v>
      </c>
      <c r="D520" s="2678" cm="1" t="n">
        <f t="array" ref="D520">INDEX('5층_부하량'!F3:F3000,MATCH(1,("5-DaHall 1-PDU-21"='5층_부하량'!A3:A3000)*(1='5층_부하량'!B3:B3000),0))</f>
        <v>10.18</v>
      </c>
      <c r="E520" s="401"/>
      <c r="F520" s="401"/>
      <c r="G520" s="374"/>
      <c r="H520" s="2450" t="s">
        <v>4936</v>
      </c>
      <c r="I520" s="2451" t="s">
        <v>4577</v>
      </c>
      <c r="J520" s="1040"/>
      <c r="K520" s="1041"/>
      <c r="L520" s="587" t="s">
        <v>4863</v>
      </c>
      <c r="M520" s="372" t="s">
        <v>5001</v>
      </c>
      <c r="N520" s="2678" cm="1" t="n">
        <f t="array" ref="N520">INDEX('5층_부하량'!F3:F3000,MATCH(1,("5-DaHall 1-PDU-21"='5층_부하량'!A3:A3000)*(2='5층_부하량'!B3:B3000),0))</f>
        <v>8.77</v>
      </c>
      <c r="O520" s="401"/>
      <c r="P520" s="401"/>
      <c r="Q520" s="374"/>
      <c r="R520" s="378" t="s">
        <v>5989</v>
      </c>
      <c r="S520" s="379" t="s">
        <v>4575</v>
      </c>
      <c r="T520" s="1233" t="s">
        <v>6123</v>
      </c>
    </row>
    <row r="521" spans="1:20" s="356" customFormat="1" ht="16.5" x14ac:dyDescent="0.15">
      <c r="A521" s="391" t="s">
        <v>6124</v>
      </c>
      <c r="B521" s="388" t="s">
        <v>5989</v>
      </c>
      <c r="C521" s="389" t="s">
        <v>4575</v>
      </c>
      <c r="D521" s="387"/>
      <c r="E521" s="2672" cm="1" t="n">
        <f t="array" ref="E521">INDEX('5층_부하량'!G3:G3000,MATCH(1,("5-DaHall 1-PDU-21"='5층_부하량'!A3:A3000)*(3='5층_부하량'!B3:B3000),0))</f>
        <v>8.9</v>
      </c>
      <c r="F521" s="387"/>
      <c r="G521" s="383"/>
      <c r="H521" s="382" t="s">
        <v>5001</v>
      </c>
      <c r="I521" s="2452" t="s">
        <v>4582</v>
      </c>
      <c r="J521" s="1042"/>
      <c r="K521" s="1043"/>
      <c r="L521" s="588" t="s">
        <v>4865</v>
      </c>
      <c r="M521" s="382" t="s">
        <v>5001</v>
      </c>
      <c r="N521" s="387"/>
      <c r="O521" s="2672" cm="1" t="n">
        <f t="array" ref="O521">INDEX('5층_부하량'!G3:G3000,MATCH(1,("5-DaHall 1-PDU-21"='5층_부하량'!A3:A3000)*(4='5층_부하량'!B3:B3000),0))</f>
        <v>6.5600000000000005</v>
      </c>
      <c r="P521" s="387"/>
      <c r="Q521" s="387"/>
      <c r="R521" s="388" t="s">
        <v>5989</v>
      </c>
      <c r="S521" s="389" t="s">
        <v>4575</v>
      </c>
      <c r="T521" s="395" t="s">
        <v>6125</v>
      </c>
    </row>
    <row r="522" spans="1:20" s="356" customFormat="1" ht="16.5" x14ac:dyDescent="0.15">
      <c r="A522" s="391" t="s">
        <v>6126</v>
      </c>
      <c r="B522" s="388" t="s">
        <v>5989</v>
      </c>
      <c r="C522" s="389" t="s">
        <v>4575</v>
      </c>
      <c r="D522" s="387"/>
      <c r="E522" s="387"/>
      <c r="F522" s="2679" cm="1" t="n">
        <f t="array" ref="F522">INDEX('5층_부하량'!H3:H3000,MATCH(1,("5-DaHall 1-PDU-21"='5층_부하량'!A3:A3000)*(5='5층_부하량'!B3:B3000),0))</f>
        <v>9.09</v>
      </c>
      <c r="G522" s="387"/>
      <c r="H522" s="382" t="s">
        <v>5001</v>
      </c>
      <c r="I522" s="2452" t="s">
        <v>4587</v>
      </c>
      <c r="J522" s="1044"/>
      <c r="K522" s="1045"/>
      <c r="L522" s="589" t="s">
        <v>4868</v>
      </c>
      <c r="M522" s="1234" t="s">
        <v>6078</v>
      </c>
      <c r="N522" s="387"/>
      <c r="O522" s="387"/>
      <c r="P522" s="2679" cm="1" t="n">
        <f t="array" ref="P522">INDEX('5층_부하량'!H3:H3000,MATCH(1,("5-DaHall 1-PDU-21"='5층_부하량'!A3:A3000)*(6='5층_부하량'!B3:B3000),0))</f>
        <v>8.58</v>
      </c>
      <c r="Q522" s="387"/>
      <c r="R522" s="388" t="s">
        <v>5989</v>
      </c>
      <c r="S522" s="389" t="s">
        <v>4575</v>
      </c>
      <c r="T522" s="395" t="s">
        <v>6127</v>
      </c>
    </row>
    <row r="523" spans="1:20" s="356" customFormat="1" ht="16.5" x14ac:dyDescent="0.15">
      <c r="A523" s="391" t="s">
        <v>6128</v>
      </c>
      <c r="B523" s="388" t="s">
        <v>5989</v>
      </c>
      <c r="C523" s="389" t="s">
        <v>4575</v>
      </c>
      <c r="D523" s="2679" cm="1" t="n">
        <f t="array" ref="D523">INDEX('5층_부하량'!F3:F3000,MATCH(1,("5-DaHall 1-PDU-21"='5층_부하량'!A3:A3000)*(7='5층_부하량'!B3:B3000),0))</f>
        <v>10.69</v>
      </c>
      <c r="E523" s="387"/>
      <c r="F523" s="387"/>
      <c r="G523" s="387"/>
      <c r="H523" s="382" t="s">
        <v>5001</v>
      </c>
      <c r="I523" s="558" t="s">
        <v>4645</v>
      </c>
      <c r="J523" s="1044"/>
      <c r="K523" s="1045"/>
      <c r="L523" s="578" t="s">
        <v>4593</v>
      </c>
      <c r="M523" s="382" t="s">
        <v>5001</v>
      </c>
      <c r="N523" s="2679" cm="1" t="n">
        <f t="array" ref="N523">INDEX('5층_부하량'!F3:F3000,MATCH(1,("5-DaHall 1-PDU-21"='5층_부하량'!A3:A3000)*(8='5층_부하량'!B3:B3000),0))</f>
        <v>9.12</v>
      </c>
      <c r="O523" s="387"/>
      <c r="P523" s="387"/>
      <c r="Q523" s="387"/>
      <c r="R523" s="388" t="s">
        <v>5989</v>
      </c>
      <c r="S523" s="389" t="s">
        <v>4575</v>
      </c>
      <c r="T523" s="395" t="s">
        <v>6129</v>
      </c>
    </row>
    <row r="524" spans="1:20" s="356" customFormat="1" ht="16.5" x14ac:dyDescent="0.15">
      <c r="A524" s="391" t="s">
        <v>6130</v>
      </c>
      <c r="B524" s="388" t="s">
        <v>5989</v>
      </c>
      <c r="C524" s="389" t="s">
        <v>4575</v>
      </c>
      <c r="D524" s="387"/>
      <c r="E524" s="2672" cm="1" t="n">
        <f t="array" ref="E524">INDEX('5층_부하량'!G3:G3000,MATCH(1,("5-DaHall 1-PDU-21"='5층_부하량'!A3:A3000)*(9='5층_부하량'!B3:B3000),0))</f>
        <v>10.61</v>
      </c>
      <c r="F524" s="387"/>
      <c r="G524" s="387"/>
      <c r="H524" s="382" t="s">
        <v>5001</v>
      </c>
      <c r="I524" s="558" t="s">
        <v>4648</v>
      </c>
      <c r="J524" s="1044"/>
      <c r="K524" s="1045"/>
      <c r="L524" s="578" t="s">
        <v>4596</v>
      </c>
      <c r="M524" s="382" t="s">
        <v>5001</v>
      </c>
      <c r="N524" s="387"/>
      <c r="O524" s="2672" cm="1" t="n">
        <f t="array" ref="O524">INDEX('5층_부하량'!G3:G3000,MATCH(1,("5-DaHall 1-PDU-21"='5층_부하량'!A3:A3000)*(10='5층_부하량'!B3:B3000),0))</f>
        <v>11.74</v>
      </c>
      <c r="P524" s="387"/>
      <c r="Q524" s="387"/>
      <c r="R524" s="388" t="s">
        <v>5989</v>
      </c>
      <c r="S524" s="389" t="s">
        <v>4575</v>
      </c>
      <c r="T524" s="395" t="s">
        <v>6131</v>
      </c>
    </row>
    <row r="525" spans="1:20" s="356" customFormat="1" ht="16.5" x14ac:dyDescent="0.15">
      <c r="A525" s="391" t="s">
        <v>6132</v>
      </c>
      <c r="B525" s="388" t="s">
        <v>5989</v>
      </c>
      <c r="C525" s="389" t="s">
        <v>4575</v>
      </c>
      <c r="D525" s="387"/>
      <c r="E525" s="387"/>
      <c r="F525" s="2679" cm="1" t="n">
        <f t="array" ref="F525">INDEX('5층_부하량'!H3:H3000,MATCH(1,("5-DaHall 1-PDU-21"='5층_부하량'!A3:A3000)*(11='5층_부하량'!B3:B3000),0))</f>
        <v>9.63</v>
      </c>
      <c r="G525" s="387"/>
      <c r="H525" s="382" t="s">
        <v>5001</v>
      </c>
      <c r="I525" s="558" t="s">
        <v>4653</v>
      </c>
      <c r="J525" s="1044"/>
      <c r="K525" s="1045"/>
      <c r="L525" s="578" t="s">
        <v>4599</v>
      </c>
      <c r="M525" s="1234" t="s">
        <v>6078</v>
      </c>
      <c r="N525" s="387"/>
      <c r="O525" s="387"/>
      <c r="P525" s="2679" cm="1" t="n">
        <f t="array" ref="P525">INDEX('5층_부하량'!H3:H3000,MATCH(1,("5-DaHall 1-PDU-21"='5층_부하량'!A3:A3000)*(12='5층_부하량'!B3:B3000),0))</f>
        <v>2.9</v>
      </c>
      <c r="Q525" s="387"/>
      <c r="R525" s="388" t="s">
        <v>5989</v>
      </c>
      <c r="S525" s="389" t="s">
        <v>4575</v>
      </c>
      <c r="T525" s="395" t="s">
        <v>6133</v>
      </c>
    </row>
    <row r="526" spans="1:20" s="356" customFormat="1" ht="16.5" x14ac:dyDescent="0.15">
      <c r="A526" s="391" t="s">
        <v>6134</v>
      </c>
      <c r="B526" s="388" t="s">
        <v>5989</v>
      </c>
      <c r="C526" s="389" t="s">
        <v>4575</v>
      </c>
      <c r="D526" s="2679" cm="1" t="n">
        <f t="array" ref="D526">INDEX('5층_부하량'!F3:F3000,MATCH(1,("5-DaHall 1-PDU-21"='5층_부하량'!A3:A3000)*(13='5층_부하량'!B3:B3000),0))</f>
        <v>12.81</v>
      </c>
      <c r="E526" s="387"/>
      <c r="F526" s="387"/>
      <c r="G526" s="387"/>
      <c r="H526" s="382" t="s">
        <v>5001</v>
      </c>
      <c r="I526" s="558" t="s">
        <v>4657</v>
      </c>
      <c r="J526" s="1044"/>
      <c r="K526" s="1045"/>
      <c r="L526" s="578" t="s">
        <v>4601</v>
      </c>
      <c r="M526" s="1234" t="s">
        <v>6078</v>
      </c>
      <c r="N526" s="2679" cm="1" t="n">
        <f t="array" ref="N526">INDEX('5층_부하량'!F3:F3000,MATCH(1,("5-DaHall 1-PDU-21"='5층_부하량'!A3:A3000)*(14='5층_부하량'!B3:B3000),0))</f>
        <v>3.4</v>
      </c>
      <c r="O526" s="387"/>
      <c r="P526" s="387"/>
      <c r="Q526" s="387"/>
      <c r="R526" s="388" t="s">
        <v>5989</v>
      </c>
      <c r="S526" s="389" t="s">
        <v>4575</v>
      </c>
      <c r="T526" s="395" t="s">
        <v>6135</v>
      </c>
    </row>
    <row r="527" spans="1:20" s="356" customFormat="1" ht="16.5" x14ac:dyDescent="0.15">
      <c r="A527" s="448" t="s">
        <v>6136</v>
      </c>
      <c r="B527" s="388" t="s">
        <v>5989</v>
      </c>
      <c r="C527" s="389" t="s">
        <v>4575</v>
      </c>
      <c r="D527" s="387"/>
      <c r="E527" s="2679" cm="1" t="n">
        <f t="array" ref="E527">INDEX('5층_부하량'!G3:G3000,MATCH(1,("5-DaHall 1-PDU-21"='5층_부하량'!A3:A3000)*(15='5층_부하량'!B3:B3000),0))</f>
        <v>8.91</v>
      </c>
      <c r="F527" s="387"/>
      <c r="G527" s="387"/>
      <c r="H527" s="1234" t="s">
        <v>6078</v>
      </c>
      <c r="I527" s="558" t="s">
        <v>4661</v>
      </c>
      <c r="J527" s="1044"/>
      <c r="K527" s="1045"/>
      <c r="L527" s="578" t="s">
        <v>4603</v>
      </c>
      <c r="M527" s="382" t="s">
        <v>5001</v>
      </c>
      <c r="N527" s="387"/>
      <c r="O527" s="2679" cm="1" t="n">
        <f t="array" ref="O527">INDEX('5층_부하량'!G3:G3000,MATCH(1,("5-DaHall 1-PDU-21"='5층_부하량'!A3:A3000)*(16='5층_부하량'!B3:B3000),0))</f>
        <v>14.46</v>
      </c>
      <c r="P527" s="387"/>
      <c r="Q527" s="387"/>
      <c r="R527" s="388" t="s">
        <v>5989</v>
      </c>
      <c r="S527" s="1232" t="s">
        <v>4723</v>
      </c>
      <c r="T527" s="395" t="s">
        <v>6137</v>
      </c>
    </row>
    <row r="528" spans="1:20" s="356" customFormat="1" ht="16.5" x14ac:dyDescent="0.15">
      <c r="A528" s="448" t="s">
        <v>6138</v>
      </c>
      <c r="B528" s="388" t="s">
        <v>5989</v>
      </c>
      <c r="C528" s="389" t="s">
        <v>4575</v>
      </c>
      <c r="D528" s="387"/>
      <c r="E528" s="387"/>
      <c r="F528" s="2679" cm="1" t="n">
        <f t="array" ref="F528">INDEX('5층_부하량'!H3:H3000,MATCH(1,("5-DaHall 1-PDU-21"='5층_부하량'!A3:A3000)*(17='5층_부하량'!B3:B3000),0))</f>
        <v>9.81</v>
      </c>
      <c r="G528" s="387"/>
      <c r="H528" s="1235" t="s">
        <v>4576</v>
      </c>
      <c r="I528" s="558" t="s">
        <v>4665</v>
      </c>
      <c r="J528" s="1044"/>
      <c r="K528" s="1045"/>
      <c r="L528" s="578" t="s">
        <v>4605</v>
      </c>
      <c r="M528" s="382" t="s">
        <v>5001</v>
      </c>
      <c r="N528" s="387"/>
      <c r="O528" s="387"/>
      <c r="P528" s="2679" cm="1" t="n">
        <f t="array" ref="P528">INDEX('5층_부하량'!H3:H3000,MATCH(1,("5-DaHall 1-PDU-21"='5층_부하량'!A3:A3000)*(18='5층_부하량'!B3:B3000),0))</f>
        <v>7.45</v>
      </c>
      <c r="Q528" s="387"/>
      <c r="R528" s="388" t="s">
        <v>5989</v>
      </c>
      <c r="S528" s="1232" t="s">
        <v>4723</v>
      </c>
      <c r="T528" s="395" t="s">
        <v>6139</v>
      </c>
    </row>
    <row r="529" spans="1:20" s="356" customFormat="1" ht="16.5" x14ac:dyDescent="0.15">
      <c r="A529" s="448" t="s">
        <v>6140</v>
      </c>
      <c r="B529" s="388" t="s">
        <v>5989</v>
      </c>
      <c r="C529" s="389" t="s">
        <v>4575</v>
      </c>
      <c r="D529" s="2679" cm="1" t="n">
        <f t="array" ref="D529">INDEX('5층_부하량'!F3:F3000,MATCH(1,("5-DaHall 1-PDU-21"='5층_부하량'!A3:A3000)*(19='5층_부하량'!B3:B3000),0))</f>
        <v>5.14</v>
      </c>
      <c r="E529" s="387"/>
      <c r="F529" s="387"/>
      <c r="G529" s="387"/>
      <c r="H529" s="1235" t="s">
        <v>4576</v>
      </c>
      <c r="I529" s="558" t="s">
        <v>4670</v>
      </c>
      <c r="J529" s="1044"/>
      <c r="K529" s="1045"/>
      <c r="L529" s="578" t="s">
        <v>4609</v>
      </c>
      <c r="M529" s="382" t="s">
        <v>5001</v>
      </c>
      <c r="N529" s="2679" cm="1" t="n">
        <f t="array" ref="N529">INDEX('5층_부하량'!F3:F3000,MATCH(1,("5-DaHall 1-PDU-21"='5층_부하량'!A3:A3000)*(20='5층_부하량'!B3:B3000),0))</f>
        <v>11.51</v>
      </c>
      <c r="O529" s="387"/>
      <c r="P529" s="387"/>
      <c r="Q529" s="387"/>
      <c r="R529" s="388" t="s">
        <v>5989</v>
      </c>
      <c r="S529" s="1232" t="s">
        <v>4723</v>
      </c>
      <c r="T529" s="395" t="s">
        <v>6141</v>
      </c>
    </row>
    <row r="530" spans="1:20" s="356" customFormat="1" ht="16.5" x14ac:dyDescent="0.15">
      <c r="A530" s="448"/>
      <c r="B530" s="388" t="s">
        <v>565</v>
      </c>
      <c r="C530" s="1232" t="s">
        <v>4723</v>
      </c>
      <c r="D530" s="387"/>
      <c r="E530" s="2672" cm="1" t="n">
        <f t="array" ref="E530">INDEX('5층_부하량'!G3:G3000,MATCH(1,("5-DaHall 1-PDU-21"='5층_부하량'!A3:A3000)*(21='5층_부하량'!B3:B3000),0))</f>
        <v>9.99</v>
      </c>
      <c r="F530" s="387"/>
      <c r="G530" s="387"/>
      <c r="H530" s="382" t="s">
        <v>5001</v>
      </c>
      <c r="I530" s="2452" t="s">
        <v>6094</v>
      </c>
      <c r="J530" s="1044"/>
      <c r="K530" s="1045"/>
      <c r="L530" s="589" t="s">
        <v>6095</v>
      </c>
      <c r="M530" s="382" t="s">
        <v>5001</v>
      </c>
      <c r="N530" s="387"/>
      <c r="O530" s="2672" cm="1" t="n">
        <f t="array" ref="O530">INDEX('5층_부하량'!G3:G3000,MATCH(1,("5-DaHall 1-PDU-21"='5층_부하량'!A3:A3000)*(22='5층_부하량'!B3:B3000),0))</f>
        <v>9.89</v>
      </c>
      <c r="P530" s="387"/>
      <c r="Q530" s="387"/>
      <c r="R530" s="388" t="s">
        <v>5989</v>
      </c>
      <c r="S530" s="1232" t="s">
        <v>4723</v>
      </c>
      <c r="T530" s="395" t="s">
        <v>6142</v>
      </c>
    </row>
    <row r="531" spans="1:20" s="356" customFormat="1" ht="17.25" thickBot="1" x14ac:dyDescent="0.2">
      <c r="A531" s="431"/>
      <c r="B531" s="436" t="s">
        <v>4590</v>
      </c>
      <c r="C531" s="432" t="s">
        <v>4642</v>
      </c>
      <c r="D531" s="433"/>
      <c r="E531" s="433"/>
      <c r="F531" s="2680" cm="1" t="n">
        <f t="array" ref="F531">INDEX('5층_부하량'!H3:H3000,MATCH(1,("5-DaHall 1-PDU-21"='5층_부하량'!A3:A3000)*(23='5층_부하량'!B3:B3000),0))</f>
        <v>11.6</v>
      </c>
      <c r="G531" s="433"/>
      <c r="H531" s="432" t="s">
        <v>5001</v>
      </c>
      <c r="I531" s="2453" t="s">
        <v>6097</v>
      </c>
      <c r="J531" s="1229"/>
      <c r="K531" s="1230"/>
      <c r="L531" s="1231" t="s">
        <v>6098</v>
      </c>
      <c r="M531" s="432" t="s">
        <v>5001</v>
      </c>
      <c r="N531" s="433"/>
      <c r="O531" s="433"/>
      <c r="P531" s="2680" cm="1" t="n">
        <f t="array" ref="P531">INDEX('5층_부하량'!H3:H3000,MATCH(1,("5-DaHall 1-PDU-21"='5층_부하량'!A3:A3000)*(24='5층_부하량'!B3:B3000),0))</f>
        <v>0.0</v>
      </c>
      <c r="Q531" s="433"/>
      <c r="R531" s="436" t="s">
        <v>4590</v>
      </c>
      <c r="S531" s="432" t="s">
        <v>4642</v>
      </c>
      <c r="T531" s="438"/>
    </row>
    <row r="532" spans="1:20" s="356" customFormat="1" ht="18" thickTop="1" thickBot="1" x14ac:dyDescent="0.2">
      <c r="L532" s="2445"/>
      <c r="M532" s="411" t="s">
        <v>5645</v>
      </c>
      <c r="N532" s="412" t="n">
        <f>SUM(D520:D531,N520:N531)</f>
        <v>71.62</v>
      </c>
      <c r="O532" s="412" t="n">
        <f>SUM(E520:E531,O520:O531)</f>
        <v>81.06</v>
      </c>
      <c r="P532" s="412" t="n">
        <f>SUM(F520:F531,P520:P531)</f>
        <v>59.06</v>
      </c>
    </row>
    <row r="533" spans="1:20" s="356" customFormat="1" ht="20.25" thickTop="1" thickBot="1" x14ac:dyDescent="0.2">
      <c r="A533" s="355" t="s">
        <v>6967</v>
      </c>
      <c r="C533" s="3660" t="s">
        <v>6143</v>
      </c>
      <c r="D533" s="3660"/>
      <c r="E533" s="3660"/>
      <c r="F533" s="3660"/>
      <c r="G533" s="357"/>
      <c r="H533" s="358"/>
      <c r="I533" s="358"/>
      <c r="J533" s="3668" t="s">
        <v>4715</v>
      </c>
      <c r="K533" s="3669"/>
      <c r="L533" s="2442"/>
      <c r="M533" s="358"/>
      <c r="N533" s="357"/>
      <c r="O533" s="357"/>
      <c r="P533" s="357"/>
      <c r="Q533" s="357"/>
      <c r="R533" s="357"/>
      <c r="S533" s="357"/>
    </row>
    <row r="534" spans="1:20" s="356" customFormat="1" ht="15" customHeight="1" thickTop="1" thickBot="1" x14ac:dyDescent="0.2">
      <c r="A534" s="3"/>
      <c r="B534"/>
      <c r="C534"/>
      <c r="D534" s="54"/>
      <c r="E534" s="54"/>
      <c r="F534" s="54"/>
      <c r="G534" s="54"/>
      <c r="H534" s="4"/>
      <c r="I534" s="4"/>
      <c r="J534"/>
      <c r="K534" s="56"/>
      <c r="L534" s="565"/>
      <c r="M534" s="1371" t="s">
        <v>4562</v>
      </c>
      <c r="N534" s="1368">
        <v>37</v>
      </c>
      <c r="O534" s="1369">
        <v>27.7</v>
      </c>
      <c r="P534" s="1370">
        <v>24</v>
      </c>
      <c r="Q534" s="508" t="s">
        <v>4563</v>
      </c>
      <c r="R534" s="133"/>
      <c r="S534" s="128"/>
      <c r="T534" s="363"/>
    </row>
    <row r="535" spans="1:20" s="356" customFormat="1" ht="18" thickTop="1" thickBot="1" x14ac:dyDescent="0.2">
      <c r="A535" s="364" t="s">
        <v>4564</v>
      </c>
      <c r="B535" s="365" t="s">
        <v>4565</v>
      </c>
      <c r="C535" s="366" t="s">
        <v>4566</v>
      </c>
      <c r="D535" s="365" t="s">
        <v>4567</v>
      </c>
      <c r="E535" s="365" t="s">
        <v>4568</v>
      </c>
      <c r="F535" s="365" t="s">
        <v>4569</v>
      </c>
      <c r="G535" s="365" t="s">
        <v>4570</v>
      </c>
      <c r="H535" s="367" t="s">
        <v>4571</v>
      </c>
      <c r="I535" s="557"/>
      <c r="J535" s="368" t="s">
        <v>4572</v>
      </c>
      <c r="K535" s="369" t="s">
        <v>4572</v>
      </c>
      <c r="L535" s="575"/>
      <c r="M535" s="367" t="s">
        <v>4571</v>
      </c>
      <c r="N535" s="365" t="s">
        <v>4567</v>
      </c>
      <c r="O535" s="365" t="s">
        <v>4568</v>
      </c>
      <c r="P535" s="365" t="s">
        <v>4569</v>
      </c>
      <c r="Q535" s="365" t="s">
        <v>4570</v>
      </c>
      <c r="R535" s="365" t="s">
        <v>4565</v>
      </c>
      <c r="S535" s="366" t="s">
        <v>4566</v>
      </c>
      <c r="T535" s="370" t="s">
        <v>4564</v>
      </c>
    </row>
    <row r="536" spans="1:20" s="356" customFormat="1" ht="17.25" thickTop="1" x14ac:dyDescent="0.15">
      <c r="A536" s="474" t="s">
        <v>6144</v>
      </c>
      <c r="B536" s="378" t="s">
        <v>5989</v>
      </c>
      <c r="C536" s="379" t="s">
        <v>4575</v>
      </c>
      <c r="D536" s="2678" cm="1" t="n">
        <f t="array" ref="D536">INDEX('5층_부하량'!F3:F3000,MATCH(1,("5-DaHall 1-PDU-22"='5층_부하량'!A3:A3000)*(1='5층_부하량'!B3:B3000),0))</f>
        <v>10.5</v>
      </c>
      <c r="E536" s="401"/>
      <c r="F536" s="401"/>
      <c r="G536" s="374"/>
      <c r="H536" s="2450" t="s">
        <v>4936</v>
      </c>
      <c r="I536" s="2451" t="s">
        <v>4577</v>
      </c>
      <c r="J536" s="1040"/>
      <c r="K536" s="1041"/>
      <c r="L536" s="587" t="s">
        <v>4863</v>
      </c>
      <c r="M536" s="372" t="s">
        <v>5001</v>
      </c>
      <c r="N536" s="2678" cm="1" t="n">
        <f t="array" ref="N536">INDEX('5층_부하량'!F3:F3000,MATCH(1,("5-DaHall 1-PDU-22"='5층_부하량'!A3:A3000)*(2='5층_부하량'!B3:B3000),0))</f>
        <v>8.71</v>
      </c>
      <c r="O536" s="401"/>
      <c r="P536" s="401"/>
      <c r="Q536" s="374"/>
      <c r="R536" s="378" t="s">
        <v>5989</v>
      </c>
      <c r="S536" s="379" t="s">
        <v>4575</v>
      </c>
      <c r="T536" s="1233" t="s">
        <v>6145</v>
      </c>
    </row>
    <row r="537" spans="1:20" s="356" customFormat="1" ht="16.5" x14ac:dyDescent="0.15">
      <c r="A537" s="391" t="s">
        <v>6146</v>
      </c>
      <c r="B537" s="388" t="s">
        <v>5989</v>
      </c>
      <c r="C537" s="389" t="s">
        <v>4575</v>
      </c>
      <c r="D537" s="387"/>
      <c r="E537" s="2672" cm="1" t="n">
        <f t="array" ref="E537">INDEX('5층_부하량'!G3:G3000,MATCH(1,("5-DaHall 1-PDU-22"='5층_부하량'!A3:A3000)*(3='5층_부하량'!B3:B3000),0))</f>
        <v>8.7</v>
      </c>
      <c r="F537" s="387"/>
      <c r="G537" s="383"/>
      <c r="H537" s="382" t="s">
        <v>5001</v>
      </c>
      <c r="I537" s="2452" t="s">
        <v>4582</v>
      </c>
      <c r="J537" s="1042"/>
      <c r="K537" s="1043"/>
      <c r="L537" s="588" t="s">
        <v>4865</v>
      </c>
      <c r="M537" s="382" t="s">
        <v>5001</v>
      </c>
      <c r="N537" s="387"/>
      <c r="O537" s="2672" cm="1" t="n">
        <f t="array" ref="O537">INDEX('5층_부하량'!G3:G3000,MATCH(1,("5-DaHall 1-PDU-22"='5층_부하량'!A3:A3000)*(4='5층_부하량'!B3:B3000),0))</f>
        <v>5.8</v>
      </c>
      <c r="P537" s="387"/>
      <c r="Q537" s="387"/>
      <c r="R537" s="388" t="s">
        <v>5989</v>
      </c>
      <c r="S537" s="389" t="s">
        <v>4575</v>
      </c>
      <c r="T537" s="395" t="s">
        <v>6147</v>
      </c>
    </row>
    <row r="538" spans="1:20" s="356" customFormat="1" ht="16.5" x14ac:dyDescent="0.15">
      <c r="A538" s="391" t="s">
        <v>6148</v>
      </c>
      <c r="B538" s="388" t="s">
        <v>5989</v>
      </c>
      <c r="C538" s="389" t="s">
        <v>4575</v>
      </c>
      <c r="D538" s="387"/>
      <c r="E538" s="387"/>
      <c r="F538" s="2679" cm="1" t="n">
        <f t="array" ref="F538">INDEX('5층_부하량'!H3:H3000,MATCH(1,("5-DaHall 1-PDU-22"='5층_부하량'!A3:A3000)*(5='5층_부하량'!B3:B3000),0))</f>
        <v>8.58</v>
      </c>
      <c r="G538" s="387"/>
      <c r="H538" s="382" t="s">
        <v>5001</v>
      </c>
      <c r="I538" s="2452" t="s">
        <v>4587</v>
      </c>
      <c r="J538" s="1044"/>
      <c r="K538" s="1045"/>
      <c r="L538" s="589" t="s">
        <v>4868</v>
      </c>
      <c r="M538" s="1234" t="s">
        <v>6078</v>
      </c>
      <c r="N538" s="387"/>
      <c r="O538" s="387"/>
      <c r="P538" s="2679" cm="1" t="n">
        <f t="array" ref="P538">INDEX('5층_부하량'!H3:H3000,MATCH(1,("5-DaHall 1-PDU-22"='5층_부하량'!A3:A3000)*(6='5층_부하량'!B3:B3000),0))</f>
        <v>8.87</v>
      </c>
      <c r="Q538" s="387"/>
      <c r="R538" s="388" t="s">
        <v>5989</v>
      </c>
      <c r="S538" s="389" t="s">
        <v>4575</v>
      </c>
      <c r="T538" s="395" t="s">
        <v>6149</v>
      </c>
    </row>
    <row r="539" spans="1:20" s="356" customFormat="1" ht="16.5" x14ac:dyDescent="0.15">
      <c r="A539" s="391" t="s">
        <v>6150</v>
      </c>
      <c r="B539" s="388" t="s">
        <v>5989</v>
      </c>
      <c r="C539" s="389" t="s">
        <v>4575</v>
      </c>
      <c r="D539" s="2679" cm="1" t="n">
        <f t="array" ref="D539">INDEX('5층_부하량'!F3:F3000,MATCH(1,("5-DaHall 1-PDU-22"='5층_부하량'!A3:A3000)*(7='5층_부하량'!B3:B3000),0))</f>
        <v>10.21</v>
      </c>
      <c r="E539" s="387"/>
      <c r="F539" s="387"/>
      <c r="G539" s="387"/>
      <c r="H539" s="382" t="s">
        <v>5001</v>
      </c>
      <c r="I539" s="558" t="s">
        <v>4645</v>
      </c>
      <c r="J539" s="1044"/>
      <c r="K539" s="1045"/>
      <c r="L539" s="578" t="s">
        <v>4593</v>
      </c>
      <c r="M539" s="382" t="s">
        <v>5001</v>
      </c>
      <c r="N539" s="2679" cm="1" t="n">
        <f t="array" ref="N539">INDEX('5층_부하량'!F3:F3000,MATCH(1,("5-DaHall 1-PDU-22"='5층_부하량'!A3:A3000)*(8='5층_부하량'!B3:B3000),0))</f>
        <v>9.65</v>
      </c>
      <c r="O539" s="387"/>
      <c r="P539" s="387"/>
      <c r="Q539" s="387"/>
      <c r="R539" s="388" t="s">
        <v>5989</v>
      </c>
      <c r="S539" s="389" t="s">
        <v>4575</v>
      </c>
      <c r="T539" s="395" t="s">
        <v>6151</v>
      </c>
    </row>
    <row r="540" spans="1:20" s="356" customFormat="1" ht="16.5" x14ac:dyDescent="0.15">
      <c r="A540" s="391" t="s">
        <v>6152</v>
      </c>
      <c r="B540" s="388" t="s">
        <v>5989</v>
      </c>
      <c r="C540" s="389" t="s">
        <v>4575</v>
      </c>
      <c r="D540" s="387"/>
      <c r="E540" s="2672" cm="1" t="n">
        <f t="array" ref="E540">INDEX('5층_부하량'!G3:G3000,MATCH(1,("5-DaHall 1-PDU-22"='5층_부하량'!A3:A3000)*(9='5층_부하량'!B3:B3000),0))</f>
        <v>10.56</v>
      </c>
      <c r="F540" s="387"/>
      <c r="G540" s="387"/>
      <c r="H540" s="382" t="s">
        <v>5001</v>
      </c>
      <c r="I540" s="558" t="s">
        <v>4648</v>
      </c>
      <c r="J540" s="1044"/>
      <c r="K540" s="1045"/>
      <c r="L540" s="578" t="s">
        <v>4596</v>
      </c>
      <c r="M540" s="382" t="s">
        <v>5001</v>
      </c>
      <c r="N540" s="387"/>
      <c r="O540" s="2672" cm="1" t="n">
        <f t="array" ref="O540">INDEX('5층_부하량'!G3:G3000,MATCH(1,("5-DaHall 1-PDU-22"='5층_부하량'!A3:A3000)*(10='5층_부하량'!B3:B3000),0))</f>
        <v>12.02</v>
      </c>
      <c r="P540" s="387"/>
      <c r="Q540" s="387"/>
      <c r="R540" s="388" t="s">
        <v>5989</v>
      </c>
      <c r="S540" s="389" t="s">
        <v>4575</v>
      </c>
      <c r="T540" s="395" t="s">
        <v>6153</v>
      </c>
    </row>
    <row r="541" spans="1:20" s="356" customFormat="1" ht="16.5" x14ac:dyDescent="0.15">
      <c r="A541" s="391" t="s">
        <v>6154</v>
      </c>
      <c r="B541" s="388" t="s">
        <v>5989</v>
      </c>
      <c r="C541" s="389" t="s">
        <v>4575</v>
      </c>
      <c r="D541" s="387"/>
      <c r="E541" s="387"/>
      <c r="F541" s="2679" cm="1" t="n">
        <f t="array" ref="F541">INDEX('5층_부하량'!H3:H3000,MATCH(1,("5-DaHall 1-PDU-22"='5층_부하량'!A3:A3000)*(11='5층_부하량'!B3:B3000),0))</f>
        <v>10.01</v>
      </c>
      <c r="G541" s="387"/>
      <c r="H541" s="382" t="s">
        <v>5001</v>
      </c>
      <c r="I541" s="558" t="s">
        <v>4653</v>
      </c>
      <c r="J541" s="1044"/>
      <c r="K541" s="1045"/>
      <c r="L541" s="578" t="s">
        <v>4599</v>
      </c>
      <c r="M541" s="1234" t="s">
        <v>6078</v>
      </c>
      <c r="N541" s="387"/>
      <c r="O541" s="387"/>
      <c r="P541" s="2679" cm="1" t="n">
        <f t="array" ref="P541">INDEX('5층_부하량'!H3:H3000,MATCH(1,("5-DaHall 1-PDU-22"='5층_부하량'!A3:A3000)*(12='5층_부하량'!B3:B3000),0))</f>
        <v>2.98</v>
      </c>
      <c r="Q541" s="387"/>
      <c r="R541" s="388" t="s">
        <v>5989</v>
      </c>
      <c r="S541" s="389" t="s">
        <v>4575</v>
      </c>
      <c r="T541" s="395" t="s">
        <v>6155</v>
      </c>
    </row>
    <row r="542" spans="1:20" s="356" customFormat="1" ht="16.5" x14ac:dyDescent="0.15">
      <c r="A542" s="391" t="s">
        <v>6156</v>
      </c>
      <c r="B542" s="388" t="s">
        <v>5989</v>
      </c>
      <c r="C542" s="389" t="s">
        <v>4575</v>
      </c>
      <c r="D542" s="2679" cm="1" t="n">
        <f t="array" ref="D542">INDEX('5층_부하량'!F3:F3000,MATCH(1,("5-DaHall 1-PDU-22"='5층_부하량'!A3:A3000)*(13='5층_부하량'!B3:B3000),0))</f>
        <v>13.02</v>
      </c>
      <c r="E542" s="387"/>
      <c r="F542" s="387"/>
      <c r="G542" s="387"/>
      <c r="H542" s="382" t="s">
        <v>5001</v>
      </c>
      <c r="I542" s="558" t="s">
        <v>4657</v>
      </c>
      <c r="J542" s="1044"/>
      <c r="K542" s="1045"/>
      <c r="L542" s="578" t="s">
        <v>4601</v>
      </c>
      <c r="M542" s="1234" t="s">
        <v>6078</v>
      </c>
      <c r="N542" s="2679" cm="1" t="n">
        <f t="array" ref="N542">INDEX('5층_부하량'!F3:F3000,MATCH(1,("5-DaHall 1-PDU-22"='5층_부하량'!A3:A3000)*(14='5층_부하량'!B3:B3000),0))</f>
        <v>3.02</v>
      </c>
      <c r="O542" s="387"/>
      <c r="P542" s="387"/>
      <c r="Q542" s="387"/>
      <c r="R542" s="388" t="s">
        <v>5989</v>
      </c>
      <c r="S542" s="389" t="s">
        <v>4575</v>
      </c>
      <c r="T542" s="395" t="s">
        <v>6157</v>
      </c>
    </row>
    <row r="543" spans="1:20" s="356" customFormat="1" ht="16.5" x14ac:dyDescent="0.15">
      <c r="A543" s="448" t="s">
        <v>6158</v>
      </c>
      <c r="B543" s="388" t="s">
        <v>5989</v>
      </c>
      <c r="C543" s="389" t="s">
        <v>4575</v>
      </c>
      <c r="D543" s="387"/>
      <c r="E543" s="2679" cm="1" t="n">
        <f t="array" ref="E543">INDEX('5층_부하량'!G3:G3000,MATCH(1,("5-DaHall 1-PDU-22"='5층_부하량'!A3:A3000)*(15='5층_부하량'!B3:B3000),0))</f>
        <v>9.5</v>
      </c>
      <c r="F543" s="387"/>
      <c r="G543" s="387"/>
      <c r="H543" s="1234" t="s">
        <v>6078</v>
      </c>
      <c r="I543" s="558" t="s">
        <v>4661</v>
      </c>
      <c r="J543" s="1044"/>
      <c r="K543" s="1045"/>
      <c r="L543" s="578" t="s">
        <v>4603</v>
      </c>
      <c r="M543" s="382" t="s">
        <v>5001</v>
      </c>
      <c r="N543" s="387"/>
      <c r="O543" s="2679" cm="1" t="n">
        <f t="array" ref="O543">INDEX('5층_부하량'!G3:G3000,MATCH(1,("5-DaHall 1-PDU-22"='5층_부하량'!A3:A3000)*(16='5층_부하량'!B3:B3000),0))</f>
        <v>14.77</v>
      </c>
      <c r="P543" s="387"/>
      <c r="Q543" s="387"/>
      <c r="R543" s="388" t="s">
        <v>5989</v>
      </c>
      <c r="S543" s="1232" t="s">
        <v>4723</v>
      </c>
      <c r="T543" s="395" t="s">
        <v>6159</v>
      </c>
    </row>
    <row r="544" spans="1:20" s="356" customFormat="1" ht="16.5" x14ac:dyDescent="0.15">
      <c r="A544" s="448" t="s">
        <v>6160</v>
      </c>
      <c r="B544" s="388" t="s">
        <v>5989</v>
      </c>
      <c r="C544" s="389" t="s">
        <v>4575</v>
      </c>
      <c r="D544" s="387"/>
      <c r="E544" s="387"/>
      <c r="F544" s="2679" cm="1" t="n">
        <f t="array" ref="F544">INDEX('5층_부하량'!H3:H3000,MATCH(1,("5-DaHall 1-PDU-22"='5층_부하량'!A3:A3000)*(17='5층_부하량'!B3:B3000),0))</f>
        <v>9.32</v>
      </c>
      <c r="G544" s="387"/>
      <c r="H544" s="1235" t="s">
        <v>4576</v>
      </c>
      <c r="I544" s="558" t="s">
        <v>4665</v>
      </c>
      <c r="J544" s="1044"/>
      <c r="K544" s="1045"/>
      <c r="L544" s="578" t="s">
        <v>4605</v>
      </c>
      <c r="M544" s="382" t="s">
        <v>5001</v>
      </c>
      <c r="N544" s="387"/>
      <c r="O544" s="387"/>
      <c r="P544" s="2679" cm="1" t="n">
        <f t="array" ref="P544">INDEX('5층_부하량'!H3:H3000,MATCH(1,("5-DaHall 1-PDU-22"='5층_부하량'!A3:A3000)*(18='5층_부하량'!B3:B3000),0))</f>
        <v>7.27</v>
      </c>
      <c r="Q544" s="387"/>
      <c r="R544" s="388" t="s">
        <v>5989</v>
      </c>
      <c r="S544" s="1232" t="s">
        <v>4723</v>
      </c>
      <c r="T544" s="395" t="s">
        <v>6161</v>
      </c>
    </row>
    <row r="545" spans="1:20" s="356" customFormat="1" ht="16.5" x14ac:dyDescent="0.15">
      <c r="A545" s="448" t="s">
        <v>6162</v>
      </c>
      <c r="B545" s="388" t="s">
        <v>5989</v>
      </c>
      <c r="C545" s="389" t="s">
        <v>4575</v>
      </c>
      <c r="D545" s="2679" cm="1" t="n">
        <f t="array" ref="D545">INDEX('5층_부하량'!F3:F3000,MATCH(1,("5-DaHall 1-PDU-22"='5층_부하량'!A3:A3000)*(19='5층_부하량'!B3:B3000),0))</f>
        <v>5.75</v>
      </c>
      <c r="E545" s="387"/>
      <c r="F545" s="387"/>
      <c r="G545" s="387"/>
      <c r="H545" s="1235" t="s">
        <v>4576</v>
      </c>
      <c r="I545" s="558" t="s">
        <v>4670</v>
      </c>
      <c r="J545" s="1044"/>
      <c r="K545" s="1045"/>
      <c r="L545" s="578" t="s">
        <v>4609</v>
      </c>
      <c r="M545" s="382" t="s">
        <v>5001</v>
      </c>
      <c r="N545" s="2679" cm="1" t="n">
        <f t="array" ref="N545">INDEX('5층_부하량'!F3:F3000,MATCH(1,("5-DaHall 1-PDU-22"='5층_부하량'!A3:A3000)*(20='5층_부하량'!B3:B3000),0))</f>
        <v>11.85</v>
      </c>
      <c r="O545" s="387"/>
      <c r="P545" s="387"/>
      <c r="Q545" s="387"/>
      <c r="R545" s="388" t="s">
        <v>5989</v>
      </c>
      <c r="S545" s="1232" t="s">
        <v>4723</v>
      </c>
      <c r="T545" s="395" t="s">
        <v>6163</v>
      </c>
    </row>
    <row r="546" spans="1:20" s="356" customFormat="1" ht="16.5" x14ac:dyDescent="0.15">
      <c r="A546" s="448"/>
      <c r="B546" s="388" t="s">
        <v>565</v>
      </c>
      <c r="C546" s="1232" t="s">
        <v>4723</v>
      </c>
      <c r="D546" s="387"/>
      <c r="E546" s="2672" cm="1" t="n">
        <f t="array" ref="E546">INDEX('5층_부하량'!G3:G3000,MATCH(1,("5-DaHall 1-PDU-22"='5층_부하량'!A3:A3000)*(21='5층_부하량'!B3:B3000),0))</f>
        <v>9.77</v>
      </c>
      <c r="F546" s="387"/>
      <c r="G546" s="387"/>
      <c r="H546" s="382" t="s">
        <v>5001</v>
      </c>
      <c r="I546" s="2452" t="s">
        <v>6094</v>
      </c>
      <c r="J546" s="1044"/>
      <c r="K546" s="1045"/>
      <c r="L546" s="589" t="s">
        <v>6095</v>
      </c>
      <c r="M546" s="382" t="s">
        <v>5001</v>
      </c>
      <c r="N546" s="387"/>
      <c r="O546" s="2672" cm="1" t="n">
        <f t="array" ref="O546">INDEX('5층_부하량'!G3:G3000,MATCH(1,("5-DaHall 1-PDU-22"='5층_부하량'!A3:A3000)*(22='5층_부하량'!B3:B3000),0))</f>
        <v>5.6899999999999995</v>
      </c>
      <c r="P546" s="387"/>
      <c r="Q546" s="387"/>
      <c r="R546" s="388" t="s">
        <v>5989</v>
      </c>
      <c r="S546" s="1232" t="s">
        <v>4723</v>
      </c>
      <c r="T546" s="395" t="s">
        <v>6164</v>
      </c>
    </row>
    <row r="547" spans="1:20" s="356" customFormat="1" ht="17.25" thickBot="1" x14ac:dyDescent="0.2">
      <c r="A547" s="431"/>
      <c r="B547" s="436" t="s">
        <v>4590</v>
      </c>
      <c r="C547" s="432" t="s">
        <v>4642</v>
      </c>
      <c r="D547" s="433"/>
      <c r="E547" s="433"/>
      <c r="F547" s="2680" cm="1" t="n">
        <f t="array" ref="F547">INDEX('5층_부하량'!H3:H3000,MATCH(1,("5-DaHall 1-PDU-22"='5층_부하량'!A3:A3000)*(23='5층_부하량'!B3:B3000),0))</f>
        <v>8.88</v>
      </c>
      <c r="G547" s="433"/>
      <c r="H547" s="432" t="s">
        <v>5001</v>
      </c>
      <c r="I547" s="2453" t="s">
        <v>6097</v>
      </c>
      <c r="J547" s="1229"/>
      <c r="K547" s="1230"/>
      <c r="L547" s="1231" t="s">
        <v>6098</v>
      </c>
      <c r="M547" s="432" t="s">
        <v>5001</v>
      </c>
      <c r="N547" s="433"/>
      <c r="O547" s="433"/>
      <c r="P547" s="2680" cm="1" t="n">
        <f t="array" ref="P547">INDEX('5층_부하량'!H3:H3000,MATCH(1,("5-DaHall 1-PDU-22"='5층_부하량'!A3:A3000)*(24='5층_부하량'!B3:B3000),0))</f>
        <v>0.0</v>
      </c>
      <c r="Q547" s="433"/>
      <c r="R547" s="436" t="s">
        <v>4590</v>
      </c>
      <c r="S547" s="432" t="s">
        <v>4642</v>
      </c>
      <c r="T547" s="438"/>
    </row>
    <row r="548" spans="1:20" s="356" customFormat="1" ht="17.25" thickTop="1" x14ac:dyDescent="0.15">
      <c r="L548" s="2445"/>
      <c r="M548" s="411" t="s">
        <v>5645</v>
      </c>
      <c r="N548" s="412" t="n">
        <f>SUM(D536:D547,N536:N547)</f>
        <v>72.71000000000001</v>
      </c>
      <c r="O548" s="412" t="n">
        <f>SUM(E536:E547,O536:O547)</f>
        <v>76.80999999999999</v>
      </c>
      <c r="P548" s="412" t="n">
        <f>SUM(F536:F547,P536:P547)</f>
        <v>55.91</v>
      </c>
    </row>
    <row r="549" spans="1:20" s="356" customFormat="1" ht="18.75" x14ac:dyDescent="0.15">
      <c r="A549" s="355" t="s">
        <v>6165</v>
      </c>
      <c r="B549" s="358"/>
      <c r="C549" s="451"/>
      <c r="D549" s="452"/>
      <c r="E549" s="452"/>
      <c r="F549" s="452"/>
      <c r="G549" s="452"/>
      <c r="H549" s="358"/>
      <c r="I549" s="358"/>
      <c r="J549" s="453"/>
      <c r="K549" s="453"/>
      <c r="L549" s="586"/>
      <c r="M549" s="411"/>
      <c r="N549" s="452"/>
      <c r="O549" s="452"/>
      <c r="P549" s="452"/>
      <c r="Q549" s="452"/>
      <c r="R549" s="454"/>
      <c r="S549" s="358"/>
      <c r="T549" s="361"/>
    </row>
    <row r="550" spans="1:20" s="356" customFormat="1" ht="17.25" thickBot="1" x14ac:dyDescent="0.2">
      <c r="L550" s="2445"/>
      <c r="M550" s="411"/>
      <c r="N550" s="412"/>
      <c r="O550" s="412"/>
      <c r="P550" s="412"/>
    </row>
    <row r="551" spans="1:20" s="356" customFormat="1" ht="18" thickTop="1" thickBot="1" x14ac:dyDescent="0.2">
      <c r="A551" s="364" t="s">
        <v>4564</v>
      </c>
      <c r="B551" s="365" t="s">
        <v>4565</v>
      </c>
      <c r="C551" s="366" t="s">
        <v>4566</v>
      </c>
      <c r="D551" s="365" t="s">
        <v>4567</v>
      </c>
      <c r="E551" s="365" t="s">
        <v>4568</v>
      </c>
      <c r="F551" s="365" t="s">
        <v>4569</v>
      </c>
      <c r="G551" s="365" t="s">
        <v>4570</v>
      </c>
      <c r="H551" s="367" t="s">
        <v>4571</v>
      </c>
      <c r="I551" s="557"/>
      <c r="J551" s="368" t="s">
        <v>4572</v>
      </c>
      <c r="K551" s="369" t="s">
        <v>4572</v>
      </c>
      <c r="L551" s="575"/>
      <c r="M551" s="367" t="s">
        <v>4571</v>
      </c>
      <c r="N551" s="365" t="s">
        <v>4567</v>
      </c>
      <c r="O551" s="365" t="s">
        <v>4568</v>
      </c>
      <c r="P551" s="365" t="s">
        <v>4569</v>
      </c>
      <c r="Q551" s="365" t="s">
        <v>4570</v>
      </c>
      <c r="R551" s="365" t="s">
        <v>4565</v>
      </c>
      <c r="S551" s="366" t="s">
        <v>4566</v>
      </c>
      <c r="T551" s="370" t="s">
        <v>4564</v>
      </c>
    </row>
    <row r="552" spans="1:20" s="356" customFormat="1" ht="17.25" thickTop="1" x14ac:dyDescent="0.15">
      <c r="A552" s="1324" t="s">
        <v>6166</v>
      </c>
      <c r="B552" s="372" t="s">
        <v>4635</v>
      </c>
      <c r="C552" s="389" t="s">
        <v>4575</v>
      </c>
      <c r="D552" s="377">
        <v>5.6</v>
      </c>
      <c r="E552" s="377">
        <v>7.2</v>
      </c>
      <c r="F552" s="377">
        <v>2.2999999999999998</v>
      </c>
      <c r="G552" s="377">
        <v>3.8</v>
      </c>
      <c r="H552" s="2454" t="s">
        <v>6167</v>
      </c>
      <c r="I552" s="2455" t="s">
        <v>6168</v>
      </c>
      <c r="J552" s="375" t="s">
        <v>6169</v>
      </c>
      <c r="K552" s="376" t="s">
        <v>4309</v>
      </c>
      <c r="L552" s="587" t="s">
        <v>4871</v>
      </c>
      <c r="M552" s="2450" t="s">
        <v>6167</v>
      </c>
      <c r="N552" s="377">
        <v>4.5999999999999996</v>
      </c>
      <c r="O552" s="377">
        <v>5</v>
      </c>
      <c r="P552" s="377">
        <v>1.5</v>
      </c>
      <c r="Q552" s="377">
        <v>2.7</v>
      </c>
      <c r="R552" s="378" t="s">
        <v>4635</v>
      </c>
      <c r="S552" s="389" t="s">
        <v>4575</v>
      </c>
      <c r="T552" s="2456" t="s">
        <v>6170</v>
      </c>
    </row>
    <row r="553" spans="1:20" s="356" customFormat="1" ht="16.5" x14ac:dyDescent="0.15">
      <c r="A553" s="391" t="s">
        <v>6171</v>
      </c>
      <c r="B553" s="382" t="s">
        <v>4631</v>
      </c>
      <c r="C553" s="389" t="s">
        <v>4575</v>
      </c>
      <c r="D553" s="386">
        <v>8.4</v>
      </c>
      <c r="E553" s="386">
        <v>19.2</v>
      </c>
      <c r="F553" s="386">
        <v>9.1999999999999993</v>
      </c>
      <c r="G553" s="386">
        <v>10.7</v>
      </c>
      <c r="H553" s="382" t="s">
        <v>5790</v>
      </c>
      <c r="I553" s="2452" t="s">
        <v>6172</v>
      </c>
      <c r="J553" s="384" t="s">
        <v>6173</v>
      </c>
      <c r="K553" s="385" t="s">
        <v>6174</v>
      </c>
      <c r="L553" s="588" t="s">
        <v>6175</v>
      </c>
      <c r="M553" s="382" t="s">
        <v>5786</v>
      </c>
      <c r="N553" s="386">
        <v>8.6</v>
      </c>
      <c r="O553" s="386">
        <v>8.4</v>
      </c>
      <c r="P553" s="386">
        <v>9</v>
      </c>
      <c r="Q553" s="386">
        <v>2.1</v>
      </c>
      <c r="R553" s="388" t="s">
        <v>4635</v>
      </c>
      <c r="S553" s="389" t="s">
        <v>4575</v>
      </c>
      <c r="T553" s="390" t="s">
        <v>6176</v>
      </c>
    </row>
    <row r="554" spans="1:20" s="356" customFormat="1" ht="17.25" thickBot="1" x14ac:dyDescent="0.2">
      <c r="A554" s="431" t="s">
        <v>6177</v>
      </c>
      <c r="B554" s="432" t="s">
        <v>4635</v>
      </c>
      <c r="C554" s="437" t="s">
        <v>4575</v>
      </c>
      <c r="D554" s="435">
        <v>11.2</v>
      </c>
      <c r="E554" s="435">
        <v>8</v>
      </c>
      <c r="F554" s="435">
        <v>11.6</v>
      </c>
      <c r="G554" s="435">
        <v>4</v>
      </c>
      <c r="H554" s="432" t="s">
        <v>5786</v>
      </c>
      <c r="I554" s="2453" t="s">
        <v>6178</v>
      </c>
      <c r="J554" s="449" t="s">
        <v>6174</v>
      </c>
      <c r="K554" s="441" t="s">
        <v>6174</v>
      </c>
      <c r="L554" s="1231" t="s">
        <v>6179</v>
      </c>
      <c r="M554" s="432" t="s">
        <v>5786</v>
      </c>
      <c r="N554" s="435">
        <v>11.7</v>
      </c>
      <c r="O554" s="435">
        <v>11.5</v>
      </c>
      <c r="P554" s="435">
        <v>11.5</v>
      </c>
      <c r="Q554" s="435">
        <v>1.8</v>
      </c>
      <c r="R554" s="436" t="s">
        <v>4635</v>
      </c>
      <c r="S554" s="437" t="s">
        <v>4575</v>
      </c>
      <c r="T554" s="438" t="s">
        <v>6180</v>
      </c>
    </row>
    <row r="555" spans="1:20" s="356" customFormat="1" ht="17.25" thickTop="1" x14ac:dyDescent="0.15">
      <c r="L555" s="2445"/>
    </row>
    <row r="556" spans="1:20" s="356" customFormat="1" ht="16.5" x14ac:dyDescent="0.15">
      <c r="D556" s="356" t="s">
        <v>4969</v>
      </c>
      <c r="E556" s="356" t="s">
        <v>6181</v>
      </c>
      <c r="L556" s="2445"/>
    </row>
    <row r="557" spans="1:20" s="356" customFormat="1" ht="16.5" x14ac:dyDescent="0.15">
      <c r="B557" s="356" t="s">
        <v>6182</v>
      </c>
      <c r="D557" s="412" t="n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785.2099999999999</v>
      </c>
      <c r="E557" s="455" t="n">
        <f t="shared" ref="E557:E564" si="0">D557/$D$564</f>
        <v>0.4181809467001832</v>
      </c>
      <c r="L557" s="2445"/>
      <c r="M557" s="356" t="s">
        <v>6888</v>
      </c>
      <c r="N557" s="412" t="n">
        <f>N53</f>
        <v>39.42</v>
      </c>
      <c r="O557" s="412" t="n">
        <f t="shared" ref="O557:P557" si="1">O53</f>
        <v>43.260000000000005</v>
      </c>
      <c r="P557" s="412" t="n">
        <f t="shared" si="1"/>
        <v>31.73</v>
      </c>
    </row>
    <row r="558" spans="1:20" s="356" customFormat="1" ht="16.5" x14ac:dyDescent="0.15">
      <c r="A558" s="456"/>
      <c r="B558" s="2457" t="s">
        <v>3871</v>
      </c>
      <c r="D558" s="412" t="n">
        <f>SUM(N356:P356,N415:P415,D356:F356,D415:F415,D425:F425)</f>
        <v>51.61000000000001</v>
      </c>
      <c r="E558" s="455" t="n">
        <f t="shared" si="0"/>
        <v>0.027486046610711096</v>
      </c>
      <c r="L558" s="2445"/>
      <c r="M558" s="356" t="s">
        <v>6889</v>
      </c>
      <c r="N558" s="412" t="n">
        <f>N83</f>
        <v>38.63</v>
      </c>
      <c r="O558" s="412" t="n">
        <f t="shared" ref="O558:P558" si="2">O83</f>
        <v>40.330000000000005</v>
      </c>
      <c r="P558" s="412" t="n">
        <f t="shared" si="2"/>
        <v>30.189999999999998</v>
      </c>
    </row>
    <row r="559" spans="1:20" s="356" customFormat="1" ht="16.5" x14ac:dyDescent="0.15">
      <c r="A559" s="456"/>
      <c r="B559" s="2457" t="s">
        <v>6183</v>
      </c>
      <c r="D559" s="412" t="n">
        <f>SUM(D553:F554,N553:P554)</f>
        <v>128.3</v>
      </c>
      <c r="E559" s="455" t="n">
        <f t="shared" si="0"/>
        <v>0.06832900174683654</v>
      </c>
      <c r="L559" s="2445"/>
      <c r="M559" s="356" t="s">
        <v>6890</v>
      </c>
      <c r="N559" s="412" t="n">
        <f>N113</f>
        <v>34.31</v>
      </c>
      <c r="O559" s="412" t="n">
        <f t="shared" ref="O559:P559" si="3">O113</f>
        <v>22.77</v>
      </c>
      <c r="P559" s="412" t="n">
        <f t="shared" si="3"/>
        <v>21.080000000000002</v>
      </c>
    </row>
    <row r="560" spans="1:20" s="356" customFormat="1" ht="16.5" x14ac:dyDescent="0.15">
      <c r="A560" s="456"/>
      <c r="B560" s="2457" t="s">
        <v>6184</v>
      </c>
      <c r="D560" s="1008" t="n">
        <f>SUM(N463:P463)</f>
        <v>29.85</v>
      </c>
      <c r="E560" s="1009" t="n">
        <f t="shared" si="0"/>
        <v>0.015897277491372333</v>
      </c>
      <c r="L560" s="2445"/>
      <c r="M560" s="356" t="s">
        <v>6891</v>
      </c>
      <c r="N560" s="412" t="n">
        <f>N143</f>
        <v>32.11</v>
      </c>
      <c r="O560" s="412" t="n">
        <f t="shared" ref="O560:P560" si="4">O143</f>
        <v>20.77</v>
      </c>
      <c r="P560" s="412" t="n">
        <f t="shared" si="4"/>
        <v>20.58</v>
      </c>
    </row>
    <row r="561" spans="1:17" s="356" customFormat="1" ht="16.5" x14ac:dyDescent="0.15">
      <c r="A561" s="456"/>
      <c r="B561" s="2457" t="s">
        <v>6185</v>
      </c>
      <c r="D561" s="1008" t="n">
        <f>SUM(N484:P484)</f>
        <v>22.37</v>
      </c>
      <c r="E561" s="1009" t="n">
        <f t="shared" si="0"/>
        <v>0.011913638106599634</v>
      </c>
      <c r="F561" s="2458" t="s">
        <v>6186</v>
      </c>
      <c r="G561" s="1010" t="n">
        <f>SUM(E560:E561)</f>
        <v>0.02781091559797197</v>
      </c>
      <c r="H561" s="412"/>
      <c r="L561" s="2445"/>
      <c r="M561" s="356" t="s">
        <v>6892</v>
      </c>
      <c r="N561" s="412" t="n">
        <f>N191</f>
        <v>0.0</v>
      </c>
      <c r="O561" s="412" t="n">
        <f t="shared" ref="O561:P561" si="5">O191</f>
        <v>0.0</v>
      </c>
      <c r="P561" s="412" t="n">
        <f t="shared" si="5"/>
        <v>0.0</v>
      </c>
    </row>
    <row r="562" spans="1:17" s="356" customFormat="1" ht="16.5" x14ac:dyDescent="0.15">
      <c r="A562" s="456"/>
      <c r="B562" s="2457" t="s">
        <v>6187</v>
      </c>
      <c r="D562" s="1008" t="n">
        <f>SUM(D362:F362,D367:F367,D370:F370,D421:F424,D426:F429,N426:P426,N429:P429)</f>
        <v>23.04</v>
      </c>
      <c r="E562" s="1009" t="n">
        <f t="shared" si="0"/>
        <v>0.012270461420476332</v>
      </c>
      <c r="F562" s="2458"/>
      <c r="G562" s="1010"/>
      <c r="L562" s="2445"/>
      <c r="M562" s="356" t="s">
        <v>6893</v>
      </c>
      <c r="N562" s="412" t="n">
        <f>N222</f>
        <v>10.37</v>
      </c>
      <c r="O562" s="412" t="n">
        <f t="shared" ref="O562:P562" si="6">O222</f>
        <v>10.64</v>
      </c>
      <c r="P562" s="412" t="n">
        <f t="shared" si="6"/>
        <v>18.23</v>
      </c>
    </row>
    <row r="563" spans="1:17" s="356" customFormat="1" ht="16.5" x14ac:dyDescent="0.15">
      <c r="A563" s="456"/>
      <c r="B563" s="1236" t="s">
        <v>6188</v>
      </c>
      <c r="C563" s="1237"/>
      <c r="D563" s="1238" t="n">
        <f>SUM(N500:P500,N516:P516,N532:P532,N548:P548)</f>
        <v>837.2999999999998</v>
      </c>
      <c r="E563" s="1239" t="n">
        <f t="shared" si="0"/>
        <v>0.4459226279238208</v>
      </c>
      <c r="F563" s="2445"/>
      <c r="L563" s="2445"/>
      <c r="M563" s="356" t="s">
        <v>6894</v>
      </c>
      <c r="N563" s="412" t="n">
        <f>N244</f>
        <v>10.32</v>
      </c>
      <c r="O563" s="412" t="n">
        <f t="shared" ref="O563:P563" si="7">O244</f>
        <v>1.88</v>
      </c>
      <c r="P563" s="412" t="n">
        <f t="shared" si="7"/>
        <v>0.8</v>
      </c>
    </row>
    <row r="564" spans="1:17" s="356" customFormat="1" ht="16.5" x14ac:dyDescent="0.15">
      <c r="A564" s="356" t="s">
        <v>6189</v>
      </c>
      <c r="B564" s="356" t="s">
        <v>6182</v>
      </c>
      <c r="D564" s="412" t="n">
        <f>SUM(D557:D563)</f>
        <v>1877.6799999999998</v>
      </c>
      <c r="E564" s="457" t="n">
        <f t="shared" si="0"/>
        <v>1.0</v>
      </c>
      <c r="J564" s="412"/>
      <c r="L564" s="2445"/>
      <c r="M564" s="356" t="s">
        <v>6895</v>
      </c>
      <c r="N564" s="412" t="n">
        <f>N289</f>
        <v>8.280000000000001</v>
      </c>
      <c r="O564" s="412" t="n">
        <f t="shared" ref="O564:P564" si="8">O289</f>
        <v>8.43</v>
      </c>
      <c r="P564" s="412" t="n">
        <f t="shared" si="8"/>
        <v>1.3900000000000001</v>
      </c>
    </row>
    <row r="565" spans="1:17" s="356" customFormat="1" ht="16.5" x14ac:dyDescent="0.15">
      <c r="D565" s="412"/>
      <c r="E565" s="412"/>
      <c r="L565" s="2445"/>
      <c r="M565" s="356" t="s">
        <v>6896</v>
      </c>
      <c r="N565" s="412" t="n">
        <f>N267</f>
        <v>0.0</v>
      </c>
      <c r="O565" s="412" t="n">
        <f t="shared" ref="O565:P565" si="9">O267</f>
        <v>0.0</v>
      </c>
      <c r="P565" s="412" t="n">
        <f t="shared" si="9"/>
        <v>0.0</v>
      </c>
    </row>
    <row r="566" spans="1:17" s="356" customFormat="1" ht="16.5" x14ac:dyDescent="0.15">
      <c r="L566" s="2445"/>
      <c r="M566" s="356" t="s">
        <v>6897</v>
      </c>
      <c r="N566" s="412" t="n">
        <f>N312</f>
        <v>0.0</v>
      </c>
      <c r="O566" s="412" t="n">
        <f t="shared" ref="O566:P566" si="10">O312</f>
        <v>0.0</v>
      </c>
      <c r="P566" s="412" t="n">
        <f t="shared" si="10"/>
        <v>0.0</v>
      </c>
    </row>
    <row r="567" spans="1:17" s="356" customFormat="1" ht="16.5" x14ac:dyDescent="0.15">
      <c r="L567" s="2445"/>
      <c r="M567" s="356" t="s">
        <v>6898</v>
      </c>
      <c r="N567" s="412" t="n">
        <f>N332</f>
        <v>16.28</v>
      </c>
      <c r="O567" s="412" t="n">
        <f t="shared" ref="O567:P567" si="11">O332</f>
        <v>36.24</v>
      </c>
      <c r="P567" s="412" t="n">
        <f t="shared" si="11"/>
        <v>21.27</v>
      </c>
    </row>
    <row r="568" spans="1:17" s="356" customFormat="1" ht="17.25" thickBot="1" x14ac:dyDescent="0.2">
      <c r="L568" s="2445"/>
      <c r="M568" s="356" t="s">
        <v>6899</v>
      </c>
      <c r="N568" s="412" t="n">
        <f>N391</f>
        <v>26.05</v>
      </c>
      <c r="O568" s="412" t="n">
        <f t="shared" ref="O568:P568" si="12">O391</f>
        <v>30.35</v>
      </c>
      <c r="P568" s="412" t="n">
        <f t="shared" si="12"/>
        <v>25.330000000000002</v>
      </c>
    </row>
    <row r="569" spans="1:17" s="356" customFormat="1" ht="16.5" x14ac:dyDescent="0.15">
      <c r="B569" s="458"/>
      <c r="C569" s="459"/>
      <c r="D569" s="460"/>
      <c r="E569" s="460"/>
      <c r="F569" s="460"/>
      <c r="G569" s="460"/>
      <c r="H569" s="460"/>
      <c r="I569" s="460"/>
      <c r="J569" s="459"/>
      <c r="L569" s="2445"/>
      <c r="M569" s="356" t="s">
        <v>6900</v>
      </c>
      <c r="N569" s="412" t="n">
        <f>N352</f>
        <v>19.7</v>
      </c>
      <c r="O569" s="412" t="n">
        <f t="shared" ref="O569:P569" si="13">O352</f>
        <v>39.82</v>
      </c>
      <c r="P569" s="412" t="n">
        <f t="shared" si="13"/>
        <v>23.43</v>
      </c>
    </row>
    <row r="570" spans="1:17" s="356" customFormat="1" ht="16.5" x14ac:dyDescent="0.15">
      <c r="B570" s="3670" t="s">
        <v>6173</v>
      </c>
      <c r="C570" s="3671"/>
      <c r="J570" s="461"/>
      <c r="L570" s="2445"/>
      <c r="M570" s="356" t="s">
        <v>6391</v>
      </c>
      <c r="N570" s="412" t="n">
        <f>N411</f>
        <v>24.03</v>
      </c>
      <c r="O570" s="412" t="n">
        <f t="shared" ref="O570:P570" si="14">O411</f>
        <v>28.59</v>
      </c>
      <c r="P570" s="412" t="n">
        <f t="shared" si="14"/>
        <v>11.3</v>
      </c>
    </row>
    <row r="571" spans="1:17" s="356" customFormat="1" ht="17.25" thickBot="1" x14ac:dyDescent="0.2">
      <c r="B571" s="462"/>
      <c r="C571" s="463"/>
      <c r="J571" s="461"/>
      <c r="L571" s="2445"/>
      <c r="M571" s="356" t="s">
        <v>6393</v>
      </c>
      <c r="N571" s="412" t="n">
        <f>N371</f>
        <v>32.11</v>
      </c>
      <c r="O571" s="412" t="n">
        <f t="shared" ref="O571:P571" si="15">O371</f>
        <v>28.349999999999998</v>
      </c>
      <c r="P571" s="412" t="n">
        <f t="shared" si="15"/>
        <v>20.27</v>
      </c>
    </row>
    <row r="572" spans="1:17" s="356" customFormat="1" ht="16.5" x14ac:dyDescent="0.15">
      <c r="B572" s="464"/>
      <c r="J572" s="461"/>
      <c r="L572" s="2445"/>
      <c r="M572" s="356" t="s">
        <v>6395</v>
      </c>
      <c r="N572" s="412" t="n">
        <f>N430</f>
        <v>27.849999999999998</v>
      </c>
      <c r="O572" s="412" t="n">
        <f t="shared" ref="O572:P572" si="16">O430</f>
        <v>28.34</v>
      </c>
      <c r="P572" s="412" t="n">
        <f t="shared" si="16"/>
        <v>17.48</v>
      </c>
    </row>
    <row r="573" spans="1:17" s="356" customFormat="1" ht="16.5" x14ac:dyDescent="0.15">
      <c r="B573" s="464"/>
      <c r="E573" s="465"/>
      <c r="J573" s="461"/>
      <c r="L573" s="2445"/>
      <c r="M573" s="356" t="s">
        <v>6901</v>
      </c>
      <c r="N573" s="412" t="n">
        <f>N463</f>
        <v>7.739999999999999</v>
      </c>
      <c r="O573" s="412" t="n">
        <f t="shared" ref="O573:P573" si="17">O463</f>
        <v>9.76</v>
      </c>
      <c r="P573" s="412" t="n">
        <f t="shared" si="17"/>
        <v>12.350000000000001</v>
      </c>
      <c r="Q573" s="412" t="n">
        <f>SUM(N573:P573)</f>
        <v>29.85</v>
      </c>
    </row>
    <row r="574" spans="1:17" s="356" customFormat="1" ht="16.5" x14ac:dyDescent="0.15">
      <c r="B574" s="464"/>
      <c r="E574" s="466"/>
      <c r="J574" s="461"/>
      <c r="L574" s="2445"/>
      <c r="M574" s="356" t="s">
        <v>6902</v>
      </c>
      <c r="N574" s="412" t="n">
        <f>N484</f>
        <v>6.24</v>
      </c>
      <c r="O574" s="412" t="n">
        <f t="shared" ref="O574:P574" si="18">O484</f>
        <v>7.34</v>
      </c>
      <c r="P574" s="412" t="n">
        <f t="shared" si="18"/>
        <v>8.790000000000001</v>
      </c>
      <c r="Q574" s="412" t="n">
        <f>SUM(N574:P574)</f>
        <v>22.37</v>
      </c>
    </row>
    <row r="575" spans="1:17" s="356" customFormat="1" ht="16.5" x14ac:dyDescent="0.15">
      <c r="B575" s="464"/>
      <c r="E575" s="466"/>
      <c r="J575" s="461"/>
      <c r="L575" s="2445"/>
      <c r="M575" s="356" t="s">
        <v>6903</v>
      </c>
      <c r="N575" s="412" t="n">
        <f>N500</f>
        <v>72.94</v>
      </c>
      <c r="O575" s="412" t="n">
        <f t="shared" ref="O575:P575" si="19">O500</f>
        <v>81.59</v>
      </c>
      <c r="P575" s="412" t="n">
        <f t="shared" si="19"/>
        <v>60.94</v>
      </c>
    </row>
    <row r="576" spans="1:17" s="356" customFormat="1" ht="16.5" x14ac:dyDescent="0.15">
      <c r="B576" s="464"/>
      <c r="E576" s="467" t="s">
        <v>6190</v>
      </c>
      <c r="J576" s="461"/>
      <c r="L576" s="2445"/>
      <c r="M576" s="356" t="s">
        <v>6904</v>
      </c>
      <c r="N576" s="412" t="n">
        <f>N516</f>
        <v>74.65</v>
      </c>
      <c r="O576" s="412" t="n">
        <f t="shared" ref="O576:P576" si="20">O516</f>
        <v>76.77000000000001</v>
      </c>
      <c r="P576" s="412" t="n">
        <f t="shared" si="20"/>
        <v>53.24</v>
      </c>
    </row>
    <row r="577" spans="2:18" s="356" customFormat="1" ht="16.5" x14ac:dyDescent="0.15">
      <c r="B577" s="464"/>
      <c r="E577" s="466"/>
      <c r="J577" s="461"/>
      <c r="L577" s="2445"/>
      <c r="M577" s="356" t="s">
        <v>6905</v>
      </c>
      <c r="N577" s="412" t="n">
        <f>N532</f>
        <v>71.62</v>
      </c>
      <c r="O577" s="412" t="n">
        <f t="shared" ref="O577:P577" si="21">O532</f>
        <v>81.06</v>
      </c>
      <c r="P577" s="412" t="n">
        <f t="shared" si="21"/>
        <v>59.06</v>
      </c>
    </row>
    <row r="578" spans="2:18" s="356" customFormat="1" ht="16.5" x14ac:dyDescent="0.15">
      <c r="B578" s="464"/>
      <c r="E578" s="466"/>
      <c r="J578" s="461"/>
      <c r="L578" s="2445"/>
      <c r="M578" s="356" t="s">
        <v>6906</v>
      </c>
      <c r="N578" s="412" t="n">
        <f>N548</f>
        <v>72.71000000000001</v>
      </c>
      <c r="O578" s="412" t="n">
        <f t="shared" ref="O578:P578" si="22">O548</f>
        <v>76.80999999999999</v>
      </c>
      <c r="P578" s="412" t="n">
        <f t="shared" si="22"/>
        <v>55.91</v>
      </c>
      <c r="R578" s="412" t="n">
        <f>SUM(N575:P578)</f>
        <v>837.2999999999998</v>
      </c>
    </row>
    <row r="579" spans="2:18" s="356" customFormat="1" ht="17.25" thickBot="1" x14ac:dyDescent="0.2">
      <c r="B579" s="464"/>
      <c r="E579" s="468" t="s">
        <v>6191</v>
      </c>
      <c r="J579" s="461"/>
      <c r="L579" s="2445"/>
      <c r="N579" s="412" t="n">
        <f>SUM(N557:N578)</f>
        <v>625.3600000000001</v>
      </c>
      <c r="O579" s="412" t="n">
        <f t="shared" ref="O579:P579" si="23">SUM(O557:O578)</f>
        <v>673.0999999999999</v>
      </c>
      <c r="P579" s="412" t="n">
        <f t="shared" si="23"/>
        <v>493.37</v>
      </c>
      <c r="Q579" s="412" t="n">
        <f>SUM(N579:P579)</f>
        <v>1791.83</v>
      </c>
    </row>
    <row r="580" spans="2:18" s="356" customFormat="1" ht="16.5" x14ac:dyDescent="0.15">
      <c r="B580" s="464"/>
      <c r="J580" s="461"/>
      <c r="L580" s="2445"/>
      <c r="Q580" s="412" t="n">
        <f>SUM(D553:F554)+SUM(N553:P554)</f>
        <v>128.3</v>
      </c>
    </row>
    <row r="581" spans="2:18" s="356" customFormat="1" ht="17.25" thickBot="1" x14ac:dyDescent="0.2">
      <c r="B581" s="464"/>
      <c r="J581" s="461"/>
      <c r="L581" s="2445"/>
      <c r="Q581" s="412" t="n">
        <f>SUM(Q579:Q580)</f>
        <v>1920.1299999999999</v>
      </c>
    </row>
    <row r="582" spans="2:18" s="356" customFormat="1" ht="16.5" x14ac:dyDescent="0.15">
      <c r="B582" s="464"/>
      <c r="F582" s="458"/>
      <c r="G582" s="459"/>
      <c r="H582" s="469"/>
      <c r="I582" s="469"/>
      <c r="J582" s="469"/>
      <c r="L582" s="2445"/>
    </row>
    <row r="583" spans="2:18" s="356" customFormat="1" ht="16.5" x14ac:dyDescent="0.15">
      <c r="B583" s="464"/>
      <c r="F583" s="3670" t="s">
        <v>6192</v>
      </c>
      <c r="G583" s="3671"/>
      <c r="H583" s="470" t="s">
        <v>6193</v>
      </c>
      <c r="I583" s="470"/>
      <c r="J583" s="470" t="s">
        <v>6194</v>
      </c>
      <c r="L583" s="2445"/>
    </row>
    <row r="584" spans="2:18" s="356" customFormat="1" ht="16.5" x14ac:dyDescent="0.15">
      <c r="B584" s="464"/>
      <c r="F584" s="464"/>
      <c r="G584" s="461"/>
      <c r="H584" s="471"/>
      <c r="I584" s="471"/>
      <c r="J584" s="471"/>
      <c r="L584" s="2445"/>
    </row>
    <row r="585" spans="2:18" s="356" customFormat="1" ht="17.25" thickBot="1" x14ac:dyDescent="0.2">
      <c r="B585" s="462"/>
      <c r="C585" s="472"/>
      <c r="D585" s="472"/>
      <c r="E585" s="472"/>
      <c r="F585" s="462"/>
      <c r="G585" s="463"/>
      <c r="H585" s="473"/>
      <c r="I585" s="473"/>
      <c r="J585" s="473"/>
      <c r="L585" s="2445"/>
    </row>
    <row r="586" spans="2:18" s="356" customFormat="1" ht="16.5" x14ac:dyDescent="0.15">
      <c r="L586" s="2445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1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231" zoomScale="70" zoomScaleNormal="70" zoomScaleSheetLayoutView="70" workbookViewId="0">
      <selection activeCell="P252" sqref="P252"/>
    </sheetView>
  </sheetViews>
  <sheetFormatPr defaultRowHeight="13.5" x14ac:dyDescent="0.15"/>
  <cols>
    <col min="1" max="1" customWidth="true" width="27.33203125" collapsed="false"/>
    <col min="2" max="3" customWidth="true" width="7.33203125" collapsed="false"/>
    <col min="4" max="7" customWidth="true" width="8.109375" collapsed="false"/>
    <col min="8" max="8" customWidth="true" width="10.33203125" collapsed="false"/>
    <col min="9" max="9" bestFit="true" customWidth="true" width="4.6640625" collapsed="false"/>
    <col min="10" max="11" customWidth="true" width="10.44140625" collapsed="false"/>
    <col min="12" max="12" bestFit="true" customWidth="true" width="4.6640625" collapsed="false"/>
    <col min="13" max="13" customWidth="true" width="10.33203125" collapsed="false"/>
    <col min="14" max="17" customWidth="true" width="8.109375" collapsed="false"/>
    <col min="18" max="19" customWidth="true" width="7.33203125" collapsed="false"/>
    <col min="20" max="20" customWidth="true" width="28.109375" collapsed="false"/>
    <col min="21" max="21" customWidth="true" width="1.88671875" collapsed="false"/>
  </cols>
  <sheetData>
    <row r="1" spans="1:22" x14ac:dyDescent="0.15">
      <c r="A1" s="2694" t="s">
        <v>9602</v>
      </c>
    </row>
    <row r="2" spans="1:22" ht="18" customHeight="1" thickBot="1" x14ac:dyDescent="0.2">
      <c r="V2" s="2147"/>
    </row>
    <row r="3" spans="1:22" ht="18" customHeight="1" thickTop="1" thickBot="1" x14ac:dyDescent="0.2">
      <c r="A3" s="2474" t="s">
        <v>6943</v>
      </c>
      <c r="D3" s="53"/>
      <c r="E3" s="53"/>
      <c r="F3" s="53"/>
      <c r="G3" s="53"/>
      <c r="H3" s="124"/>
      <c r="I3" s="124"/>
      <c r="J3" s="3661" t="s">
        <v>4989</v>
      </c>
      <c r="K3" s="3667"/>
      <c r="L3" s="124"/>
      <c r="M3" s="124"/>
      <c r="N3" s="53"/>
      <c r="O3" s="53"/>
      <c r="P3" s="53"/>
      <c r="Q3" s="53"/>
      <c r="R3" s="53"/>
      <c r="S3" s="53"/>
    </row>
    <row r="4" spans="1:22" ht="18" customHeight="1" thickTop="1" thickBot="1" x14ac:dyDescent="0.2">
      <c r="A4" s="3"/>
      <c r="D4" s="54"/>
      <c r="E4" s="54"/>
      <c r="F4" s="54"/>
      <c r="G4" s="54"/>
      <c r="H4" s="4"/>
      <c r="I4" s="4"/>
      <c r="K4" s="56"/>
      <c r="L4" s="565"/>
      <c r="M4" s="1371" t="s">
        <v>4562</v>
      </c>
      <c r="N4" s="1368">
        <v>62.2</v>
      </c>
      <c r="O4" s="1369">
        <v>67</v>
      </c>
      <c r="P4" s="1370">
        <v>61.8</v>
      </c>
      <c r="Q4" s="508" t="s">
        <v>4563</v>
      </c>
      <c r="R4" s="133"/>
      <c r="S4" s="128"/>
      <c r="T4" s="528">
        <v>-1</v>
      </c>
    </row>
    <row r="5" spans="1:22" ht="18" customHeight="1" thickTop="1" thickBot="1" x14ac:dyDescent="0.2">
      <c r="A5" s="5" t="s">
        <v>4564</v>
      </c>
      <c r="B5" s="6" t="s">
        <v>4565</v>
      </c>
      <c r="C5" s="7" t="s">
        <v>4566</v>
      </c>
      <c r="D5" s="6" t="s">
        <v>4567</v>
      </c>
      <c r="E5" s="6" t="s">
        <v>4568</v>
      </c>
      <c r="F5" s="6" t="s">
        <v>4569</v>
      </c>
      <c r="G5" s="6" t="s">
        <v>4570</v>
      </c>
      <c r="H5" s="100" t="s">
        <v>4571</v>
      </c>
      <c r="I5" s="554"/>
      <c r="J5" s="58" t="s">
        <v>4572</v>
      </c>
      <c r="K5" s="59" t="s">
        <v>4572</v>
      </c>
      <c r="L5" s="566"/>
      <c r="M5" s="8" t="s">
        <v>4571</v>
      </c>
      <c r="N5" s="6" t="s">
        <v>4567</v>
      </c>
      <c r="O5" s="6" t="s">
        <v>4568</v>
      </c>
      <c r="P5" s="6" t="s">
        <v>4569</v>
      </c>
      <c r="Q5" s="6" t="s">
        <v>4570</v>
      </c>
      <c r="R5" s="6" t="s">
        <v>4565</v>
      </c>
      <c r="S5" s="7" t="s">
        <v>4566</v>
      </c>
      <c r="T5" s="60" t="s">
        <v>4564</v>
      </c>
    </row>
    <row r="6" spans="1:22" ht="24.75" thickTop="1" x14ac:dyDescent="0.15">
      <c r="A6" s="2539" t="s">
        <v>6983</v>
      </c>
      <c r="B6" s="11" t="s">
        <v>4635</v>
      </c>
      <c r="C6" s="18" t="s">
        <v>4575</v>
      </c>
      <c r="D6" s="2670" cm="1">
        <f t="array" ref="D6">INDEX('5층_부하량'!I3:I3000,MATCH(1,("5-DaHall 1-CEP-05"='5층_부하량'!A3:A3000)*(1='5층_부하량'!B3:B3000),0))</f>
        <v>0</v>
      </c>
      <c r="E6" s="2670" cm="1">
        <f t="array" ref="E6">INDEX('5층_부하량'!J3:J3000,MATCH(1,("5-DaHall 1-CEP-05"='5층_부하량'!A3:A3000)*(1='5층_부하량'!B3:B3000),0))</f>
        <v>0</v>
      </c>
      <c r="F6" s="2670" cm="1">
        <f t="array" ref="F6">INDEX('5층_부하량'!K3:K3000,MATCH(1,("5-DaHall 1-CEP-05"='5층_부하량'!A3:A3000)*(1='5층_부하량'!B3:B3000),0))</f>
        <v>0</v>
      </c>
      <c r="G6" s="21"/>
      <c r="H6" s="11" t="s">
        <v>4996</v>
      </c>
      <c r="I6" s="548" t="s">
        <v>4633</v>
      </c>
      <c r="J6" s="61" t="s">
        <v>5643</v>
      </c>
      <c r="K6" s="62" t="s">
        <v>5643</v>
      </c>
      <c r="L6" s="548" t="s">
        <v>4578</v>
      </c>
      <c r="M6" s="11" t="s">
        <v>4996</v>
      </c>
      <c r="N6" s="2669" cm="1">
        <f t="array" ref="N6">INDEX('5층_부하량'!I3:I3000,MATCH(1,("5-DaHall 1-CEP-05"='5층_부하량'!A3:A3000)*(2='5층_부하량'!B3:B3000),0))</f>
        <v>0</v>
      </c>
      <c r="O6" s="2669" cm="1">
        <f t="array" ref="O6">INDEX('5층_부하량'!J3:J3000,MATCH(1,("5-DaHall 1-CEP-05"='5층_부하량'!A3:A3000)*(2='5층_부하량'!B3:B3000),0))</f>
        <v>0</v>
      </c>
      <c r="P6" s="2669" cm="1">
        <f t="array" ref="P6">INDEX('5층_부하량'!K3:K3000,MATCH(1,("5-DaHall 1-CEP-05"='5층_부하량'!A3:A3000)*(2='5층_부하량'!B3:B3000),0))</f>
        <v>0</v>
      </c>
      <c r="Q6" s="21"/>
      <c r="R6" s="13" t="s">
        <v>4635</v>
      </c>
      <c r="S6" s="97" t="s">
        <v>4575</v>
      </c>
      <c r="T6" s="101" t="s">
        <v>6996</v>
      </c>
    </row>
    <row r="7" spans="1:22" ht="24" x14ac:dyDescent="0.15">
      <c r="A7" s="22" t="s">
        <v>6984</v>
      </c>
      <c r="B7" s="17" t="s">
        <v>4635</v>
      </c>
      <c r="C7" s="18" t="s">
        <v>4575</v>
      </c>
      <c r="D7" s="2670" cm="1" t="n">
        <f t="array" ref="D7">INDEX('5층_부하량'!I3:I3000,MATCH(1,("5-DaHall 1-CEP-05"='5층_부하량'!A3:A3000)*(3='5층_부하량'!B3:B3000),0))</f>
        <v>0.0789479166666667</v>
      </c>
      <c r="E7" s="2670" cm="1" t="n">
        <f t="array" ref="E7">INDEX('5층_부하량'!J3:J3000,MATCH(1,("5-DaHall 1-CEP-05"='5층_부하량'!A3:A3000)*(3='5층_부하량'!B3:B3000),0))</f>
        <v>0.07961111111111112</v>
      </c>
      <c r="F7" s="2670" cm="1" t="n">
        <f t="array" ref="F7">INDEX('5층_부하량'!K3:K3000,MATCH(1,("5-DaHall 1-CEP-05"='5층_부하량'!A3:A3000)*(3='5층_부하량'!B3:B3000),0))</f>
        <v>0.07861111111111113</v>
      </c>
      <c r="G7" s="350"/>
      <c r="H7" s="17" t="s">
        <v>4996</v>
      </c>
      <c r="I7" s="549" t="s">
        <v>4638</v>
      </c>
      <c r="J7" s="65" t="s">
        <v>5643</v>
      </c>
      <c r="K7" s="66" t="s">
        <v>5643</v>
      </c>
      <c r="L7" s="549" t="s">
        <v>4583</v>
      </c>
      <c r="M7" s="17" t="s">
        <v>4996</v>
      </c>
      <c r="N7" s="2670" cm="1" t="n">
        <f t="array" ref="N7">INDEX('5층_부하량'!I3:I3000,MATCH(1,("5-DaHall 1-CEP-05"='5층_부하량'!A3:A3000)*(4='5층_부하량'!B3:B3000),0))</f>
        <v>18.152304442878556</v>
      </c>
      <c r="O7" s="2670" cm="1" t="n">
        <f t="array" ref="O7">INDEX('5층_부하량'!J3:J3000,MATCH(1,("5-DaHall 1-CEP-05"='5층_부하량'!A3:A3000)*(4='5층_부하량'!B3:B3000),0))</f>
        <v>18.256911004976228</v>
      </c>
      <c r="P7" s="2670" cm="1" t="n">
        <f t="array" ref="P7">INDEX('5층_부하량'!K3:K3000,MATCH(1,("5-DaHall 1-CEP-05"='5층_부하량'!A3:A3000)*(4='5층_부하량'!B3:B3000),0))</f>
        <v>17.931887396626927</v>
      </c>
      <c r="Q7" s="349"/>
      <c r="R7" s="17" t="s">
        <v>4635</v>
      </c>
      <c r="S7" s="18" t="s">
        <v>4575</v>
      </c>
      <c r="T7" s="70" t="s">
        <v>6989</v>
      </c>
    </row>
    <row r="8" spans="1:22" ht="24" x14ac:dyDescent="0.15">
      <c r="A8" s="22" t="s">
        <v>6985</v>
      </c>
      <c r="B8" s="17" t="s">
        <v>4635</v>
      </c>
      <c r="C8" s="322" t="s">
        <v>4575</v>
      </c>
      <c r="D8" s="2672" cm="1" t="n">
        <f t="array" ref="D8">INDEX('5층_부하량'!I3:I3000,MATCH(1,("5-DaHall 1-CEP-05"='5층_부하량'!A3:A3000)*(5='5층_부하량'!B3:B3000),0))</f>
        <v>0.14981944444444448</v>
      </c>
      <c r="E8" s="2672" cm="1" t="n">
        <f t="array" ref="E8">INDEX('5층_부하량'!J3:J3000,MATCH(1,("5-DaHall 1-CEP-05"='5층_부하량'!A3:A3000)*(5='5층_부하량'!B3:B3000),0))</f>
        <v>0.15171527777777777</v>
      </c>
      <c r="F8" s="2672" cm="1" t="n">
        <f t="array" ref="F8">INDEX('5층_부하량'!K3:K3000,MATCH(1,("5-DaHall 1-CEP-05"='5층_부하량'!A3:A3000)*(5='5층_부하량'!B3:B3000),0))</f>
        <v>0.14852777777777773</v>
      </c>
      <c r="G8" s="350"/>
      <c r="H8" s="17" t="s">
        <v>4996</v>
      </c>
      <c r="I8" s="549" t="s">
        <v>4641</v>
      </c>
      <c r="J8" s="65" t="s">
        <v>5643</v>
      </c>
      <c r="K8" s="66" t="s">
        <v>5643</v>
      </c>
      <c r="L8" s="550" t="s">
        <v>4588</v>
      </c>
      <c r="M8" s="72" t="s">
        <v>4996</v>
      </c>
      <c r="N8" s="2672" cm="1" t="n">
        <f t="array" ref="N8">INDEX('5층_부하량'!I3:I3000,MATCH(1,("5-DaHall 1-CEP-05"='5층_부하량'!A3:A3000)*(6='5층_부하량'!B3:B3000),0))</f>
        <v>19.790479508687437</v>
      </c>
      <c r="O8" s="2672" cm="1" t="n">
        <f t="array" ref="O8">INDEX('5층_부하량'!J3:J3000,MATCH(1,("5-DaHall 1-CEP-05"='5층_부하량'!A3:A3000)*(6='5층_부하량'!B3:B3000),0))</f>
        <v>19.381226243635</v>
      </c>
      <c r="P8" s="2672" cm="1" t="n">
        <f t="array" ref="P8">INDEX('5층_부하량'!K3:K3000,MATCH(1,("5-DaHall 1-CEP-05"='5층_부하량'!A3:A3000)*(6='5층_부하량'!B3:B3000),0))</f>
        <v>19.707168067734365</v>
      </c>
      <c r="Q8" s="350"/>
      <c r="R8" s="17" t="s">
        <v>4635</v>
      </c>
      <c r="S8" s="18" t="s">
        <v>4575</v>
      </c>
      <c r="T8" s="70" t="s">
        <v>6990</v>
      </c>
    </row>
    <row r="9" spans="1:22" ht="24" x14ac:dyDescent="0.15">
      <c r="A9" s="22" t="s">
        <v>6986</v>
      </c>
      <c r="B9" s="17" t="s">
        <v>4635</v>
      </c>
      <c r="C9" s="18" t="s">
        <v>4575</v>
      </c>
      <c r="D9" s="2672" cm="1" t="n">
        <f t="array" ref="D9">INDEX('5층_부하량'!I3:I3000,MATCH(1,("5-DaHall 1-CEP-05"='5층_부하량'!A3:A3000)*(7='5층_부하량'!B3:B3000),0))</f>
        <v>14.923737281689718</v>
      </c>
      <c r="E9" s="2672" cm="1" t="n">
        <f t="array" ref="E9">INDEX('5층_부하량'!J3:J3000,MATCH(1,("5-DaHall 1-CEP-05"='5층_부하량'!A3:A3000)*(7='5층_부하량'!B3:B3000),0))</f>
        <v>14.913178796047207</v>
      </c>
      <c r="F9" s="2672" cm="1" t="n">
        <f t="array" ref="F9">INDEX('5층_부하량'!K3:K3000,MATCH(1,("5-DaHall 1-CEP-05"='5층_부하량'!A3:A3000)*(7='5층_부하량'!B3:B3000),0))</f>
        <v>14.665902683997837</v>
      </c>
      <c r="G9" s="350"/>
      <c r="H9" s="17" t="s">
        <v>4996</v>
      </c>
      <c r="I9" s="549" t="s">
        <v>4645</v>
      </c>
      <c r="J9" s="65" t="s">
        <v>5643</v>
      </c>
      <c r="K9" s="66" t="s">
        <v>5643</v>
      </c>
      <c r="L9" s="549" t="s">
        <v>4593</v>
      </c>
      <c r="M9" s="17" t="s">
        <v>4996</v>
      </c>
      <c r="N9" s="2672" cm="1" t="n">
        <f t="array" ref="N9">INDEX('5층_부하량'!I3:I3000,MATCH(1,("5-DaHall 1-CEP-05"='5층_부하량'!A3:A3000)*(8='5층_부하량'!B3:B3000),0))</f>
        <v>11.690780006113663</v>
      </c>
      <c r="O9" s="2672" cm="1" t="n">
        <f t="array" ref="O9">INDEX('5층_부하량'!J3:J3000,MATCH(1,("5-DaHall 1-CEP-05"='5층_부하량'!A3:A3000)*(8='5층_부하량'!B3:B3000),0))</f>
        <v>11.795756119337428</v>
      </c>
      <c r="P9" s="2672" cm="1" t="n">
        <f t="array" ref="P9">INDEX('5층_부하량'!K3:K3000,MATCH(1,("5-DaHall 1-CEP-05"='5층_부하량'!A3:A3000)*(8='5층_부하량'!B3:B3000),0))</f>
        <v>11.683922917426246</v>
      </c>
      <c r="Q9" s="350"/>
      <c r="R9" s="17" t="s">
        <v>4635</v>
      </c>
      <c r="S9" s="18" t="s">
        <v>4575</v>
      </c>
      <c r="T9" s="70" t="s">
        <v>6991</v>
      </c>
    </row>
    <row r="10" spans="1:22" ht="24" x14ac:dyDescent="0.15">
      <c r="A10" s="22" t="s">
        <v>6987</v>
      </c>
      <c r="B10" s="17" t="s">
        <v>4635</v>
      </c>
      <c r="C10" s="18" t="s">
        <v>4575</v>
      </c>
      <c r="D10" s="2672" cm="1" t="n">
        <f t="array" ref="D10">INDEX('5층_부하량'!I3:I3000,MATCH(1,("5-DaHall 1-CEP-05"='5층_부하량'!A3:A3000)*(9='5층_부하량'!B3:B3000),0))</f>
        <v>0.1223888888888889</v>
      </c>
      <c r="E10" s="2672" cm="1" t="n">
        <f t="array" ref="E10">INDEX('5층_부하량'!J3:J3000,MATCH(1,("5-DaHall 1-CEP-05"='5층_부하량'!A3:A3000)*(9='5층_부하량'!B3:B3000),0))</f>
        <v>0.12429166666666666</v>
      </c>
      <c r="F10" s="2672" cm="1" t="n">
        <f t="array" ref="F10">INDEX('5층_부하량'!K3:K3000,MATCH(1,("5-DaHall 1-CEP-05"='5층_부하량'!A3:A3000)*(9='5층_부하량'!B3:B3000),0))</f>
        <v>0.12131944444444441</v>
      </c>
      <c r="G10" s="350"/>
      <c r="H10" s="17" t="s">
        <v>4996</v>
      </c>
      <c r="I10" s="549" t="s">
        <v>4648</v>
      </c>
      <c r="J10" s="65" t="s">
        <v>5643</v>
      </c>
      <c r="K10" s="66" t="s">
        <v>5643</v>
      </c>
      <c r="L10" s="550" t="s">
        <v>4596</v>
      </c>
      <c r="M10" s="72" t="s">
        <v>4996</v>
      </c>
      <c r="N10" s="2672" cm="1" t="n">
        <f t="array" ref="N10">INDEX('5층_부하량'!I3:I3000,MATCH(1,("5-DaHall 1-CEP-05"='5층_부하량'!A3:A3000)*(10='5층_부하량'!B3:B3000),0))</f>
        <v>0.1335486111111111</v>
      </c>
      <c r="O10" s="2672" cm="1" t="n">
        <f t="array" ref="O10">INDEX('5층_부하량'!J3:J3000,MATCH(1,("5-DaHall 1-CEP-05"='5층_부하량'!A3:A3000)*(10='5층_부하량'!B3:B3000),0))</f>
        <v>0.1366111111111111</v>
      </c>
      <c r="P10" s="2672" cm="1" t="n">
        <f t="array" ref="P10">INDEX('5층_부하량'!K3:K3000,MATCH(1,("5-DaHall 1-CEP-05"='5층_부하량'!A3:A3000)*(10='5층_부하량'!B3:B3000),0))</f>
        <v>0.13361111111111112</v>
      </c>
      <c r="Q10" s="350"/>
      <c r="R10" s="17" t="s">
        <v>4635</v>
      </c>
      <c r="S10" s="18" t="s">
        <v>4575</v>
      </c>
      <c r="T10" s="70" t="s">
        <v>6992</v>
      </c>
    </row>
    <row r="11" spans="1:22" ht="24.75" thickBot="1" x14ac:dyDescent="0.2">
      <c r="A11" s="22" t="s">
        <v>6988</v>
      </c>
      <c r="B11" s="17" t="s">
        <v>4635</v>
      </c>
      <c r="C11" s="18" t="s">
        <v>4575</v>
      </c>
      <c r="D11" s="2673" cm="1" t="n">
        <f t="array" ref="D11">INDEX('5층_부하량'!I3:I3000,MATCH(1,("5-DaHall 1-CEP-05"='5층_부하량'!A3:A3000)*(11='5층_부하량'!B3:B3000),0))</f>
        <v>16.253085265372206</v>
      </c>
      <c r="E11" s="2673" cm="1" t="n">
        <f t="array" ref="E11">INDEX('5층_부하량'!J3:J3000,MATCH(1,("5-DaHall 1-CEP-05"='5층_부하량'!A3:A3000)*(11='5층_부하량'!B3:B3000),0))</f>
        <v>16.356309430779497</v>
      </c>
      <c r="F11" s="2673" cm="1" t="n">
        <f t="array" ref="F11">INDEX('5층_부하량'!K3:K3000,MATCH(1,("5-DaHall 1-CEP-05"='5층_부하량'!A3:A3000)*(11='5층_부하량'!B3:B3000),0))</f>
        <v>16.145946800834793</v>
      </c>
      <c r="G11" s="347"/>
      <c r="H11" s="23" t="s">
        <v>4996</v>
      </c>
      <c r="I11" s="555" t="s">
        <v>4653</v>
      </c>
      <c r="J11" s="102" t="s">
        <v>5643</v>
      </c>
      <c r="K11" s="103" t="s">
        <v>5643</v>
      </c>
      <c r="L11" s="555" t="s">
        <v>4599</v>
      </c>
      <c r="M11" s="23" t="s">
        <v>4996</v>
      </c>
      <c r="N11" s="2673" cm="1" t="n">
        <f t="array" ref="N11">INDEX('5층_부하량'!I3:I3000,MATCH(1,("5-DaHall 1-CEP-05"='5층_부하량'!A3:A3000)*(12='5층_부하량'!B3:B3000),0))</f>
        <v>16.872289468572305</v>
      </c>
      <c r="O11" s="2673" cm="1" t="n">
        <f t="array" ref="O11">INDEX('5층_부하량'!J3:J3000,MATCH(1,("5-DaHall 1-CEP-05"='5층_부하량'!A3:A3000)*(12='5층_부하량'!B3:B3000),0))</f>
        <v>16.547889638395702</v>
      </c>
      <c r="P11" s="2673" cm="1" t="n">
        <f t="array" ref="P11">INDEX('5층_부하량'!K3:K3000,MATCH(1,("5-DaHall 1-CEP-05"='5층_부하량'!A3:A3000)*(12='5층_부하량'!B3:B3000),0))</f>
        <v>16.898952046817744</v>
      </c>
      <c r="Q11" s="347"/>
      <c r="R11" s="17" t="s">
        <v>4635</v>
      </c>
      <c r="S11" s="18" t="s">
        <v>4575</v>
      </c>
      <c r="T11" s="70" t="s">
        <v>6993</v>
      </c>
    </row>
    <row r="12" spans="1:22" ht="18" customHeight="1" thickTop="1" x14ac:dyDescent="0.15">
      <c r="A12" s="10" t="s">
        <v>4998</v>
      </c>
      <c r="B12" s="11" t="s">
        <v>4590</v>
      </c>
      <c r="C12" s="11" t="s">
        <v>4642</v>
      </c>
      <c r="D12" s="2690" cm="1" t="n">
        <f t="array" ref="D12">INDEX('5층_부하량'!I3:I3000,MATCH(1,("5-DaHall 1-CEP-05"='5층_부하량'!A3:A3000)*(13='5층_부하량'!B3:B3000),0))</f>
        <v>24.7097111657945</v>
      </c>
      <c r="E12" s="105"/>
      <c r="F12" s="105"/>
      <c r="G12" s="105"/>
      <c r="H12" s="11" t="s">
        <v>4576</v>
      </c>
      <c r="I12" s="548" t="s">
        <v>4657</v>
      </c>
      <c r="J12" s="61" t="s">
        <v>4961</v>
      </c>
      <c r="K12" s="62" t="s">
        <v>4961</v>
      </c>
      <c r="L12" s="548" t="s">
        <v>4601</v>
      </c>
      <c r="M12" s="11" t="s">
        <v>4576</v>
      </c>
      <c r="N12" s="2690" cm="1">
        <f t="array" ref="N12">INDEX('5층_부하량'!I3:I3000,MATCH(1,("5-DaHall 1-CEP-05"='5층_부하량'!A3:A3000)*(14='5층_부하량'!B3:B3000),0))</f>
        <v>0</v>
      </c>
      <c r="O12" s="105"/>
      <c r="P12" s="105"/>
      <c r="Q12" s="105"/>
      <c r="R12" s="106" t="s">
        <v>4590</v>
      </c>
      <c r="S12" s="11" t="s">
        <v>4642</v>
      </c>
      <c r="T12" s="101" t="s">
        <v>4998</v>
      </c>
    </row>
    <row r="13" spans="1:22" ht="24" x14ac:dyDescent="0.15">
      <c r="A13" s="321" t="s">
        <v>4998</v>
      </c>
      <c r="B13" s="17" t="s">
        <v>4590</v>
      </c>
      <c r="C13" s="17" t="s">
        <v>4642</v>
      </c>
      <c r="D13" s="21"/>
      <c r="E13" s="2672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5644</v>
      </c>
      <c r="I13" s="549" t="s">
        <v>4661</v>
      </c>
      <c r="J13" s="65" t="s">
        <v>4961</v>
      </c>
      <c r="K13" s="66" t="s">
        <v>4961</v>
      </c>
      <c r="L13" s="549" t="s">
        <v>4603</v>
      </c>
      <c r="M13" s="143" t="s">
        <v>5001</v>
      </c>
      <c r="N13" s="157"/>
      <c r="O13" s="2656" cm="1" t="n">
        <f t="array" ref="O13">INDEX('5층_부하량'!J3:J3000,MATCH(1,("5-DaHall 1-CEP-05"='5층_부하량'!A3:A3000)*(16='5층_부하량'!B3:B3000),0))</f>
        <v>12.87126933119365</v>
      </c>
      <c r="P13" s="157"/>
      <c r="Q13" s="157"/>
      <c r="R13" s="157" t="s">
        <v>4635</v>
      </c>
      <c r="S13" s="309" t="s">
        <v>4575</v>
      </c>
      <c r="T13" s="70" t="s">
        <v>6994</v>
      </c>
    </row>
    <row r="14" spans="1:22" ht="24.75" thickBot="1" x14ac:dyDescent="0.2">
      <c r="A14" s="38" t="s">
        <v>4998</v>
      </c>
      <c r="B14" s="35" t="s">
        <v>4590</v>
      </c>
      <c r="C14" s="35" t="s">
        <v>4642</v>
      </c>
      <c r="D14" s="36"/>
      <c r="E14" s="36"/>
      <c r="F14" s="2671" cm="1" t="n">
        <f t="array" ref="F14">INDEX('5층_부하량'!K3:K3000,MATCH(1,("5-DaHall 1-CEP-05"='5층_부하량'!A3:A3000)*(17='5층_부하량'!B3:B3000),0))</f>
        <v>12.312882835334126</v>
      </c>
      <c r="G14" s="36"/>
      <c r="H14" s="35" t="s">
        <v>5644</v>
      </c>
      <c r="I14" s="551" t="s">
        <v>4665</v>
      </c>
      <c r="J14" s="76" t="s">
        <v>4961</v>
      </c>
      <c r="K14" s="77" t="s">
        <v>4961</v>
      </c>
      <c r="L14" s="551" t="s">
        <v>4605</v>
      </c>
      <c r="M14" s="166" t="s">
        <v>5001</v>
      </c>
      <c r="N14" s="167"/>
      <c r="O14" s="167"/>
      <c r="P14" s="2659" cm="1" t="n">
        <f t="array" ref="P14">INDEX('5층_부하량'!K3:K3000,MATCH(1,("5-DaHall 1-CEP-05"='5층_부하량'!A3:A3000)*(18='5층_부하량'!B3:B3000),0))</f>
        <v>9.850664529824225</v>
      </c>
      <c r="Q14" s="167"/>
      <c r="R14" s="166" t="s">
        <v>4579</v>
      </c>
      <c r="S14" s="288" t="s">
        <v>4575</v>
      </c>
      <c r="T14" s="79" t="s">
        <v>6995</v>
      </c>
    </row>
    <row r="15" spans="1:22" ht="18" customHeight="1" thickTop="1" thickBot="1" x14ac:dyDescent="0.2">
      <c r="M15" s="80" t="s">
        <v>5645</v>
      </c>
      <c r="N15" s="33" t="n">
        <f>SUM(D6:D14,N6:N14)</f>
        <v>122.87709200021949</v>
      </c>
      <c r="O15" s="33" t="n">
        <f>SUM(E6:E14,O6:O14)</f>
        <v>110.61476973103137</v>
      </c>
      <c r="P15" s="33" t="n">
        <f>SUM(F6:F14,P6:P14)</f>
        <v>119.6793967230407</v>
      </c>
    </row>
    <row r="16" spans="1:22" ht="18" customHeight="1" thickTop="1" thickBot="1" x14ac:dyDescent="0.2">
      <c r="A16" s="2" t="s">
        <v>6944</v>
      </c>
      <c r="D16" s="53"/>
      <c r="E16" s="53"/>
      <c r="F16" s="53"/>
      <c r="G16" s="53"/>
      <c r="H16" s="124"/>
      <c r="I16" s="124"/>
      <c r="J16" s="3661" t="s">
        <v>5646</v>
      </c>
      <c r="K16" s="3667"/>
      <c r="L16" s="124"/>
      <c r="M16" s="124"/>
      <c r="N16" s="53"/>
      <c r="O16" s="53"/>
      <c r="P16" s="53"/>
      <c r="Q16" s="53"/>
      <c r="R16" s="53"/>
      <c r="S16" s="53"/>
    </row>
    <row r="17" spans="1:20" ht="18" customHeight="1" thickTop="1" thickBot="1" x14ac:dyDescent="0.2">
      <c r="A17" s="3"/>
      <c r="D17" s="511"/>
      <c r="E17" s="511"/>
      <c r="F17" s="511"/>
      <c r="G17" s="511"/>
      <c r="H17" s="1305"/>
      <c r="I17" s="4"/>
      <c r="K17" s="56"/>
      <c r="L17" s="565"/>
      <c r="M17" s="1371" t="s">
        <v>4562</v>
      </c>
      <c r="N17" s="1368">
        <v>0.7</v>
      </c>
      <c r="O17" s="1369">
        <v>0</v>
      </c>
      <c r="P17" s="1370">
        <v>0.7</v>
      </c>
      <c r="Q17" s="508" t="s">
        <v>4563</v>
      </c>
      <c r="R17" s="133"/>
      <c r="S17" s="128"/>
      <c r="T17" s="528"/>
    </row>
    <row r="18" spans="1:20" ht="18" customHeight="1" thickTop="1" thickBot="1" x14ac:dyDescent="0.2">
      <c r="A18" s="1295"/>
      <c r="B18" s="1296"/>
      <c r="C18" s="495"/>
      <c r="D18" s="1296"/>
      <c r="E18" s="1296"/>
      <c r="F18" s="1296"/>
      <c r="G18" s="1296"/>
      <c r="H18" s="1295"/>
      <c r="I18" s="1295"/>
      <c r="J18" s="1304"/>
      <c r="K18" s="5" t="s">
        <v>4572</v>
      </c>
      <c r="L18" s="566"/>
      <c r="M18" s="8" t="s">
        <v>4571</v>
      </c>
      <c r="N18" s="6" t="s">
        <v>4567</v>
      </c>
      <c r="O18" s="6" t="s">
        <v>4568</v>
      </c>
      <c r="P18" s="6" t="s">
        <v>4569</v>
      </c>
      <c r="Q18" s="6" t="s">
        <v>4570</v>
      </c>
      <c r="R18" s="6" t="s">
        <v>4565</v>
      </c>
      <c r="S18" s="7" t="s">
        <v>4566</v>
      </c>
      <c r="T18" s="60" t="s">
        <v>4564</v>
      </c>
    </row>
    <row r="19" spans="1:20" ht="18" customHeight="1" thickTop="1" x14ac:dyDescent="0.15">
      <c r="A19" s="495"/>
      <c r="B19" s="124"/>
      <c r="C19" s="1297"/>
      <c r="D19" s="1298"/>
      <c r="E19" s="1298"/>
      <c r="F19" s="1298"/>
      <c r="G19" s="1299"/>
      <c r="H19" s="124"/>
      <c r="I19" s="124"/>
      <c r="J19" s="1304"/>
      <c r="K19" s="1301" t="s">
        <v>5643</v>
      </c>
      <c r="L19" s="548" t="s">
        <v>4577</v>
      </c>
      <c r="M19" s="11" t="s">
        <v>5647</v>
      </c>
      <c r="N19" s="2669" cm="1" t="n">
        <f t="array" ref="N19">INDEX('5층_부하량'!I3:I3000,MATCH(1,("5-DaHall 1-CEP-06"='5층_부하량'!A3:A3000)*(1='5층_부하량'!B3:B3000),0))</f>
        <v>0.24227657743627906</v>
      </c>
      <c r="O19" s="2669" cm="1" t="n">
        <f t="array" ref="O19">INDEX('5층_부하량'!J3:J3000,MATCH(1,("5-DaHall 1-CEP-06"='5층_부하량'!A3:A3000)*(1='5층_부하량'!B3:B3000),0))</f>
        <v>0.057746641963872185</v>
      </c>
      <c r="P19" s="2669" cm="1" t="n">
        <f t="array" ref="P19">INDEX('5층_부하량'!K3:K3000,MATCH(1,("5-DaHall 1-CEP-06"='5층_부하량'!A3:A3000)*(1='5층_부하량'!B3:B3000),0))</f>
        <v>0.2464424375218607</v>
      </c>
      <c r="Q19" s="350"/>
      <c r="R19" s="13" t="s">
        <v>4635</v>
      </c>
      <c r="S19" s="97" t="s">
        <v>4575</v>
      </c>
      <c r="T19" s="101" t="s">
        <v>5648</v>
      </c>
    </row>
    <row r="20" spans="1:20" ht="18" customHeight="1" x14ac:dyDescent="0.15">
      <c r="A20" s="495"/>
      <c r="B20" s="124"/>
      <c r="C20" s="1297"/>
      <c r="D20" s="1298"/>
      <c r="E20" s="1298"/>
      <c r="F20" s="1298"/>
      <c r="G20" s="1299"/>
      <c r="H20" s="124"/>
      <c r="I20" s="124"/>
      <c r="J20" s="1304"/>
      <c r="K20" s="1302" t="s">
        <v>5643</v>
      </c>
      <c r="L20" s="549" t="s">
        <v>4863</v>
      </c>
      <c r="M20" s="17" t="s">
        <v>5647</v>
      </c>
      <c r="N20" s="2670" cm="1" t="n">
        <f t="array" ref="N20">INDEX('5층_부하량'!I3:I3000,MATCH(1,("5-DaHall 1-CEP-06"='5층_부하량'!A3:A3000)*(2='5층_부하량'!B3:B3000),0))</f>
        <v>0.2425708041608252</v>
      </c>
      <c r="O20" s="2670" cm="1" t="n">
        <f t="array" ref="O20">INDEX('5층_부하량'!J3:J3000,MATCH(1,("5-DaHall 1-CEP-06"='5층_부하량'!A3:A3000)*(2='5층_부하량'!B3:B3000),0))</f>
        <v>0.060039370078740155</v>
      </c>
      <c r="P20" s="2670" cm="1" t="n">
        <f t="array" ref="P20">INDEX('5층_부하량'!K3:K3000,MATCH(1,("5-DaHall 1-CEP-06"='5층_부하량'!A3:A3000)*(2='5층_부하량'!B3:B3000),0))</f>
        <v>0.24743766067117934</v>
      </c>
      <c r="Q20" s="349"/>
      <c r="R20" s="17" t="s">
        <v>4635</v>
      </c>
      <c r="S20" s="18" t="s">
        <v>4575</v>
      </c>
      <c r="T20" s="70" t="s">
        <v>5649</v>
      </c>
    </row>
    <row r="21" spans="1:20" ht="18" customHeight="1" x14ac:dyDescent="0.15">
      <c r="A21" s="495"/>
      <c r="B21" s="124"/>
      <c r="C21" s="1300"/>
      <c r="D21" s="1299"/>
      <c r="E21" s="1299"/>
      <c r="F21" s="1299"/>
      <c r="G21" s="1299"/>
      <c r="H21" s="124"/>
      <c r="I21" s="124"/>
      <c r="J21" s="1304"/>
      <c r="K21" s="1302" t="s">
        <v>5643</v>
      </c>
      <c r="L21" s="550" t="s">
        <v>4582</v>
      </c>
      <c r="M21" s="72" t="s">
        <v>5647</v>
      </c>
      <c r="N21" s="2672" cm="1" t="n">
        <f t="array" ref="N21">INDEX('5층_부하량'!I3:I3000,MATCH(1,("5-DaHall 1-CEP-06"='5층_부하량'!A3:A3000)*(3='5층_부하량'!B3:B3000),0))</f>
        <v>0.24339598146336275</v>
      </c>
      <c r="O21" s="2672" cm="1" t="n">
        <f t="array" ref="O21">INDEX('5층_부하량'!J3:J3000,MATCH(1,("5-DaHall 1-CEP-06"='5층_부하량'!A3:A3000)*(3='5층_부하량'!B3:B3000),0))</f>
        <v>0.06380500231588698</v>
      </c>
      <c r="P21" s="2672" cm="1" t="n">
        <f t="array" ref="P21">INDEX('5층_부하량'!K3:K3000,MATCH(1,("5-DaHall 1-CEP-06"='5층_부하량'!A3:A3000)*(3='5층_부하량'!B3:B3000),0))</f>
        <v>0.23458723803620174</v>
      </c>
      <c r="Q21" s="350"/>
      <c r="R21" s="17" t="s">
        <v>4635</v>
      </c>
      <c r="S21" s="18" t="s">
        <v>4575</v>
      </c>
      <c r="T21" s="70" t="s">
        <v>5650</v>
      </c>
    </row>
    <row r="22" spans="1:20" ht="18" customHeight="1" thickBot="1" x14ac:dyDescent="0.2">
      <c r="A22" s="495"/>
      <c r="B22" s="124"/>
      <c r="C22" s="1297"/>
      <c r="D22" s="1299"/>
      <c r="E22" s="1299"/>
      <c r="F22" s="1299"/>
      <c r="G22" s="1299"/>
      <c r="H22" s="124"/>
      <c r="I22" s="124"/>
      <c r="J22" s="1304"/>
      <c r="K22" s="1303" t="s">
        <v>5643</v>
      </c>
      <c r="L22" s="551" t="s">
        <v>4865</v>
      </c>
      <c r="M22" s="35" t="s">
        <v>5647</v>
      </c>
      <c r="N22" s="2671" cm="1">
        <f t="array" ref="N22">INDEX('5층_부하량'!I3:I3000,MATCH(1,("5-DaHall 1-CEP-06"='5층_부하량'!A3:A3000)*(4='5층_부하량'!B3:B3000),0))</f>
        <v>0</v>
      </c>
      <c r="O22" s="2671" cm="1">
        <f t="array" ref="O22">INDEX('5층_부하량'!J3:J3000,MATCH(1,("5-DaHall 1-CEP-06"='5층_부하량'!A3:A3000)*(4='5층_부하량'!B3:B3000),0))</f>
        <v>0</v>
      </c>
      <c r="P22" s="2671" cm="1">
        <f t="array" ref="P22">INDEX('5층_부하량'!K3:K3000,MATCH(1,("5-DaHall 1-CEP-06"='5층_부하량'!A3:A3000)*(4='5층_부하량'!B3:B3000),0))</f>
        <v>0</v>
      </c>
      <c r="Q22" s="36"/>
      <c r="R22" s="78" t="s">
        <v>4590</v>
      </c>
      <c r="S22" s="35" t="s">
        <v>4642</v>
      </c>
      <c r="T22" s="79" t="s">
        <v>4998</v>
      </c>
    </row>
    <row r="23" spans="1:20" ht="18" customHeight="1" thickTop="1" thickBot="1" x14ac:dyDescent="0.2">
      <c r="M23" s="80" t="s">
        <v>5645</v>
      </c>
      <c r="N23" s="33" t="n">
        <f>SUM(D19:D22,N19:N22)</f>
        <v>0.728243363060467</v>
      </c>
      <c r="O23" s="33" t="n">
        <f>SUM(E19:E22,O19:O22)</f>
        <v>0.18159101435849934</v>
      </c>
      <c r="P23" s="33" t="n">
        <f>SUM(F19:F22,P19:P22)</f>
        <v>0.7284673362292418</v>
      </c>
    </row>
    <row r="24" spans="1:20" ht="18" customHeight="1" thickTop="1" thickBot="1" x14ac:dyDescent="0.2">
      <c r="A24" s="2" t="s">
        <v>6945</v>
      </c>
      <c r="C24" s="3660" t="s">
        <v>5652</v>
      </c>
      <c r="D24" s="3660"/>
      <c r="E24" s="3660"/>
      <c r="F24" s="3660"/>
      <c r="G24" s="53"/>
      <c r="H24" s="124"/>
      <c r="I24" s="124"/>
      <c r="J24" s="3661" t="s">
        <v>5653</v>
      </c>
      <c r="K24" s="3667"/>
      <c r="L24" s="124"/>
      <c r="M24" s="124"/>
      <c r="N24" s="53"/>
      <c r="O24" s="53"/>
      <c r="P24" s="53"/>
      <c r="Q24" s="53"/>
      <c r="R24" s="53"/>
      <c r="S24" s="53"/>
    </row>
    <row r="25" spans="1:20" ht="18" customHeight="1" thickTop="1" thickBot="1" x14ac:dyDescent="0.2">
      <c r="A25" s="3"/>
      <c r="D25" s="54"/>
      <c r="E25" s="54"/>
      <c r="F25" s="54"/>
      <c r="G25" s="54"/>
      <c r="H25" s="4"/>
      <c r="I25" s="4"/>
      <c r="K25" s="56"/>
      <c r="L25" s="565"/>
      <c r="M25" s="1371" t="s">
        <v>4562</v>
      </c>
      <c r="N25" s="1368">
        <v>34.6</v>
      </c>
      <c r="O25" s="1369">
        <v>37.799999999999997</v>
      </c>
      <c r="P25" s="1370">
        <v>27.4</v>
      </c>
      <c r="Q25" s="508" t="s">
        <v>4563</v>
      </c>
      <c r="R25" s="133"/>
      <c r="S25" s="128"/>
      <c r="T25" s="528"/>
    </row>
    <row r="26" spans="1:20" ht="18" customHeight="1" thickTop="1" thickBot="1" x14ac:dyDescent="0.2">
      <c r="A26" s="5" t="s">
        <v>4629</v>
      </c>
      <c r="B26" s="6" t="s">
        <v>4565</v>
      </c>
      <c r="C26" s="7" t="s">
        <v>4566</v>
      </c>
      <c r="D26" s="6" t="s">
        <v>4567</v>
      </c>
      <c r="E26" s="6" t="s">
        <v>4568</v>
      </c>
      <c r="F26" s="6" t="s">
        <v>4569</v>
      </c>
      <c r="G26" s="6" t="s">
        <v>4570</v>
      </c>
      <c r="H26" s="8" t="s">
        <v>4571</v>
      </c>
      <c r="I26" s="547"/>
      <c r="J26" s="58" t="s">
        <v>4572</v>
      </c>
      <c r="K26" s="59" t="s">
        <v>4572</v>
      </c>
      <c r="L26" s="566"/>
      <c r="M26" s="8" t="s">
        <v>4571</v>
      </c>
      <c r="N26" s="6" t="s">
        <v>4567</v>
      </c>
      <c r="O26" s="6" t="s">
        <v>4568</v>
      </c>
      <c r="P26" s="6" t="s">
        <v>4569</v>
      </c>
      <c r="Q26" s="6" t="s">
        <v>4570</v>
      </c>
      <c r="R26" s="6" t="s">
        <v>4565</v>
      </c>
      <c r="S26" s="7" t="s">
        <v>4566</v>
      </c>
      <c r="T26" s="60" t="s">
        <v>4629</v>
      </c>
    </row>
    <row r="27" spans="1:20" ht="18" customHeight="1" thickTop="1" x14ac:dyDescent="0.15">
      <c r="A27" s="10"/>
      <c r="B27" s="11" t="s">
        <v>4590</v>
      </c>
      <c r="C27" s="13" t="s">
        <v>4723</v>
      </c>
      <c r="D27" s="2669" cm="1">
        <f t="array" ref="D27">INDEX('5층_부하량'!I3:I3000,MATCH(1,("5-DaHall 1-PDU-01"='5층_부하량'!A3:A3000)*(1='5층_부하량'!B3:B3000),0))</f>
        <v>0</v>
      </c>
      <c r="E27" s="2669" cm="1">
        <f t="array" ref="E27">INDEX('5층_부하량'!J3:J3000,MATCH(1,("5-DaHall 1-PDU-01"='5층_부하량'!A3:A3000)*(1='5층_부하량'!B3:B3000),0))</f>
        <v>0</v>
      </c>
      <c r="F27" s="2669" cm="1">
        <f t="array" ref="F27">INDEX('5층_부하량'!K3:K3000,MATCH(1,("5-DaHall 1-PDU-01"='5층_부하량'!A3:A3000)*(1='5층_부하량'!B3:B3000),0))</f>
        <v>0</v>
      </c>
      <c r="G27" s="15"/>
      <c r="H27" s="11" t="s">
        <v>5654</v>
      </c>
      <c r="I27" s="1443" t="s">
        <v>5655</v>
      </c>
      <c r="J27" s="61"/>
      <c r="K27" s="62"/>
      <c r="L27" s="567" t="s">
        <v>5656</v>
      </c>
      <c r="M27" s="11" t="s">
        <v>5654</v>
      </c>
      <c r="N27" s="2669" cm="1">
        <f t="array" ref="N27">INDEX('5층_부하량'!I3:I3000,MATCH(1,("5-DaHall 1-PDU-01"='5층_부하량'!A3:A3000)*(55='5층_부하량'!B3:B3000),0))</f>
        <v>0</v>
      </c>
      <c r="O27" s="2669" cm="1" t="n">
        <f t="array" ref="O27">INDEX('5층_부하량'!J3:J3000,MATCH(1,("5-DaHall 1-PDU-01"='5층_부하량'!A3:A3000)*(55='5층_부하량'!B3:B3000),0))</f>
        <v>0.589960224390436</v>
      </c>
      <c r="P27" s="2669" cm="1" t="n">
        <f t="array" ref="P27">INDEX('5층_부하량'!K3:K3000,MATCH(1,("5-DaHall 1-PDU-01"='5층_부하량'!A3:A3000)*(55='5층_부하량'!B3:B3000),0))</f>
        <v>0.7437054238784261</v>
      </c>
      <c r="Q27" s="348"/>
      <c r="R27" s="63" t="s">
        <v>4631</v>
      </c>
      <c r="S27" s="12" t="s">
        <v>4575</v>
      </c>
      <c r="T27" s="98" t="s">
        <v>5657</v>
      </c>
    </row>
    <row r="28" spans="1:20" ht="18" customHeight="1" x14ac:dyDescent="0.15">
      <c r="A28" s="16" t="s">
        <v>6887</v>
      </c>
      <c r="B28" s="17" t="s">
        <v>4631</v>
      </c>
      <c r="C28" s="18" t="s">
        <v>4575</v>
      </c>
      <c r="D28" s="2672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4576</v>
      </c>
      <c r="I28" s="549" t="s">
        <v>4633</v>
      </c>
      <c r="J28" s="65" t="s">
        <v>5658</v>
      </c>
      <c r="K28" s="66"/>
      <c r="L28" s="549" t="s">
        <v>4578</v>
      </c>
      <c r="M28" s="17" t="s">
        <v>4576</v>
      </c>
      <c r="N28" s="2672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7" t="s">
        <v>4631</v>
      </c>
      <c r="S28" s="17" t="s">
        <v>4642</v>
      </c>
      <c r="T28" s="603" t="s">
        <v>5659</v>
      </c>
    </row>
    <row r="29" spans="1:20" ht="18" customHeight="1" x14ac:dyDescent="0.15">
      <c r="A29" s="321" t="s">
        <v>2825</v>
      </c>
      <c r="B29" s="17" t="s">
        <v>4631</v>
      </c>
      <c r="C29" s="2112" t="s">
        <v>5660</v>
      </c>
      <c r="D29" s="21"/>
      <c r="E29" s="2672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4576</v>
      </c>
      <c r="I29" s="549" t="s">
        <v>4638</v>
      </c>
      <c r="J29" s="65" t="s">
        <v>5661</v>
      </c>
      <c r="K29" s="638" t="s">
        <v>5662</v>
      </c>
      <c r="L29" s="549" t="s">
        <v>4583</v>
      </c>
      <c r="M29" s="17" t="s">
        <v>4576</v>
      </c>
      <c r="N29" s="21"/>
      <c r="O29" s="2672" cm="1">
        <f t="array" ref="O29">INDEX('5층_부하량'!J3:J3000,MATCH(1,("5-DaHall 1-PDU-01"='5층_부하량'!A3:A3000)*(57='5층_부하량'!B3:B3000),0))</f>
        <v>0</v>
      </c>
      <c r="P29" s="21"/>
      <c r="Q29" s="21"/>
      <c r="R29" s="69" t="s">
        <v>4631</v>
      </c>
      <c r="S29" s="597" t="s">
        <v>4575</v>
      </c>
      <c r="T29" s="603" t="s">
        <v>3648</v>
      </c>
    </row>
    <row r="30" spans="1:20" ht="18" customHeight="1" x14ac:dyDescent="0.15">
      <c r="A30" s="71" t="s">
        <v>2831</v>
      </c>
      <c r="B30" s="17" t="s">
        <v>4631</v>
      </c>
      <c r="C30" s="2112" t="s">
        <v>5660</v>
      </c>
      <c r="D30" s="21"/>
      <c r="E30" s="21"/>
      <c r="F30" s="2672" cm="1">
        <f t="array" ref="F30">INDEX('5층_부하량'!K3:K3000,MATCH(1,("5-DaHall 1-PDU-01"='5층_부하량'!A3:A3000)*(4='5층_부하량'!B3:B3000),0))</f>
        <v>0</v>
      </c>
      <c r="G30" s="21"/>
      <c r="H30" s="17" t="s">
        <v>4576</v>
      </c>
      <c r="I30" s="549" t="s">
        <v>4641</v>
      </c>
      <c r="J30" s="65" t="s">
        <v>5661</v>
      </c>
      <c r="K30" s="638" t="s">
        <v>5663</v>
      </c>
      <c r="L30" s="549" t="s">
        <v>4588</v>
      </c>
      <c r="M30" s="17" t="s">
        <v>4576</v>
      </c>
      <c r="N30" s="21"/>
      <c r="O30" s="21"/>
      <c r="P30" s="2672" cm="1" t="n">
        <f t="array" ref="P30">INDEX('5층_부하량'!K3:K3000,MATCH(1,("5-DaHall 1-PDU-01"='5층_부하량'!A3:A3000)*(58='5층_부하량'!B3:B3000),0))</f>
        <v>1.5294429921063941</v>
      </c>
      <c r="Q30" s="21"/>
      <c r="R30" s="69" t="s">
        <v>4631</v>
      </c>
      <c r="S30" s="597" t="s">
        <v>4575</v>
      </c>
      <c r="T30" s="603" t="s">
        <v>3655</v>
      </c>
    </row>
    <row r="31" spans="1:20" ht="18" customHeight="1" x14ac:dyDescent="0.15">
      <c r="A31" s="321" t="s">
        <v>2840</v>
      </c>
      <c r="B31" s="17" t="s">
        <v>4631</v>
      </c>
      <c r="C31" s="2112" t="s">
        <v>5660</v>
      </c>
      <c r="D31" s="2672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4576</v>
      </c>
      <c r="I31" s="549" t="s">
        <v>4645</v>
      </c>
      <c r="J31" s="65" t="s">
        <v>5661</v>
      </c>
      <c r="K31" s="66"/>
      <c r="L31" s="549" t="s">
        <v>4593</v>
      </c>
      <c r="M31" s="17" t="s">
        <v>4597</v>
      </c>
      <c r="N31" s="2672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9" t="s">
        <v>4631</v>
      </c>
      <c r="S31" s="17" t="s">
        <v>4642</v>
      </c>
      <c r="T31" s="603" t="s">
        <v>5664</v>
      </c>
    </row>
    <row r="32" spans="1:20" ht="18" customHeight="1" x14ac:dyDescent="0.15">
      <c r="A32" s="2110" t="s">
        <v>5665</v>
      </c>
      <c r="B32" s="17" t="s">
        <v>4631</v>
      </c>
      <c r="C32" s="18" t="s">
        <v>4575</v>
      </c>
      <c r="D32" s="21"/>
      <c r="E32" s="2672" cm="1" t="n">
        <f t="array" ref="E32">INDEX('5층_부하량'!J3:J3000,MATCH(1,("5-DaHall 1-PDU-01"='5층_부하량'!A3:A3000)*(6='5층_부하량'!B3:B3000),0))</f>
        <v>13.89762255167221</v>
      </c>
      <c r="F32" s="21"/>
      <c r="G32" s="21"/>
      <c r="H32" s="17" t="s">
        <v>4576</v>
      </c>
      <c r="I32" s="549" t="s">
        <v>4648</v>
      </c>
      <c r="J32" s="590" t="s">
        <v>5666</v>
      </c>
      <c r="K32" s="639" t="s">
        <v>5667</v>
      </c>
      <c r="L32" s="549" t="s">
        <v>4596</v>
      </c>
      <c r="M32" s="17" t="s">
        <v>4597</v>
      </c>
      <c r="N32" s="21"/>
      <c r="O32" s="2672" cm="1">
        <f t="array" ref="O32">INDEX('5층_부하량'!J3:J3000,MATCH(1,("5-DaHall 1-PDU-01"='5층_부하량'!A3:A3000)*(60='5층_부하량'!B3:B3000),0))</f>
        <v>0</v>
      </c>
      <c r="P32" s="21"/>
      <c r="Q32" s="21"/>
      <c r="R32" s="69" t="s">
        <v>4631</v>
      </c>
      <c r="S32" s="597" t="s">
        <v>4575</v>
      </c>
      <c r="T32" s="603" t="s">
        <v>3661</v>
      </c>
    </row>
    <row r="33" spans="1:20" ht="18" customHeight="1" x14ac:dyDescent="0.15">
      <c r="A33" s="2111" t="s">
        <v>5668</v>
      </c>
      <c r="B33" s="17" t="s">
        <v>4631</v>
      </c>
      <c r="C33" s="18" t="s">
        <v>4575</v>
      </c>
      <c r="D33" s="21"/>
      <c r="E33" s="21"/>
      <c r="F33" s="2672" cm="1" t="n">
        <f t="array" ref="F33">INDEX('5층_부하량'!K3:K3000,MATCH(1,("5-DaHall 1-PDU-01"='5층_부하량'!A3:A3000)*(7='5층_부하량'!B3:B3000),0))</f>
        <v>11.314896565673099</v>
      </c>
      <c r="G33" s="21"/>
      <c r="H33" s="17" t="s">
        <v>4597</v>
      </c>
      <c r="I33" s="549" t="s">
        <v>4653</v>
      </c>
      <c r="J33" s="590" t="s">
        <v>5666</v>
      </c>
      <c r="K33" s="594" t="s">
        <v>5669</v>
      </c>
      <c r="L33" s="549" t="s">
        <v>4599</v>
      </c>
      <c r="M33" s="17" t="s">
        <v>4597</v>
      </c>
      <c r="N33" s="21"/>
      <c r="O33" s="21"/>
      <c r="P33" s="2672" cm="1">
        <f t="array" ref="P33">INDEX('5층_부하량'!K3:K3000,MATCH(1,("5-DaHall 1-PDU-01"='5층_부하량'!A3:A3000)*(61='5층_부하량'!B3:B3000),0))</f>
        <v>0</v>
      </c>
      <c r="Q33" s="21"/>
      <c r="R33" s="69" t="s">
        <v>4631</v>
      </c>
      <c r="S33" s="17" t="s">
        <v>4642</v>
      </c>
      <c r="T33" s="604" t="s">
        <v>5670</v>
      </c>
    </row>
    <row r="34" spans="1:20" ht="18" customHeight="1" x14ac:dyDescent="0.15">
      <c r="A34" s="2110" t="s">
        <v>5671</v>
      </c>
      <c r="B34" s="17" t="s">
        <v>4631</v>
      </c>
      <c r="C34" s="18" t="s">
        <v>4575</v>
      </c>
      <c r="D34" s="2672" cm="1" t="n">
        <f t="array" ref="D34">INDEX('5층_부하량'!I3:I3000,MATCH(1,("5-DaHall 1-PDU-01"='5층_부하량'!A3:A3000)*(8='5층_부하량'!B3:B3000),0))</f>
        <v>13.768634480551226</v>
      </c>
      <c r="E34" s="19"/>
      <c r="F34" s="19"/>
      <c r="G34" s="21"/>
      <c r="H34" s="17" t="s">
        <v>4597</v>
      </c>
      <c r="I34" s="549" t="s">
        <v>4657</v>
      </c>
      <c r="J34" s="590" t="s">
        <v>5666</v>
      </c>
      <c r="K34" s="594" t="s">
        <v>5669</v>
      </c>
      <c r="L34" s="549" t="s">
        <v>4601</v>
      </c>
      <c r="M34" s="17" t="s">
        <v>4597</v>
      </c>
      <c r="N34" s="2672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9" t="s">
        <v>4631</v>
      </c>
      <c r="S34" s="17" t="s">
        <v>4642</v>
      </c>
      <c r="T34" s="604" t="s">
        <v>3736</v>
      </c>
    </row>
    <row r="35" spans="1:20" ht="18" customHeight="1" x14ac:dyDescent="0.15">
      <c r="A35" s="2111" t="s">
        <v>5672</v>
      </c>
      <c r="B35" s="17" t="s">
        <v>4631</v>
      </c>
      <c r="C35" s="18" t="s">
        <v>4575</v>
      </c>
      <c r="D35" s="21"/>
      <c r="E35" s="2672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4597</v>
      </c>
      <c r="I35" s="549" t="s">
        <v>4661</v>
      </c>
      <c r="J35" s="590" t="s">
        <v>5666</v>
      </c>
      <c r="K35" s="594" t="s">
        <v>5669</v>
      </c>
      <c r="L35" s="549" t="s">
        <v>4603</v>
      </c>
      <c r="M35" s="17" t="s">
        <v>4597</v>
      </c>
      <c r="N35" s="21"/>
      <c r="O35" s="2672" cm="1">
        <f t="array" ref="O35">INDEX('5층_부하량'!J3:J3000,MATCH(1,("5-DaHall 1-PDU-01"='5층_부하량'!A3:A3000)*(63='5층_부하량'!B3:B3000),0))</f>
        <v>0</v>
      </c>
      <c r="P35" s="21"/>
      <c r="Q35" s="21"/>
      <c r="R35" s="69" t="s">
        <v>4631</v>
      </c>
      <c r="S35" s="17" t="s">
        <v>4642</v>
      </c>
      <c r="T35" s="604" t="s">
        <v>3741</v>
      </c>
    </row>
    <row r="36" spans="1:20" ht="18" customHeight="1" x14ac:dyDescent="0.15">
      <c r="A36" s="2111" t="s">
        <v>5673</v>
      </c>
      <c r="B36" s="17" t="s">
        <v>4631</v>
      </c>
      <c r="C36" s="18" t="s">
        <v>4575</v>
      </c>
      <c r="D36" s="21"/>
      <c r="E36" s="21"/>
      <c r="F36" s="2672" cm="1">
        <f t="array" ref="F36">INDEX('5층_부하량'!K3:K3000,MATCH(1,("5-DaHall 1-PDU-01"='5층_부하량'!A3:A3000)*(10='5층_부하량'!B3:B3000),0))</f>
        <v>0</v>
      </c>
      <c r="G36" s="21"/>
      <c r="H36" s="17" t="s">
        <v>4597</v>
      </c>
      <c r="I36" s="549" t="s">
        <v>4665</v>
      </c>
      <c r="J36" s="590" t="s">
        <v>5666</v>
      </c>
      <c r="K36" s="594" t="s">
        <v>5669</v>
      </c>
      <c r="L36" s="549" t="s">
        <v>4605</v>
      </c>
      <c r="M36" s="17" t="s">
        <v>4597</v>
      </c>
      <c r="N36" s="21"/>
      <c r="O36" s="21"/>
      <c r="P36" s="2672" cm="1">
        <f t="array" ref="P36">INDEX('5층_부하량'!K3:K3000,MATCH(1,("5-DaHall 1-PDU-01"='5층_부하량'!A3:A3000)*(64='5층_부하량'!B3:B3000),0))</f>
        <v>0</v>
      </c>
      <c r="Q36" s="21"/>
      <c r="R36" s="69" t="s">
        <v>4631</v>
      </c>
      <c r="S36" s="17" t="s">
        <v>4642</v>
      </c>
      <c r="T36" s="604" t="s">
        <v>3746</v>
      </c>
    </row>
    <row r="37" spans="1:20" ht="18" customHeight="1" x14ac:dyDescent="0.15">
      <c r="A37" s="321" t="s">
        <v>3616</v>
      </c>
      <c r="B37" s="17" t="s">
        <v>4631</v>
      </c>
      <c r="C37" s="18" t="s">
        <v>4575</v>
      </c>
      <c r="D37" s="2672" cm="1" t="n">
        <f t="array" ref="D37">INDEX('5층_부하량'!I3:I3000,MATCH(1,("5-DaHall 1-PDU-01"='5층_부하량'!A3:A3000)*(11='5층_부하량'!B3:B3000),0))</f>
        <v>1.0404592106780213</v>
      </c>
      <c r="E37" s="21"/>
      <c r="F37" s="21"/>
      <c r="G37" s="21"/>
      <c r="H37" s="17" t="s">
        <v>4597</v>
      </c>
      <c r="I37" s="549" t="s">
        <v>4670</v>
      </c>
      <c r="J37" s="637" t="s">
        <v>5674</v>
      </c>
      <c r="K37" s="594" t="s">
        <v>5669</v>
      </c>
      <c r="L37" s="549" t="s">
        <v>4609</v>
      </c>
      <c r="M37" s="17" t="s">
        <v>4597</v>
      </c>
      <c r="N37" s="2672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9" t="s">
        <v>4631</v>
      </c>
      <c r="S37" s="17" t="s">
        <v>4642</v>
      </c>
      <c r="T37" s="604" t="s">
        <v>3751</v>
      </c>
    </row>
    <row r="38" spans="1:20" ht="18" customHeight="1" x14ac:dyDescent="0.15">
      <c r="A38" s="321" t="s">
        <v>3622</v>
      </c>
      <c r="B38" s="17" t="s">
        <v>4631</v>
      </c>
      <c r="C38" s="18" t="s">
        <v>4575</v>
      </c>
      <c r="D38" s="21"/>
      <c r="E38" s="2672" cm="1" t="n">
        <f t="array" ref="E38">INDEX('5층_부하량'!J3:J3000,MATCH(1,("5-DaHall 1-PDU-01"='5층_부하량'!A3:A3000)*(12='5층_부하량'!B3:B3000),0))</f>
        <v>1.4766390512409004</v>
      </c>
      <c r="F38" s="21"/>
      <c r="G38" s="21"/>
      <c r="H38" s="17" t="s">
        <v>4597</v>
      </c>
      <c r="I38" s="549" t="s">
        <v>4674</v>
      </c>
      <c r="J38" s="637" t="s">
        <v>5675</v>
      </c>
      <c r="K38" s="594" t="s">
        <v>5669</v>
      </c>
      <c r="L38" s="549" t="s">
        <v>4613</v>
      </c>
      <c r="M38" s="17" t="s">
        <v>4597</v>
      </c>
      <c r="N38" s="21"/>
      <c r="O38" s="2672" cm="1">
        <f t="array" ref="O38">INDEX('5층_부하량'!J3:J3000,MATCH(1,("5-DaHall 1-PDU-01"='5층_부하량'!A3:A3000)*(66='5층_부하량'!B3:B3000),0))</f>
        <v>0</v>
      </c>
      <c r="P38" s="21"/>
      <c r="Q38" s="21"/>
      <c r="R38" s="69" t="s">
        <v>4631</v>
      </c>
      <c r="S38" s="17" t="s">
        <v>4642</v>
      </c>
      <c r="T38" s="604" t="s">
        <v>3756</v>
      </c>
    </row>
    <row r="39" spans="1:20" ht="18" customHeight="1" x14ac:dyDescent="0.15">
      <c r="A39" s="321" t="s">
        <v>3628</v>
      </c>
      <c r="B39" s="17" t="s">
        <v>4631</v>
      </c>
      <c r="C39" s="18" t="s">
        <v>4575</v>
      </c>
      <c r="D39" s="21"/>
      <c r="E39" s="21"/>
      <c r="F39" s="2672" cm="1" t="n">
        <f t="array" ref="F39">INDEX('5층_부하량'!K3:K3000,MATCH(1,("5-DaHall 1-PDU-01"='5층_부하량'!A3:A3000)*(13='5층_부하량'!B3:B3000),0))</f>
        <v>1.5397821950671495</v>
      </c>
      <c r="G39" s="21"/>
      <c r="H39" s="17" t="s">
        <v>4597</v>
      </c>
      <c r="I39" s="549" t="s">
        <v>4678</v>
      </c>
      <c r="J39" s="637" t="s">
        <v>5676</v>
      </c>
      <c r="K39" s="594" t="s">
        <v>5669</v>
      </c>
      <c r="L39" s="549" t="s">
        <v>4680</v>
      </c>
      <c r="M39" s="17" t="s">
        <v>4597</v>
      </c>
      <c r="N39" s="21"/>
      <c r="O39" s="21"/>
      <c r="P39" s="2672" cm="1">
        <f t="array" ref="P39">INDEX('5층_부하량'!K3:K3000,MATCH(1,("5-DaHall 1-PDU-01"='5층_부하량'!A3:A3000)*(67='5층_부하량'!B3:B3000),0))</f>
        <v>0</v>
      </c>
      <c r="Q39" s="21"/>
      <c r="R39" s="69" t="s">
        <v>4631</v>
      </c>
      <c r="S39" s="17" t="s">
        <v>4642</v>
      </c>
      <c r="T39" s="604" t="s">
        <v>5677</v>
      </c>
    </row>
    <row r="40" spans="1:20" ht="18" customHeight="1" x14ac:dyDescent="0.15">
      <c r="A40" s="321" t="s">
        <v>3634</v>
      </c>
      <c r="B40" s="17" t="s">
        <v>4631</v>
      </c>
      <c r="C40" s="18" t="s">
        <v>4575</v>
      </c>
      <c r="D40" s="2672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4597</v>
      </c>
      <c r="I40" s="549" t="s">
        <v>4683</v>
      </c>
      <c r="J40" s="637" t="s">
        <v>5678</v>
      </c>
      <c r="K40" s="594" t="s">
        <v>5669</v>
      </c>
      <c r="L40" s="549" t="s">
        <v>4685</v>
      </c>
      <c r="M40" s="17" t="s">
        <v>4597</v>
      </c>
      <c r="N40" s="2672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9" t="s">
        <v>4631</v>
      </c>
      <c r="S40" s="17" t="s">
        <v>4642</v>
      </c>
      <c r="T40" s="604" t="s">
        <v>3766</v>
      </c>
    </row>
    <row r="41" spans="1:20" ht="18" customHeight="1" x14ac:dyDescent="0.15">
      <c r="A41" s="321" t="s">
        <v>3819</v>
      </c>
      <c r="B41" s="72" t="s">
        <v>4631</v>
      </c>
      <c r="C41" s="17" t="s">
        <v>4642</v>
      </c>
      <c r="D41" s="21"/>
      <c r="E41" s="2672" cm="1">
        <f t="array" ref="E41">INDEX('5층_부하량'!J3:J3000,MATCH(1,("5-DaHall 1-PDU-01"='5층_부하량'!A3:A3000)*(15='5층_부하량'!B3:B3000),0))</f>
        <v>0</v>
      </c>
      <c r="F41" s="21"/>
      <c r="G41" s="74"/>
      <c r="H41" s="72" t="s">
        <v>4597</v>
      </c>
      <c r="I41" s="550" t="s">
        <v>4688</v>
      </c>
      <c r="J41" s="65"/>
      <c r="K41" s="594" t="s">
        <v>5669</v>
      </c>
      <c r="L41" s="550" t="s">
        <v>4689</v>
      </c>
      <c r="M41" s="72" t="s">
        <v>4597</v>
      </c>
      <c r="N41" s="21"/>
      <c r="O41" s="2672" cm="1">
        <f t="array" ref="O41">INDEX('5층_부하량'!J3:J3000,MATCH(1,("5-DaHall 1-PDU-01"='5층_부하량'!A3:A3000)*(69='5층_부하량'!B3:B3000),0))</f>
        <v>0</v>
      </c>
      <c r="P41" s="21"/>
      <c r="Q41" s="74"/>
      <c r="R41" s="75" t="s">
        <v>4631</v>
      </c>
      <c r="S41" s="17" t="s">
        <v>4642</v>
      </c>
      <c r="T41" s="605" t="s">
        <v>3771</v>
      </c>
    </row>
    <row r="42" spans="1:20" ht="18" customHeight="1" x14ac:dyDescent="0.15">
      <c r="A42" s="321" t="s">
        <v>3823</v>
      </c>
      <c r="B42" s="17" t="s">
        <v>4631</v>
      </c>
      <c r="C42" s="17" t="s">
        <v>4642</v>
      </c>
      <c r="D42" s="21"/>
      <c r="E42" s="21"/>
      <c r="F42" s="2672" cm="1">
        <f t="array" ref="F42">INDEX('5층_부하량'!K3:K3000,MATCH(1,("5-DaHall 1-PDU-01"='5층_부하량'!A3:A3000)*(16='5층_부하량'!B3:B3000),0))</f>
        <v>0</v>
      </c>
      <c r="G42" s="21"/>
      <c r="H42" s="17" t="s">
        <v>4597</v>
      </c>
      <c r="I42" s="549" t="s">
        <v>4691</v>
      </c>
      <c r="J42" s="65"/>
      <c r="K42" s="66"/>
      <c r="L42" s="549" t="s">
        <v>4692</v>
      </c>
      <c r="M42" s="17" t="s">
        <v>4597</v>
      </c>
      <c r="N42" s="21"/>
      <c r="O42" s="21"/>
      <c r="P42" s="2672" cm="1">
        <f t="array" ref="P42">INDEX('5층_부하량'!K3:K3000,MATCH(1,("5-DaHall 1-PDU-01"='5층_부하량'!A3:A3000)*(70='5층_부하량'!B3:B3000),0))</f>
        <v>0</v>
      </c>
      <c r="Q42" s="21"/>
      <c r="R42" s="69" t="s">
        <v>4631</v>
      </c>
      <c r="S42" s="17" t="s">
        <v>4642</v>
      </c>
      <c r="T42" s="606" t="s">
        <v>5679</v>
      </c>
    </row>
    <row r="43" spans="1:20" ht="18" customHeight="1" x14ac:dyDescent="0.15">
      <c r="A43" s="2111" t="s">
        <v>5680</v>
      </c>
      <c r="B43" s="17" t="s">
        <v>4631</v>
      </c>
      <c r="C43" s="18" t="s">
        <v>4575</v>
      </c>
      <c r="D43" s="2672" cm="1" t="n">
        <f t="array" ref="D43">INDEX('5층_부하량'!I3:I3000,MATCH(1,("5-DaHall 1-PDU-01"='5층_부하량'!A3:A3000)*(17='5층_부하량'!B3:B3000),0))</f>
        <v>11.099794491504518</v>
      </c>
      <c r="E43" s="19"/>
      <c r="F43" s="19"/>
      <c r="G43" s="21"/>
      <c r="H43" s="17" t="s">
        <v>4597</v>
      </c>
      <c r="I43" s="549" t="s">
        <v>4693</v>
      </c>
      <c r="J43" s="590" t="s">
        <v>5666</v>
      </c>
      <c r="K43" s="66"/>
      <c r="L43" s="549" t="s">
        <v>4694</v>
      </c>
      <c r="M43" s="17" t="s">
        <v>4597</v>
      </c>
      <c r="N43" s="2672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9" t="s">
        <v>4631</v>
      </c>
      <c r="S43" s="17" t="s">
        <v>4642</v>
      </c>
      <c r="T43" s="606" t="s">
        <v>5681</v>
      </c>
    </row>
    <row r="44" spans="1:20" ht="18" customHeight="1" x14ac:dyDescent="0.15">
      <c r="A44" s="2111" t="s">
        <v>5682</v>
      </c>
      <c r="B44" s="17" t="s">
        <v>4631</v>
      </c>
      <c r="C44" s="18" t="s">
        <v>4575</v>
      </c>
      <c r="D44" s="21"/>
      <c r="E44" s="2672" cm="1" t="n">
        <f t="array" ref="E44">INDEX('5층_부하량'!J3:J3000,MATCH(1,("5-DaHall 1-PDU-01"='5층_부하량'!A3:A3000)*(18='5층_부하량'!B3:B3000),0))</f>
        <v>9.94545336251787</v>
      </c>
      <c r="F44" s="21"/>
      <c r="G44" s="21"/>
      <c r="H44" s="17" t="s">
        <v>4597</v>
      </c>
      <c r="I44" s="549" t="s">
        <v>4697</v>
      </c>
      <c r="J44" s="590" t="s">
        <v>5683</v>
      </c>
      <c r="K44" s="66"/>
      <c r="L44" s="549" t="s">
        <v>4698</v>
      </c>
      <c r="M44" s="17" t="s">
        <v>4597</v>
      </c>
      <c r="N44" s="21"/>
      <c r="O44" s="2672" cm="1">
        <f t="array" ref="O44">INDEX('5층_부하량'!J3:J3000,MATCH(1,("5-DaHall 1-PDU-01"='5층_부하량'!A3:A3000)*(72='5층_부하량'!B3:B3000),0))</f>
        <v>0</v>
      </c>
      <c r="P44" s="21"/>
      <c r="Q44" s="21"/>
      <c r="R44" s="69" t="s">
        <v>4631</v>
      </c>
      <c r="S44" s="17" t="s">
        <v>4642</v>
      </c>
      <c r="T44" s="606" t="s">
        <v>5684</v>
      </c>
    </row>
    <row r="45" spans="1:20" ht="18" customHeight="1" x14ac:dyDescent="0.15">
      <c r="A45" s="2111" t="s">
        <v>5685</v>
      </c>
      <c r="B45" s="17" t="s">
        <v>4631</v>
      </c>
      <c r="C45" s="18" t="s">
        <v>4575</v>
      </c>
      <c r="D45" s="21"/>
      <c r="E45" s="19"/>
      <c r="F45" s="2670" cm="1" t="n">
        <f t="array" ref="F45">INDEX('5층_부하량'!K3:K3000,MATCH(1,("5-DaHall 1-PDU-01"='5층_부하량'!A3:A3000)*(19='5층_부하량'!B3:B3000),0))</f>
        <v>11.698172648853305</v>
      </c>
      <c r="G45" s="21"/>
      <c r="H45" s="17" t="s">
        <v>4597</v>
      </c>
      <c r="I45" s="549" t="s">
        <v>4701</v>
      </c>
      <c r="J45" s="590" t="s">
        <v>5683</v>
      </c>
      <c r="K45" s="66"/>
      <c r="L45" s="549" t="s">
        <v>4703</v>
      </c>
      <c r="M45" s="17" t="s">
        <v>4597</v>
      </c>
      <c r="N45" s="21"/>
      <c r="O45" s="19"/>
      <c r="P45" s="2670" cm="1">
        <f t="array" ref="P45">INDEX('5층_부하량'!K3:K3000,MATCH(1,("5-DaHall 1-PDU-01"='5층_부하량'!A3:A3000)*(73='5층_부하량'!B3:B3000),0))</f>
        <v>0</v>
      </c>
      <c r="Q45" s="21"/>
      <c r="R45" s="69" t="s">
        <v>4631</v>
      </c>
      <c r="S45" s="17" t="s">
        <v>4642</v>
      </c>
      <c r="T45" s="606" t="s">
        <v>5686</v>
      </c>
    </row>
    <row r="46" spans="1:20" ht="18" customHeight="1" x14ac:dyDescent="0.15">
      <c r="A46" s="2111" t="s">
        <v>5687</v>
      </c>
      <c r="B46" s="17" t="s">
        <v>4631</v>
      </c>
      <c r="C46" s="18" t="s">
        <v>4575</v>
      </c>
      <c r="D46" s="2672" cm="1" t="n">
        <f t="array" ref="D46">INDEX('5층_부하량'!I3:I3000,MATCH(1,("5-DaHall 1-PDU-01"='5층_부하량'!A3:A3000)*(20='5층_부하량'!B3:B3000),0))</f>
        <v>9.505542768936456</v>
      </c>
      <c r="E46" s="19"/>
      <c r="F46" s="19"/>
      <c r="G46" s="21"/>
      <c r="H46" s="17" t="s">
        <v>4597</v>
      </c>
      <c r="I46" s="549" t="s">
        <v>4706</v>
      </c>
      <c r="J46" s="590" t="s">
        <v>5683</v>
      </c>
      <c r="K46" s="66"/>
      <c r="L46" s="549" t="s">
        <v>4707</v>
      </c>
      <c r="M46" s="17" t="s">
        <v>4597</v>
      </c>
      <c r="N46" s="2672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9" t="s">
        <v>4631</v>
      </c>
      <c r="S46" s="17" t="s">
        <v>4642</v>
      </c>
      <c r="T46" s="606" t="s">
        <v>5688</v>
      </c>
    </row>
    <row r="47" spans="1:20" ht="18" customHeight="1" x14ac:dyDescent="0.15">
      <c r="A47" s="2111" t="s">
        <v>5689</v>
      </c>
      <c r="B47" s="17" t="s">
        <v>4631</v>
      </c>
      <c r="C47" s="18" t="s">
        <v>4575</v>
      </c>
      <c r="D47" s="21"/>
      <c r="E47" s="2672" cm="1" t="n">
        <f t="array" ref="E47">INDEX('5층_부하량'!J3:J3000,MATCH(1,("5-DaHall 1-PDU-01"='5층_부하량'!A3:A3000)*(21='5층_부하량'!B3:B3000),0))</f>
        <v>11.831716838274795</v>
      </c>
      <c r="F47" s="19"/>
      <c r="G47" s="21"/>
      <c r="H47" s="17" t="s">
        <v>4597</v>
      </c>
      <c r="I47" s="549" t="s">
        <v>4710</v>
      </c>
      <c r="J47" s="590" t="s">
        <v>5683</v>
      </c>
      <c r="K47" s="594" t="s">
        <v>4637</v>
      </c>
      <c r="L47" s="1444" t="s">
        <v>4711</v>
      </c>
      <c r="M47" s="17" t="s">
        <v>4597</v>
      </c>
      <c r="N47" s="21"/>
      <c r="O47" s="2672" cm="1">
        <f t="array" ref="O47">INDEX('5층_부하량'!J3:J3000,MATCH(1,("5-DaHall 1-PDU-01"='5층_부하량'!A3:A3000)*(75='5층_부하량'!B3:B3000),0))</f>
        <v>0</v>
      </c>
      <c r="P47" s="19"/>
      <c r="Q47" s="21"/>
      <c r="R47" s="1445" t="s">
        <v>565</v>
      </c>
      <c r="S47" s="17" t="s">
        <v>4642</v>
      </c>
      <c r="T47" s="604"/>
    </row>
    <row r="48" spans="1:20" ht="18" customHeight="1" x14ac:dyDescent="0.15">
      <c r="A48" s="321" t="s">
        <v>3595</v>
      </c>
      <c r="B48" s="17" t="s">
        <v>4631</v>
      </c>
      <c r="C48" s="2112" t="s">
        <v>3381</v>
      </c>
      <c r="D48" s="21"/>
      <c r="E48" s="19"/>
      <c r="F48" s="2672" cm="1">
        <f t="array" ref="F48">INDEX('5층_부하량'!K3:K3000,MATCH(1,("5-DaHall 1-PDU-01"='5층_부하량'!A3:A3000)*(22='5층_부하량'!B3:B3000),0))</f>
        <v>0</v>
      </c>
      <c r="G48" s="21"/>
      <c r="H48" s="17" t="s">
        <v>4597</v>
      </c>
      <c r="I48" s="549" t="s">
        <v>5055</v>
      </c>
      <c r="J48" s="65" t="s">
        <v>5661</v>
      </c>
      <c r="K48" s="595" t="s">
        <v>5690</v>
      </c>
      <c r="L48" s="549" t="s">
        <v>4843</v>
      </c>
      <c r="M48" s="17" t="s">
        <v>4597</v>
      </c>
      <c r="N48" s="21"/>
      <c r="O48" s="19"/>
      <c r="P48" s="2672" cm="1">
        <f t="array" ref="P48">INDEX('5층_부하량'!K3:K3000,MATCH(1,("5-DaHall 1-PDU-01"='5층_부하량'!A3:A3000)*(76='5층_부하량'!B3:B3000),0))</f>
        <v>0</v>
      </c>
      <c r="Q48" s="21"/>
      <c r="R48" s="69" t="s">
        <v>4631</v>
      </c>
      <c r="S48" s="17" t="s">
        <v>4642</v>
      </c>
      <c r="T48" s="604" t="s">
        <v>5691</v>
      </c>
    </row>
    <row r="49" spans="1:20" ht="18" customHeight="1" x14ac:dyDescent="0.15">
      <c r="A49" s="321" t="s">
        <v>3600</v>
      </c>
      <c r="B49" s="17" t="s">
        <v>4631</v>
      </c>
      <c r="C49" s="2112" t="s">
        <v>3381</v>
      </c>
      <c r="D49" s="2672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4597</v>
      </c>
      <c r="I49" s="549" t="s">
        <v>4845</v>
      </c>
      <c r="J49" s="65" t="s">
        <v>5661</v>
      </c>
      <c r="K49" s="595" t="s">
        <v>5690</v>
      </c>
      <c r="L49" s="549" t="s">
        <v>4846</v>
      </c>
      <c r="M49" s="17" t="s">
        <v>4597</v>
      </c>
      <c r="N49" s="2672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9" t="s">
        <v>4631</v>
      </c>
      <c r="S49" s="17" t="s">
        <v>4642</v>
      </c>
      <c r="T49" s="604" t="s">
        <v>3642</v>
      </c>
    </row>
    <row r="50" spans="1:20" ht="18" customHeight="1" x14ac:dyDescent="0.15">
      <c r="A50" s="321" t="s">
        <v>3605</v>
      </c>
      <c r="B50" s="17" t="s">
        <v>4631</v>
      </c>
      <c r="C50" s="2112" t="s">
        <v>3381</v>
      </c>
      <c r="D50" s="21"/>
      <c r="E50" s="2672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4597</v>
      </c>
      <c r="I50" s="549" t="s">
        <v>4847</v>
      </c>
      <c r="J50" s="65" t="s">
        <v>5661</v>
      </c>
      <c r="K50" s="595" t="s">
        <v>5690</v>
      </c>
      <c r="L50" s="1444" t="s">
        <v>4848</v>
      </c>
      <c r="M50" s="17" t="s">
        <v>4597</v>
      </c>
      <c r="N50" s="21"/>
      <c r="O50" s="2672" cm="1" t="n">
        <f t="array" ref="O50">INDEX('5층_부하량'!J3:J3000,MATCH(1,("5-DaHall 1-PDU-01"='5층_부하량'!A3:A3000)*(78='5층_부하량'!B3:B3000),0))</f>
        <v>0.6153702065407523</v>
      </c>
      <c r="P50" s="21"/>
      <c r="Q50" s="21"/>
      <c r="R50" s="69" t="s">
        <v>4631</v>
      </c>
      <c r="S50" s="597" t="s">
        <v>4575</v>
      </c>
      <c r="T50" s="604" t="s">
        <v>3177</v>
      </c>
    </row>
    <row r="51" spans="1:20" ht="18" customHeight="1" x14ac:dyDescent="0.15">
      <c r="A51" s="321" t="s">
        <v>3610</v>
      </c>
      <c r="B51" s="17" t="s">
        <v>4631</v>
      </c>
      <c r="C51" s="2112" t="s">
        <v>3381</v>
      </c>
      <c r="D51" s="21"/>
      <c r="E51" s="21"/>
      <c r="F51" s="2672" cm="1">
        <f t="array" ref="F51">INDEX('5층_부하량'!K3:K3000,MATCH(1,("5-DaHall 1-PDU-01"='5층_부하량'!A3:A3000)*(25='5층_부하량'!B3:B3000),0))</f>
        <v>0</v>
      </c>
      <c r="G51" s="21"/>
      <c r="H51" s="17" t="s">
        <v>4597</v>
      </c>
      <c r="I51" s="549" t="s">
        <v>4849</v>
      </c>
      <c r="J51" s="65" t="s">
        <v>5661</v>
      </c>
      <c r="K51" s="596" t="s">
        <v>5692</v>
      </c>
      <c r="L51" s="549" t="s">
        <v>4850</v>
      </c>
      <c r="M51" s="17" t="s">
        <v>4597</v>
      </c>
      <c r="N51" s="21"/>
      <c r="O51" s="21"/>
      <c r="P51" s="2672" cm="1" t="n">
        <f t="array" ref="P51">INDEX('5층_부하량'!K3:K3000,MATCH(1,("5-DaHall 1-PDU-01"='5층_부하량'!A3:A3000)*(79='5층_부하량'!B3:B3000),0))</f>
        <v>1.739229251584358</v>
      </c>
      <c r="Q51" s="21"/>
      <c r="R51" s="69" t="s">
        <v>4631</v>
      </c>
      <c r="S51" s="597" t="s">
        <v>4575</v>
      </c>
      <c r="T51" s="70" t="s">
        <v>5693</v>
      </c>
    </row>
    <row r="52" spans="1:20" ht="18" customHeight="1" thickBot="1" x14ac:dyDescent="0.2">
      <c r="A52" s="600" t="s">
        <v>5694</v>
      </c>
      <c r="B52" s="35" t="s">
        <v>4631</v>
      </c>
      <c r="C52" s="35" t="s">
        <v>4642</v>
      </c>
      <c r="D52" s="2671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4597</v>
      </c>
      <c r="I52" s="551" t="s">
        <v>4851</v>
      </c>
      <c r="J52" s="76"/>
      <c r="K52" s="77" t="s">
        <v>5695</v>
      </c>
      <c r="L52" s="551" t="s">
        <v>4852</v>
      </c>
      <c r="M52" s="35" t="s">
        <v>4597</v>
      </c>
      <c r="N52" s="2671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8" t="s">
        <v>4631</v>
      </c>
      <c r="S52" s="598" t="s">
        <v>4575</v>
      </c>
      <c r="T52" s="79" t="s">
        <v>5696</v>
      </c>
    </row>
    <row r="53" spans="1:20" ht="18" customHeight="1" thickTop="1" thickBot="1" x14ac:dyDescent="0.2">
      <c r="M53" s="80" t="s">
        <v>5645</v>
      </c>
      <c r="N53" s="33" t="n">
        <f>SUM(D27:D52,N27:N52)</f>
        <v>35.41443095167022</v>
      </c>
      <c r="O53" s="33" t="n">
        <f>SUM(E27:E52,O27:O52)</f>
        <v>38.35676223463697</v>
      </c>
      <c r="P53" s="33" t="n">
        <f>SUM(F27:F52,P27:P52)</f>
        <v>28.56522907716273</v>
      </c>
    </row>
    <row r="54" spans="1:20" ht="18" customHeight="1" thickTop="1" thickBot="1" x14ac:dyDescent="0.2">
      <c r="A54" s="2" t="s">
        <v>6946</v>
      </c>
      <c r="C54" s="3660" t="s">
        <v>5697</v>
      </c>
      <c r="D54" s="3660"/>
      <c r="E54" s="3660"/>
      <c r="F54" s="3660"/>
      <c r="G54" s="53"/>
      <c r="H54" s="124"/>
      <c r="I54" s="124"/>
      <c r="J54" s="3661" t="s">
        <v>5653</v>
      </c>
      <c r="K54" s="3667"/>
      <c r="L54" s="124"/>
      <c r="M54" s="124"/>
      <c r="N54" s="53"/>
      <c r="O54" s="53"/>
      <c r="P54" s="53"/>
      <c r="Q54" s="53"/>
      <c r="R54" s="53"/>
      <c r="S54" s="53"/>
    </row>
    <row r="55" spans="1:20" ht="18" customHeight="1" thickTop="1" thickBot="1" x14ac:dyDescent="0.2">
      <c r="A55" s="3"/>
      <c r="D55" s="54"/>
      <c r="E55" s="54"/>
      <c r="F55" s="54"/>
      <c r="G55" s="54"/>
      <c r="H55" s="4"/>
      <c r="I55" s="4"/>
      <c r="K55" s="56"/>
      <c r="L55" s="565"/>
      <c r="M55" s="1371" t="s">
        <v>4562</v>
      </c>
      <c r="N55" s="1368">
        <v>34.6</v>
      </c>
      <c r="O55" s="1369">
        <v>35.200000000000003</v>
      </c>
      <c r="P55" s="1370">
        <v>26.3</v>
      </c>
      <c r="Q55" s="508" t="s">
        <v>4563</v>
      </c>
      <c r="R55" s="133"/>
      <c r="S55" s="128"/>
      <c r="T55" s="528"/>
    </row>
    <row r="56" spans="1:20" ht="18" customHeight="1" thickTop="1" thickBot="1" x14ac:dyDescent="0.2">
      <c r="A56" s="5" t="s">
        <v>4564</v>
      </c>
      <c r="B56" s="6" t="s">
        <v>4565</v>
      </c>
      <c r="C56" s="7" t="s">
        <v>4566</v>
      </c>
      <c r="D56" s="6" t="s">
        <v>4567</v>
      </c>
      <c r="E56" s="6" t="s">
        <v>4568</v>
      </c>
      <c r="F56" s="6" t="s">
        <v>4569</v>
      </c>
      <c r="G56" s="6" t="s">
        <v>4570</v>
      </c>
      <c r="H56" s="8" t="s">
        <v>4571</v>
      </c>
      <c r="I56" s="547"/>
      <c r="J56" s="58" t="s">
        <v>4572</v>
      </c>
      <c r="K56" s="59" t="s">
        <v>4572</v>
      </c>
      <c r="L56" s="566"/>
      <c r="M56" s="8" t="s">
        <v>4571</v>
      </c>
      <c r="N56" s="6" t="s">
        <v>4567</v>
      </c>
      <c r="O56" s="6" t="s">
        <v>4568</v>
      </c>
      <c r="P56" s="6" t="s">
        <v>4569</v>
      </c>
      <c r="Q56" s="6" t="s">
        <v>4570</v>
      </c>
      <c r="R56" s="6" t="s">
        <v>4565</v>
      </c>
      <c r="S56" s="7" t="s">
        <v>4566</v>
      </c>
      <c r="T56" s="60" t="s">
        <v>4564</v>
      </c>
    </row>
    <row r="57" spans="1:20" ht="18" customHeight="1" thickTop="1" x14ac:dyDescent="0.15">
      <c r="A57" s="10"/>
      <c r="B57" s="11" t="s">
        <v>4590</v>
      </c>
      <c r="C57" s="13" t="s">
        <v>4723</v>
      </c>
      <c r="D57" s="2669" cm="1">
        <f t="array" ref="D57">INDEX('5층_부하량'!I3:I3000,MATCH(1,("5-DaHall 1-PDU-02"='5층_부하량'!A3:A3000)*(1='5층_부하량'!B3:B3000),0))</f>
        <v>0</v>
      </c>
      <c r="E57" s="2669" cm="1">
        <f t="array" ref="E57">INDEX('5층_부하량'!J3:J3000,MATCH(1,("5-DaHall 1-PDU-02"='5층_부하량'!A3:A3000)*(1='5층_부하량'!B3:B3000),0))</f>
        <v>0</v>
      </c>
      <c r="F57" s="2669" cm="1">
        <f t="array" ref="F57">INDEX('5층_부하량'!K3:K3000,MATCH(1,("5-DaHall 1-PDU-02"='5층_부하량'!A3:A3000)*(1='5층_부하량'!B3:B3000),0))</f>
        <v>0</v>
      </c>
      <c r="G57" s="15"/>
      <c r="H57" s="11" t="s">
        <v>5654</v>
      </c>
      <c r="I57" s="1443" t="s">
        <v>5655</v>
      </c>
      <c r="J57" s="61"/>
      <c r="K57" s="62"/>
      <c r="L57" s="567" t="s">
        <v>5656</v>
      </c>
      <c r="M57" s="11" t="s">
        <v>5654</v>
      </c>
      <c r="N57" s="2669" cm="1">
        <f t="array" ref="N57">INDEX('5층_부하량'!I3:I3000,MATCH(1,("5-DaHall 1-PDU-02"='5층_부하량'!A3:A3000)*(55='5층_부하량'!B3:B3000),0))</f>
        <v>0</v>
      </c>
      <c r="O57" s="2669" cm="1" t="n">
        <f t="array" ref="O57">INDEX('5층_부하량'!J3:J3000,MATCH(1,("5-DaHall 1-PDU-02"='5층_부하량'!A3:A3000)*(55='5층_부하량'!B3:B3000),0))</f>
        <v>0.6651571884407421</v>
      </c>
      <c r="P57" s="2669" cm="1" t="n">
        <f t="array" ref="P57">INDEX('5층_부하량'!K3:K3000,MATCH(1,("5-DaHall 1-PDU-02"='5층_부하량'!A3:A3000)*(55='5층_부하량'!B3:B3000),0))</f>
        <v>0.7406242904351426</v>
      </c>
      <c r="Q57" s="348"/>
      <c r="R57" s="63" t="s">
        <v>4631</v>
      </c>
      <c r="S57" s="12" t="s">
        <v>4575</v>
      </c>
      <c r="T57" s="98" t="s">
        <v>5698</v>
      </c>
    </row>
    <row r="58" spans="1:20" ht="18" customHeight="1" x14ac:dyDescent="0.15">
      <c r="A58" s="16" t="s">
        <v>3522</v>
      </c>
      <c r="B58" s="17" t="s">
        <v>4631</v>
      </c>
      <c r="C58" s="2112" t="s">
        <v>3381</v>
      </c>
      <c r="D58" s="2672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4576</v>
      </c>
      <c r="I58" s="549" t="s">
        <v>4633</v>
      </c>
      <c r="J58" s="65" t="s">
        <v>5661</v>
      </c>
      <c r="K58" s="66"/>
      <c r="L58" s="549" t="s">
        <v>4578</v>
      </c>
      <c r="M58" s="17" t="s">
        <v>4576</v>
      </c>
      <c r="N58" s="2672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7" t="s">
        <v>4631</v>
      </c>
      <c r="S58" s="17" t="s">
        <v>4642</v>
      </c>
      <c r="T58" s="603" t="s">
        <v>5699</v>
      </c>
    </row>
    <row r="59" spans="1:20" ht="18" customHeight="1" x14ac:dyDescent="0.15">
      <c r="A59" s="321" t="s">
        <v>2826</v>
      </c>
      <c r="B59" s="17" t="s">
        <v>4631</v>
      </c>
      <c r="C59" s="2112" t="s">
        <v>3381</v>
      </c>
      <c r="D59" s="21"/>
      <c r="E59" s="2672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4576</v>
      </c>
      <c r="I59" s="549" t="s">
        <v>4638</v>
      </c>
      <c r="J59" s="65" t="s">
        <v>5661</v>
      </c>
      <c r="K59" s="638" t="s">
        <v>5662</v>
      </c>
      <c r="L59" s="549" t="s">
        <v>4583</v>
      </c>
      <c r="M59" s="17" t="s">
        <v>4576</v>
      </c>
      <c r="N59" s="21"/>
      <c r="O59" s="2672" cm="1">
        <f t="array" ref="O59">INDEX('5층_부하량'!J3:J3000,MATCH(1,("5-DaHall 1-PDU-02"='5층_부하량'!A3:A3000)*(57='5층_부하량'!B3:B3000),0))</f>
        <v>0</v>
      </c>
      <c r="P59" s="21"/>
      <c r="Q59" s="21"/>
      <c r="R59" s="69" t="s">
        <v>4631</v>
      </c>
      <c r="S59" s="597" t="s">
        <v>4575</v>
      </c>
      <c r="T59" s="603" t="s">
        <v>3649</v>
      </c>
    </row>
    <row r="60" spans="1:20" ht="18" customHeight="1" x14ac:dyDescent="0.15">
      <c r="A60" s="71" t="s">
        <v>2832</v>
      </c>
      <c r="B60" s="17" t="s">
        <v>4631</v>
      </c>
      <c r="C60" s="2112" t="s">
        <v>3381</v>
      </c>
      <c r="D60" s="21"/>
      <c r="E60" s="21"/>
      <c r="F60" s="2672" cm="1">
        <f t="array" ref="F60">INDEX('5층_부하량'!K3:K3000,MATCH(1,("5-DaHall 1-PDU-02"='5층_부하량'!A3:A3000)*(4='5층_부하량'!B3:B3000),0))</f>
        <v>0</v>
      </c>
      <c r="G60" s="21"/>
      <c r="H60" s="17" t="s">
        <v>4576</v>
      </c>
      <c r="I60" s="549" t="s">
        <v>4641</v>
      </c>
      <c r="J60" s="65" t="s">
        <v>5661</v>
      </c>
      <c r="K60" s="638" t="s">
        <v>5663</v>
      </c>
      <c r="L60" s="549" t="s">
        <v>4588</v>
      </c>
      <c r="M60" s="17" t="s">
        <v>4576</v>
      </c>
      <c r="N60" s="21"/>
      <c r="O60" s="21"/>
      <c r="P60" s="2672" cm="1" t="n">
        <f t="array" ref="P60">INDEX('5층_부하량'!K3:K3000,MATCH(1,("5-DaHall 1-PDU-02"='5층_부하량'!A3:A3000)*(58='5층_부하량'!B3:B3000),0))</f>
        <v>1.2520298467496198</v>
      </c>
      <c r="Q60" s="21"/>
      <c r="R60" s="69" t="s">
        <v>4631</v>
      </c>
      <c r="S60" s="597" t="s">
        <v>4575</v>
      </c>
      <c r="T60" s="603" t="s">
        <v>3656</v>
      </c>
    </row>
    <row r="61" spans="1:20" ht="18" customHeight="1" x14ac:dyDescent="0.15">
      <c r="A61" s="321" t="s">
        <v>2841</v>
      </c>
      <c r="B61" s="17" t="s">
        <v>4631</v>
      </c>
      <c r="C61" s="2112" t="s">
        <v>3381</v>
      </c>
      <c r="D61" s="2672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4576</v>
      </c>
      <c r="I61" s="549" t="s">
        <v>4645</v>
      </c>
      <c r="J61" s="65" t="s">
        <v>5661</v>
      </c>
      <c r="K61" s="66"/>
      <c r="L61" s="549" t="s">
        <v>4593</v>
      </c>
      <c r="M61" s="17" t="s">
        <v>4597</v>
      </c>
      <c r="N61" s="2672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9" t="s">
        <v>4631</v>
      </c>
      <c r="S61" s="17" t="s">
        <v>4642</v>
      </c>
      <c r="T61" s="603" t="s">
        <v>5700</v>
      </c>
    </row>
    <row r="62" spans="1:20" ht="18" customHeight="1" x14ac:dyDescent="0.15">
      <c r="A62" s="2110" t="s">
        <v>5701</v>
      </c>
      <c r="B62" s="17" t="s">
        <v>4631</v>
      </c>
      <c r="C62" s="18" t="s">
        <v>4575</v>
      </c>
      <c r="D62" s="21"/>
      <c r="E62" s="2672" cm="1" t="n">
        <f t="array" ref="E62">INDEX('5층_부하량'!J3:J3000,MATCH(1,("5-DaHall 1-PDU-02"='5층_부하량'!A3:A3000)*(6='5층_부하량'!B3:B3000),0))</f>
        <v>11.658936882355096</v>
      </c>
      <c r="F62" s="21"/>
      <c r="G62" s="21"/>
      <c r="H62" s="17" t="s">
        <v>4576</v>
      </c>
      <c r="I62" s="549" t="s">
        <v>4648</v>
      </c>
      <c r="J62" s="590" t="s">
        <v>5666</v>
      </c>
      <c r="K62" s="640" t="s">
        <v>5702</v>
      </c>
      <c r="L62" s="549" t="s">
        <v>4596</v>
      </c>
      <c r="M62" s="17" t="s">
        <v>4597</v>
      </c>
      <c r="N62" s="21"/>
      <c r="O62" s="2672" cm="1">
        <f t="array" ref="O62">INDEX('5층_부하량'!J3:J3000,MATCH(1,("5-DaHall 1-PDU-02"='5층_부하량'!A3:A3000)*(60='5층_부하량'!B3:B3000),0))</f>
        <v>0</v>
      </c>
      <c r="P62" s="21"/>
      <c r="Q62" s="21"/>
      <c r="R62" s="69" t="s">
        <v>4631</v>
      </c>
      <c r="S62" s="597" t="s">
        <v>4575</v>
      </c>
      <c r="T62" s="603" t="s">
        <v>3664</v>
      </c>
    </row>
    <row r="63" spans="1:20" ht="18" customHeight="1" x14ac:dyDescent="0.15">
      <c r="A63" s="2111" t="s">
        <v>5703</v>
      </c>
      <c r="B63" s="17" t="s">
        <v>4631</v>
      </c>
      <c r="C63" s="18" t="s">
        <v>4575</v>
      </c>
      <c r="D63" s="21"/>
      <c r="E63" s="21"/>
      <c r="F63" s="2672" cm="1" t="n">
        <f t="array" ref="F63">INDEX('5층_부하량'!K3:K3000,MATCH(1,("5-DaHall 1-PDU-02"='5층_부하량'!A3:A3000)*(7='5층_부하량'!B3:B3000),0))</f>
        <v>12.873675877430891</v>
      </c>
      <c r="G63" s="21"/>
      <c r="H63" s="17" t="s">
        <v>4597</v>
      </c>
      <c r="I63" s="549" t="s">
        <v>4653</v>
      </c>
      <c r="J63" s="590" t="s">
        <v>5666</v>
      </c>
      <c r="K63" s="594"/>
      <c r="L63" s="549" t="s">
        <v>4599</v>
      </c>
      <c r="M63" s="17" t="s">
        <v>4597</v>
      </c>
      <c r="N63" s="21"/>
      <c r="O63" s="21"/>
      <c r="P63" s="2672" cm="1">
        <f t="array" ref="P63">INDEX('5층_부하량'!K3:K3000,MATCH(1,("5-DaHall 1-PDU-02"='5층_부하량'!A3:A3000)*(61='5층_부하량'!B3:B3000),0))</f>
        <v>0</v>
      </c>
      <c r="Q63" s="21"/>
      <c r="R63" s="69" t="s">
        <v>4631</v>
      </c>
      <c r="S63" s="17" t="s">
        <v>4642</v>
      </c>
      <c r="T63" s="604" t="s">
        <v>5704</v>
      </c>
    </row>
    <row r="64" spans="1:20" ht="18" customHeight="1" x14ac:dyDescent="0.15">
      <c r="A64" s="2110" t="s">
        <v>5705</v>
      </c>
      <c r="B64" s="17" t="s">
        <v>4631</v>
      </c>
      <c r="C64" s="18" t="s">
        <v>4575</v>
      </c>
      <c r="D64" s="2672" cm="1" t="n">
        <f t="array" ref="D64">INDEX('5층_부하량'!I3:I3000,MATCH(1,("5-DaHall 1-PDU-02"='5층_부하량'!A3:A3000)*(8='5층_부하량'!B3:B3000),0))</f>
        <v>11.448344923623207</v>
      </c>
      <c r="E64" s="19"/>
      <c r="F64" s="19"/>
      <c r="G64" s="21"/>
      <c r="H64" s="17" t="s">
        <v>4597</v>
      </c>
      <c r="I64" s="549" t="s">
        <v>4657</v>
      </c>
      <c r="J64" s="590" t="s">
        <v>5666</v>
      </c>
      <c r="K64" s="594"/>
      <c r="L64" s="549" t="s">
        <v>4601</v>
      </c>
      <c r="M64" s="17" t="s">
        <v>4597</v>
      </c>
      <c r="N64" s="2672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9" t="s">
        <v>4631</v>
      </c>
      <c r="S64" s="597" t="s">
        <v>4575</v>
      </c>
      <c r="T64" s="604" t="s">
        <v>3737</v>
      </c>
    </row>
    <row r="65" spans="1:20" ht="18" customHeight="1" x14ac:dyDescent="0.15">
      <c r="A65" s="2111" t="s">
        <v>5706</v>
      </c>
      <c r="B65" s="17" t="s">
        <v>4631</v>
      </c>
      <c r="C65" s="18" t="s">
        <v>4575</v>
      </c>
      <c r="D65" s="21"/>
      <c r="E65" s="2672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4597</v>
      </c>
      <c r="I65" s="549" t="s">
        <v>4661</v>
      </c>
      <c r="J65" s="590" t="s">
        <v>5666</v>
      </c>
      <c r="K65" s="594"/>
      <c r="L65" s="549" t="s">
        <v>4603</v>
      </c>
      <c r="M65" s="17" t="s">
        <v>4597</v>
      </c>
      <c r="N65" s="21"/>
      <c r="O65" s="2672" cm="1">
        <f t="array" ref="O65">INDEX('5층_부하량'!J3:J3000,MATCH(1,("5-DaHall 1-PDU-02"='5층_부하량'!A3:A3000)*(63='5층_부하량'!B3:B3000),0))</f>
        <v>0</v>
      </c>
      <c r="P65" s="21"/>
      <c r="Q65" s="21"/>
      <c r="R65" s="69" t="s">
        <v>4631</v>
      </c>
      <c r="S65" s="597" t="s">
        <v>4575</v>
      </c>
      <c r="T65" s="604" t="s">
        <v>3742</v>
      </c>
    </row>
    <row r="66" spans="1:20" ht="18" customHeight="1" x14ac:dyDescent="0.15">
      <c r="A66" s="2111" t="s">
        <v>5707</v>
      </c>
      <c r="B66" s="17" t="s">
        <v>4631</v>
      </c>
      <c r="C66" s="18" t="s">
        <v>4575</v>
      </c>
      <c r="D66" s="21"/>
      <c r="E66" s="21"/>
      <c r="F66" s="2672" cm="1">
        <f t="array" ref="F66">INDEX('5층_부하량'!K3:K3000,MATCH(1,("5-DaHall 1-PDU-02"='5층_부하량'!A3:A3000)*(10='5층_부하량'!B3:B3000),0))</f>
        <v>0</v>
      </c>
      <c r="G66" s="21"/>
      <c r="H66" s="17" t="s">
        <v>4597</v>
      </c>
      <c r="I66" s="549" t="s">
        <v>4665</v>
      </c>
      <c r="J66" s="590" t="s">
        <v>5666</v>
      </c>
      <c r="K66" s="594"/>
      <c r="L66" s="549" t="s">
        <v>4605</v>
      </c>
      <c r="M66" s="17" t="s">
        <v>4597</v>
      </c>
      <c r="N66" s="21"/>
      <c r="O66" s="21"/>
      <c r="P66" s="2672" cm="1">
        <f t="array" ref="P66">INDEX('5층_부하량'!K3:K3000,MATCH(1,("5-DaHall 1-PDU-02"='5층_부하량'!A3:A3000)*(64='5층_부하량'!B3:B3000),0))</f>
        <v>0</v>
      </c>
      <c r="Q66" s="21"/>
      <c r="R66" s="69" t="s">
        <v>4631</v>
      </c>
      <c r="S66" s="597" t="s">
        <v>4575</v>
      </c>
      <c r="T66" s="604" t="s">
        <v>3747</v>
      </c>
    </row>
    <row r="67" spans="1:20" ht="18" customHeight="1" x14ac:dyDescent="0.15">
      <c r="A67" s="321" t="s">
        <v>3617</v>
      </c>
      <c r="B67" s="17" t="s">
        <v>4631</v>
      </c>
      <c r="C67" s="18" t="s">
        <v>4575</v>
      </c>
      <c r="D67" s="2672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4597</v>
      </c>
      <c r="I67" s="549" t="s">
        <v>4670</v>
      </c>
      <c r="J67" s="637" t="s">
        <v>5674</v>
      </c>
      <c r="K67" s="594"/>
      <c r="L67" s="549" t="s">
        <v>4609</v>
      </c>
      <c r="M67" s="17" t="s">
        <v>4597</v>
      </c>
      <c r="N67" s="2672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9" t="s">
        <v>4631</v>
      </c>
      <c r="S67" s="597" t="s">
        <v>4575</v>
      </c>
      <c r="T67" s="604" t="s">
        <v>3752</v>
      </c>
    </row>
    <row r="68" spans="1:20" ht="18" customHeight="1" x14ac:dyDescent="0.15">
      <c r="A68" s="321" t="s">
        <v>3623</v>
      </c>
      <c r="B68" s="17" t="s">
        <v>4631</v>
      </c>
      <c r="C68" s="18" t="s">
        <v>4575</v>
      </c>
      <c r="D68" s="21"/>
      <c r="E68" s="2672" cm="1" t="n">
        <f t="array" ref="E68">INDEX('5층_부하량'!J3:J3000,MATCH(1,("5-DaHall 1-PDU-02"='5층_부하량'!A3:A3000)*(12='5층_부하량'!B3:B3000),0))</f>
        <v>1.6313262212672612</v>
      </c>
      <c r="F68" s="21"/>
      <c r="G68" s="21"/>
      <c r="H68" s="17" t="s">
        <v>4597</v>
      </c>
      <c r="I68" s="549" t="s">
        <v>4674</v>
      </c>
      <c r="J68" s="637" t="s">
        <v>5675</v>
      </c>
      <c r="K68" s="594"/>
      <c r="L68" s="549" t="s">
        <v>4613</v>
      </c>
      <c r="M68" s="17" t="s">
        <v>4597</v>
      </c>
      <c r="N68" s="21"/>
      <c r="O68" s="2672" cm="1">
        <f t="array" ref="O68">INDEX('5층_부하량'!J3:J3000,MATCH(1,("5-DaHall 1-PDU-02"='5층_부하량'!A3:A3000)*(66='5층_부하량'!B3:B3000),0))</f>
        <v>0</v>
      </c>
      <c r="P68" s="21"/>
      <c r="Q68" s="21"/>
      <c r="R68" s="69" t="s">
        <v>4631</v>
      </c>
      <c r="S68" s="597" t="s">
        <v>4575</v>
      </c>
      <c r="T68" s="604" t="s">
        <v>3757</v>
      </c>
    </row>
    <row r="69" spans="1:20" ht="18" customHeight="1" x14ac:dyDescent="0.15">
      <c r="A69" s="321" t="s">
        <v>3629</v>
      </c>
      <c r="B69" s="17" t="s">
        <v>4631</v>
      </c>
      <c r="C69" s="18" t="s">
        <v>4575</v>
      </c>
      <c r="D69" s="21"/>
      <c r="E69" s="21"/>
      <c r="F69" s="2672" cm="1" t="n">
        <f t="array" ref="F69">INDEX('5층_부하량'!K3:K3000,MATCH(1,("5-DaHall 1-PDU-02"='5층_부하량'!A3:A3000)*(13='5층_부하량'!B3:B3000),0))</f>
        <v>1.3209485905405873</v>
      </c>
      <c r="G69" s="21"/>
      <c r="H69" s="17" t="s">
        <v>4597</v>
      </c>
      <c r="I69" s="549" t="s">
        <v>4678</v>
      </c>
      <c r="J69" s="637" t="s">
        <v>5676</v>
      </c>
      <c r="K69" s="594"/>
      <c r="L69" s="549" t="s">
        <v>4680</v>
      </c>
      <c r="M69" s="17" t="s">
        <v>4597</v>
      </c>
      <c r="N69" s="21"/>
      <c r="O69" s="21"/>
      <c r="P69" s="2672" cm="1">
        <f t="array" ref="P69">INDEX('5층_부하량'!K3:K3000,MATCH(1,("5-DaHall 1-PDU-02"='5층_부하량'!A3:A3000)*(67='5층_부하량'!B3:B3000),0))</f>
        <v>0</v>
      </c>
      <c r="Q69" s="21"/>
      <c r="R69" s="69" t="s">
        <v>4631</v>
      </c>
      <c r="S69" s="597" t="s">
        <v>4575</v>
      </c>
      <c r="T69" s="604" t="s">
        <v>5708</v>
      </c>
    </row>
    <row r="70" spans="1:20" ht="18" customHeight="1" x14ac:dyDescent="0.15">
      <c r="A70" s="321" t="s">
        <v>3635</v>
      </c>
      <c r="B70" s="17" t="s">
        <v>4631</v>
      </c>
      <c r="C70" s="18" t="s">
        <v>4575</v>
      </c>
      <c r="D70" s="2672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4597</v>
      </c>
      <c r="I70" s="549" t="s">
        <v>4683</v>
      </c>
      <c r="J70" s="637" t="s">
        <v>5678</v>
      </c>
      <c r="K70" s="594"/>
      <c r="L70" s="549" t="s">
        <v>4685</v>
      </c>
      <c r="M70" s="17" t="s">
        <v>4597</v>
      </c>
      <c r="N70" s="2672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9" t="s">
        <v>4631</v>
      </c>
      <c r="S70" s="597" t="s">
        <v>4575</v>
      </c>
      <c r="T70" s="604" t="s">
        <v>3767</v>
      </c>
    </row>
    <row r="71" spans="1:20" ht="18" customHeight="1" x14ac:dyDescent="0.15">
      <c r="A71" s="321" t="s">
        <v>3820</v>
      </c>
      <c r="B71" s="72" t="s">
        <v>4631</v>
      </c>
      <c r="C71" s="17" t="s">
        <v>4642</v>
      </c>
      <c r="D71" s="21"/>
      <c r="E71" s="2672" cm="1">
        <f t="array" ref="E71">INDEX('5층_부하량'!J3:J3000,MATCH(1,("5-DaHall 1-PDU-02"='5층_부하량'!A3:A3000)*(15='5층_부하량'!B3:B3000),0))</f>
        <v>0</v>
      </c>
      <c r="F71" s="21"/>
      <c r="G71" s="74"/>
      <c r="H71" s="72" t="s">
        <v>4597</v>
      </c>
      <c r="I71" s="550" t="s">
        <v>4688</v>
      </c>
      <c r="J71" s="65"/>
      <c r="K71" s="594"/>
      <c r="L71" s="550" t="s">
        <v>4689</v>
      </c>
      <c r="M71" s="72" t="s">
        <v>4597</v>
      </c>
      <c r="N71" s="21"/>
      <c r="O71" s="2672" cm="1">
        <f t="array" ref="O71">INDEX('5층_부하량'!J3:J3000,MATCH(1,("5-DaHall 1-PDU-02"='5층_부하량'!A3:A3000)*(69='5층_부하량'!B3:B3000),0))</f>
        <v>0</v>
      </c>
      <c r="P71" s="21"/>
      <c r="Q71" s="74"/>
      <c r="R71" s="75" t="s">
        <v>4631</v>
      </c>
      <c r="S71" s="597" t="s">
        <v>4575</v>
      </c>
      <c r="T71" s="605" t="s">
        <v>3772</v>
      </c>
    </row>
    <row r="72" spans="1:20" ht="18" customHeight="1" x14ac:dyDescent="0.15">
      <c r="A72" s="321" t="s">
        <v>3824</v>
      </c>
      <c r="B72" s="17" t="s">
        <v>4631</v>
      </c>
      <c r="C72" s="17" t="s">
        <v>4642</v>
      </c>
      <c r="D72" s="21"/>
      <c r="E72" s="21"/>
      <c r="F72" s="2672" cm="1">
        <f t="array" ref="F72">INDEX('5층_부하량'!K3:K3000,MATCH(1,("5-DaHall 1-PDU-02"='5층_부하량'!A3:A3000)*(16='5층_부하량'!B3:B3000),0))</f>
        <v>0</v>
      </c>
      <c r="G72" s="21"/>
      <c r="H72" s="17" t="s">
        <v>4597</v>
      </c>
      <c r="I72" s="549" t="s">
        <v>4691</v>
      </c>
      <c r="J72" s="65"/>
      <c r="K72" s="66"/>
      <c r="L72" s="549" t="s">
        <v>4692</v>
      </c>
      <c r="M72" s="17" t="s">
        <v>4597</v>
      </c>
      <c r="N72" s="21"/>
      <c r="O72" s="21"/>
      <c r="P72" s="2672" cm="1">
        <f t="array" ref="P72">INDEX('5층_부하량'!K3:K3000,MATCH(1,("5-DaHall 1-PDU-02"='5층_부하량'!A3:A3000)*(70='5층_부하량'!B3:B3000),0))</f>
        <v>0</v>
      </c>
      <c r="Q72" s="21"/>
      <c r="R72" s="69" t="s">
        <v>4631</v>
      </c>
      <c r="S72" s="597" t="s">
        <v>4575</v>
      </c>
      <c r="T72" s="606" t="s">
        <v>5709</v>
      </c>
    </row>
    <row r="73" spans="1:20" ht="18" customHeight="1" x14ac:dyDescent="0.15">
      <c r="A73" s="2111" t="s">
        <v>5680</v>
      </c>
      <c r="B73" s="17" t="s">
        <v>4631</v>
      </c>
      <c r="C73" s="18" t="s">
        <v>4575</v>
      </c>
      <c r="D73" s="2672" cm="1" t="n">
        <f t="array" ref="D73">INDEX('5층_부하량'!I3:I3000,MATCH(1,("5-DaHall 1-PDU-02"='5층_부하량'!A3:A3000)*(17='5층_부하량'!B3:B3000),0))</f>
        <v>11.464220573325287</v>
      </c>
      <c r="E73" s="19"/>
      <c r="F73" s="19"/>
      <c r="G73" s="21"/>
      <c r="H73" s="17" t="s">
        <v>4597</v>
      </c>
      <c r="I73" s="549" t="s">
        <v>4693</v>
      </c>
      <c r="J73" s="590" t="s">
        <v>5666</v>
      </c>
      <c r="K73" s="66"/>
      <c r="L73" s="549" t="s">
        <v>4694</v>
      </c>
      <c r="M73" s="17" t="s">
        <v>4597</v>
      </c>
      <c r="N73" s="2672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9" t="s">
        <v>4631</v>
      </c>
      <c r="S73" s="597" t="s">
        <v>4575</v>
      </c>
      <c r="T73" s="606" t="s">
        <v>5710</v>
      </c>
    </row>
    <row r="74" spans="1:20" ht="18" customHeight="1" x14ac:dyDescent="0.15">
      <c r="A74" s="2111" t="s">
        <v>5711</v>
      </c>
      <c r="B74" s="17" t="s">
        <v>4631</v>
      </c>
      <c r="C74" s="18" t="s">
        <v>4575</v>
      </c>
      <c r="D74" s="21"/>
      <c r="E74" s="2672" cm="1" t="n">
        <f t="array" ref="E74">INDEX('5층_부하량'!J3:J3000,MATCH(1,("5-DaHall 1-PDU-02"='5층_부하량'!A3:A3000)*(18='5층_부하량'!B3:B3000),0))</f>
        <v>11.570942756767701</v>
      </c>
      <c r="F74" s="21"/>
      <c r="G74" s="21"/>
      <c r="H74" s="17" t="s">
        <v>4597</v>
      </c>
      <c r="I74" s="549" t="s">
        <v>4697</v>
      </c>
      <c r="J74" s="590" t="s">
        <v>5666</v>
      </c>
      <c r="K74" s="66"/>
      <c r="L74" s="549" t="s">
        <v>4698</v>
      </c>
      <c r="M74" s="17" t="s">
        <v>4597</v>
      </c>
      <c r="N74" s="21"/>
      <c r="O74" s="2672" cm="1">
        <f t="array" ref="O74">INDEX('5층_부하량'!J3:J3000,MATCH(1,("5-DaHall 1-PDU-02"='5층_부하량'!A3:A3000)*(72='5층_부하량'!B3:B3000),0))</f>
        <v>0</v>
      </c>
      <c r="P74" s="21"/>
      <c r="Q74" s="21"/>
      <c r="R74" s="69" t="s">
        <v>4631</v>
      </c>
      <c r="S74" s="597" t="s">
        <v>4575</v>
      </c>
      <c r="T74" s="606" t="s">
        <v>5712</v>
      </c>
    </row>
    <row r="75" spans="1:20" ht="18" customHeight="1" x14ac:dyDescent="0.15">
      <c r="A75" s="2111" t="s">
        <v>5713</v>
      </c>
      <c r="B75" s="17" t="s">
        <v>4631</v>
      </c>
      <c r="C75" s="18" t="s">
        <v>4575</v>
      </c>
      <c r="D75" s="21"/>
      <c r="E75" s="19"/>
      <c r="F75" s="2670" cm="1" t="n">
        <f t="array" ref="F75">INDEX('5층_부하량'!K3:K3000,MATCH(1,("5-DaHall 1-PDU-02"='5층_부하량'!A3:A3000)*(19='5층_부하량'!B3:B3000),0))</f>
        <v>9.730126795892065</v>
      </c>
      <c r="G75" s="21"/>
      <c r="H75" s="17" t="s">
        <v>4597</v>
      </c>
      <c r="I75" s="549" t="s">
        <v>4701</v>
      </c>
      <c r="J75" s="590" t="s">
        <v>5666</v>
      </c>
      <c r="K75" s="66"/>
      <c r="L75" s="549" t="s">
        <v>4703</v>
      </c>
      <c r="M75" s="17" t="s">
        <v>4597</v>
      </c>
      <c r="N75" s="21"/>
      <c r="O75" s="19"/>
      <c r="P75" s="2670" cm="1">
        <f t="array" ref="P75">INDEX('5층_부하량'!K3:K3000,MATCH(1,("5-DaHall 1-PDU-02"='5층_부하량'!A3:A3000)*(73='5층_부하량'!B3:B3000),0))</f>
        <v>0</v>
      </c>
      <c r="Q75" s="21"/>
      <c r="R75" s="69" t="s">
        <v>4631</v>
      </c>
      <c r="S75" s="597" t="s">
        <v>4575</v>
      </c>
      <c r="T75" s="606" t="s">
        <v>5714</v>
      </c>
    </row>
    <row r="76" spans="1:20" ht="18" customHeight="1" x14ac:dyDescent="0.15">
      <c r="A76" s="2111" t="s">
        <v>5715</v>
      </c>
      <c r="B76" s="17" t="s">
        <v>4631</v>
      </c>
      <c r="C76" s="18" t="s">
        <v>4575</v>
      </c>
      <c r="D76" s="2672" cm="1" t="n">
        <f t="array" ref="D76">INDEX('5층_부하량'!I3:I3000,MATCH(1,("5-DaHall 1-PDU-02"='5층_부하량'!A3:A3000)*(20='5층_부하량'!B3:B3000),0))</f>
        <v>11.347981538483833</v>
      </c>
      <c r="E76" s="19"/>
      <c r="F76" s="19"/>
      <c r="G76" s="21"/>
      <c r="H76" s="17" t="s">
        <v>4597</v>
      </c>
      <c r="I76" s="549" t="s">
        <v>4706</v>
      </c>
      <c r="J76" s="590" t="s">
        <v>5666</v>
      </c>
      <c r="K76" s="66"/>
      <c r="L76" s="549" t="s">
        <v>4707</v>
      </c>
      <c r="M76" s="17" t="s">
        <v>4597</v>
      </c>
      <c r="N76" s="2672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9" t="s">
        <v>4631</v>
      </c>
      <c r="S76" s="597" t="s">
        <v>4575</v>
      </c>
      <c r="T76" s="606" t="s">
        <v>5716</v>
      </c>
    </row>
    <row r="77" spans="1:20" ht="18" customHeight="1" x14ac:dyDescent="0.15">
      <c r="A77" s="2111" t="s">
        <v>5717</v>
      </c>
      <c r="B77" s="17" t="s">
        <v>4631</v>
      </c>
      <c r="C77" s="18" t="s">
        <v>4575</v>
      </c>
      <c r="D77" s="21"/>
      <c r="E77" s="2672" cm="1" t="n">
        <f t="array" ref="E77">INDEX('5층_부하량'!J3:J3000,MATCH(1,("5-DaHall 1-PDU-02"='5층_부하량'!A3:A3000)*(21='5층_부하량'!B3:B3000),0))</f>
        <v>9.51549084765681</v>
      </c>
      <c r="F77" s="19"/>
      <c r="G77" s="21"/>
      <c r="H77" s="17" t="s">
        <v>4597</v>
      </c>
      <c r="I77" s="549" t="s">
        <v>4710</v>
      </c>
      <c r="J77" s="590" t="s">
        <v>5666</v>
      </c>
      <c r="K77" s="66"/>
      <c r="L77" s="549" t="s">
        <v>4711</v>
      </c>
      <c r="M77" s="17" t="s">
        <v>4597</v>
      </c>
      <c r="N77" s="21"/>
      <c r="O77" s="2672" cm="1">
        <f t="array" ref="O77">INDEX('5층_부하량'!J3:J3000,MATCH(1,("5-DaHall 1-PDU-02"='5층_부하량'!A3:A3000)*(75='5층_부하량'!B3:B3000),0))</f>
        <v>0</v>
      </c>
      <c r="P77" s="19"/>
      <c r="Q77" s="21"/>
      <c r="R77" s="69" t="s">
        <v>4631</v>
      </c>
      <c r="S77" s="17" t="s">
        <v>4642</v>
      </c>
      <c r="T77" s="606" t="s">
        <v>5718</v>
      </c>
    </row>
    <row r="78" spans="1:20" ht="18" customHeight="1" x14ac:dyDescent="0.15">
      <c r="A78" s="321" t="s">
        <v>3596</v>
      </c>
      <c r="B78" s="17" t="s">
        <v>4631</v>
      </c>
      <c r="C78" s="2112" t="s">
        <v>3381</v>
      </c>
      <c r="D78" s="21"/>
      <c r="E78" s="19"/>
      <c r="F78" s="2672" cm="1">
        <f t="array" ref="F78">INDEX('5층_부하량'!K3:K3000,MATCH(1,("5-DaHall 1-PDU-02"='5층_부하량'!A3:A3000)*(22='5층_부하량'!B3:B3000),0))</f>
        <v>0</v>
      </c>
      <c r="G78" s="21"/>
      <c r="H78" s="17" t="s">
        <v>4597</v>
      </c>
      <c r="I78" s="549" t="s">
        <v>5055</v>
      </c>
      <c r="J78" s="65" t="s">
        <v>5661</v>
      </c>
      <c r="K78" s="594" t="s">
        <v>4637</v>
      </c>
      <c r="L78" s="549" t="s">
        <v>4843</v>
      </c>
      <c r="M78" s="17" t="s">
        <v>4597</v>
      </c>
      <c r="N78" s="21"/>
      <c r="O78" s="19"/>
      <c r="P78" s="2672" cm="1">
        <f t="array" ref="P78">INDEX('5층_부하량'!K3:K3000,MATCH(1,("5-DaHall 1-PDU-02"='5층_부하량'!A3:A3000)*(76='5층_부하량'!B3:B3000),0))</f>
        <v>0</v>
      </c>
      <c r="Q78" s="21"/>
      <c r="R78" s="69" t="s">
        <v>4631</v>
      </c>
      <c r="S78" s="17" t="s">
        <v>4642</v>
      </c>
      <c r="T78" s="604" t="s">
        <v>5719</v>
      </c>
    </row>
    <row r="79" spans="1:20" ht="18" customHeight="1" x14ac:dyDescent="0.15">
      <c r="A79" s="321" t="s">
        <v>3601</v>
      </c>
      <c r="B79" s="17" t="s">
        <v>4631</v>
      </c>
      <c r="C79" s="2112" t="s">
        <v>3381</v>
      </c>
      <c r="D79" s="2672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4597</v>
      </c>
      <c r="I79" s="549" t="s">
        <v>4845</v>
      </c>
      <c r="J79" s="65" t="s">
        <v>5661</v>
      </c>
      <c r="K79" s="594"/>
      <c r="L79" s="549" t="s">
        <v>4846</v>
      </c>
      <c r="M79" s="17" t="s">
        <v>4597</v>
      </c>
      <c r="N79" s="2672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9" t="s">
        <v>4631</v>
      </c>
      <c r="S79" s="17" t="s">
        <v>4642</v>
      </c>
      <c r="T79" s="604" t="s">
        <v>3643</v>
      </c>
    </row>
    <row r="80" spans="1:20" ht="18" customHeight="1" x14ac:dyDescent="0.15">
      <c r="A80" s="321" t="s">
        <v>3606</v>
      </c>
      <c r="B80" s="17" t="s">
        <v>4631</v>
      </c>
      <c r="C80" s="2112" t="s">
        <v>3381</v>
      </c>
      <c r="D80" s="21"/>
      <c r="E80" s="2672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4597</v>
      </c>
      <c r="I80" s="549" t="s">
        <v>4847</v>
      </c>
      <c r="J80" s="65" t="s">
        <v>5661</v>
      </c>
      <c r="K80" s="595" t="s">
        <v>5690</v>
      </c>
      <c r="L80" s="549" t="s">
        <v>4848</v>
      </c>
      <c r="M80" s="17" t="s">
        <v>4597</v>
      </c>
      <c r="N80" s="21"/>
      <c r="O80" s="2672" cm="1" t="n">
        <f t="array" ref="O80">INDEX('5층_부하량'!J3:J3000,MATCH(1,("5-DaHall 1-PDU-02"='5층_부하량'!A3:A3000)*(78='5층_부하량'!B3:B3000),0))</f>
        <v>0.6574806847152386</v>
      </c>
      <c r="P80" s="21"/>
      <c r="Q80" s="21"/>
      <c r="R80" s="69" t="s">
        <v>4631</v>
      </c>
      <c r="S80" s="597" t="s">
        <v>4575</v>
      </c>
      <c r="T80" s="604" t="s">
        <v>3178</v>
      </c>
    </row>
    <row r="81" spans="1:20" ht="18" customHeight="1" x14ac:dyDescent="0.15">
      <c r="A81" s="321" t="s">
        <v>3611</v>
      </c>
      <c r="B81" s="17" t="s">
        <v>4631</v>
      </c>
      <c r="C81" s="2112" t="s">
        <v>3381</v>
      </c>
      <c r="D81" s="21"/>
      <c r="E81" s="21"/>
      <c r="F81" s="2672" cm="1">
        <f t="array" ref="F81">INDEX('5층_부하량'!K3:K3000,MATCH(1,("5-DaHall 1-PDU-02"='5층_부하량'!A3:A3000)*(25='5층_부하량'!B3:B3000),0))</f>
        <v>0</v>
      </c>
      <c r="G81" s="21"/>
      <c r="H81" s="17" t="s">
        <v>4597</v>
      </c>
      <c r="I81" s="549" t="s">
        <v>4849</v>
      </c>
      <c r="J81" s="65" t="s">
        <v>5661</v>
      </c>
      <c r="K81" s="596" t="s">
        <v>5692</v>
      </c>
      <c r="L81" s="549" t="s">
        <v>4850</v>
      </c>
      <c r="M81" s="17" t="s">
        <v>4597</v>
      </c>
      <c r="N81" s="21"/>
      <c r="O81" s="21"/>
      <c r="P81" s="2672" cm="1" t="n">
        <f t="array" ref="P81">INDEX('5층_부하량'!K3:K3000,MATCH(1,("5-DaHall 1-PDU-02"='5층_부하량'!A3:A3000)*(79='5층_부하량'!B3:B3000),0))</f>
        <v>1.1049281432531535</v>
      </c>
      <c r="Q81" s="21"/>
      <c r="R81" s="69" t="s">
        <v>4631</v>
      </c>
      <c r="S81" s="597" t="s">
        <v>4575</v>
      </c>
      <c r="T81" s="70" t="s">
        <v>5720</v>
      </c>
    </row>
    <row r="82" spans="1:20" ht="18" customHeight="1" thickBot="1" x14ac:dyDescent="0.2">
      <c r="A82" s="600" t="s">
        <v>5694</v>
      </c>
      <c r="B82" s="35" t="s">
        <v>4631</v>
      </c>
      <c r="C82" s="35" t="s">
        <v>4642</v>
      </c>
      <c r="D82" s="2671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4597</v>
      </c>
      <c r="I82" s="551" t="s">
        <v>4851</v>
      </c>
      <c r="J82" s="76"/>
      <c r="K82" s="77" t="s">
        <v>5695</v>
      </c>
      <c r="L82" s="551" t="s">
        <v>4852</v>
      </c>
      <c r="M82" s="35" t="s">
        <v>4597</v>
      </c>
      <c r="N82" s="2671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8" t="s">
        <v>4631</v>
      </c>
      <c r="S82" s="598" t="s">
        <v>4575</v>
      </c>
      <c r="T82" s="79" t="s">
        <v>5721</v>
      </c>
    </row>
    <row r="83" spans="1:20" ht="18" customHeight="1" thickTop="1" thickBot="1" x14ac:dyDescent="0.2">
      <c r="M83" s="80" t="s">
        <v>5645</v>
      </c>
      <c r="N83" s="33" t="n">
        <f>SUM(D57:D82,N57:N82)</f>
        <v>34.260547035432324</v>
      </c>
      <c r="O83" s="33" t="n">
        <f>SUM(E57:E82,O57:O82)</f>
        <v>35.69933458120285</v>
      </c>
      <c r="P83" s="33" t="n">
        <f>SUM(F57:F82,P57:P82)</f>
        <v>27.022333544301457</v>
      </c>
    </row>
    <row r="84" spans="1:20" ht="18" customHeight="1" thickTop="1" thickBot="1" x14ac:dyDescent="0.2">
      <c r="A84" s="2" t="s">
        <v>6947</v>
      </c>
      <c r="C84" s="3660" t="s">
        <v>5722</v>
      </c>
      <c r="D84" s="3660"/>
      <c r="E84" s="3660"/>
      <c r="F84" s="3660"/>
      <c r="G84" s="53"/>
      <c r="H84" s="124"/>
      <c r="I84" s="124"/>
      <c r="J84" s="3661" t="s">
        <v>5653</v>
      </c>
      <c r="K84" s="3667"/>
      <c r="L84" s="124"/>
      <c r="M84" s="124"/>
      <c r="N84" s="53"/>
      <c r="O84" s="53"/>
      <c r="P84" s="53"/>
      <c r="Q84" s="53"/>
      <c r="R84" s="53"/>
      <c r="S84" s="53"/>
    </row>
    <row r="85" spans="1:20" ht="18" customHeight="1" thickTop="1" thickBot="1" x14ac:dyDescent="0.2">
      <c r="A85" s="3"/>
      <c r="D85" s="54"/>
      <c r="E85" s="54"/>
      <c r="F85" s="54"/>
      <c r="G85" s="54"/>
      <c r="H85" s="4"/>
      <c r="I85" s="4"/>
      <c r="K85" s="56"/>
      <c r="L85" s="565"/>
      <c r="M85" s="1371" t="s">
        <v>4562</v>
      </c>
      <c r="N85" s="1368">
        <v>26.8</v>
      </c>
      <c r="O85" s="1369">
        <v>15.9</v>
      </c>
      <c r="P85" s="1370">
        <v>18</v>
      </c>
      <c r="Q85" s="508" t="s">
        <v>4563</v>
      </c>
      <c r="R85" s="133"/>
      <c r="S85" s="128"/>
      <c r="T85" s="528"/>
    </row>
    <row r="86" spans="1:20" ht="18" customHeight="1" thickTop="1" thickBot="1" x14ac:dyDescent="0.2">
      <c r="A86" s="5" t="s">
        <v>4564</v>
      </c>
      <c r="B86" s="6" t="s">
        <v>4565</v>
      </c>
      <c r="C86" s="7" t="s">
        <v>4566</v>
      </c>
      <c r="D86" s="6" t="s">
        <v>4567</v>
      </c>
      <c r="E86" s="6" t="s">
        <v>4568</v>
      </c>
      <c r="F86" s="6" t="s">
        <v>4569</v>
      </c>
      <c r="G86" s="6" t="s">
        <v>4570</v>
      </c>
      <c r="H86" s="8" t="s">
        <v>4571</v>
      </c>
      <c r="I86" s="547"/>
      <c r="J86" s="58" t="s">
        <v>4572</v>
      </c>
      <c r="K86" s="59" t="s">
        <v>4572</v>
      </c>
      <c r="L86" s="566"/>
      <c r="M86" s="8" t="s">
        <v>4571</v>
      </c>
      <c r="N86" s="6" t="s">
        <v>4567</v>
      </c>
      <c r="O86" s="6" t="s">
        <v>4568</v>
      </c>
      <c r="P86" s="6" t="s">
        <v>4569</v>
      </c>
      <c r="Q86" s="6" t="s">
        <v>4570</v>
      </c>
      <c r="R86" s="6" t="s">
        <v>4565</v>
      </c>
      <c r="S86" s="7" t="s">
        <v>4566</v>
      </c>
      <c r="T86" s="60" t="s">
        <v>4564</v>
      </c>
    </row>
    <row r="87" spans="1:20" ht="18" customHeight="1" thickTop="1" x14ac:dyDescent="0.15">
      <c r="A87" s="10"/>
      <c r="B87" s="11" t="s">
        <v>4590</v>
      </c>
      <c r="C87" s="13" t="s">
        <v>4723</v>
      </c>
      <c r="D87" s="2669" cm="1">
        <f t="array" ref="D87">INDEX('5층_부하량'!I3:I3000,MATCH(1,("5-DaHall 1-PDU-03"='5층_부하량'!A3:A3000)*(1='5층_부하량'!B3:B3000),0))</f>
        <v>0</v>
      </c>
      <c r="E87" s="2669" cm="1">
        <f t="array" ref="E87">INDEX('5층_부하량'!J3:J3000,MATCH(1,("5-DaHall 1-PDU-03"='5층_부하량'!A3:A3000)*(1='5층_부하량'!B3:B3000),0))</f>
        <v>0</v>
      </c>
      <c r="F87" s="2669" cm="1">
        <f t="array" ref="F87">INDEX('5층_부하량'!K3:K3000,MATCH(1,("5-DaHall 1-PDU-03"='5층_부하량'!A3:A3000)*(1='5층_부하량'!B3:B3000),0))</f>
        <v>0</v>
      </c>
      <c r="G87" s="15"/>
      <c r="H87" s="11" t="s">
        <v>5654</v>
      </c>
      <c r="I87" s="564" t="s">
        <v>5655</v>
      </c>
      <c r="J87" s="61"/>
      <c r="K87" s="62"/>
      <c r="L87" s="567" t="s">
        <v>5656</v>
      </c>
      <c r="M87" s="11" t="s">
        <v>5654</v>
      </c>
      <c r="N87" s="2669" cm="1">
        <f t="array" ref="N87">INDEX('5층_부하량'!I3:I3000,MATCH(1,("5-DaHall 1-PDU-03"='5층_부하량'!A3:A3000)*(55='5층_부하량'!B3:B3000),0))</f>
        <v>0</v>
      </c>
      <c r="O87" s="2669" cm="1">
        <f t="array" ref="O87">INDEX('5층_부하량'!J3:J3000,MATCH(1,("5-DaHall 1-PDU-03"='5층_부하량'!A3:A3000)*(55='5층_부하량'!B3:B3000),0))</f>
        <v>0</v>
      </c>
      <c r="P87" s="2669" cm="1">
        <f t="array" ref="P87">INDEX('5층_부하량'!K3:K3000,MATCH(1,("5-DaHall 1-PDU-03"='5층_부하량'!A3:A3000)*(55='5층_부하량'!B3:B3000),0))</f>
        <v>0</v>
      </c>
      <c r="Q87" s="15"/>
      <c r="R87" s="63" t="s">
        <v>4940</v>
      </c>
      <c r="S87" s="11" t="s">
        <v>4584</v>
      </c>
      <c r="T87" s="64"/>
    </row>
    <row r="88" spans="1:20" ht="18" customHeight="1" x14ac:dyDescent="0.15">
      <c r="A88" s="601" t="s">
        <v>5723</v>
      </c>
      <c r="B88" s="17" t="s">
        <v>4631</v>
      </c>
      <c r="C88" s="18" t="s">
        <v>4575</v>
      </c>
      <c r="D88" s="2672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4576</v>
      </c>
      <c r="I88" s="549" t="s">
        <v>4633</v>
      </c>
      <c r="J88" s="592"/>
      <c r="K88" s="2249" t="s">
        <v>3187</v>
      </c>
      <c r="L88" s="549" t="s">
        <v>4578</v>
      </c>
      <c r="M88" s="17" t="s">
        <v>4576</v>
      </c>
      <c r="N88" s="2672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4579</v>
      </c>
      <c r="S88" s="17" t="s">
        <v>4723</v>
      </c>
      <c r="T88" s="606" t="s">
        <v>5724</v>
      </c>
    </row>
    <row r="89" spans="1:20" ht="18" customHeight="1" x14ac:dyDescent="0.15">
      <c r="A89" s="601" t="s">
        <v>5725</v>
      </c>
      <c r="B89" s="17" t="s">
        <v>4631</v>
      </c>
      <c r="C89" s="18" t="s">
        <v>4575</v>
      </c>
      <c r="D89" s="21"/>
      <c r="E89" s="2672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4576</v>
      </c>
      <c r="I89" s="549" t="s">
        <v>4638</v>
      </c>
      <c r="J89" s="592"/>
      <c r="K89" s="2249" t="s">
        <v>3187</v>
      </c>
      <c r="L89" s="549" t="s">
        <v>4583</v>
      </c>
      <c r="M89" s="17" t="s">
        <v>4576</v>
      </c>
      <c r="N89" s="21"/>
      <c r="O89" s="2672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4579</v>
      </c>
      <c r="S89" s="17" t="s">
        <v>4723</v>
      </c>
      <c r="T89" s="606" t="s">
        <v>5726</v>
      </c>
    </row>
    <row r="90" spans="1:20" ht="18" customHeight="1" x14ac:dyDescent="0.15">
      <c r="A90" s="601" t="s">
        <v>5727</v>
      </c>
      <c r="B90" s="17" t="s">
        <v>4631</v>
      </c>
      <c r="C90" s="18" t="s">
        <v>4575</v>
      </c>
      <c r="D90" s="21"/>
      <c r="E90" s="21"/>
      <c r="F90" s="2672" cm="1">
        <f t="array" ref="F90">INDEX('5층_부하량'!K3:K3000,MATCH(1,("5-DaHall 1-PDU-03"='5층_부하량'!A3:A3000)*(4='5층_부하량'!B3:B3000),0))</f>
        <v>0</v>
      </c>
      <c r="G90" s="21"/>
      <c r="H90" s="17" t="s">
        <v>4576</v>
      </c>
      <c r="I90" s="549" t="s">
        <v>4641</v>
      </c>
      <c r="J90" s="592"/>
      <c r="K90" s="2249" t="s">
        <v>3187</v>
      </c>
      <c r="L90" s="549" t="s">
        <v>4588</v>
      </c>
      <c r="M90" s="17" t="s">
        <v>4576</v>
      </c>
      <c r="N90" s="21"/>
      <c r="O90" s="21"/>
      <c r="P90" s="2672" cm="1" t="n">
        <f t="array" ref="P90">INDEX('5층_부하량'!K3:K3000,MATCH(1,("5-DaHall 1-PDU-03"='5층_부하량'!A3:A3000)*(58='5층_부하량'!B3:B3000),0))</f>
        <v>0.5681509910120145</v>
      </c>
      <c r="Q90" s="21"/>
      <c r="R90" s="17" t="s">
        <v>4579</v>
      </c>
      <c r="S90" s="18" t="s">
        <v>4575</v>
      </c>
      <c r="T90" s="606" t="s">
        <v>5728</v>
      </c>
    </row>
    <row r="91" spans="1:20" ht="18" customHeight="1" x14ac:dyDescent="0.15">
      <c r="A91" s="601" t="s">
        <v>5729</v>
      </c>
      <c r="B91" s="17" t="s">
        <v>4631</v>
      </c>
      <c r="C91" s="18" t="s">
        <v>4575</v>
      </c>
      <c r="D91" s="2672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4576</v>
      </c>
      <c r="I91" s="549" t="s">
        <v>4645</v>
      </c>
      <c r="J91" s="592"/>
      <c r="K91" s="2249" t="s">
        <v>3187</v>
      </c>
      <c r="L91" s="549" t="s">
        <v>4593</v>
      </c>
      <c r="M91" s="17" t="s">
        <v>4597</v>
      </c>
      <c r="N91" s="2672" cm="1" t="n">
        <f t="array" ref="N91">INDEX('5층_부하량'!I3:I3000,MATCH(1,("5-DaHall 1-PDU-03"='5층_부하량'!A3:A3000)*(59='5층_부하량'!B3:B3000),0))</f>
        <v>1.4132966497392698</v>
      </c>
      <c r="O91" s="19"/>
      <c r="P91" s="19"/>
      <c r="Q91" s="21"/>
      <c r="R91" s="17" t="s">
        <v>4579</v>
      </c>
      <c r="S91" s="18" t="s">
        <v>4575</v>
      </c>
      <c r="T91" s="606" t="s">
        <v>5730</v>
      </c>
    </row>
    <row r="92" spans="1:20" ht="18" customHeight="1" x14ac:dyDescent="0.15">
      <c r="A92" s="601" t="s">
        <v>5731</v>
      </c>
      <c r="B92" s="17" t="s">
        <v>4631</v>
      </c>
      <c r="C92" s="18" t="s">
        <v>4575</v>
      </c>
      <c r="D92" s="21"/>
      <c r="E92" s="2672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4576</v>
      </c>
      <c r="I92" s="549" t="s">
        <v>4648</v>
      </c>
      <c r="J92" s="592"/>
      <c r="K92" s="2249" t="s">
        <v>3187</v>
      </c>
      <c r="L92" s="549" t="s">
        <v>4596</v>
      </c>
      <c r="M92" s="17" t="s">
        <v>4597</v>
      </c>
      <c r="N92" s="21"/>
      <c r="O92" s="2672" cm="1" t="n">
        <f t="array" ref="O92">INDEX('5층_부하량'!J3:J3000,MATCH(1,("5-DaHall 1-PDU-03"='5층_부하량'!A3:A3000)*(60='5층_부하량'!B3:B3000),0))</f>
        <v>3.568724268181456</v>
      </c>
      <c r="P92" s="21"/>
      <c r="Q92" s="21"/>
      <c r="R92" s="17" t="s">
        <v>4579</v>
      </c>
      <c r="S92" s="18" t="s">
        <v>4575</v>
      </c>
      <c r="T92" s="606" t="s">
        <v>5732</v>
      </c>
    </row>
    <row r="93" spans="1:20" ht="18" customHeight="1" x14ac:dyDescent="0.15">
      <c r="A93" s="601" t="s">
        <v>5733</v>
      </c>
      <c r="B93" s="17" t="s">
        <v>4631</v>
      </c>
      <c r="C93" s="18" t="s">
        <v>4575</v>
      </c>
      <c r="D93" s="21"/>
      <c r="E93" s="21"/>
      <c r="F93" s="2672" cm="1">
        <f t="array" ref="F93">INDEX('5층_부하량'!K3:K3000,MATCH(1,("5-DaHall 1-PDU-03"='5층_부하량'!A3:A3000)*(7='5층_부하량'!B3:B3000),0))</f>
        <v>0</v>
      </c>
      <c r="G93" s="21"/>
      <c r="H93" s="17" t="s">
        <v>4597</v>
      </c>
      <c r="I93" s="549" t="s">
        <v>4653</v>
      </c>
      <c r="J93" s="592"/>
      <c r="K93" s="2249" t="s">
        <v>3187</v>
      </c>
      <c r="L93" s="549" t="s">
        <v>4599</v>
      </c>
      <c r="M93" s="17" t="s">
        <v>4597</v>
      </c>
      <c r="N93" s="21"/>
      <c r="O93" s="21"/>
      <c r="P93" s="2672" cm="1" t="n">
        <f t="array" ref="P93">INDEX('5층_부하량'!K3:K3000,MATCH(1,("5-DaHall 1-PDU-03"='5층_부하량'!A3:A3000)*(61='5층_부하량'!B3:B3000),0))</f>
        <v>1.7761627061846361</v>
      </c>
      <c r="Q93" s="21"/>
      <c r="R93" s="17" t="s">
        <v>4579</v>
      </c>
      <c r="S93" s="18" t="s">
        <v>4575</v>
      </c>
      <c r="T93" s="606" t="s">
        <v>5734</v>
      </c>
    </row>
    <row r="94" spans="1:20" ht="18" customHeight="1" x14ac:dyDescent="0.15">
      <c r="A94" s="601" t="s">
        <v>5735</v>
      </c>
      <c r="B94" s="17" t="s">
        <v>4631</v>
      </c>
      <c r="C94" s="18" t="s">
        <v>4575</v>
      </c>
      <c r="D94" s="2672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4597</v>
      </c>
      <c r="I94" s="549" t="s">
        <v>4657</v>
      </c>
      <c r="J94" s="592"/>
      <c r="K94" s="2249" t="s">
        <v>3187</v>
      </c>
      <c r="L94" s="549" t="s">
        <v>4601</v>
      </c>
      <c r="M94" s="17" t="s">
        <v>4597</v>
      </c>
      <c r="N94" s="2672" cm="1" t="n">
        <f t="array" ref="N94">INDEX('5층_부하량'!I3:I3000,MATCH(1,("5-DaHall 1-PDU-03"='5층_부하량'!A3:A3000)*(62='5층_부하량'!B3:B3000),0))</f>
        <v>0.35629444439874774</v>
      </c>
      <c r="O94" s="19"/>
      <c r="P94" s="19"/>
      <c r="Q94" s="21"/>
      <c r="R94" s="17" t="s">
        <v>4579</v>
      </c>
      <c r="S94" s="18" t="s">
        <v>4575</v>
      </c>
      <c r="T94" s="606" t="s">
        <v>5736</v>
      </c>
    </row>
    <row r="95" spans="1:20" ht="18" customHeight="1" x14ac:dyDescent="0.15">
      <c r="A95" s="601" t="s">
        <v>5737</v>
      </c>
      <c r="B95" s="17" t="s">
        <v>4631</v>
      </c>
      <c r="C95" s="18" t="s">
        <v>4575</v>
      </c>
      <c r="D95" s="21"/>
      <c r="E95" s="2672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4597</v>
      </c>
      <c r="I95" s="549" t="s">
        <v>4661</v>
      </c>
      <c r="J95" s="592"/>
      <c r="K95" s="2249" t="s">
        <v>3187</v>
      </c>
      <c r="L95" s="549" t="s">
        <v>4603</v>
      </c>
      <c r="M95" s="17" t="s">
        <v>4597</v>
      </c>
      <c r="N95" s="21"/>
      <c r="O95" s="2672" cm="1" t="n">
        <f t="array" ref="O95">INDEX('5층_부하량'!J3:J3000,MATCH(1,("5-DaHall 1-PDU-03"='5층_부하량'!A3:A3000)*(63='5층_부하량'!B3:B3000),0))</f>
        <v>3.8992714795506718</v>
      </c>
      <c r="P95" s="21"/>
      <c r="Q95" s="21"/>
      <c r="R95" s="17" t="s">
        <v>4579</v>
      </c>
      <c r="S95" s="18" t="s">
        <v>4575</v>
      </c>
      <c r="T95" s="606" t="s">
        <v>5738</v>
      </c>
    </row>
    <row r="96" spans="1:20" ht="18" customHeight="1" x14ac:dyDescent="0.15">
      <c r="A96" s="601" t="s">
        <v>5739</v>
      </c>
      <c r="B96" s="17" t="s">
        <v>4631</v>
      </c>
      <c r="C96" s="18" t="s">
        <v>4652</v>
      </c>
      <c r="D96" s="21"/>
      <c r="E96" s="21"/>
      <c r="F96" s="2672" cm="1">
        <f t="array" ref="F96">INDEX('5층_부하량'!K3:K3000,MATCH(1,("5-DaHall 1-PDU-03"='5층_부하량'!A3:A3000)*(10='5층_부하량'!B3:B3000),0))</f>
        <v>0</v>
      </c>
      <c r="G96" s="21"/>
      <c r="H96" s="17" t="s">
        <v>4597</v>
      </c>
      <c r="I96" s="549" t="s">
        <v>4665</v>
      </c>
      <c r="J96" s="592"/>
      <c r="K96" s="2249" t="s">
        <v>3187</v>
      </c>
      <c r="L96" s="549" t="s">
        <v>4605</v>
      </c>
      <c r="M96" s="17" t="s">
        <v>4597</v>
      </c>
      <c r="N96" s="21"/>
      <c r="O96" s="21"/>
      <c r="P96" s="2672" cm="1" t="n">
        <f t="array" ref="P96">INDEX('5층_부하량'!K3:K3000,MATCH(1,("5-DaHall 1-PDU-03"='5층_부하량'!A3:A3000)*(64='5층_부하량'!B3:B3000),0))</f>
        <v>4.647416136143483</v>
      </c>
      <c r="Q96" s="21"/>
      <c r="R96" s="17" t="s">
        <v>4579</v>
      </c>
      <c r="S96" s="18" t="s">
        <v>4575</v>
      </c>
      <c r="T96" s="606" t="s">
        <v>5740</v>
      </c>
    </row>
    <row r="97" spans="1:20" ht="18" customHeight="1" x14ac:dyDescent="0.15">
      <c r="A97" s="602" t="s">
        <v>5741</v>
      </c>
      <c r="B97" s="17" t="s">
        <v>565</v>
      </c>
      <c r="C97" s="17" t="s">
        <v>4723</v>
      </c>
      <c r="D97" s="2672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4597</v>
      </c>
      <c r="I97" s="549" t="s">
        <v>4670</v>
      </c>
      <c r="J97" s="591" t="s">
        <v>4637</v>
      </c>
      <c r="K97" s="2249" t="s">
        <v>3187</v>
      </c>
      <c r="L97" s="549" t="s">
        <v>4609</v>
      </c>
      <c r="M97" s="17" t="s">
        <v>4597</v>
      </c>
      <c r="N97" s="2672" cm="1" t="n">
        <f t="array" ref="N97">INDEX('5층_부하량'!I3:I3000,MATCH(1,("5-DaHall 1-PDU-03"='5층_부하량'!A3:A3000)*(65='5층_부하량'!B3:B3000),0))</f>
        <v>2.8040721877035906</v>
      </c>
      <c r="O97" s="21"/>
      <c r="P97" s="21"/>
      <c r="Q97" s="21"/>
      <c r="R97" s="17" t="s">
        <v>4579</v>
      </c>
      <c r="S97" s="18" t="s">
        <v>4575</v>
      </c>
      <c r="T97" s="606" t="s">
        <v>5742</v>
      </c>
    </row>
    <row r="98" spans="1:20" ht="18" customHeight="1" x14ac:dyDescent="0.15">
      <c r="A98" s="321" t="s">
        <v>5743</v>
      </c>
      <c r="B98" s="17" t="s">
        <v>4631</v>
      </c>
      <c r="C98" s="17" t="s">
        <v>4723</v>
      </c>
      <c r="D98" s="21"/>
      <c r="E98" s="2672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4597</v>
      </c>
      <c r="I98" s="549" t="s">
        <v>4674</v>
      </c>
      <c r="J98" s="593" t="s">
        <v>5744</v>
      </c>
      <c r="K98" s="2249" t="s">
        <v>3187</v>
      </c>
      <c r="L98" s="549" t="s">
        <v>4613</v>
      </c>
      <c r="M98" s="17" t="s">
        <v>4597</v>
      </c>
      <c r="N98" s="21"/>
      <c r="O98" s="2672" cm="1" t="n">
        <f t="array" ref="O98">INDEX('5층_부하량'!J3:J3000,MATCH(1,("5-DaHall 1-PDU-03"='5층_부하량'!A3:A3000)*(66='5층_부하량'!B3:B3000),0))</f>
        <v>3.3988581577840096</v>
      </c>
      <c r="P98" s="21"/>
      <c r="Q98" s="21"/>
      <c r="R98" s="17" t="s">
        <v>4579</v>
      </c>
      <c r="S98" s="18" t="s">
        <v>4575</v>
      </c>
      <c r="T98" s="606" t="s">
        <v>5745</v>
      </c>
    </row>
    <row r="99" spans="1:20" ht="18" customHeight="1" x14ac:dyDescent="0.15">
      <c r="A99" s="321" t="s">
        <v>3692</v>
      </c>
      <c r="B99" s="17" t="s">
        <v>4631</v>
      </c>
      <c r="C99" s="18" t="s">
        <v>4575</v>
      </c>
      <c r="D99" s="21"/>
      <c r="E99" s="21"/>
      <c r="F99" s="2672" cm="1">
        <f t="array" ref="F99">INDEX('5층_부하량'!K3:K3000,MATCH(1,("5-DaHall 1-PDU-03"='5층_부하량'!A3:A3000)*(13='5층_부하량'!B3:B3000),0))</f>
        <v>0</v>
      </c>
      <c r="G99" s="21"/>
      <c r="H99" s="17" t="s">
        <v>4597</v>
      </c>
      <c r="I99" s="549" t="s">
        <v>4678</v>
      </c>
      <c r="J99" s="593" t="s">
        <v>5744</v>
      </c>
      <c r="K99" s="2249" t="s">
        <v>3187</v>
      </c>
      <c r="L99" s="549" t="s">
        <v>4680</v>
      </c>
      <c r="M99" s="17" t="s">
        <v>4597</v>
      </c>
      <c r="N99" s="21"/>
      <c r="O99" s="21"/>
      <c r="P99" s="2672" cm="1">
        <f t="array" ref="P99">INDEX('5층_부하량'!K3:K3000,MATCH(1,("5-DaHall 1-PDU-03"='5층_부하량'!A3:A3000)*(67='5층_부하량'!B3:B3000),0))</f>
        <v>0</v>
      </c>
      <c r="Q99" s="21"/>
      <c r="R99" s="17" t="s">
        <v>5746</v>
      </c>
      <c r="S99" s="17" t="s">
        <v>4723</v>
      </c>
      <c r="T99" s="606" t="s">
        <v>5747</v>
      </c>
    </row>
    <row r="100" spans="1:20" ht="18" customHeight="1" x14ac:dyDescent="0.15">
      <c r="A100" s="321" t="s">
        <v>3697</v>
      </c>
      <c r="B100" s="17" t="s">
        <v>4631</v>
      </c>
      <c r="C100" s="18" t="s">
        <v>4575</v>
      </c>
      <c r="D100" s="2672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4597</v>
      </c>
      <c r="I100" s="549" t="s">
        <v>4683</v>
      </c>
      <c r="J100" s="593" t="s">
        <v>5744</v>
      </c>
      <c r="K100" s="2249" t="s">
        <v>3187</v>
      </c>
      <c r="L100" s="549" t="s">
        <v>4685</v>
      </c>
      <c r="M100" s="17" t="s">
        <v>4597</v>
      </c>
      <c r="N100" s="2672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5746</v>
      </c>
      <c r="S100" s="17" t="s">
        <v>4723</v>
      </c>
      <c r="T100" s="606" t="s">
        <v>5748</v>
      </c>
    </row>
    <row r="101" spans="1:20" ht="18" customHeight="1" x14ac:dyDescent="0.15">
      <c r="A101" s="71" t="s">
        <v>3702</v>
      </c>
      <c r="B101" s="72" t="s">
        <v>4631</v>
      </c>
      <c r="C101" s="73" t="s">
        <v>4575</v>
      </c>
      <c r="D101" s="21"/>
      <c r="E101" s="2672" cm="1">
        <f t="array" ref="E101">INDEX('5층_부하량'!J3:J3000,MATCH(1,("5-DaHall 1-PDU-03"='5층_부하량'!A3:A3000)*(15='5층_부하량'!B3:B3000),0))</f>
        <v>0</v>
      </c>
      <c r="F101" s="21"/>
      <c r="G101" s="74"/>
      <c r="H101" s="72" t="s">
        <v>4597</v>
      </c>
      <c r="I101" s="550" t="s">
        <v>4688</v>
      </c>
      <c r="J101" s="593" t="s">
        <v>5744</v>
      </c>
      <c r="K101" s="2249" t="s">
        <v>3187</v>
      </c>
      <c r="L101" s="550" t="s">
        <v>4689</v>
      </c>
      <c r="M101" s="72" t="s">
        <v>4597</v>
      </c>
      <c r="N101" s="21"/>
      <c r="O101" s="2672" cm="1">
        <f t="array" ref="O101">INDEX('5층_부하량'!J3:J3000,MATCH(1,("5-DaHall 1-PDU-03"='5층_부하량'!A3:A3000)*(69='5층_부하량'!B3:B3000),0))</f>
        <v>0</v>
      </c>
      <c r="P101" s="21"/>
      <c r="Q101" s="74"/>
      <c r="R101" s="17" t="s">
        <v>5746</v>
      </c>
      <c r="S101" s="17" t="s">
        <v>4723</v>
      </c>
      <c r="T101" s="606" t="s">
        <v>5749</v>
      </c>
    </row>
    <row r="102" spans="1:20" ht="18" customHeight="1" x14ac:dyDescent="0.15">
      <c r="A102" s="602" t="s">
        <v>3707</v>
      </c>
      <c r="B102" s="17" t="s">
        <v>4631</v>
      </c>
      <c r="C102" s="18" t="s">
        <v>4575</v>
      </c>
      <c r="D102" s="21"/>
      <c r="E102" s="21"/>
      <c r="F102" s="2672" cm="1">
        <f t="array" ref="F102">INDEX('5층_부하량'!K3:K3000,MATCH(1,("5-DaHall 1-PDU-03"='5층_부하량'!A3:A3000)*(16='5층_부하량'!B3:B3000),0))</f>
        <v>0</v>
      </c>
      <c r="G102" s="21"/>
      <c r="H102" s="17" t="s">
        <v>4597</v>
      </c>
      <c r="I102" s="549" t="s">
        <v>4691</v>
      </c>
      <c r="J102" s="591"/>
      <c r="K102" s="2249" t="s">
        <v>3187</v>
      </c>
      <c r="L102" s="549" t="s">
        <v>4692</v>
      </c>
      <c r="M102" s="17" t="s">
        <v>4597</v>
      </c>
      <c r="N102" s="21"/>
      <c r="O102" s="21"/>
      <c r="P102" s="2672" cm="1">
        <f t="array" ref="P102">INDEX('5층_부하량'!K3:K3000,MATCH(1,("5-DaHall 1-PDU-03"='5층_부하량'!A3:A3000)*(70='5층_부하량'!B3:B3000),0))</f>
        <v>0</v>
      </c>
      <c r="Q102" s="21"/>
      <c r="R102" s="17" t="s">
        <v>5746</v>
      </c>
      <c r="S102" s="17" t="s">
        <v>4723</v>
      </c>
      <c r="T102" s="606" t="s">
        <v>5750</v>
      </c>
    </row>
    <row r="103" spans="1:20" ht="18" customHeight="1" x14ac:dyDescent="0.15">
      <c r="A103" s="601" t="s">
        <v>5751</v>
      </c>
      <c r="B103" s="17" t="s">
        <v>565</v>
      </c>
      <c r="C103" s="17" t="s">
        <v>4723</v>
      </c>
      <c r="D103" s="2672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4597</v>
      </c>
      <c r="I103" s="549" t="s">
        <v>4693</v>
      </c>
      <c r="J103" s="591"/>
      <c r="K103" s="2249" t="s">
        <v>3187</v>
      </c>
      <c r="L103" s="549" t="s">
        <v>4694</v>
      </c>
      <c r="M103" s="17" t="s">
        <v>4597</v>
      </c>
      <c r="N103" s="2672" cm="1" t="n">
        <f t="array" ref="N103">INDEX('5층_부하량'!I3:I3000,MATCH(1,("5-DaHall 1-PDU-03"='5층_부하량'!A3:A3000)*(71='5층_부하량'!B3:B3000),0))</f>
        <v>2.489822382497356</v>
      </c>
      <c r="O103" s="19"/>
      <c r="P103" s="19"/>
      <c r="Q103" s="21"/>
      <c r="R103" s="17" t="s">
        <v>5746</v>
      </c>
      <c r="S103" s="18" t="s">
        <v>4575</v>
      </c>
      <c r="T103" s="606" t="s">
        <v>5752</v>
      </c>
    </row>
    <row r="104" spans="1:20" ht="18" customHeight="1" x14ac:dyDescent="0.15">
      <c r="A104" s="601" t="s">
        <v>5753</v>
      </c>
      <c r="B104" s="17" t="s">
        <v>565</v>
      </c>
      <c r="C104" s="17" t="s">
        <v>4723</v>
      </c>
      <c r="D104" s="21"/>
      <c r="E104" s="2672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4597</v>
      </c>
      <c r="I104" s="549" t="s">
        <v>4697</v>
      </c>
      <c r="J104" s="591"/>
      <c r="K104" s="2249" t="s">
        <v>3187</v>
      </c>
      <c r="L104" s="549" t="s">
        <v>4698</v>
      </c>
      <c r="M104" s="17" t="s">
        <v>4597</v>
      </c>
      <c r="N104" s="21"/>
      <c r="O104" s="2672" cm="1" t="n">
        <f t="array" ref="O104">INDEX('5층_부하량'!J3:J3000,MATCH(1,("5-DaHall 1-PDU-03"='5층_부하량'!A3:A3000)*(72='5층_부하량'!B3:B3000),0))</f>
        <v>2.169628421291678</v>
      </c>
      <c r="P104" s="21"/>
      <c r="Q104" s="21"/>
      <c r="R104" s="17" t="s">
        <v>5746</v>
      </c>
      <c r="S104" s="18" t="s">
        <v>4575</v>
      </c>
      <c r="T104" s="606" t="s">
        <v>5754</v>
      </c>
    </row>
    <row r="105" spans="1:20" ht="18" customHeight="1" x14ac:dyDescent="0.15">
      <c r="A105" s="601" t="s">
        <v>5755</v>
      </c>
      <c r="B105" s="17" t="s">
        <v>565</v>
      </c>
      <c r="C105" s="17" t="s">
        <v>4723</v>
      </c>
      <c r="D105" s="21"/>
      <c r="E105" s="19"/>
      <c r="F105" s="2670" cm="1">
        <f t="array" ref="F105">INDEX('5층_부하량'!K3:K3000,MATCH(1,("5-DaHall 1-PDU-03"='5층_부하량'!A3:A3000)*(19='5층_부하량'!B3:B3000),0))</f>
        <v>0</v>
      </c>
      <c r="G105" s="21"/>
      <c r="H105" s="17" t="s">
        <v>4597</v>
      </c>
      <c r="I105" s="549" t="s">
        <v>4701</v>
      </c>
      <c r="J105" s="592"/>
      <c r="K105" s="2249" t="s">
        <v>3187</v>
      </c>
      <c r="L105" s="549" t="s">
        <v>4703</v>
      </c>
      <c r="M105" s="17" t="s">
        <v>4597</v>
      </c>
      <c r="N105" s="21"/>
      <c r="O105" s="19"/>
      <c r="P105" s="2670" cm="1" t="n">
        <f t="array" ref="P105">INDEX('5층_부하량'!K3:K3000,MATCH(1,("5-DaHall 1-PDU-03"='5층_부하량'!A3:A3000)*(73='5층_부하량'!B3:B3000),0))</f>
        <v>2.1700023080067807</v>
      </c>
      <c r="Q105" s="21"/>
      <c r="R105" s="17" t="s">
        <v>5746</v>
      </c>
      <c r="S105" s="18" t="s">
        <v>4575</v>
      </c>
      <c r="T105" s="606" t="s">
        <v>5756</v>
      </c>
    </row>
    <row r="106" spans="1:20" ht="18" customHeight="1" x14ac:dyDescent="0.15">
      <c r="A106" s="601" t="s">
        <v>5757</v>
      </c>
      <c r="B106" s="72" t="s">
        <v>4631</v>
      </c>
      <c r="C106" s="73" t="s">
        <v>4575</v>
      </c>
      <c r="D106" s="2672" cm="1" t="n">
        <f t="array" ref="D106">INDEX('5층_부하량'!I3:I3000,MATCH(1,("5-DaHall 1-PDU-03"='5층_부하량'!A3:A3000)*(20='5층_부하량'!B3:B3000),0))</f>
        <v>3.3377469843580996</v>
      </c>
      <c r="E106" s="19"/>
      <c r="F106" s="19"/>
      <c r="G106" s="21"/>
      <c r="H106" s="17" t="s">
        <v>4597</v>
      </c>
      <c r="I106" s="549" t="s">
        <v>4706</v>
      </c>
      <c r="J106" s="2247" t="s">
        <v>3190</v>
      </c>
      <c r="K106" s="2249" t="s">
        <v>3187</v>
      </c>
      <c r="L106" s="549" t="s">
        <v>4707</v>
      </c>
      <c r="M106" s="17" t="s">
        <v>4597</v>
      </c>
      <c r="N106" s="2672" cm="1" t="n">
        <f t="array" ref="N106">INDEX('5층_부하량'!I3:I3000,MATCH(1,("5-DaHall 1-PDU-03"='5층_부하량'!A3:A3000)*(74='5층_부하량'!B3:B3000),0))</f>
        <v>2.4349858424120545</v>
      </c>
      <c r="O106" s="19"/>
      <c r="P106" s="19"/>
      <c r="Q106" s="21"/>
      <c r="R106" s="17" t="s">
        <v>5746</v>
      </c>
      <c r="S106" s="18" t="s">
        <v>4575</v>
      </c>
      <c r="T106" s="606" t="s">
        <v>5758</v>
      </c>
    </row>
    <row r="107" spans="1:20" ht="18" customHeight="1" x14ac:dyDescent="0.15">
      <c r="A107" s="601" t="s">
        <v>5759</v>
      </c>
      <c r="B107" s="17" t="s">
        <v>4631</v>
      </c>
      <c r="C107" s="18" t="s">
        <v>4575</v>
      </c>
      <c r="D107" s="21"/>
      <c r="E107" s="2672" cm="1" t="n">
        <f t="array" ref="E107">INDEX('5층_부하량'!J3:J3000,MATCH(1,("5-DaHall 1-PDU-03"='5층_부하량'!A3:A3000)*(21='5층_부하량'!B3:B3000),0))</f>
        <v>1.3726554167858736</v>
      </c>
      <c r="F107" s="19"/>
      <c r="G107" s="21"/>
      <c r="H107" s="17" t="s">
        <v>4597</v>
      </c>
      <c r="I107" s="549" t="s">
        <v>4710</v>
      </c>
      <c r="J107" s="2247" t="s">
        <v>3190</v>
      </c>
      <c r="K107" s="2249" t="s">
        <v>3187</v>
      </c>
      <c r="L107" s="549" t="s">
        <v>4711</v>
      </c>
      <c r="M107" s="17" t="s">
        <v>4597</v>
      </c>
      <c r="N107" s="21"/>
      <c r="O107" s="2672" cm="1" t="n">
        <f t="array" ref="O107">INDEX('5층_부하량'!J3:J3000,MATCH(1,("5-DaHall 1-PDU-03"='5층_부하량'!A3:A3000)*(75='5층_부하량'!B3:B3000),0))</f>
        <v>1.3682892382983567</v>
      </c>
      <c r="P107" s="19"/>
      <c r="Q107" s="21"/>
      <c r="R107" s="17" t="s">
        <v>5746</v>
      </c>
      <c r="S107" s="18" t="s">
        <v>4575</v>
      </c>
      <c r="T107" s="606" t="s">
        <v>5760</v>
      </c>
    </row>
    <row r="108" spans="1:20" ht="18" customHeight="1" x14ac:dyDescent="0.15">
      <c r="A108" s="2196" t="s">
        <v>5761</v>
      </c>
      <c r="B108" s="17" t="s">
        <v>5762</v>
      </c>
      <c r="C108" s="17" t="s">
        <v>4723</v>
      </c>
      <c r="D108" s="21"/>
      <c r="E108" s="19"/>
      <c r="F108" s="2672" cm="1">
        <f t="array" ref="F108">INDEX('5층_부하량'!K3:K3000,MATCH(1,("5-DaHall 1-PDU-03"='5층_부하량'!A3:A3000)*(22='5층_부하량'!B3:B3000),0))</f>
        <v>0</v>
      </c>
      <c r="G108" s="21"/>
      <c r="H108" s="17" t="s">
        <v>4597</v>
      </c>
      <c r="I108" s="549" t="s">
        <v>5055</v>
      </c>
      <c r="J108" s="2247" t="s">
        <v>3190</v>
      </c>
      <c r="K108" s="2249" t="s">
        <v>3187</v>
      </c>
      <c r="L108" s="549" t="s">
        <v>4843</v>
      </c>
      <c r="M108" s="17" t="s">
        <v>4597</v>
      </c>
      <c r="N108" s="21"/>
      <c r="O108" s="19"/>
      <c r="P108" s="2672" cm="1" t="n">
        <f t="array" ref="P108">INDEX('5층_부하량'!K3:K3000,MATCH(1,("5-DaHall 1-PDU-03"='5층_부하량'!A3:A3000)*(76='5층_부하량'!B3:B3000),0))</f>
        <v>1.789243954323277</v>
      </c>
      <c r="Q108" s="21"/>
      <c r="R108" s="17" t="s">
        <v>5746</v>
      </c>
      <c r="S108" s="18" t="s">
        <v>4575</v>
      </c>
      <c r="T108" s="606" t="s">
        <v>5763</v>
      </c>
    </row>
    <row r="109" spans="1:20" ht="18" customHeight="1" x14ac:dyDescent="0.15">
      <c r="A109" s="2196" t="s">
        <v>5764</v>
      </c>
      <c r="B109" s="72" t="s">
        <v>4631</v>
      </c>
      <c r="C109" s="73" t="s">
        <v>4575</v>
      </c>
      <c r="D109" s="2672" cm="1" t="n">
        <f t="array" ref="D109">INDEX('5층_부하량'!I3:I3000,MATCH(1,("5-DaHall 1-PDU-03"='5층_부하량'!A3:A3000)*(23='5층_부하량'!B3:B3000),0))</f>
        <v>2.4187484624557674</v>
      </c>
      <c r="E109" s="19"/>
      <c r="F109" s="19"/>
      <c r="G109" s="21"/>
      <c r="H109" s="17" t="s">
        <v>4597</v>
      </c>
      <c r="I109" s="549" t="s">
        <v>4845</v>
      </c>
      <c r="J109" s="2247" t="s">
        <v>3190</v>
      </c>
      <c r="K109" s="2249" t="s">
        <v>3187</v>
      </c>
      <c r="L109" s="549" t="s">
        <v>4846</v>
      </c>
      <c r="M109" s="17" t="s">
        <v>4597</v>
      </c>
      <c r="N109" s="2672" cm="1" t="n">
        <f t="array" ref="N109">INDEX('5층_부하량'!I3:I3000,MATCH(1,("5-DaHall 1-PDU-03"='5층_부하량'!A3:A3000)*(77='5층_부하량'!B3:B3000),0))</f>
        <v>2.943622578608824</v>
      </c>
      <c r="O109" s="19"/>
      <c r="P109" s="19"/>
      <c r="Q109" s="21"/>
      <c r="R109" s="17" t="s">
        <v>5746</v>
      </c>
      <c r="S109" s="18" t="s">
        <v>4575</v>
      </c>
      <c r="T109" s="606" t="s">
        <v>5765</v>
      </c>
    </row>
    <row r="110" spans="1:20" ht="18" customHeight="1" x14ac:dyDescent="0.15">
      <c r="A110" s="2196" t="s">
        <v>5766</v>
      </c>
      <c r="B110" s="17" t="s">
        <v>4631</v>
      </c>
      <c r="C110" s="18" t="s">
        <v>4575</v>
      </c>
      <c r="D110" s="21"/>
      <c r="E110" s="2672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4597</v>
      </c>
      <c r="I110" s="549" t="s">
        <v>4847</v>
      </c>
      <c r="J110" s="2247" t="s">
        <v>3190</v>
      </c>
      <c r="K110" s="2249" t="s">
        <v>3187</v>
      </c>
      <c r="L110" s="549" t="s">
        <v>4848</v>
      </c>
      <c r="M110" s="17" t="s">
        <v>4597</v>
      </c>
      <c r="N110" s="21"/>
      <c r="O110" s="2672" cm="1" t="n">
        <f t="array" ref="O110">INDEX('5층_부하량'!J3:J3000,MATCH(1,("5-DaHall 1-PDU-03"='5층_부하량'!A3:A3000)*(78='5층_부하량'!B3:B3000),0))</f>
        <v>2.9119698279604025</v>
      </c>
      <c r="P110" s="21"/>
      <c r="Q110" s="21"/>
      <c r="R110" s="17" t="s">
        <v>5746</v>
      </c>
      <c r="S110" s="18" t="s">
        <v>4575</v>
      </c>
      <c r="T110" s="606" t="s">
        <v>5767</v>
      </c>
    </row>
    <row r="111" spans="1:20" ht="18" customHeight="1" x14ac:dyDescent="0.15">
      <c r="A111" s="601" t="s">
        <v>5768</v>
      </c>
      <c r="B111" s="17" t="s">
        <v>5762</v>
      </c>
      <c r="C111" s="18" t="s">
        <v>4575</v>
      </c>
      <c r="D111" s="21"/>
      <c r="E111" s="21"/>
      <c r="F111" s="2672" cm="1" t="n">
        <f t="array" ref="F111">INDEX('5층_부하량'!K3:K3000,MATCH(1,("5-DaHall 1-PDU-03"='5층_부하량'!A3:A3000)*(25='5층_부하량'!B3:B3000),0))</f>
        <v>4.0462433783372065</v>
      </c>
      <c r="G111" s="21"/>
      <c r="H111" s="17" t="s">
        <v>4597</v>
      </c>
      <c r="I111" s="549" t="s">
        <v>4849</v>
      </c>
      <c r="J111" s="2247" t="s">
        <v>3190</v>
      </c>
      <c r="K111" s="2249" t="s">
        <v>3187</v>
      </c>
      <c r="L111" s="549" t="s">
        <v>4850</v>
      </c>
      <c r="M111" s="17" t="s">
        <v>4597</v>
      </c>
      <c r="N111" s="21"/>
      <c r="O111" s="21"/>
      <c r="P111" s="2672" cm="1" t="n">
        <f t="array" ref="P111">INDEX('5층_부하량'!K3:K3000,MATCH(1,("5-DaHall 1-PDU-03"='5층_부하량'!A3:A3000)*(79='5층_부하량'!B3:B3000),0))</f>
        <v>3.719088539037483</v>
      </c>
      <c r="Q111" s="21"/>
      <c r="R111" s="17" t="s">
        <v>5746</v>
      </c>
      <c r="S111" s="18" t="s">
        <v>4575</v>
      </c>
      <c r="T111" s="606" t="s">
        <v>5769</v>
      </c>
    </row>
    <row r="112" spans="1:20" ht="18" customHeight="1" thickBot="1" x14ac:dyDescent="0.2">
      <c r="A112" s="600" t="s">
        <v>5770</v>
      </c>
      <c r="B112" s="35" t="s">
        <v>5762</v>
      </c>
      <c r="C112" s="39" t="s">
        <v>4575</v>
      </c>
      <c r="D112" s="2671" cm="1" t="n">
        <f t="array" ref="D112">INDEX('5층_부하량'!I3:I3000,MATCH(1,("5-DaHall 1-PDU-03"='5층_부하량'!A3:A3000)*(26='5층_부하량'!B3:B3000),0))</f>
        <v>5.699049943791124</v>
      </c>
      <c r="E112" s="36"/>
      <c r="F112" s="36"/>
      <c r="G112" s="36"/>
      <c r="H112" s="35" t="s">
        <v>4597</v>
      </c>
      <c r="I112" s="551" t="s">
        <v>4851</v>
      </c>
      <c r="J112" s="2248" t="s">
        <v>3190</v>
      </c>
      <c r="K112" s="2250" t="s">
        <v>3187</v>
      </c>
      <c r="L112" s="551" t="s">
        <v>4852</v>
      </c>
      <c r="M112" s="35" t="s">
        <v>4597</v>
      </c>
      <c r="N112" s="2671" cm="1" t="n">
        <f t="array" ref="N112">INDEX('5층_부하량'!I3:I3000,MATCH(1,("5-DaHall 1-PDU-03"='5층_부하량'!A3:A3000)*(80='5층_부하량'!B3:B3000),0))</f>
        <v>4.103068164488508</v>
      </c>
      <c r="O112" s="36"/>
      <c r="P112" s="36"/>
      <c r="Q112" s="36"/>
      <c r="R112" s="35" t="s">
        <v>5746</v>
      </c>
      <c r="S112" s="39" t="s">
        <v>4575</v>
      </c>
      <c r="T112" s="2251" t="s">
        <v>5771</v>
      </c>
    </row>
    <row r="113" spans="1:20" ht="18" customHeight="1" thickTop="1" thickBot="1" x14ac:dyDescent="0.2">
      <c r="M113" s="80" t="s">
        <v>5645</v>
      </c>
      <c r="N113" s="33" t="n">
        <f>SUM(D87:D112,N87:N112)</f>
        <v>28.00070764045334</v>
      </c>
      <c r="O113" s="33" t="n">
        <f>SUM(E87:E112,O87:O112)</f>
        <v>18.689396809852447</v>
      </c>
      <c r="P113" s="33" t="n">
        <f>SUM(F87:F112,P87:P112)</f>
        <v>18.71630801304488</v>
      </c>
    </row>
    <row r="114" spans="1:20" ht="18" customHeight="1" thickTop="1" thickBot="1" x14ac:dyDescent="0.2">
      <c r="A114" s="2" t="s">
        <v>6948</v>
      </c>
      <c r="C114" s="3660" t="s">
        <v>5772</v>
      </c>
      <c r="D114" s="3660"/>
      <c r="E114" s="3660"/>
      <c r="F114" s="3660"/>
      <c r="G114" s="53"/>
      <c r="H114" s="124"/>
      <c r="I114" s="124"/>
      <c r="J114" s="3661" t="s">
        <v>5653</v>
      </c>
      <c r="K114" s="3667"/>
      <c r="L114" s="124"/>
      <c r="M114" s="124"/>
      <c r="N114" s="53"/>
      <c r="O114" s="53"/>
      <c r="P114" s="53"/>
      <c r="Q114" s="53"/>
      <c r="R114" s="53"/>
      <c r="S114" s="53"/>
    </row>
    <row r="115" spans="1:20" ht="18" customHeight="1" thickTop="1" thickBot="1" x14ac:dyDescent="0.2">
      <c r="A115" s="3"/>
      <c r="D115" s="54"/>
      <c r="E115" s="54"/>
      <c r="F115" s="54"/>
      <c r="G115" s="54"/>
      <c r="H115" s="4"/>
      <c r="I115" s="4"/>
      <c r="K115" s="56"/>
      <c r="L115" s="565"/>
      <c r="M115" s="1371" t="s">
        <v>4562</v>
      </c>
      <c r="N115" s="1368">
        <v>25.1</v>
      </c>
      <c r="O115" s="1369">
        <v>15.5</v>
      </c>
      <c r="P115" s="1370">
        <v>18.2</v>
      </c>
      <c r="Q115" s="508" t="s">
        <v>4563</v>
      </c>
      <c r="R115" s="133"/>
      <c r="S115" s="128"/>
      <c r="T115" s="528"/>
    </row>
    <row r="116" spans="1:20" ht="18" customHeight="1" thickTop="1" thickBot="1" x14ac:dyDescent="0.2">
      <c r="A116" s="5" t="s">
        <v>4564</v>
      </c>
      <c r="B116" s="6" t="s">
        <v>4565</v>
      </c>
      <c r="C116" s="7" t="s">
        <v>4566</v>
      </c>
      <c r="D116" s="6" t="s">
        <v>4567</v>
      </c>
      <c r="E116" s="6" t="s">
        <v>4568</v>
      </c>
      <c r="F116" s="6" t="s">
        <v>4569</v>
      </c>
      <c r="G116" s="6" t="s">
        <v>4570</v>
      </c>
      <c r="H116" s="8" t="s">
        <v>4571</v>
      </c>
      <c r="I116" s="547"/>
      <c r="J116" s="58" t="s">
        <v>4572</v>
      </c>
      <c r="K116" s="59" t="s">
        <v>4572</v>
      </c>
      <c r="L116" s="566"/>
      <c r="M116" s="8" t="s">
        <v>4571</v>
      </c>
      <c r="N116" s="6" t="s">
        <v>4567</v>
      </c>
      <c r="O116" s="6" t="s">
        <v>4568</v>
      </c>
      <c r="P116" s="6" t="s">
        <v>4569</v>
      </c>
      <c r="Q116" s="6" t="s">
        <v>4570</v>
      </c>
      <c r="R116" s="6" t="s">
        <v>4565</v>
      </c>
      <c r="S116" s="7" t="s">
        <v>4566</v>
      </c>
      <c r="T116" s="60" t="s">
        <v>4564</v>
      </c>
    </row>
    <row r="117" spans="1:20" ht="18" customHeight="1" thickTop="1" x14ac:dyDescent="0.15">
      <c r="A117" s="10"/>
      <c r="B117" s="11" t="s">
        <v>4631</v>
      </c>
      <c r="C117" s="17" t="s">
        <v>4642</v>
      </c>
      <c r="D117" s="2669" cm="1">
        <f t="array" ref="D117">INDEX('5층_부하량'!I3:I3000,MATCH(1,("5-DaHall 1-PDU-04"='5층_부하량'!A3:A3000)*(1='5층_부하량'!B3:B3000),0))</f>
        <v>0</v>
      </c>
      <c r="E117" s="2669" cm="1">
        <f t="array" ref="E117">INDEX('5층_부하량'!J3:J3000,MATCH(1,("5-DaHall 1-PDU-04"='5층_부하량'!A3:A3000)*(1='5층_부하량'!B3:B3000),0))</f>
        <v>0</v>
      </c>
      <c r="F117" s="2669" cm="1">
        <f t="array" ref="F117">INDEX('5층_부하량'!K3:K3000,MATCH(1,("5-DaHall 1-PDU-04"='5층_부하량'!A3:A3000)*(1='5층_부하량'!B3:B3000),0))</f>
        <v>0</v>
      </c>
      <c r="G117" s="15"/>
      <c r="H117" s="11" t="s">
        <v>5654</v>
      </c>
      <c r="I117" s="1443" t="s">
        <v>5655</v>
      </c>
      <c r="J117" s="61"/>
      <c r="K117" s="62"/>
      <c r="L117" s="1446" t="s">
        <v>5656</v>
      </c>
      <c r="M117" s="11" t="s">
        <v>5654</v>
      </c>
      <c r="N117" s="2669" cm="1">
        <f t="array" ref="N117">INDEX('5층_부하량'!I3:I3000,MATCH(1,("5-DaHall 1-PDU-04"='5층_부하량'!A3:A3000)*(55='5층_부하량'!B3:B3000),0))</f>
        <v>0</v>
      </c>
      <c r="O117" s="2669" cm="1">
        <f t="array" ref="O117">INDEX('5층_부하량'!J3:J3000,MATCH(1,("5-DaHall 1-PDU-04"='5층_부하량'!A3:A3000)*(55='5층_부하량'!B3:B3000),0))</f>
        <v>0</v>
      </c>
      <c r="P117" s="2669" cm="1">
        <f t="array" ref="P117">INDEX('5층_부하량'!K3:K3000,MATCH(1,("5-DaHall 1-PDU-04"='5층_부하량'!A3:A3000)*(55='5층_부하량'!B3:B3000),0))</f>
        <v>0</v>
      </c>
      <c r="Q117" s="15"/>
      <c r="R117" s="63" t="s">
        <v>4579</v>
      </c>
      <c r="S117" s="17" t="s">
        <v>4584</v>
      </c>
      <c r="T117" s="64"/>
    </row>
    <row r="118" spans="1:20" ht="18" customHeight="1" x14ac:dyDescent="0.15">
      <c r="A118" s="601" t="s">
        <v>5773</v>
      </c>
      <c r="B118" s="17" t="s">
        <v>4631</v>
      </c>
      <c r="C118" s="18" t="s">
        <v>4652</v>
      </c>
      <c r="D118" s="2672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4576</v>
      </c>
      <c r="I118" s="549" t="s">
        <v>4633</v>
      </c>
      <c r="J118" s="592" t="s">
        <v>5774</v>
      </c>
      <c r="K118" s="2249" t="s">
        <v>3187</v>
      </c>
      <c r="L118" s="549" t="s">
        <v>4578</v>
      </c>
      <c r="M118" s="17" t="s">
        <v>4576</v>
      </c>
      <c r="N118" s="2672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4579</v>
      </c>
      <c r="S118" s="17" t="s">
        <v>4584</v>
      </c>
      <c r="T118" s="606" t="s">
        <v>5724</v>
      </c>
    </row>
    <row r="119" spans="1:20" ht="18" customHeight="1" x14ac:dyDescent="0.15">
      <c r="A119" s="601" t="s">
        <v>5775</v>
      </c>
      <c r="B119" s="17" t="s">
        <v>4631</v>
      </c>
      <c r="C119" s="18" t="s">
        <v>4575</v>
      </c>
      <c r="D119" s="21"/>
      <c r="E119" s="2672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4576</v>
      </c>
      <c r="I119" s="549" t="s">
        <v>4638</v>
      </c>
      <c r="J119" s="592" t="s">
        <v>5774</v>
      </c>
      <c r="K119" s="2249" t="s">
        <v>3187</v>
      </c>
      <c r="L119" s="549" t="s">
        <v>4583</v>
      </c>
      <c r="M119" s="17" t="s">
        <v>4576</v>
      </c>
      <c r="N119" s="21"/>
      <c r="O119" s="2672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4579</v>
      </c>
      <c r="S119" s="17" t="s">
        <v>4584</v>
      </c>
      <c r="T119" s="606" t="s">
        <v>5726</v>
      </c>
    </row>
    <row r="120" spans="1:20" ht="18" customHeight="1" x14ac:dyDescent="0.15">
      <c r="A120" s="601" t="s">
        <v>5727</v>
      </c>
      <c r="B120" s="17" t="s">
        <v>4631</v>
      </c>
      <c r="C120" s="18" t="s">
        <v>4575</v>
      </c>
      <c r="D120" s="21"/>
      <c r="E120" s="21"/>
      <c r="F120" s="2672" cm="1">
        <f t="array" ref="F120">INDEX('5층_부하량'!K3:K3000,MATCH(1,("5-DaHall 1-PDU-04"='5층_부하량'!A3:A3000)*(4='5층_부하량'!B3:B3000),0))</f>
        <v>0</v>
      </c>
      <c r="G120" s="21"/>
      <c r="H120" s="17" t="s">
        <v>4576</v>
      </c>
      <c r="I120" s="549" t="s">
        <v>4641</v>
      </c>
      <c r="J120" s="592" t="s">
        <v>5774</v>
      </c>
      <c r="K120" s="2249" t="s">
        <v>3187</v>
      </c>
      <c r="L120" s="549" t="s">
        <v>4588</v>
      </c>
      <c r="M120" s="17" t="s">
        <v>4576</v>
      </c>
      <c r="N120" s="21"/>
      <c r="O120" s="21"/>
      <c r="P120" s="2672" cm="1" t="n">
        <f t="array" ref="P120">INDEX('5층_부하량'!K3:K3000,MATCH(1,("5-DaHall 1-PDU-04"='5층_부하량'!A3:A3000)*(58='5층_부하량'!B3:B3000),0))</f>
        <v>0.568306511411558</v>
      </c>
      <c r="Q120" s="21"/>
      <c r="R120" s="17" t="s">
        <v>4579</v>
      </c>
      <c r="S120" s="18" t="s">
        <v>4575</v>
      </c>
      <c r="T120" s="606" t="s">
        <v>5728</v>
      </c>
    </row>
    <row r="121" spans="1:20" ht="18" customHeight="1" x14ac:dyDescent="0.15">
      <c r="A121" s="601" t="s">
        <v>5729</v>
      </c>
      <c r="B121" s="17" t="s">
        <v>4631</v>
      </c>
      <c r="C121" s="18" t="s">
        <v>4575</v>
      </c>
      <c r="D121" s="2672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4576</v>
      </c>
      <c r="I121" s="549" t="s">
        <v>4645</v>
      </c>
      <c r="J121" s="592" t="s">
        <v>5774</v>
      </c>
      <c r="K121" s="2249" t="s">
        <v>3187</v>
      </c>
      <c r="L121" s="549" t="s">
        <v>4593</v>
      </c>
      <c r="M121" s="17" t="s">
        <v>4597</v>
      </c>
      <c r="N121" s="2672" cm="1" t="n">
        <f t="array" ref="N121">INDEX('5층_부하량'!I3:I3000,MATCH(1,("5-DaHall 1-PDU-04"='5층_부하량'!A3:A3000)*(59='5층_부하량'!B3:B3000),0))</f>
        <v>1.7195059115964118</v>
      </c>
      <c r="O121" s="19"/>
      <c r="P121" s="19"/>
      <c r="Q121" s="21"/>
      <c r="R121" s="17" t="s">
        <v>4579</v>
      </c>
      <c r="S121" s="18" t="s">
        <v>4575</v>
      </c>
      <c r="T121" s="606" t="s">
        <v>5730</v>
      </c>
    </row>
    <row r="122" spans="1:20" ht="18" customHeight="1" x14ac:dyDescent="0.15">
      <c r="A122" s="601" t="s">
        <v>5731</v>
      </c>
      <c r="B122" s="17" t="s">
        <v>4631</v>
      </c>
      <c r="C122" s="18" t="s">
        <v>4575</v>
      </c>
      <c r="D122" s="21"/>
      <c r="E122" s="2672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4576</v>
      </c>
      <c r="I122" s="549" t="s">
        <v>4648</v>
      </c>
      <c r="J122" s="592" t="s">
        <v>5774</v>
      </c>
      <c r="K122" s="2249" t="s">
        <v>3187</v>
      </c>
      <c r="L122" s="549" t="s">
        <v>4596</v>
      </c>
      <c r="M122" s="17" t="s">
        <v>4597</v>
      </c>
      <c r="N122" s="21"/>
      <c r="O122" s="2672" cm="1" t="n">
        <f t="array" ref="O122">INDEX('5층_부하량'!J3:J3000,MATCH(1,("5-DaHall 1-PDU-04"='5층_부하량'!A3:A3000)*(60='5층_부하량'!B3:B3000),0))</f>
        <v>3.546193543327264</v>
      </c>
      <c r="P122" s="21"/>
      <c r="Q122" s="21"/>
      <c r="R122" s="17" t="s">
        <v>4579</v>
      </c>
      <c r="S122" s="18" t="s">
        <v>4575</v>
      </c>
      <c r="T122" s="606" t="s">
        <v>5732</v>
      </c>
    </row>
    <row r="123" spans="1:20" ht="18" customHeight="1" x14ac:dyDescent="0.15">
      <c r="A123" s="601" t="s">
        <v>5733</v>
      </c>
      <c r="B123" s="17" t="s">
        <v>4631</v>
      </c>
      <c r="C123" s="18" t="s">
        <v>4575</v>
      </c>
      <c r="D123" s="21"/>
      <c r="E123" s="21"/>
      <c r="F123" s="2672" cm="1">
        <f t="array" ref="F123">INDEX('5층_부하량'!K3:K3000,MATCH(1,("5-DaHall 1-PDU-04"='5층_부하량'!A3:A3000)*(7='5층_부하량'!B3:B3000),0))</f>
        <v>0</v>
      </c>
      <c r="G123" s="21"/>
      <c r="H123" s="17" t="s">
        <v>4597</v>
      </c>
      <c r="I123" s="549" t="s">
        <v>4653</v>
      </c>
      <c r="J123" s="592" t="s">
        <v>5774</v>
      </c>
      <c r="K123" s="2249" t="s">
        <v>3187</v>
      </c>
      <c r="L123" s="549" t="s">
        <v>4599</v>
      </c>
      <c r="M123" s="17" t="s">
        <v>4597</v>
      </c>
      <c r="N123" s="21"/>
      <c r="O123" s="21"/>
      <c r="P123" s="2672" cm="1" t="n">
        <f t="array" ref="P123">INDEX('5층_부하량'!K3:K3000,MATCH(1,("5-DaHall 1-PDU-04"='5층_부하량'!A3:A3000)*(61='5층_부하량'!B3:B3000),0))</f>
        <v>1.8161798629610264</v>
      </c>
      <c r="Q123" s="21"/>
      <c r="R123" s="17" t="s">
        <v>4579</v>
      </c>
      <c r="S123" s="18" t="s">
        <v>4575</v>
      </c>
      <c r="T123" s="606" t="s">
        <v>5734</v>
      </c>
    </row>
    <row r="124" spans="1:20" ht="18" customHeight="1" x14ac:dyDescent="0.15">
      <c r="A124" s="601" t="s">
        <v>5735</v>
      </c>
      <c r="B124" s="17" t="s">
        <v>4631</v>
      </c>
      <c r="C124" s="18" t="s">
        <v>4575</v>
      </c>
      <c r="D124" s="2672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4597</v>
      </c>
      <c r="I124" s="549" t="s">
        <v>4657</v>
      </c>
      <c r="J124" s="592" t="s">
        <v>5774</v>
      </c>
      <c r="K124" s="2249" t="s">
        <v>3187</v>
      </c>
      <c r="L124" s="549" t="s">
        <v>4601</v>
      </c>
      <c r="M124" s="17" t="s">
        <v>4597</v>
      </c>
      <c r="N124" s="2672" cm="1" t="n">
        <f t="array" ref="N124">INDEX('5층_부하량'!I3:I3000,MATCH(1,("5-DaHall 1-PDU-04"='5층_부하량'!A3:A3000)*(62='5층_부하량'!B3:B3000),0))</f>
        <v>0.6403613521648076</v>
      </c>
      <c r="O124" s="19"/>
      <c r="P124" s="19"/>
      <c r="Q124" s="21"/>
      <c r="R124" s="17" t="s">
        <v>4579</v>
      </c>
      <c r="S124" s="18" t="s">
        <v>4575</v>
      </c>
      <c r="T124" s="606" t="s">
        <v>5736</v>
      </c>
    </row>
    <row r="125" spans="1:20" ht="18" customHeight="1" x14ac:dyDescent="0.15">
      <c r="A125" s="601" t="s">
        <v>5737</v>
      </c>
      <c r="B125" s="17" t="s">
        <v>4631</v>
      </c>
      <c r="C125" s="18" t="s">
        <v>4575</v>
      </c>
      <c r="D125" s="21"/>
      <c r="E125" s="2672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4597</v>
      </c>
      <c r="I125" s="549" t="s">
        <v>4661</v>
      </c>
      <c r="J125" s="592" t="s">
        <v>5774</v>
      </c>
      <c r="K125" s="2249" t="s">
        <v>3187</v>
      </c>
      <c r="L125" s="549" t="s">
        <v>4603</v>
      </c>
      <c r="M125" s="17" t="s">
        <v>4597</v>
      </c>
      <c r="N125" s="21"/>
      <c r="O125" s="2672" cm="1" t="n">
        <f t="array" ref="O125">INDEX('5층_부하량'!J3:J3000,MATCH(1,("5-DaHall 1-PDU-04"='5층_부하량'!A3:A3000)*(63='5층_부하량'!B3:B3000),0))</f>
        <v>3.8896422462041707</v>
      </c>
      <c r="P125" s="21"/>
      <c r="Q125" s="21"/>
      <c r="R125" s="17" t="s">
        <v>4579</v>
      </c>
      <c r="S125" s="18" t="s">
        <v>4575</v>
      </c>
      <c r="T125" s="606" t="s">
        <v>5738</v>
      </c>
    </row>
    <row r="126" spans="1:20" ht="18" customHeight="1" x14ac:dyDescent="0.15">
      <c r="A126" s="601" t="s">
        <v>5739</v>
      </c>
      <c r="B126" s="17" t="s">
        <v>4631</v>
      </c>
      <c r="C126" s="18" t="s">
        <v>4575</v>
      </c>
      <c r="D126" s="21"/>
      <c r="E126" s="21"/>
      <c r="F126" s="2672" cm="1">
        <f t="array" ref="F126">INDEX('5층_부하량'!K3:K3000,MATCH(1,("5-DaHall 1-PDU-04"='5층_부하량'!A3:A3000)*(10='5층_부하량'!B3:B3000),0))</f>
        <v>0</v>
      </c>
      <c r="G126" s="21"/>
      <c r="H126" s="17" t="s">
        <v>4597</v>
      </c>
      <c r="I126" s="549" t="s">
        <v>4665</v>
      </c>
      <c r="J126" s="592" t="s">
        <v>5774</v>
      </c>
      <c r="K126" s="2249" t="s">
        <v>3187</v>
      </c>
      <c r="L126" s="549" t="s">
        <v>4605</v>
      </c>
      <c r="M126" s="17" t="s">
        <v>4597</v>
      </c>
      <c r="N126" s="21"/>
      <c r="O126" s="21"/>
      <c r="P126" s="2672" cm="1" t="n">
        <f t="array" ref="P126">INDEX('5층_부하량'!K3:K3000,MATCH(1,("5-DaHall 1-PDU-04"='5층_부하량'!A3:A3000)*(64='5층_부하량'!B3:B3000),0))</f>
        <v>4.496556537529216</v>
      </c>
      <c r="Q126" s="21"/>
      <c r="R126" s="17" t="s">
        <v>4579</v>
      </c>
      <c r="S126" s="18" t="s">
        <v>4575</v>
      </c>
      <c r="T126" s="606" t="s">
        <v>5740</v>
      </c>
    </row>
    <row r="127" spans="1:20" ht="18" customHeight="1" x14ac:dyDescent="0.15">
      <c r="A127" s="602" t="s">
        <v>5776</v>
      </c>
      <c r="B127" s="17" t="s">
        <v>4631</v>
      </c>
      <c r="C127" s="17" t="s">
        <v>4723</v>
      </c>
      <c r="D127" s="2672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4597</v>
      </c>
      <c r="I127" s="1444" t="s">
        <v>4670</v>
      </c>
      <c r="J127" s="591" t="s">
        <v>4637</v>
      </c>
      <c r="K127" s="2249" t="s">
        <v>3187</v>
      </c>
      <c r="L127" s="549" t="s">
        <v>4609</v>
      </c>
      <c r="M127" s="17" t="s">
        <v>4597</v>
      </c>
      <c r="N127" s="2672" cm="1" t="n">
        <f t="array" ref="N127">INDEX('5층_부하량'!I3:I3000,MATCH(1,("5-DaHall 1-PDU-04"='5층_부하량'!A3:A3000)*(65='5층_부하량'!B3:B3000),0))</f>
        <v>1.84413171977286</v>
      </c>
      <c r="O127" s="21"/>
      <c r="P127" s="21"/>
      <c r="Q127" s="21"/>
      <c r="R127" s="17" t="s">
        <v>4579</v>
      </c>
      <c r="S127" s="18" t="s">
        <v>4575</v>
      </c>
      <c r="T127" s="606" t="s">
        <v>5742</v>
      </c>
    </row>
    <row r="128" spans="1:20" ht="18" customHeight="1" x14ac:dyDescent="0.15">
      <c r="A128" s="321" t="s">
        <v>5777</v>
      </c>
      <c r="B128" s="17" t="s">
        <v>4631</v>
      </c>
      <c r="C128" s="17" t="s">
        <v>4723</v>
      </c>
      <c r="D128" s="21"/>
      <c r="E128" s="2672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4597</v>
      </c>
      <c r="I128" s="549" t="s">
        <v>4674</v>
      </c>
      <c r="J128" s="593" t="s">
        <v>5744</v>
      </c>
      <c r="K128" s="2249" t="s">
        <v>3187</v>
      </c>
      <c r="L128" s="549" t="s">
        <v>4613</v>
      </c>
      <c r="M128" s="17" t="s">
        <v>4597</v>
      </c>
      <c r="N128" s="21"/>
      <c r="O128" s="2672" cm="1" t="n">
        <f t="array" ref="O128">INDEX('5층_부하량'!J3:J3000,MATCH(1,("5-DaHall 1-PDU-04"='5층_부하량'!A3:A3000)*(66='5층_부하량'!B3:B3000),0))</f>
        <v>4.7165906482028985</v>
      </c>
      <c r="P128" s="21"/>
      <c r="Q128" s="21"/>
      <c r="R128" s="17" t="s">
        <v>4579</v>
      </c>
      <c r="S128" s="18" t="s">
        <v>4575</v>
      </c>
      <c r="T128" s="606" t="s">
        <v>5745</v>
      </c>
    </row>
    <row r="129" spans="1:20" ht="18" customHeight="1" x14ac:dyDescent="0.15">
      <c r="A129" s="321" t="s">
        <v>3693</v>
      </c>
      <c r="B129" s="17" t="s">
        <v>4631</v>
      </c>
      <c r="C129" s="18" t="s">
        <v>4575</v>
      </c>
      <c r="D129" s="21"/>
      <c r="E129" s="21"/>
      <c r="F129" s="2672" cm="1">
        <f t="array" ref="F129">INDEX('5층_부하량'!K3:K3000,MATCH(1,("5-DaHall 1-PDU-04"='5층_부하량'!A3:A3000)*(13='5층_부하량'!B3:B3000),0))</f>
        <v>0</v>
      </c>
      <c r="G129" s="21"/>
      <c r="H129" s="17" t="s">
        <v>4597</v>
      </c>
      <c r="I129" s="549" t="s">
        <v>4678</v>
      </c>
      <c r="J129" s="593" t="s">
        <v>5744</v>
      </c>
      <c r="K129" s="2249" t="s">
        <v>3187</v>
      </c>
      <c r="L129" s="549" t="s">
        <v>4680</v>
      </c>
      <c r="M129" s="17" t="s">
        <v>4597</v>
      </c>
      <c r="N129" s="21"/>
      <c r="O129" s="21"/>
      <c r="P129" s="2672" cm="1">
        <f t="array" ref="P129">INDEX('5층_부하량'!K3:K3000,MATCH(1,("5-DaHall 1-PDU-04"='5층_부하량'!A3:A3000)*(67='5층_부하량'!B3:B3000),0))</f>
        <v>0</v>
      </c>
      <c r="Q129" s="21"/>
      <c r="R129" s="17" t="s">
        <v>5746</v>
      </c>
      <c r="S129" s="17" t="s">
        <v>4642</v>
      </c>
      <c r="T129" s="606" t="s">
        <v>5747</v>
      </c>
    </row>
    <row r="130" spans="1:20" ht="18" customHeight="1" x14ac:dyDescent="0.15">
      <c r="A130" s="321" t="s">
        <v>3698</v>
      </c>
      <c r="B130" s="17" t="s">
        <v>4631</v>
      </c>
      <c r="C130" s="18" t="s">
        <v>4575</v>
      </c>
      <c r="D130" s="2672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4597</v>
      </c>
      <c r="I130" s="549" t="s">
        <v>4683</v>
      </c>
      <c r="J130" s="593" t="s">
        <v>5744</v>
      </c>
      <c r="K130" s="2249" t="s">
        <v>3187</v>
      </c>
      <c r="L130" s="549" t="s">
        <v>4685</v>
      </c>
      <c r="M130" s="17" t="s">
        <v>4597</v>
      </c>
      <c r="N130" s="2672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5746</v>
      </c>
      <c r="S130" s="17" t="s">
        <v>4642</v>
      </c>
      <c r="T130" s="606" t="s">
        <v>5748</v>
      </c>
    </row>
    <row r="131" spans="1:20" ht="18" customHeight="1" x14ac:dyDescent="0.15">
      <c r="A131" s="71" t="s">
        <v>3703</v>
      </c>
      <c r="B131" s="72" t="s">
        <v>4631</v>
      </c>
      <c r="C131" s="73" t="s">
        <v>4575</v>
      </c>
      <c r="D131" s="21"/>
      <c r="E131" s="2672" cm="1">
        <f t="array" ref="E131">INDEX('5층_부하량'!J3:J3000,MATCH(1,("5-DaHall 1-PDU-04"='5층_부하량'!A3:A3000)*(15='5층_부하량'!B3:B3000),0))</f>
        <v>0</v>
      </c>
      <c r="F131" s="21"/>
      <c r="G131" s="74"/>
      <c r="H131" s="72" t="s">
        <v>4597</v>
      </c>
      <c r="I131" s="550" t="s">
        <v>4688</v>
      </c>
      <c r="J131" s="593" t="s">
        <v>5744</v>
      </c>
      <c r="K131" s="2249" t="s">
        <v>3187</v>
      </c>
      <c r="L131" s="550" t="s">
        <v>4689</v>
      </c>
      <c r="M131" s="72" t="s">
        <v>4597</v>
      </c>
      <c r="N131" s="21"/>
      <c r="O131" s="2672" cm="1">
        <f t="array" ref="O131">INDEX('5층_부하량'!J3:J3000,MATCH(1,("5-DaHall 1-PDU-04"='5층_부하량'!A3:A3000)*(69='5층_부하량'!B3:B3000),0))</f>
        <v>0</v>
      </c>
      <c r="P131" s="21"/>
      <c r="Q131" s="74"/>
      <c r="R131" s="17" t="s">
        <v>5746</v>
      </c>
      <c r="S131" s="17" t="s">
        <v>4642</v>
      </c>
      <c r="T131" s="606" t="s">
        <v>5749</v>
      </c>
    </row>
    <row r="132" spans="1:20" ht="18" customHeight="1" x14ac:dyDescent="0.15">
      <c r="A132" s="602" t="s">
        <v>3708</v>
      </c>
      <c r="B132" s="17" t="s">
        <v>4631</v>
      </c>
      <c r="C132" s="18" t="s">
        <v>4575</v>
      </c>
      <c r="D132" s="21"/>
      <c r="E132" s="21"/>
      <c r="F132" s="2672" cm="1">
        <f t="array" ref="F132">INDEX('5층_부하량'!K3:K3000,MATCH(1,("5-DaHall 1-PDU-04"='5층_부하량'!A3:A3000)*(16='5층_부하량'!B3:B3000),0))</f>
        <v>0</v>
      </c>
      <c r="G132" s="21"/>
      <c r="H132" s="17" t="s">
        <v>4597</v>
      </c>
      <c r="I132" s="549" t="s">
        <v>4691</v>
      </c>
      <c r="J132" s="591" t="s">
        <v>5778</v>
      </c>
      <c r="K132" s="2249" t="s">
        <v>3187</v>
      </c>
      <c r="L132" s="549" t="s">
        <v>4692</v>
      </c>
      <c r="M132" s="17" t="s">
        <v>4597</v>
      </c>
      <c r="N132" s="21"/>
      <c r="O132" s="21"/>
      <c r="P132" s="2672" cm="1">
        <f t="array" ref="P132">INDEX('5층_부하량'!K3:K3000,MATCH(1,("5-DaHall 1-PDU-04"='5층_부하량'!A3:A3000)*(70='5층_부하량'!B3:B3000),0))</f>
        <v>0</v>
      </c>
      <c r="Q132" s="21"/>
      <c r="R132" s="17" t="s">
        <v>5746</v>
      </c>
      <c r="S132" s="17" t="s">
        <v>4642</v>
      </c>
      <c r="T132" s="606" t="s">
        <v>5750</v>
      </c>
    </row>
    <row r="133" spans="1:20" ht="18" customHeight="1" x14ac:dyDescent="0.15">
      <c r="A133" s="2196"/>
      <c r="B133" s="1448" t="s">
        <v>4590</v>
      </c>
      <c r="C133" s="17" t="s">
        <v>4723</v>
      </c>
      <c r="D133" s="2672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4597</v>
      </c>
      <c r="I133" s="549" t="s">
        <v>4693</v>
      </c>
      <c r="J133" s="591" t="s">
        <v>5778</v>
      </c>
      <c r="K133" s="2249" t="s">
        <v>3187</v>
      </c>
      <c r="L133" s="1444" t="s">
        <v>4694</v>
      </c>
      <c r="M133" s="17" t="s">
        <v>4597</v>
      </c>
      <c r="N133" s="2672" cm="1" t="n">
        <f t="array" ref="N133">INDEX('5층_부하량'!I3:I3000,MATCH(1,("5-DaHall 1-PDU-04"='5층_부하량'!A3:A3000)*(71='5층_부하량'!B3:B3000),0))</f>
        <v>0.2707407273898886</v>
      </c>
      <c r="O133" s="19"/>
      <c r="P133" s="19"/>
      <c r="Q133" s="21"/>
      <c r="R133" s="17" t="s">
        <v>5746</v>
      </c>
      <c r="S133" s="18" t="s">
        <v>4575</v>
      </c>
      <c r="T133" s="606" t="s">
        <v>5752</v>
      </c>
    </row>
    <row r="134" spans="1:20" ht="18" customHeight="1" x14ac:dyDescent="0.15">
      <c r="A134" s="2196"/>
      <c r="B134" s="1448" t="s">
        <v>4590</v>
      </c>
      <c r="C134" s="17" t="s">
        <v>4723</v>
      </c>
      <c r="D134" s="21"/>
      <c r="E134" s="2672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4597</v>
      </c>
      <c r="I134" s="549" t="s">
        <v>4697</v>
      </c>
      <c r="J134" s="591" t="s">
        <v>5778</v>
      </c>
      <c r="K134" s="2249" t="s">
        <v>3187</v>
      </c>
      <c r="L134" s="1444" t="s">
        <v>4698</v>
      </c>
      <c r="M134" s="17" t="s">
        <v>4597</v>
      </c>
      <c r="N134" s="21"/>
      <c r="O134" s="2672" cm="1" t="n">
        <f t="array" ref="O134">INDEX('5층_부하량'!J3:J3000,MATCH(1,("5-DaHall 1-PDU-04"='5층_부하량'!A3:A3000)*(72='5층_부하량'!B3:B3000),0))</f>
        <v>0.289905486120164</v>
      </c>
      <c r="P134" s="21"/>
      <c r="Q134" s="21"/>
      <c r="R134" s="17" t="s">
        <v>5746</v>
      </c>
      <c r="S134" s="18" t="s">
        <v>4575</v>
      </c>
      <c r="T134" s="606" t="s">
        <v>5754</v>
      </c>
    </row>
    <row r="135" spans="1:20" ht="18" customHeight="1" x14ac:dyDescent="0.15">
      <c r="A135" s="2196"/>
      <c r="B135" s="1448" t="s">
        <v>4590</v>
      </c>
      <c r="C135" s="17" t="s">
        <v>4723</v>
      </c>
      <c r="D135" s="21"/>
      <c r="E135" s="19"/>
      <c r="F135" s="2670" cm="1">
        <f t="array" ref="F135">INDEX('5층_부하량'!K3:K3000,MATCH(1,("5-DaHall 1-PDU-04"='5층_부하량'!A3:A3000)*(19='5층_부하량'!B3:B3000),0))</f>
        <v>0</v>
      </c>
      <c r="G135" s="21"/>
      <c r="H135" s="17" t="s">
        <v>4597</v>
      </c>
      <c r="I135" s="549" t="s">
        <v>4701</v>
      </c>
      <c r="J135" s="592" t="s">
        <v>5779</v>
      </c>
      <c r="K135" s="2249" t="s">
        <v>3187</v>
      </c>
      <c r="L135" s="1444" t="s">
        <v>4703</v>
      </c>
      <c r="M135" s="17" t="s">
        <v>4597</v>
      </c>
      <c r="N135" s="21"/>
      <c r="O135" s="19"/>
      <c r="P135" s="2670" cm="1" t="n">
        <f t="array" ref="P135">INDEX('5층_부하량'!K3:K3000,MATCH(1,("5-DaHall 1-PDU-04"='5층_부하량'!A3:A3000)*(73='5층_부하량'!B3:B3000),0))</f>
        <v>2.2938781804023103</v>
      </c>
      <c r="Q135" s="21"/>
      <c r="R135" s="17" t="s">
        <v>5746</v>
      </c>
      <c r="S135" s="18" t="s">
        <v>4575</v>
      </c>
      <c r="T135" s="606" t="s">
        <v>5756</v>
      </c>
    </row>
    <row r="136" spans="1:20" ht="18" customHeight="1" x14ac:dyDescent="0.15">
      <c r="A136" s="601" t="s">
        <v>5757</v>
      </c>
      <c r="B136" s="72" t="s">
        <v>4631</v>
      </c>
      <c r="C136" s="73" t="s">
        <v>4575</v>
      </c>
      <c r="D136" s="2672" cm="1" t="n">
        <f t="array" ref="D136">INDEX('5층_부하량'!I3:I3000,MATCH(1,("5-DaHall 1-PDU-04"='5층_부하량'!A3:A3000)*(20='5층_부하량'!B3:B3000),0))</f>
        <v>3.8600145692115353</v>
      </c>
      <c r="E136" s="19"/>
      <c r="F136" s="19"/>
      <c r="G136" s="21"/>
      <c r="H136" s="17" t="s">
        <v>4597</v>
      </c>
      <c r="I136" s="549" t="s">
        <v>4706</v>
      </c>
      <c r="J136" s="2247" t="s">
        <v>3190</v>
      </c>
      <c r="K136" s="2249" t="s">
        <v>3187</v>
      </c>
      <c r="L136" s="1444" t="s">
        <v>4707</v>
      </c>
      <c r="M136" s="17" t="s">
        <v>4597</v>
      </c>
      <c r="N136" s="2672" cm="1" t="n">
        <f t="array" ref="N136">INDEX('5층_부하량'!I3:I3000,MATCH(1,("5-DaHall 1-PDU-04"='5층_부하량'!A3:A3000)*(74='5층_부하량'!B3:B3000),0))</f>
        <v>2.5977847360827813</v>
      </c>
      <c r="O136" s="19"/>
      <c r="P136" s="19"/>
      <c r="Q136" s="21"/>
      <c r="R136" s="17" t="s">
        <v>5746</v>
      </c>
      <c r="S136" s="18" t="s">
        <v>4575</v>
      </c>
      <c r="T136" s="606" t="s">
        <v>5758</v>
      </c>
    </row>
    <row r="137" spans="1:20" ht="18" customHeight="1" x14ac:dyDescent="0.15">
      <c r="A137" s="601" t="s">
        <v>5759</v>
      </c>
      <c r="B137" s="17" t="s">
        <v>4631</v>
      </c>
      <c r="C137" s="18" t="s">
        <v>4575</v>
      </c>
      <c r="D137" s="21"/>
      <c r="E137" s="2672" cm="1" t="n">
        <f t="array" ref="E137">INDEX('5층_부하량'!J3:J3000,MATCH(1,("5-DaHall 1-PDU-04"='5층_부하량'!A3:A3000)*(21='5층_부하량'!B3:B3000),0))</f>
        <v>0.9132880202510728</v>
      </c>
      <c r="F137" s="19"/>
      <c r="G137" s="21"/>
      <c r="H137" s="17" t="s">
        <v>4597</v>
      </c>
      <c r="I137" s="549" t="s">
        <v>4710</v>
      </c>
      <c r="J137" s="2247" t="s">
        <v>3190</v>
      </c>
      <c r="K137" s="2249" t="s">
        <v>3187</v>
      </c>
      <c r="L137" s="1444" t="s">
        <v>4711</v>
      </c>
      <c r="M137" s="17" t="s">
        <v>4597</v>
      </c>
      <c r="N137" s="21"/>
      <c r="O137" s="2672" cm="1" t="n">
        <f t="array" ref="O137">INDEX('5층_부하량'!J3:J3000,MATCH(1,("5-DaHall 1-PDU-04"='5층_부하량'!A3:A3000)*(75='5층_부하량'!B3:B3000),0))</f>
        <v>1.4562298837033556</v>
      </c>
      <c r="P137" s="19"/>
      <c r="Q137" s="21"/>
      <c r="R137" s="17" t="s">
        <v>5746</v>
      </c>
      <c r="S137" s="18" t="s">
        <v>4575</v>
      </c>
      <c r="T137" s="606" t="s">
        <v>5760</v>
      </c>
    </row>
    <row r="138" spans="1:20" ht="18" customHeight="1" x14ac:dyDescent="0.15">
      <c r="A138" s="2196" t="s">
        <v>5761</v>
      </c>
      <c r="B138" s="17" t="s">
        <v>5762</v>
      </c>
      <c r="C138" s="17" t="s">
        <v>4723</v>
      </c>
      <c r="D138" s="21"/>
      <c r="E138" s="19"/>
      <c r="F138" s="2672" cm="1">
        <f t="array" ref="F138">INDEX('5층_부하량'!K3:K3000,MATCH(1,("5-DaHall 1-PDU-04"='5층_부하량'!A3:A3000)*(22='5층_부하량'!B3:B3000),0))</f>
        <v>0</v>
      </c>
      <c r="G138" s="21"/>
      <c r="H138" s="17" t="s">
        <v>4597</v>
      </c>
      <c r="I138" s="549" t="s">
        <v>5055</v>
      </c>
      <c r="J138" s="2247" t="s">
        <v>3190</v>
      </c>
      <c r="K138" s="2249" t="s">
        <v>3187</v>
      </c>
      <c r="L138" s="1444" t="s">
        <v>4843</v>
      </c>
      <c r="M138" s="17" t="s">
        <v>4597</v>
      </c>
      <c r="N138" s="21"/>
      <c r="O138" s="19"/>
      <c r="P138" s="2672" cm="1" t="n">
        <f t="array" ref="P138">INDEX('5층_부하량'!K3:K3000,MATCH(1,("5-DaHall 1-PDU-04"='5층_부하량'!A3:A3000)*(76='5층_부하량'!B3:B3000),0))</f>
        <v>1.5857251799437317</v>
      </c>
      <c r="Q138" s="21"/>
      <c r="R138" s="17" t="s">
        <v>5746</v>
      </c>
      <c r="S138" s="18" t="s">
        <v>4575</v>
      </c>
      <c r="T138" s="606" t="s">
        <v>5763</v>
      </c>
    </row>
    <row r="139" spans="1:20" ht="18" customHeight="1" x14ac:dyDescent="0.15">
      <c r="A139" s="2196" t="s">
        <v>5764</v>
      </c>
      <c r="B139" s="72" t="s">
        <v>4631</v>
      </c>
      <c r="C139" s="73" t="s">
        <v>4575</v>
      </c>
      <c r="D139" s="2672" cm="1" t="n">
        <f t="array" ref="D139">INDEX('5층_부하량'!I3:I3000,MATCH(1,("5-DaHall 1-PDU-04"='5층_부하량'!A3:A3000)*(23='5층_부하량'!B3:B3000),0))</f>
        <v>2.494019109883697</v>
      </c>
      <c r="E139" s="19"/>
      <c r="F139" s="19"/>
      <c r="G139" s="21"/>
      <c r="H139" s="17" t="s">
        <v>4597</v>
      </c>
      <c r="I139" s="549" t="s">
        <v>4845</v>
      </c>
      <c r="J139" s="2247" t="s">
        <v>3190</v>
      </c>
      <c r="K139" s="2249" t="s">
        <v>3187</v>
      </c>
      <c r="L139" s="1444" t="s">
        <v>4846</v>
      </c>
      <c r="M139" s="17" t="s">
        <v>4597</v>
      </c>
      <c r="N139" s="2672" cm="1" t="n">
        <f t="array" ref="N139">INDEX('5층_부하량'!I3:I3000,MATCH(1,("5-DaHall 1-PDU-04"='5층_부하량'!A3:A3000)*(77='5층_부하량'!B3:B3000),0))</f>
        <v>2.321453510476452</v>
      </c>
      <c r="O139" s="19"/>
      <c r="P139" s="19"/>
      <c r="Q139" s="21"/>
      <c r="R139" s="17" t="s">
        <v>5746</v>
      </c>
      <c r="S139" s="18" t="s">
        <v>4575</v>
      </c>
      <c r="T139" s="606" t="s">
        <v>5765</v>
      </c>
    </row>
    <row r="140" spans="1:20" ht="18" customHeight="1" x14ac:dyDescent="0.15">
      <c r="A140" s="2196" t="s">
        <v>5766</v>
      </c>
      <c r="B140" s="17" t="s">
        <v>4631</v>
      </c>
      <c r="C140" s="18" t="s">
        <v>4575</v>
      </c>
      <c r="D140" s="21"/>
      <c r="E140" s="2672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4597</v>
      </c>
      <c r="I140" s="549" t="s">
        <v>4847</v>
      </c>
      <c r="J140" s="2247" t="s">
        <v>3190</v>
      </c>
      <c r="K140" s="2249" t="s">
        <v>3187</v>
      </c>
      <c r="L140" s="1444" t="s">
        <v>4848</v>
      </c>
      <c r="M140" s="17" t="s">
        <v>4597</v>
      </c>
      <c r="N140" s="21"/>
      <c r="O140" s="2672" cm="1" t="n">
        <f t="array" ref="O140">INDEX('5층_부하량'!J3:J3000,MATCH(1,("5-DaHall 1-PDU-04"='5층_부하량'!A3:A3000)*(78='5층_부하량'!B3:B3000),0))</f>
        <v>2.3525020227136992</v>
      </c>
      <c r="P140" s="21"/>
      <c r="Q140" s="21"/>
      <c r="R140" s="17" t="s">
        <v>5746</v>
      </c>
      <c r="S140" s="18" t="s">
        <v>4575</v>
      </c>
      <c r="T140" s="606" t="s">
        <v>5767</v>
      </c>
    </row>
    <row r="141" spans="1:20" ht="18" customHeight="1" x14ac:dyDescent="0.15">
      <c r="A141" s="2196" t="s">
        <v>5780</v>
      </c>
      <c r="B141" s="17" t="s">
        <v>5762</v>
      </c>
      <c r="C141" s="18" t="s">
        <v>4575</v>
      </c>
      <c r="D141" s="21"/>
      <c r="E141" s="21"/>
      <c r="F141" s="2672" cm="1" t="n">
        <f t="array" ref="F141">INDEX('5층_부하량'!K3:K3000,MATCH(1,("5-DaHall 1-PDU-04"='5층_부하량'!A3:A3000)*(25='5층_부하량'!B3:B3000),0))</f>
        <v>4.395310323347011</v>
      </c>
      <c r="G141" s="21"/>
      <c r="H141" s="17" t="s">
        <v>4597</v>
      </c>
      <c r="I141" s="549" t="s">
        <v>4849</v>
      </c>
      <c r="J141" s="2247" t="s">
        <v>3190</v>
      </c>
      <c r="K141" s="2249" t="s">
        <v>3187</v>
      </c>
      <c r="L141" s="1444" t="s">
        <v>4850</v>
      </c>
      <c r="M141" s="17" t="s">
        <v>4597</v>
      </c>
      <c r="N141" s="21"/>
      <c r="O141" s="21"/>
      <c r="P141" s="2672" cm="1" t="n">
        <f t="array" ref="P141">INDEX('5층_부하량'!K3:K3000,MATCH(1,("5-DaHall 1-PDU-04"='5층_부하량'!A3:A3000)*(79='5층_부하량'!B3:B3000),0))</f>
        <v>3.182275912445429</v>
      </c>
      <c r="Q141" s="21"/>
      <c r="R141" s="17" t="s">
        <v>5746</v>
      </c>
      <c r="S141" s="18" t="s">
        <v>4575</v>
      </c>
      <c r="T141" s="606" t="s">
        <v>5769</v>
      </c>
    </row>
    <row r="142" spans="1:20" ht="18" customHeight="1" thickBot="1" x14ac:dyDescent="0.2">
      <c r="A142" s="2197" t="s">
        <v>5781</v>
      </c>
      <c r="B142" s="35" t="s">
        <v>5762</v>
      </c>
      <c r="C142" s="39" t="s">
        <v>4575</v>
      </c>
      <c r="D142" s="2671" cm="1" t="n">
        <f t="array" ref="D142">INDEX('5층_부하량'!I3:I3000,MATCH(1,("5-DaHall 1-PDU-04"='5층_부하량'!A3:A3000)*(26='5층_부하량'!B3:B3000),0))</f>
        <v>5.428694756592056</v>
      </c>
      <c r="E142" s="36"/>
      <c r="F142" s="36"/>
      <c r="G142" s="36"/>
      <c r="H142" s="35" t="s">
        <v>4597</v>
      </c>
      <c r="I142" s="1447" t="s">
        <v>4851</v>
      </c>
      <c r="J142" s="2248" t="s">
        <v>3190</v>
      </c>
      <c r="K142" s="2250" t="s">
        <v>3187</v>
      </c>
      <c r="L142" s="1447" t="s">
        <v>4852</v>
      </c>
      <c r="M142" s="35" t="s">
        <v>4597</v>
      </c>
      <c r="N142" s="2671" cm="1" t="n">
        <f t="array" ref="N142">INDEX('5층_부하량'!I3:I3000,MATCH(1,("5-DaHall 1-PDU-04"='5층_부하량'!A3:A3000)*(80='5층_부하량'!B3:B3000),0))</f>
        <v>3.9494071069674357</v>
      </c>
      <c r="O142" s="36"/>
      <c r="P142" s="36"/>
      <c r="Q142" s="36"/>
      <c r="R142" s="35" t="s">
        <v>5746</v>
      </c>
      <c r="S142" s="39" t="s">
        <v>4575</v>
      </c>
      <c r="T142" s="2251" t="s">
        <v>5771</v>
      </c>
    </row>
    <row r="143" spans="1:20" ht="18" customHeight="1" thickTop="1" thickBot="1" x14ac:dyDescent="0.2">
      <c r="M143" s="80" t="s">
        <v>5645</v>
      </c>
      <c r="N143" s="33" t="n">
        <f>SUM(D117:D142,N117:N142)</f>
        <v>25.126113500137926</v>
      </c>
      <c r="O143" s="33" t="n">
        <f>SUM(E117:E142,O117:O142)</f>
        <v>17.16435185052263</v>
      </c>
      <c r="P143" s="33" t="n">
        <f>SUM(F117:F142,P117:P142)</f>
        <v>18.33823250804028</v>
      </c>
    </row>
    <row r="144" spans="1:20" ht="18" customHeight="1" thickTop="1" thickBot="1" x14ac:dyDescent="0.2">
      <c r="A144" s="2" t="s">
        <v>5782</v>
      </c>
      <c r="C144" s="3660" t="s">
        <v>5783</v>
      </c>
      <c r="D144" s="3660"/>
      <c r="E144" s="3660"/>
      <c r="F144" s="53"/>
      <c r="G144" s="53"/>
      <c r="H144" s="124"/>
      <c r="I144" s="124"/>
      <c r="J144" s="3661" t="s">
        <v>5784</v>
      </c>
      <c r="K144" s="3667"/>
      <c r="L144" s="124"/>
      <c r="M144" s="86" t="s">
        <v>5785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2">
      <c r="A145" s="3"/>
      <c r="D145" s="54"/>
      <c r="E145" s="54"/>
      <c r="F145" s="54"/>
      <c r="G145" s="54"/>
      <c r="H145" s="4"/>
      <c r="I145" s="4"/>
      <c r="K145" s="56"/>
      <c r="L145" s="565"/>
      <c r="M145" s="1371" t="s">
        <v>4562</v>
      </c>
      <c r="N145" s="1368"/>
      <c r="O145" s="1369"/>
      <c r="P145" s="1370"/>
      <c r="Q145" s="508" t="s">
        <v>4563</v>
      </c>
      <c r="R145" s="133"/>
      <c r="S145" s="128"/>
      <c r="T145" s="528"/>
    </row>
    <row r="146" spans="1:20" ht="18" customHeight="1" thickTop="1" thickBot="1" x14ac:dyDescent="0.2">
      <c r="A146" s="5" t="s">
        <v>4564</v>
      </c>
      <c r="B146" s="6" t="s">
        <v>4565</v>
      </c>
      <c r="C146" s="7" t="s">
        <v>4566</v>
      </c>
      <c r="D146" s="6" t="s">
        <v>4567</v>
      </c>
      <c r="E146" s="6" t="s">
        <v>4568</v>
      </c>
      <c r="F146" s="6" t="s">
        <v>4569</v>
      </c>
      <c r="G146" s="6" t="s">
        <v>4570</v>
      </c>
      <c r="H146" s="8" t="s">
        <v>4571</v>
      </c>
      <c r="I146" s="547"/>
      <c r="J146" s="58" t="s">
        <v>4572</v>
      </c>
      <c r="K146" s="59" t="s">
        <v>4572</v>
      </c>
      <c r="L146" s="566"/>
      <c r="M146" s="8" t="s">
        <v>4571</v>
      </c>
      <c r="N146" s="6" t="s">
        <v>4567</v>
      </c>
      <c r="O146" s="6" t="s">
        <v>4568</v>
      </c>
      <c r="P146" s="6" t="s">
        <v>4569</v>
      </c>
      <c r="Q146" s="6" t="s">
        <v>4570</v>
      </c>
      <c r="R146" s="6" t="s">
        <v>4565</v>
      </c>
      <c r="S146" s="7" t="s">
        <v>4566</v>
      </c>
      <c r="T146" s="60" t="s">
        <v>4564</v>
      </c>
    </row>
    <row r="147" spans="1:20" ht="18" customHeight="1" thickTop="1" x14ac:dyDescent="0.15">
      <c r="A147" s="10"/>
      <c r="B147" s="11" t="s">
        <v>4590</v>
      </c>
      <c r="C147" s="13" t="s">
        <v>4723</v>
      </c>
      <c r="D147" s="15"/>
      <c r="E147" s="15"/>
      <c r="F147" s="15"/>
      <c r="G147" s="15"/>
      <c r="H147" s="13" t="s">
        <v>5786</v>
      </c>
      <c r="I147" s="1177" t="s">
        <v>5787</v>
      </c>
      <c r="J147" s="61"/>
      <c r="K147" s="62"/>
      <c r="L147" s="567" t="s">
        <v>5788</v>
      </c>
      <c r="M147" s="11" t="s">
        <v>5786</v>
      </c>
      <c r="N147" s="15"/>
      <c r="O147" s="15"/>
      <c r="P147" s="15"/>
      <c r="Q147" s="15"/>
      <c r="R147" s="63" t="s">
        <v>4590</v>
      </c>
      <c r="S147" s="11" t="s">
        <v>4642</v>
      </c>
      <c r="T147" s="64"/>
    </row>
    <row r="148" spans="1:20" ht="18" customHeight="1" x14ac:dyDescent="0.15">
      <c r="A148" s="16" t="s">
        <v>5789</v>
      </c>
      <c r="B148" s="17" t="s">
        <v>4631</v>
      </c>
      <c r="C148" s="2475" t="s">
        <v>4723</v>
      </c>
      <c r="D148" s="19"/>
      <c r="E148" s="19"/>
      <c r="F148" s="19"/>
      <c r="G148" s="19"/>
      <c r="H148" s="17" t="s">
        <v>5790</v>
      </c>
      <c r="I148" s="549" t="s">
        <v>4638</v>
      </c>
      <c r="J148" s="65" t="s">
        <v>5661</v>
      </c>
      <c r="K148" s="66" t="s">
        <v>4961</v>
      </c>
      <c r="L148" s="549" t="s">
        <v>4583</v>
      </c>
      <c r="M148" s="17" t="s">
        <v>5786</v>
      </c>
      <c r="N148" s="19"/>
      <c r="O148" s="19"/>
      <c r="P148" s="19"/>
      <c r="Q148" s="19"/>
      <c r="R148" s="67" t="s">
        <v>4631</v>
      </c>
      <c r="S148" s="2476" t="s">
        <v>4723</v>
      </c>
      <c r="T148" s="68" t="s">
        <v>5791</v>
      </c>
    </row>
    <row r="149" spans="1:20" ht="18" customHeight="1" x14ac:dyDescent="0.15">
      <c r="A149" s="321" t="s">
        <v>5792</v>
      </c>
      <c r="B149" s="17" t="s">
        <v>4631</v>
      </c>
      <c r="C149" s="2475" t="s">
        <v>4723</v>
      </c>
      <c r="D149" s="21"/>
      <c r="E149" s="21"/>
      <c r="F149" s="21"/>
      <c r="G149" s="21"/>
      <c r="H149" s="17" t="s">
        <v>5786</v>
      </c>
      <c r="I149" s="549" t="s">
        <v>4641</v>
      </c>
      <c r="J149" s="65" t="s">
        <v>5661</v>
      </c>
      <c r="K149" s="66" t="s">
        <v>4961</v>
      </c>
      <c r="L149" s="549" t="s">
        <v>4588</v>
      </c>
      <c r="M149" s="17" t="s">
        <v>5786</v>
      </c>
      <c r="N149" s="21"/>
      <c r="O149" s="21"/>
      <c r="P149" s="21"/>
      <c r="Q149" s="21"/>
      <c r="R149" s="69" t="s">
        <v>4631</v>
      </c>
      <c r="S149" s="2476" t="s">
        <v>4723</v>
      </c>
      <c r="T149" s="70" t="s">
        <v>5793</v>
      </c>
    </row>
    <row r="150" spans="1:20" ht="18" customHeight="1" x14ac:dyDescent="0.15">
      <c r="A150" s="16" t="s">
        <v>5794</v>
      </c>
      <c r="B150" s="17" t="s">
        <v>4631</v>
      </c>
      <c r="C150" s="2476" t="s">
        <v>4723</v>
      </c>
      <c r="D150" s="21"/>
      <c r="E150" s="21"/>
      <c r="F150" s="21"/>
      <c r="G150" s="21"/>
      <c r="H150" s="17" t="s">
        <v>5795</v>
      </c>
      <c r="I150" s="549" t="s">
        <v>4645</v>
      </c>
      <c r="J150" s="65" t="s">
        <v>4961</v>
      </c>
      <c r="K150" s="66" t="s">
        <v>4961</v>
      </c>
      <c r="L150" s="549" t="s">
        <v>4593</v>
      </c>
      <c r="M150" s="17" t="s">
        <v>5795</v>
      </c>
      <c r="N150" s="21"/>
      <c r="O150" s="21"/>
      <c r="P150" s="21"/>
      <c r="Q150" s="21"/>
      <c r="R150" s="69" t="s">
        <v>4631</v>
      </c>
      <c r="S150" s="2476" t="s">
        <v>4723</v>
      </c>
      <c r="T150" s="68" t="s">
        <v>5796</v>
      </c>
    </row>
    <row r="151" spans="1:20" ht="18" customHeight="1" x14ac:dyDescent="0.15">
      <c r="A151" s="321" t="s">
        <v>5797</v>
      </c>
      <c r="B151" s="17" t="s">
        <v>4631</v>
      </c>
      <c r="C151" s="2476" t="s">
        <v>4723</v>
      </c>
      <c r="D151" s="21"/>
      <c r="E151" s="21"/>
      <c r="F151" s="21"/>
      <c r="G151" s="21"/>
      <c r="H151" s="17" t="s">
        <v>5795</v>
      </c>
      <c r="I151" s="549" t="s">
        <v>4648</v>
      </c>
      <c r="J151" s="65" t="s">
        <v>5798</v>
      </c>
      <c r="K151" s="66" t="s">
        <v>4961</v>
      </c>
      <c r="L151" s="549" t="s">
        <v>4596</v>
      </c>
      <c r="M151" s="17" t="s">
        <v>5795</v>
      </c>
      <c r="N151" s="21"/>
      <c r="O151" s="21"/>
      <c r="P151" s="21"/>
      <c r="Q151" s="21"/>
      <c r="R151" s="69" t="s">
        <v>4631</v>
      </c>
      <c r="S151" s="2476" t="s">
        <v>4723</v>
      </c>
      <c r="T151" s="70" t="s">
        <v>5799</v>
      </c>
    </row>
    <row r="152" spans="1:20" ht="18" customHeight="1" thickBot="1" x14ac:dyDescent="0.2">
      <c r="A152" s="87" t="s">
        <v>5800</v>
      </c>
      <c r="B152" s="88" t="s">
        <v>4631</v>
      </c>
      <c r="C152" s="2477" t="s">
        <v>4723</v>
      </c>
      <c r="D152" s="90"/>
      <c r="E152" s="90"/>
      <c r="F152" s="90"/>
      <c r="G152" s="90"/>
      <c r="H152" s="88" t="s">
        <v>5795</v>
      </c>
      <c r="I152" s="553" t="s">
        <v>4653</v>
      </c>
      <c r="J152" s="91" t="s">
        <v>5661</v>
      </c>
      <c r="K152" s="92" t="s">
        <v>4961</v>
      </c>
      <c r="L152" s="553" t="s">
        <v>4599</v>
      </c>
      <c r="M152" s="88" t="s">
        <v>5801</v>
      </c>
      <c r="N152" s="90"/>
      <c r="O152" s="90"/>
      <c r="P152" s="90"/>
      <c r="Q152" s="90"/>
      <c r="R152" s="93" t="s">
        <v>4631</v>
      </c>
      <c r="S152" s="2480" t="s">
        <v>4723</v>
      </c>
      <c r="T152" s="94" t="s">
        <v>5802</v>
      </c>
    </row>
    <row r="153" spans="1:20" ht="18" customHeight="1" thickTop="1" x14ac:dyDescent="0.15">
      <c r="A153" s="71" t="s">
        <v>5803</v>
      </c>
      <c r="B153" s="72" t="s">
        <v>4631</v>
      </c>
      <c r="C153" s="2478" t="s">
        <v>4723</v>
      </c>
      <c r="D153" s="74"/>
      <c r="E153" s="74"/>
      <c r="F153" s="74"/>
      <c r="G153" s="74"/>
      <c r="H153" s="72" t="s">
        <v>5801</v>
      </c>
      <c r="I153" s="550" t="s">
        <v>4657</v>
      </c>
      <c r="J153" s="95" t="s">
        <v>4961</v>
      </c>
      <c r="K153" s="96" t="s">
        <v>4961</v>
      </c>
      <c r="L153" s="550" t="s">
        <v>4601</v>
      </c>
      <c r="M153" s="72" t="s">
        <v>5801</v>
      </c>
      <c r="N153" s="74"/>
      <c r="O153" s="74"/>
      <c r="P153" s="74"/>
      <c r="Q153" s="74"/>
      <c r="R153" s="75" t="s">
        <v>4631</v>
      </c>
      <c r="S153" s="2478" t="s">
        <v>4723</v>
      </c>
      <c r="T153" s="68" t="s">
        <v>5804</v>
      </c>
    </row>
    <row r="154" spans="1:20" ht="18" customHeight="1" x14ac:dyDescent="0.15">
      <c r="A154" s="16" t="s">
        <v>5805</v>
      </c>
      <c r="B154" s="17" t="s">
        <v>4631</v>
      </c>
      <c r="C154" s="2476" t="s">
        <v>4723</v>
      </c>
      <c r="D154" s="21"/>
      <c r="E154" s="21"/>
      <c r="F154" s="21"/>
      <c r="G154" s="21"/>
      <c r="H154" s="17" t="s">
        <v>5801</v>
      </c>
      <c r="I154" s="549" t="s">
        <v>4661</v>
      </c>
      <c r="J154" s="65" t="s">
        <v>4961</v>
      </c>
      <c r="K154" s="66" t="s">
        <v>4961</v>
      </c>
      <c r="L154" s="549" t="s">
        <v>4603</v>
      </c>
      <c r="M154" s="17" t="s">
        <v>5801</v>
      </c>
      <c r="N154" s="21"/>
      <c r="O154" s="21"/>
      <c r="P154" s="21"/>
      <c r="Q154" s="21"/>
      <c r="R154" s="69" t="s">
        <v>4631</v>
      </c>
      <c r="S154" s="2476" t="s">
        <v>4723</v>
      </c>
      <c r="T154" s="70" t="s">
        <v>5806</v>
      </c>
    </row>
    <row r="155" spans="1:20" ht="18" customHeight="1" x14ac:dyDescent="0.15">
      <c r="A155" s="321" t="s">
        <v>5807</v>
      </c>
      <c r="B155" s="17" t="s">
        <v>4631</v>
      </c>
      <c r="C155" s="2476" t="s">
        <v>4723</v>
      </c>
      <c r="D155" s="21"/>
      <c r="E155" s="21"/>
      <c r="F155" s="21"/>
      <c r="G155" s="21"/>
      <c r="H155" s="17" t="s">
        <v>5801</v>
      </c>
      <c r="I155" s="549" t="s">
        <v>4665</v>
      </c>
      <c r="J155" s="65" t="s">
        <v>5808</v>
      </c>
      <c r="K155" s="66" t="s">
        <v>4961</v>
      </c>
      <c r="L155" s="549" t="s">
        <v>4605</v>
      </c>
      <c r="M155" s="17" t="s">
        <v>5801</v>
      </c>
      <c r="N155" s="21"/>
      <c r="O155" s="21"/>
      <c r="P155" s="21"/>
      <c r="Q155" s="21"/>
      <c r="R155" s="69" t="s">
        <v>4631</v>
      </c>
      <c r="S155" s="2476" t="s">
        <v>4723</v>
      </c>
      <c r="T155" s="70" t="s">
        <v>5809</v>
      </c>
    </row>
    <row r="156" spans="1:20" ht="18" customHeight="1" x14ac:dyDescent="0.15">
      <c r="A156" s="16" t="s">
        <v>5810</v>
      </c>
      <c r="B156" s="17" t="s">
        <v>4631</v>
      </c>
      <c r="C156" s="2476" t="s">
        <v>4723</v>
      </c>
      <c r="D156" s="21"/>
      <c r="E156" s="21"/>
      <c r="F156" s="21"/>
      <c r="G156" s="21"/>
      <c r="H156" s="17" t="s">
        <v>5811</v>
      </c>
      <c r="I156" s="549" t="s">
        <v>4670</v>
      </c>
      <c r="J156" s="65" t="s">
        <v>4961</v>
      </c>
      <c r="K156" s="66" t="s">
        <v>4961</v>
      </c>
      <c r="L156" s="549" t="s">
        <v>4609</v>
      </c>
      <c r="M156" s="17" t="s">
        <v>5811</v>
      </c>
      <c r="N156" s="21"/>
      <c r="O156" s="21"/>
      <c r="P156" s="21"/>
      <c r="Q156" s="21"/>
      <c r="R156" s="69" t="s">
        <v>4631</v>
      </c>
      <c r="S156" s="2476" t="s">
        <v>4723</v>
      </c>
      <c r="T156" s="70" t="s">
        <v>5812</v>
      </c>
    </row>
    <row r="157" spans="1:20" ht="18" customHeight="1" x14ac:dyDescent="0.15">
      <c r="A157" s="321" t="s">
        <v>5813</v>
      </c>
      <c r="B157" s="17" t="s">
        <v>4631</v>
      </c>
      <c r="C157" s="2476" t="s">
        <v>4723</v>
      </c>
      <c r="D157" s="21"/>
      <c r="E157" s="21"/>
      <c r="F157" s="21"/>
      <c r="G157" s="21"/>
      <c r="H157" s="17" t="s">
        <v>5811</v>
      </c>
      <c r="I157" s="549" t="s">
        <v>4674</v>
      </c>
      <c r="J157" s="65" t="s">
        <v>4961</v>
      </c>
      <c r="K157" s="66" t="s">
        <v>4961</v>
      </c>
      <c r="L157" s="549" t="s">
        <v>4613</v>
      </c>
      <c r="M157" s="17" t="s">
        <v>5811</v>
      </c>
      <c r="N157" s="21"/>
      <c r="O157" s="21"/>
      <c r="P157" s="21"/>
      <c r="Q157" s="21"/>
      <c r="R157" s="69" t="s">
        <v>4631</v>
      </c>
      <c r="S157" s="2476" t="s">
        <v>4723</v>
      </c>
      <c r="T157" s="82" t="s">
        <v>5814</v>
      </c>
    </row>
    <row r="158" spans="1:20" ht="18" customHeight="1" x14ac:dyDescent="0.15">
      <c r="A158" s="321" t="s">
        <v>5815</v>
      </c>
      <c r="B158" s="17" t="s">
        <v>4631</v>
      </c>
      <c r="C158" s="2476" t="s">
        <v>4723</v>
      </c>
      <c r="D158" s="21"/>
      <c r="E158" s="21"/>
      <c r="F158" s="21"/>
      <c r="G158" s="21"/>
      <c r="H158" s="17" t="s">
        <v>5811</v>
      </c>
      <c r="I158" s="549" t="s">
        <v>4678</v>
      </c>
      <c r="J158" s="65" t="s">
        <v>4961</v>
      </c>
      <c r="K158" s="66" t="s">
        <v>4961</v>
      </c>
      <c r="L158" s="549" t="s">
        <v>4680</v>
      </c>
      <c r="M158" s="17" t="s">
        <v>5811</v>
      </c>
      <c r="N158" s="21"/>
      <c r="O158" s="21"/>
      <c r="P158" s="21"/>
      <c r="Q158" s="21"/>
      <c r="R158" s="69" t="s">
        <v>4590</v>
      </c>
      <c r="S158" s="17" t="s">
        <v>4642</v>
      </c>
      <c r="T158" s="70"/>
    </row>
    <row r="159" spans="1:20" ht="18" customHeight="1" thickBot="1" x14ac:dyDescent="0.2">
      <c r="A159" s="38" t="s">
        <v>5816</v>
      </c>
      <c r="B159" s="35" t="s">
        <v>4631</v>
      </c>
      <c r="C159" s="2479" t="s">
        <v>4723</v>
      </c>
      <c r="D159" s="36"/>
      <c r="E159" s="36"/>
      <c r="F159" s="36"/>
      <c r="G159" s="36"/>
      <c r="H159" s="35" t="s">
        <v>5811</v>
      </c>
      <c r="I159" s="551" t="s">
        <v>4683</v>
      </c>
      <c r="J159" s="76" t="s">
        <v>4961</v>
      </c>
      <c r="K159" s="77" t="s">
        <v>4961</v>
      </c>
      <c r="L159" s="551" t="s">
        <v>4685</v>
      </c>
      <c r="M159" s="35" t="s">
        <v>5811</v>
      </c>
      <c r="N159" s="36"/>
      <c r="O159" s="36"/>
      <c r="P159" s="36"/>
      <c r="Q159" s="36"/>
      <c r="R159" s="78" t="s">
        <v>4590</v>
      </c>
      <c r="S159" s="35" t="s">
        <v>4642</v>
      </c>
      <c r="T159" s="79"/>
    </row>
    <row r="160" spans="1:20" ht="18" customHeight="1" thickTop="1" thickBot="1" x14ac:dyDescent="0.2">
      <c r="M160" s="80" t="s">
        <v>5645</v>
      </c>
      <c r="N160" s="33" t="n">
        <f>SUM(D147:D159,N147:N159)</f>
        <v>0.0</v>
      </c>
      <c r="O160" s="33" t="n">
        <f>SUM(E147:E159,O147:O159)</f>
        <v>0.0</v>
      </c>
      <c r="P160" s="33" t="n">
        <f>SUM(F147:F159,P147:P159)</f>
        <v>0.0</v>
      </c>
    </row>
    <row r="161" spans="1:20" ht="18" customHeight="1" thickTop="1" thickBot="1" x14ac:dyDescent="0.2">
      <c r="A161" s="2" t="s">
        <v>6949</v>
      </c>
      <c r="C161" s="3660" t="s">
        <v>5817</v>
      </c>
      <c r="D161" s="3660"/>
      <c r="E161" s="3660"/>
      <c r="F161" s="3660"/>
      <c r="G161" s="53"/>
      <c r="H161" s="124"/>
      <c r="I161" s="124"/>
      <c r="J161" s="3661" t="s">
        <v>5653</v>
      </c>
      <c r="K161" s="3667"/>
      <c r="L161" s="124"/>
      <c r="M161" s="124"/>
      <c r="N161" s="53"/>
      <c r="O161" s="53"/>
      <c r="P161" s="53"/>
      <c r="Q161" s="53"/>
      <c r="R161" s="53"/>
      <c r="S161" s="53"/>
    </row>
    <row r="162" spans="1:20" ht="18" customHeight="1" thickTop="1" thickBot="1" x14ac:dyDescent="0.2">
      <c r="A162" s="3"/>
      <c r="D162" s="54"/>
      <c r="E162" s="54"/>
      <c r="F162" s="54"/>
      <c r="G162" s="54"/>
      <c r="H162" s="4"/>
      <c r="I162" s="4"/>
      <c r="K162" s="56"/>
      <c r="L162" s="565"/>
      <c r="M162" s="1371" t="s">
        <v>4562</v>
      </c>
      <c r="N162" s="1368"/>
      <c r="O162" s="1369"/>
      <c r="P162" s="1370"/>
      <c r="Q162" s="508" t="s">
        <v>4563</v>
      </c>
      <c r="R162" s="133"/>
      <c r="S162" s="128"/>
      <c r="T162" s="528"/>
    </row>
    <row r="163" spans="1:20" ht="18" customHeight="1" thickTop="1" thickBot="1" x14ac:dyDescent="0.2">
      <c r="A163" s="5" t="s">
        <v>4564</v>
      </c>
      <c r="B163" s="6" t="s">
        <v>4565</v>
      </c>
      <c r="C163" s="7" t="s">
        <v>4566</v>
      </c>
      <c r="D163" s="6" t="s">
        <v>4567</v>
      </c>
      <c r="E163" s="6" t="s">
        <v>4568</v>
      </c>
      <c r="F163" s="6" t="s">
        <v>4569</v>
      </c>
      <c r="G163" s="6" t="s">
        <v>4570</v>
      </c>
      <c r="H163" s="8" t="s">
        <v>4571</v>
      </c>
      <c r="I163" s="547"/>
      <c r="J163" s="58" t="s">
        <v>4572</v>
      </c>
      <c r="K163" s="59" t="s">
        <v>4572</v>
      </c>
      <c r="L163" s="566"/>
      <c r="M163" s="8" t="s">
        <v>4571</v>
      </c>
      <c r="N163" s="6" t="s">
        <v>4567</v>
      </c>
      <c r="O163" s="6" t="s">
        <v>4568</v>
      </c>
      <c r="P163" s="6" t="s">
        <v>4569</v>
      </c>
      <c r="Q163" s="6" t="s">
        <v>4570</v>
      </c>
      <c r="R163" s="6" t="s">
        <v>4565</v>
      </c>
      <c r="S163" s="7" t="s">
        <v>4566</v>
      </c>
      <c r="T163" s="60" t="s">
        <v>4564</v>
      </c>
    </row>
    <row r="164" spans="1:20" ht="18" customHeight="1" thickTop="1" x14ac:dyDescent="0.15">
      <c r="A164" s="10"/>
      <c r="B164" s="11" t="s">
        <v>565</v>
      </c>
      <c r="C164" s="13" t="s">
        <v>4723</v>
      </c>
      <c r="D164" s="15"/>
      <c r="E164" s="15"/>
      <c r="F164" s="2669" cm="1">
        <f t="array" ref="F164">INDEX('5층_부하량'!K3:K3000,MATCH(1,("5-DaHall 1-PDU-05"='5층_부하량'!A3:A3000)*(1='5층_부하량'!B3:B3000),0))</f>
        <v>0</v>
      </c>
      <c r="G164" s="15"/>
      <c r="H164" s="11" t="s">
        <v>4576</v>
      </c>
      <c r="I164" s="548" t="s">
        <v>4633</v>
      </c>
      <c r="J164" s="302"/>
      <c r="K164" s="62"/>
      <c r="L164" s="548" t="s">
        <v>4578</v>
      </c>
      <c r="M164" s="11" t="s">
        <v>4576</v>
      </c>
      <c r="N164" s="15"/>
      <c r="O164" s="15"/>
      <c r="P164" s="2669" cm="1">
        <f t="array" ref="P164">INDEX('5층_부하량'!K3:K3000,MATCH(1,("5-DaHall 1-PDU-05"='5층_부하량'!A3:A3000)*(2='5층_부하량'!B3:B3000),0))</f>
        <v>0</v>
      </c>
      <c r="Q164" s="15"/>
      <c r="R164" s="69" t="s">
        <v>4590</v>
      </c>
      <c r="S164" s="17" t="s">
        <v>4642</v>
      </c>
      <c r="T164" s="98"/>
    </row>
    <row r="165" spans="1:20" ht="18" customHeight="1" x14ac:dyDescent="0.15">
      <c r="A165" s="16"/>
      <c r="B165" s="17" t="s">
        <v>565</v>
      </c>
      <c r="C165" s="17" t="s">
        <v>4723</v>
      </c>
      <c r="D165" s="2672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4576</v>
      </c>
      <c r="I165" s="549" t="s">
        <v>4638</v>
      </c>
      <c r="J165" s="303"/>
      <c r="K165" s="66"/>
      <c r="L165" s="549" t="s">
        <v>4583</v>
      </c>
      <c r="M165" s="17" t="s">
        <v>4576</v>
      </c>
      <c r="N165" s="2672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9" t="s">
        <v>4590</v>
      </c>
      <c r="S165" s="17" t="s">
        <v>4642</v>
      </c>
      <c r="T165" s="68"/>
    </row>
    <row r="166" spans="1:20" ht="18" customHeight="1" x14ac:dyDescent="0.15">
      <c r="A166" s="321"/>
      <c r="B166" s="17" t="s">
        <v>565</v>
      </c>
      <c r="C166" s="17" t="s">
        <v>4723</v>
      </c>
      <c r="D166" s="21"/>
      <c r="E166" s="2672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4576</v>
      </c>
      <c r="I166" s="549" t="s">
        <v>4641</v>
      </c>
      <c r="J166" s="303"/>
      <c r="K166" s="66"/>
      <c r="L166" s="549" t="s">
        <v>4588</v>
      </c>
      <c r="M166" s="17" t="s">
        <v>4576</v>
      </c>
      <c r="N166" s="21"/>
      <c r="O166" s="2672" cm="1">
        <f t="array" ref="O166">INDEX('5층_부하량'!J3:J3000,MATCH(1,("5-DaHall 1-PDU-05"='5층_부하량'!A3:A3000)*(6='5층_부하량'!B3:B3000),0))</f>
        <v>0</v>
      </c>
      <c r="P166" s="21"/>
      <c r="Q166" s="21"/>
      <c r="R166" s="69" t="s">
        <v>4590</v>
      </c>
      <c r="S166" s="17" t="s">
        <v>4642</v>
      </c>
      <c r="T166" s="70"/>
    </row>
    <row r="167" spans="1:20" ht="18" customHeight="1" x14ac:dyDescent="0.15">
      <c r="A167" s="16"/>
      <c r="B167" s="17" t="s">
        <v>565</v>
      </c>
      <c r="C167" s="17" t="s">
        <v>4723</v>
      </c>
      <c r="D167" s="21"/>
      <c r="E167" s="21"/>
      <c r="F167" s="2672" cm="1">
        <f t="array" ref="F167">INDEX('5층_부하량'!K3:K3000,MATCH(1,("5-DaHall 1-PDU-05"='5층_부하량'!A3:A3000)*(7='5층_부하량'!B3:B3000),0))</f>
        <v>0</v>
      </c>
      <c r="G167" s="21"/>
      <c r="H167" s="17" t="s">
        <v>4576</v>
      </c>
      <c r="I167" s="549" t="s">
        <v>4645</v>
      </c>
      <c r="J167" s="303"/>
      <c r="K167" s="66"/>
      <c r="L167" s="549" t="s">
        <v>4593</v>
      </c>
      <c r="M167" s="17" t="s">
        <v>4576</v>
      </c>
      <c r="N167" s="21"/>
      <c r="O167" s="21"/>
      <c r="P167" s="2672" cm="1">
        <f t="array" ref="P167">INDEX('5층_부하량'!K3:K3000,MATCH(1,("5-DaHall 1-PDU-05"='5층_부하량'!A3:A3000)*(8='5층_부하량'!B3:B3000),0))</f>
        <v>0</v>
      </c>
      <c r="Q167" s="21"/>
      <c r="R167" s="69" t="s">
        <v>4590</v>
      </c>
      <c r="S167" s="17" t="s">
        <v>4642</v>
      </c>
      <c r="T167" s="68"/>
    </row>
    <row r="168" spans="1:20" ht="18" customHeight="1" x14ac:dyDescent="0.15">
      <c r="A168" s="16"/>
      <c r="B168" s="17" t="s">
        <v>565</v>
      </c>
      <c r="C168" s="17" t="s">
        <v>4723</v>
      </c>
      <c r="D168" s="2672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4576</v>
      </c>
      <c r="I168" s="549" t="s">
        <v>4648</v>
      </c>
      <c r="J168" s="303"/>
      <c r="K168" s="66"/>
      <c r="L168" s="549" t="s">
        <v>4596</v>
      </c>
      <c r="M168" s="17" t="s">
        <v>4597</v>
      </c>
      <c r="N168" s="2672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9" t="s">
        <v>4590</v>
      </c>
      <c r="S168" s="17" t="s">
        <v>4642</v>
      </c>
      <c r="T168" s="70"/>
    </row>
    <row r="169" spans="1:20" ht="18" customHeight="1" x14ac:dyDescent="0.15">
      <c r="A169" s="321"/>
      <c r="B169" s="17" t="s">
        <v>565</v>
      </c>
      <c r="C169" s="17" t="s">
        <v>4723</v>
      </c>
      <c r="D169" s="21"/>
      <c r="E169" s="2672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4576</v>
      </c>
      <c r="I169" s="549" t="s">
        <v>4653</v>
      </c>
      <c r="J169" s="303"/>
      <c r="K169" s="66"/>
      <c r="L169" s="549" t="s">
        <v>4599</v>
      </c>
      <c r="M169" s="17" t="s">
        <v>4597</v>
      </c>
      <c r="N169" s="21"/>
      <c r="O169" s="2672" cm="1">
        <f t="array" ref="O169">INDEX('5층_부하량'!J3:J3000,MATCH(1,("5-DaHall 1-PDU-05"='5층_부하량'!A3:A3000)*(12='5층_부하량'!B3:B3000),0))</f>
        <v>0</v>
      </c>
      <c r="P169" s="21"/>
      <c r="Q169" s="21"/>
      <c r="R169" s="69" t="s">
        <v>4590</v>
      </c>
      <c r="S169" s="17" t="s">
        <v>4642</v>
      </c>
      <c r="T169" s="68"/>
    </row>
    <row r="170" spans="1:20" ht="18" customHeight="1" x14ac:dyDescent="0.15">
      <c r="A170" s="16"/>
      <c r="B170" s="17" t="s">
        <v>4590</v>
      </c>
      <c r="C170" s="17" t="s">
        <v>4642</v>
      </c>
      <c r="D170" s="21"/>
      <c r="E170" s="21"/>
      <c r="F170" s="2672" cm="1">
        <f t="array" ref="F170">INDEX('5층_부하량'!K3:K3000,MATCH(1,("5-DaHall 1-PDU-05"='5층_부하량'!A3:A3000)*(13='5층_부하량'!B3:B3000),0))</f>
        <v>0</v>
      </c>
      <c r="G170" s="21"/>
      <c r="H170" s="17" t="s">
        <v>4597</v>
      </c>
      <c r="I170" s="549" t="s">
        <v>4657</v>
      </c>
      <c r="J170" s="303"/>
      <c r="K170" s="66"/>
      <c r="L170" s="549" t="s">
        <v>4601</v>
      </c>
      <c r="M170" s="17" t="s">
        <v>4597</v>
      </c>
      <c r="N170" s="21"/>
      <c r="O170" s="21"/>
      <c r="P170" s="2672" cm="1">
        <f t="array" ref="P170">INDEX('5층_부하량'!K3:K3000,MATCH(1,("5-DaHall 1-PDU-05"='5층_부하량'!A3:A3000)*(14='5층_부하량'!B3:B3000),0))</f>
        <v>0</v>
      </c>
      <c r="Q170" s="21"/>
      <c r="R170" s="69" t="s">
        <v>4590</v>
      </c>
      <c r="S170" s="17" t="s">
        <v>4642</v>
      </c>
      <c r="T170" s="70"/>
    </row>
    <row r="171" spans="1:20" ht="18" customHeight="1" x14ac:dyDescent="0.15">
      <c r="A171" s="321"/>
      <c r="B171" s="17" t="s">
        <v>565</v>
      </c>
      <c r="C171" s="17" t="s">
        <v>4723</v>
      </c>
      <c r="D171" s="2672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4597</v>
      </c>
      <c r="I171" s="549" t="s">
        <v>4661</v>
      </c>
      <c r="J171" s="303"/>
      <c r="K171" s="66"/>
      <c r="L171" s="549" t="s">
        <v>4603</v>
      </c>
      <c r="M171" s="17" t="s">
        <v>4597</v>
      </c>
      <c r="N171" s="2672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9" t="s">
        <v>4590</v>
      </c>
      <c r="S171" s="17" t="s">
        <v>4642</v>
      </c>
      <c r="T171" s="68"/>
    </row>
    <row r="172" spans="1:20" ht="18" customHeight="1" x14ac:dyDescent="0.15">
      <c r="A172" s="16"/>
      <c r="B172" s="17" t="s">
        <v>565</v>
      </c>
      <c r="C172" s="17" t="s">
        <v>4723</v>
      </c>
      <c r="D172" s="21"/>
      <c r="E172" s="2672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4597</v>
      </c>
      <c r="I172" s="549" t="s">
        <v>4665</v>
      </c>
      <c r="J172" s="303"/>
      <c r="K172" s="66"/>
      <c r="L172" s="549" t="s">
        <v>4605</v>
      </c>
      <c r="M172" s="17" t="s">
        <v>4597</v>
      </c>
      <c r="N172" s="21"/>
      <c r="O172" s="2672" cm="1">
        <f t="array" ref="O172">INDEX('5층_부하량'!J3:J3000,MATCH(1,("5-DaHall 1-PDU-05"='5층_부하량'!A3:A3000)*(18='5층_부하량'!B3:B3000),0))</f>
        <v>0</v>
      </c>
      <c r="P172" s="21"/>
      <c r="Q172" s="21"/>
      <c r="R172" s="69" t="s">
        <v>4590</v>
      </c>
      <c r="S172" s="17" t="s">
        <v>4642</v>
      </c>
      <c r="T172" s="70"/>
    </row>
    <row r="173" spans="1:20" ht="18" customHeight="1" x14ac:dyDescent="0.15">
      <c r="A173" s="321"/>
      <c r="B173" s="17" t="s">
        <v>565</v>
      </c>
      <c r="C173" s="17" t="s">
        <v>4723</v>
      </c>
      <c r="D173" s="21"/>
      <c r="E173" s="21"/>
      <c r="F173" s="2672" cm="1">
        <f t="array" ref="F173">INDEX('5층_부하량'!K3:K3000,MATCH(1,("5-DaHall 1-PDU-05"='5층_부하량'!A3:A3000)*(19='5층_부하량'!B3:B3000),0))</f>
        <v>0</v>
      </c>
      <c r="G173" s="21"/>
      <c r="H173" s="17" t="s">
        <v>4597</v>
      </c>
      <c r="I173" s="549" t="s">
        <v>4670</v>
      </c>
      <c r="J173" s="303"/>
      <c r="K173" s="66"/>
      <c r="L173" s="549" t="s">
        <v>4609</v>
      </c>
      <c r="M173" s="17" t="s">
        <v>4597</v>
      </c>
      <c r="N173" s="21"/>
      <c r="O173" s="21"/>
      <c r="P173" s="2672" cm="1">
        <f t="array" ref="P173">INDEX('5층_부하량'!K3:K3000,MATCH(1,("5-DaHall 1-PDU-05"='5층_부하량'!A3:A3000)*(20='5층_부하량'!B3:B3000),0))</f>
        <v>0</v>
      </c>
      <c r="Q173" s="21"/>
      <c r="R173" s="69" t="s">
        <v>4590</v>
      </c>
      <c r="S173" s="17" t="s">
        <v>4642</v>
      </c>
      <c r="T173" s="70"/>
    </row>
    <row r="174" spans="1:20" ht="18" customHeight="1" x14ac:dyDescent="0.15">
      <c r="A174" s="16"/>
      <c r="B174" s="17" t="s">
        <v>565</v>
      </c>
      <c r="C174" s="17" t="s">
        <v>4723</v>
      </c>
      <c r="D174" s="2672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4597</v>
      </c>
      <c r="I174" s="549" t="s">
        <v>4674</v>
      </c>
      <c r="J174" s="303"/>
      <c r="K174" s="66"/>
      <c r="L174" s="549" t="s">
        <v>4613</v>
      </c>
      <c r="M174" s="17" t="s">
        <v>4597</v>
      </c>
      <c r="N174" s="2672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9" t="s">
        <v>4631</v>
      </c>
      <c r="S174" s="17" t="s">
        <v>4642</v>
      </c>
      <c r="T174" s="70" t="s">
        <v>5818</v>
      </c>
    </row>
    <row r="175" spans="1:20" ht="18" customHeight="1" x14ac:dyDescent="0.15">
      <c r="A175" s="321"/>
      <c r="B175" s="17" t="s">
        <v>565</v>
      </c>
      <c r="C175" s="17" t="s">
        <v>4723</v>
      </c>
      <c r="D175" s="21"/>
      <c r="E175" s="2672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4597</v>
      </c>
      <c r="I175" s="549" t="s">
        <v>4678</v>
      </c>
      <c r="J175" s="303"/>
      <c r="K175" s="66"/>
      <c r="L175" s="549" t="s">
        <v>4680</v>
      </c>
      <c r="M175" s="17" t="s">
        <v>4597</v>
      </c>
      <c r="N175" s="21"/>
      <c r="O175" s="2672" cm="1">
        <f t="array" ref="O175">INDEX('5층_부하량'!J3:J3000,MATCH(1,("5-DaHall 1-PDU-05"='5층_부하량'!A3:A3000)*(24='5층_부하량'!B3:B3000),0))</f>
        <v>0</v>
      </c>
      <c r="P175" s="21"/>
      <c r="Q175" s="21"/>
      <c r="R175" s="69" t="s">
        <v>4631</v>
      </c>
      <c r="S175" s="17" t="s">
        <v>4642</v>
      </c>
      <c r="T175" s="70" t="s">
        <v>5819</v>
      </c>
    </row>
    <row r="176" spans="1:20" ht="18" customHeight="1" x14ac:dyDescent="0.15">
      <c r="A176" s="321"/>
      <c r="B176" s="17" t="s">
        <v>565</v>
      </c>
      <c r="C176" s="17" t="s">
        <v>4723</v>
      </c>
      <c r="D176" s="21"/>
      <c r="E176" s="21"/>
      <c r="F176" s="2672" cm="1">
        <f t="array" ref="F176">INDEX('5층_부하량'!K3:K3000,MATCH(1,("5-DaHall 1-PDU-05"='5층_부하량'!A3:A3000)*(25='5층_부하량'!B3:B3000),0))</f>
        <v>0</v>
      </c>
      <c r="G176" s="21"/>
      <c r="H176" s="17" t="s">
        <v>4597</v>
      </c>
      <c r="I176" s="549" t="s">
        <v>4683</v>
      </c>
      <c r="J176" s="303"/>
      <c r="K176" s="66"/>
      <c r="L176" s="549" t="s">
        <v>4685</v>
      </c>
      <c r="M176" s="17" t="s">
        <v>4597</v>
      </c>
      <c r="N176" s="21"/>
      <c r="O176" s="21"/>
      <c r="P176" s="2672" cm="1">
        <f t="array" ref="P176">INDEX('5층_부하량'!K3:K3000,MATCH(1,("5-DaHall 1-PDU-05"='5층_부하량'!A3:A3000)*(26='5층_부하량'!B3:B3000),0))</f>
        <v>0</v>
      </c>
      <c r="Q176" s="21"/>
      <c r="R176" s="69" t="s">
        <v>4631</v>
      </c>
      <c r="S176" s="17" t="s">
        <v>4642</v>
      </c>
      <c r="T176" s="70" t="s">
        <v>5820</v>
      </c>
    </row>
    <row r="177" spans="1:20" ht="18" customHeight="1" x14ac:dyDescent="0.15">
      <c r="A177" s="16"/>
      <c r="B177" s="17" t="s">
        <v>565</v>
      </c>
      <c r="C177" s="17" t="s">
        <v>4723</v>
      </c>
      <c r="D177" s="2672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4597</v>
      </c>
      <c r="I177" s="549" t="s">
        <v>4688</v>
      </c>
      <c r="J177" s="303"/>
      <c r="K177" s="66"/>
      <c r="L177" s="549" t="s">
        <v>4689</v>
      </c>
      <c r="M177" s="17" t="s">
        <v>4597</v>
      </c>
      <c r="N177" s="2672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9" t="s">
        <v>4631</v>
      </c>
      <c r="S177" s="17" t="s">
        <v>4642</v>
      </c>
      <c r="T177" s="70" t="s">
        <v>5821</v>
      </c>
    </row>
    <row r="178" spans="1:20" ht="18" customHeight="1" x14ac:dyDescent="0.15">
      <c r="A178" s="321"/>
      <c r="B178" s="72" t="s">
        <v>565</v>
      </c>
      <c r="C178" s="72" t="s">
        <v>4723</v>
      </c>
      <c r="D178" s="21"/>
      <c r="E178" s="2672" cm="1">
        <f t="array" ref="E178">INDEX('5층_부하량'!J3:J3000,MATCH(1,("5-DaHall 1-PDU-05"='5층_부하량'!A3:A3000)*(29='5층_부하량'!B3:B3000),0))</f>
        <v>0</v>
      </c>
      <c r="F178" s="21"/>
      <c r="G178" s="74"/>
      <c r="H178" s="72" t="s">
        <v>4597</v>
      </c>
      <c r="I178" s="550" t="s">
        <v>4691</v>
      </c>
      <c r="J178" s="303"/>
      <c r="K178" s="96"/>
      <c r="L178" s="550" t="s">
        <v>4692</v>
      </c>
      <c r="M178" s="72" t="s">
        <v>4597</v>
      </c>
      <c r="N178" s="21"/>
      <c r="O178" s="2672" cm="1">
        <f t="array" ref="O178">INDEX('5층_부하량'!J3:J3000,MATCH(1,("5-DaHall 1-PDU-05"='5층_부하량'!A3:A3000)*(30='5층_부하량'!B3:B3000),0))</f>
        <v>0</v>
      </c>
      <c r="P178" s="21"/>
      <c r="Q178" s="74"/>
      <c r="R178" s="75" t="s">
        <v>4631</v>
      </c>
      <c r="S178" s="17" t="s">
        <v>4642</v>
      </c>
      <c r="T178" s="70" t="s">
        <v>5822</v>
      </c>
    </row>
    <row r="179" spans="1:20" ht="18" customHeight="1" x14ac:dyDescent="0.15">
      <c r="A179" s="16"/>
      <c r="B179" s="17" t="s">
        <v>565</v>
      </c>
      <c r="C179" s="17" t="s">
        <v>4723</v>
      </c>
      <c r="D179" s="21"/>
      <c r="E179" s="21"/>
      <c r="F179" s="2672" cm="1">
        <f t="array" ref="F179">INDEX('5층_부하량'!K3:K3000,MATCH(1,("5-DaHall 1-PDU-05"='5층_부하량'!A3:A3000)*(31='5층_부하량'!B3:B3000),0))</f>
        <v>0</v>
      </c>
      <c r="G179" s="21"/>
      <c r="H179" s="17" t="s">
        <v>4597</v>
      </c>
      <c r="I179" s="549" t="s">
        <v>4693</v>
      </c>
      <c r="J179" s="303"/>
      <c r="K179" s="66"/>
      <c r="L179" s="549" t="s">
        <v>4694</v>
      </c>
      <c r="M179" s="17" t="s">
        <v>4597</v>
      </c>
      <c r="N179" s="21"/>
      <c r="O179" s="21"/>
      <c r="P179" s="2672" cm="1">
        <f t="array" ref="P179">INDEX('5층_부하량'!K3:K3000,MATCH(1,("5-DaHall 1-PDU-05"='5층_부하량'!A3:A3000)*(32='5층_부하량'!B3:B3000),0))</f>
        <v>0</v>
      </c>
      <c r="Q179" s="21"/>
      <c r="R179" s="75" t="s">
        <v>4631</v>
      </c>
      <c r="S179" s="17" t="s">
        <v>4642</v>
      </c>
      <c r="T179" s="70" t="s">
        <v>5823</v>
      </c>
    </row>
    <row r="180" spans="1:20" ht="18" customHeight="1" x14ac:dyDescent="0.15">
      <c r="A180" s="321"/>
      <c r="B180" s="17" t="s">
        <v>565</v>
      </c>
      <c r="C180" s="17" t="s">
        <v>4723</v>
      </c>
      <c r="D180" s="2672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4597</v>
      </c>
      <c r="I180" s="549" t="s">
        <v>4697</v>
      </c>
      <c r="J180" s="303"/>
      <c r="K180" s="66"/>
      <c r="L180" s="549" t="s">
        <v>4698</v>
      </c>
      <c r="M180" s="17" t="s">
        <v>4597</v>
      </c>
      <c r="N180" s="2672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5" t="s">
        <v>4631</v>
      </c>
      <c r="S180" s="17" t="s">
        <v>4642</v>
      </c>
      <c r="T180" s="70" t="s">
        <v>3509</v>
      </c>
    </row>
    <row r="181" spans="1:20" ht="18" customHeight="1" x14ac:dyDescent="0.15">
      <c r="A181" s="16"/>
      <c r="B181" s="17" t="s">
        <v>565</v>
      </c>
      <c r="C181" s="17" t="s">
        <v>4723</v>
      </c>
      <c r="D181" s="21"/>
      <c r="E181" s="2672" cm="1">
        <f t="array" ref="E181">INDEX('5층_부하량'!J3:J3000,MATCH(1,("5-DaHall 1-PDU-05"='5층_부하량'!A3:A3000)*(35='5층_부하량'!B3:B3000),0))</f>
        <v>0</v>
      </c>
      <c r="F181" s="21"/>
      <c r="G181" s="21"/>
      <c r="H181" s="72" t="s">
        <v>4597</v>
      </c>
      <c r="I181" s="550" t="s">
        <v>4701</v>
      </c>
      <c r="J181" s="303"/>
      <c r="K181" s="66"/>
      <c r="L181" s="550" t="s">
        <v>4703</v>
      </c>
      <c r="M181" s="72" t="s">
        <v>4597</v>
      </c>
      <c r="N181" s="21"/>
      <c r="O181" s="2672" cm="1">
        <f t="array" ref="O181">INDEX('5층_부하량'!J3:J3000,MATCH(1,("5-DaHall 1-PDU-05"='5층_부하량'!A3:A3000)*(36='5층_부하량'!B3:B3000),0))</f>
        <v>0</v>
      </c>
      <c r="P181" s="21"/>
      <c r="Q181" s="21"/>
      <c r="R181" s="75" t="s">
        <v>4631</v>
      </c>
      <c r="S181" s="17" t="s">
        <v>4642</v>
      </c>
      <c r="T181" s="70" t="s">
        <v>3515</v>
      </c>
    </row>
    <row r="182" spans="1:20" ht="18" customHeight="1" x14ac:dyDescent="0.15">
      <c r="A182" s="321"/>
      <c r="B182" s="17" t="s">
        <v>565</v>
      </c>
      <c r="C182" s="17" t="s">
        <v>4723</v>
      </c>
      <c r="D182" s="21"/>
      <c r="E182" s="21"/>
      <c r="F182" s="2672" cm="1">
        <f t="array" ref="F182">INDEX('5층_부하량'!K3:K3000,MATCH(1,("5-DaHall 1-PDU-05"='5층_부하량'!A3:A3000)*(37='5층_부하량'!B3:B3000),0))</f>
        <v>0</v>
      </c>
      <c r="G182" s="21"/>
      <c r="H182" s="17" t="s">
        <v>4597</v>
      </c>
      <c r="I182" s="549" t="s">
        <v>4706</v>
      </c>
      <c r="J182" s="65"/>
      <c r="K182" s="66"/>
      <c r="L182" s="549" t="s">
        <v>4707</v>
      </c>
      <c r="M182" s="17" t="s">
        <v>4597</v>
      </c>
      <c r="N182" s="21"/>
      <c r="O182" s="21"/>
      <c r="P182" s="2672" cm="1">
        <f t="array" ref="P182">INDEX('5층_부하량'!K3:K3000,MATCH(1,("5-DaHall 1-PDU-05"='5층_부하량'!A3:A3000)*(38='5층_부하량'!B3:B3000),0))</f>
        <v>0</v>
      </c>
      <c r="Q182" s="21"/>
      <c r="R182" s="69" t="s">
        <v>4590</v>
      </c>
      <c r="S182" s="17" t="s">
        <v>4642</v>
      </c>
      <c r="T182" s="70"/>
    </row>
    <row r="183" spans="1:20" ht="18" customHeight="1" x14ac:dyDescent="0.15">
      <c r="A183" s="321"/>
      <c r="B183" s="17" t="s">
        <v>565</v>
      </c>
      <c r="C183" s="17" t="s">
        <v>4723</v>
      </c>
      <c r="D183" s="2672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4597</v>
      </c>
      <c r="I183" s="549" t="s">
        <v>4710</v>
      </c>
      <c r="J183" s="65"/>
      <c r="K183" s="66"/>
      <c r="L183" s="549" t="s">
        <v>4711</v>
      </c>
      <c r="M183" s="17" t="s">
        <v>4597</v>
      </c>
      <c r="N183" s="2672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9" t="s">
        <v>4590</v>
      </c>
      <c r="S183" s="17" t="s">
        <v>4642</v>
      </c>
      <c r="T183" s="70"/>
    </row>
    <row r="184" spans="1:20" ht="18" customHeight="1" x14ac:dyDescent="0.15">
      <c r="A184" s="321"/>
      <c r="B184" s="17" t="s">
        <v>565</v>
      </c>
      <c r="C184" s="17" t="s">
        <v>4723</v>
      </c>
      <c r="D184" s="21"/>
      <c r="E184" s="2672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4597</v>
      </c>
      <c r="I184" s="549" t="s">
        <v>5055</v>
      </c>
      <c r="J184" s="65"/>
      <c r="K184" s="66"/>
      <c r="L184" s="549" t="s">
        <v>4843</v>
      </c>
      <c r="M184" s="17" t="s">
        <v>4597</v>
      </c>
      <c r="N184" s="21"/>
      <c r="O184" s="2672" cm="1">
        <f t="array" ref="O184">INDEX('5층_부하량'!J3:J3000,MATCH(1,("5-DaHall 1-PDU-05"='5층_부하량'!A3:A3000)*(42='5층_부하량'!B3:B3000),0))</f>
        <v>0</v>
      </c>
      <c r="P184" s="21"/>
      <c r="Q184" s="21"/>
      <c r="R184" s="69" t="s">
        <v>4590</v>
      </c>
      <c r="S184" s="17" t="s">
        <v>4642</v>
      </c>
      <c r="T184" s="70"/>
    </row>
    <row r="185" spans="1:20" ht="18" customHeight="1" x14ac:dyDescent="0.15">
      <c r="A185" s="99"/>
      <c r="B185" s="17" t="s">
        <v>565</v>
      </c>
      <c r="C185" s="17" t="s">
        <v>4723</v>
      </c>
      <c r="D185" s="21"/>
      <c r="E185" s="21"/>
      <c r="F185" s="2672" cm="1">
        <f t="array" ref="F185">INDEX('5층_부하량'!K3:K3000,MATCH(1,("5-DaHall 1-PDU-05"='5층_부하량'!A3:A3000)*(43='5층_부하량'!B3:B3000),0))</f>
        <v>0</v>
      </c>
      <c r="G185" s="21"/>
      <c r="H185" s="17" t="s">
        <v>4597</v>
      </c>
      <c r="I185" s="549" t="s">
        <v>4845</v>
      </c>
      <c r="J185" s="65"/>
      <c r="K185" s="66"/>
      <c r="L185" s="549" t="s">
        <v>4846</v>
      </c>
      <c r="M185" s="17" t="s">
        <v>4597</v>
      </c>
      <c r="N185" s="21"/>
      <c r="O185" s="21"/>
      <c r="P185" s="2672" cm="1">
        <f t="array" ref="P185">INDEX('5층_부하량'!K3:K3000,MATCH(1,("5-DaHall 1-PDU-05"='5층_부하량'!A3:A3000)*(44='5층_부하량'!B3:B3000),0))</f>
        <v>0</v>
      </c>
      <c r="Q185" s="21"/>
      <c r="R185" s="69" t="s">
        <v>4590</v>
      </c>
      <c r="S185" s="17" t="s">
        <v>4642</v>
      </c>
      <c r="T185" s="70"/>
    </row>
    <row r="186" spans="1:20" ht="18" customHeight="1" x14ac:dyDescent="0.15">
      <c r="A186" s="321"/>
      <c r="B186" s="17" t="s">
        <v>565</v>
      </c>
      <c r="C186" s="17" t="s">
        <v>4723</v>
      </c>
      <c r="D186" s="2672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4597</v>
      </c>
      <c r="I186" s="549" t="s">
        <v>4847</v>
      </c>
      <c r="J186" s="65"/>
      <c r="K186" s="66"/>
      <c r="L186" s="549" t="s">
        <v>4848</v>
      </c>
      <c r="M186" s="17" t="s">
        <v>4597</v>
      </c>
      <c r="N186" s="2672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9" t="s">
        <v>4590</v>
      </c>
      <c r="S186" s="17" t="s">
        <v>4642</v>
      </c>
      <c r="T186" s="70"/>
    </row>
    <row r="187" spans="1:20" ht="18" customHeight="1" x14ac:dyDescent="0.15">
      <c r="A187" s="321"/>
      <c r="B187" s="17" t="s">
        <v>565</v>
      </c>
      <c r="C187" s="17" t="s">
        <v>4723</v>
      </c>
      <c r="D187" s="21"/>
      <c r="E187" s="2672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4597</v>
      </c>
      <c r="I187" s="549" t="s">
        <v>4849</v>
      </c>
      <c r="J187" s="65"/>
      <c r="K187" s="66"/>
      <c r="L187" s="549" t="s">
        <v>4850</v>
      </c>
      <c r="M187" s="17" t="s">
        <v>4597</v>
      </c>
      <c r="N187" s="21"/>
      <c r="O187" s="2672" cm="1">
        <f t="array" ref="O187">INDEX('5층_부하량'!J3:J3000,MATCH(1,("5-DaHall 1-PDU-05"='5층_부하량'!A3:A3000)*(48='5층_부하량'!B3:B3000),0))</f>
        <v>0</v>
      </c>
      <c r="P187" s="21"/>
      <c r="Q187" s="21"/>
      <c r="R187" s="69" t="s">
        <v>4590</v>
      </c>
      <c r="S187" s="17" t="s">
        <v>4642</v>
      </c>
      <c r="T187" s="70"/>
    </row>
    <row r="188" spans="1:20" ht="18" customHeight="1" x14ac:dyDescent="0.15">
      <c r="A188" s="321"/>
      <c r="B188" s="23" t="s">
        <v>565</v>
      </c>
      <c r="C188" s="17" t="s">
        <v>4723</v>
      </c>
      <c r="D188" s="21"/>
      <c r="E188" s="21"/>
      <c r="F188" s="2672" cm="1">
        <f t="array" ref="F188">INDEX('5층_부하량'!K3:K3000,MATCH(1,("5-DaHall 1-PDU-05"='5층_부하량'!A3:A3000)*(49='5층_부하량'!B3:B3000),0))</f>
        <v>0</v>
      </c>
      <c r="G188" s="21"/>
      <c r="H188" s="17" t="s">
        <v>4597</v>
      </c>
      <c r="I188" s="549" t="s">
        <v>4851</v>
      </c>
      <c r="J188" s="65"/>
      <c r="K188" s="66"/>
      <c r="L188" s="549" t="s">
        <v>4852</v>
      </c>
      <c r="M188" s="17" t="s">
        <v>4597</v>
      </c>
      <c r="N188" s="21"/>
      <c r="O188" s="21"/>
      <c r="P188" s="2672" cm="1">
        <f t="array" ref="P188">INDEX('5층_부하량'!K3:K3000,MATCH(1,("5-DaHall 1-PDU-05"='5층_부하량'!A3:A3000)*(50='5층_부하량'!B3:B3000),0))</f>
        <v>0</v>
      </c>
      <c r="Q188" s="21"/>
      <c r="R188" s="69" t="s">
        <v>4590</v>
      </c>
      <c r="S188" s="17" t="s">
        <v>4642</v>
      </c>
      <c r="T188" s="70"/>
    </row>
    <row r="189" spans="1:20" ht="18" customHeight="1" x14ac:dyDescent="0.15">
      <c r="A189" s="321"/>
      <c r="B189" s="17" t="s">
        <v>565</v>
      </c>
      <c r="C189" s="17" t="s">
        <v>4723</v>
      </c>
      <c r="D189" s="2672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4597</v>
      </c>
      <c r="I189" s="549" t="s">
        <v>4791</v>
      </c>
      <c r="J189" s="65"/>
      <c r="K189" s="66"/>
      <c r="L189" s="549" t="s">
        <v>4793</v>
      </c>
      <c r="M189" s="17" t="s">
        <v>4597</v>
      </c>
      <c r="N189" s="2672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9" t="s">
        <v>4590</v>
      </c>
      <c r="S189" s="17" t="s">
        <v>4642</v>
      </c>
      <c r="T189" s="70"/>
    </row>
    <row r="190" spans="1:20" ht="18" customHeight="1" thickBot="1" x14ac:dyDescent="0.2">
      <c r="A190" s="38"/>
      <c r="B190" s="29" t="s">
        <v>565</v>
      </c>
      <c r="C190" s="35" t="s">
        <v>4723</v>
      </c>
      <c r="D190" s="30"/>
      <c r="E190" s="2674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4597</v>
      </c>
      <c r="I190" s="551" t="s">
        <v>4796</v>
      </c>
      <c r="J190" s="76"/>
      <c r="K190" s="77"/>
      <c r="L190" s="551" t="s">
        <v>4797</v>
      </c>
      <c r="M190" s="35" t="s">
        <v>4597</v>
      </c>
      <c r="N190" s="30"/>
      <c r="O190" s="2674" cm="1">
        <f t="array" ref="O190">INDEX('5층_부하량'!J3:J3000,MATCH(1,("5-DaHall 1-PDU-05"='5층_부하량'!A3:A3000)*(54='5층_부하량'!B3:B3000),0))</f>
        <v>0</v>
      </c>
      <c r="P190" s="30"/>
      <c r="Q190" s="36"/>
      <c r="R190" s="78" t="s">
        <v>4590</v>
      </c>
      <c r="S190" s="35" t="s">
        <v>4642</v>
      </c>
      <c r="T190" s="79"/>
    </row>
    <row r="191" spans="1:20" ht="18" customHeight="1" thickTop="1" thickBot="1" x14ac:dyDescent="0.2">
      <c r="M191" s="80" t="s">
        <v>5645</v>
      </c>
      <c r="N191" s="33" t="n">
        <f>SUM(D164:D190,N164:N190)</f>
        <v>0.0</v>
      </c>
      <c r="O191" s="33" t="n">
        <f>SUM(E164:E190,O164:O190)</f>
        <v>0.0</v>
      </c>
      <c r="P191" s="33" t="n">
        <f>SUM(F164:F190,P164:P190)</f>
        <v>0.0</v>
      </c>
    </row>
    <row r="192" spans="1:20" ht="20.25" thickTop="1" thickBot="1" x14ac:dyDescent="0.2">
      <c r="A192" s="2" t="s">
        <v>6950</v>
      </c>
      <c r="C192" s="3660" t="s">
        <v>5824</v>
      </c>
      <c r="D192" s="3660"/>
      <c r="E192" s="3660"/>
      <c r="F192" s="3660"/>
      <c r="G192" s="53"/>
      <c r="H192" s="124"/>
      <c r="I192" s="124"/>
      <c r="J192" s="3661" t="s">
        <v>5653</v>
      </c>
      <c r="K192" s="3667"/>
      <c r="L192" s="124"/>
      <c r="M192" s="124"/>
      <c r="N192" s="53"/>
      <c r="O192" s="53"/>
      <c r="P192" s="53"/>
      <c r="Q192" s="53"/>
      <c r="R192" s="53"/>
      <c r="S192" s="53"/>
    </row>
    <row r="193" spans="1:20" ht="15" thickTop="1" thickBot="1" x14ac:dyDescent="0.2">
      <c r="A193" s="3"/>
      <c r="D193" s="54"/>
      <c r="E193" s="54"/>
      <c r="F193" s="54"/>
      <c r="G193" s="54"/>
      <c r="H193" s="4"/>
      <c r="I193" s="4"/>
      <c r="K193" s="56"/>
      <c r="L193" s="565"/>
      <c r="M193" s="1371" t="s">
        <v>4562</v>
      </c>
      <c r="N193" s="1368"/>
      <c r="O193" s="1369"/>
      <c r="P193" s="1370"/>
      <c r="Q193" s="508" t="s">
        <v>4563</v>
      </c>
      <c r="R193" s="133"/>
      <c r="S193" s="128"/>
      <c r="T193" s="528"/>
    </row>
    <row r="194" spans="1:20" ht="15" thickTop="1" thickBot="1" x14ac:dyDescent="0.2">
      <c r="A194" s="5" t="s">
        <v>4564</v>
      </c>
      <c r="B194" s="6" t="s">
        <v>4565</v>
      </c>
      <c r="C194" s="7" t="s">
        <v>4566</v>
      </c>
      <c r="D194" s="6" t="s">
        <v>4567</v>
      </c>
      <c r="E194" s="6" t="s">
        <v>4568</v>
      </c>
      <c r="F194" s="6" t="s">
        <v>4569</v>
      </c>
      <c r="G194" s="6" t="s">
        <v>4570</v>
      </c>
      <c r="H194" s="8" t="s">
        <v>4571</v>
      </c>
      <c r="I194" s="547"/>
      <c r="J194" s="58" t="s">
        <v>4572</v>
      </c>
      <c r="K194" s="59" t="s">
        <v>4572</v>
      </c>
      <c r="L194" s="566"/>
      <c r="M194" s="8" t="s">
        <v>4571</v>
      </c>
      <c r="N194" s="6" t="s">
        <v>4567</v>
      </c>
      <c r="O194" s="6" t="s">
        <v>4568</v>
      </c>
      <c r="P194" s="6" t="s">
        <v>4569</v>
      </c>
      <c r="Q194" s="6" t="s">
        <v>4570</v>
      </c>
      <c r="R194" s="6" t="s">
        <v>4565</v>
      </c>
      <c r="S194" s="7" t="s">
        <v>4566</v>
      </c>
      <c r="T194" s="60" t="s">
        <v>4564</v>
      </c>
    </row>
    <row r="195" spans="1:20" ht="14.25" thickTop="1" x14ac:dyDescent="0.15">
      <c r="A195" s="10"/>
      <c r="B195" s="11" t="s">
        <v>565</v>
      </c>
      <c r="C195" s="13" t="s">
        <v>4723</v>
      </c>
      <c r="D195" s="15"/>
      <c r="E195" s="15"/>
      <c r="F195" s="2669" cm="1">
        <f t="array" ref="F195">INDEX('5층_부하량'!K3:K3000,MATCH(1,("5-DaHall 1-PDU-06"='5층_부하량'!A3:A3000)*(1='5층_부하량'!B3:B3000),0))</f>
        <v>0</v>
      </c>
      <c r="G195" s="15"/>
      <c r="H195" s="11" t="s">
        <v>4576</v>
      </c>
      <c r="I195" s="548" t="s">
        <v>4633</v>
      </c>
      <c r="J195" s="302"/>
      <c r="K195" s="62"/>
      <c r="L195" s="548" t="s">
        <v>4578</v>
      </c>
      <c r="M195" s="11" t="s">
        <v>4576</v>
      </c>
      <c r="N195" s="15"/>
      <c r="O195" s="15"/>
      <c r="P195" s="2669" cm="1">
        <f t="array" ref="P195">INDEX('5층_부하량'!K3:K3000,MATCH(1,("5-DaHall 1-PDU-06"='5층_부하량'!A3:A3000)*(2='5층_부하량'!B3:B3000),0))</f>
        <v>0</v>
      </c>
      <c r="Q195" s="15"/>
      <c r="R195" s="17" t="s">
        <v>565</v>
      </c>
      <c r="S195" s="17" t="s">
        <v>4723</v>
      </c>
      <c r="T195" s="98"/>
    </row>
    <row r="196" spans="1:20" x14ac:dyDescent="0.15">
      <c r="A196" s="16"/>
      <c r="B196" s="17" t="s">
        <v>565</v>
      </c>
      <c r="C196" s="17" t="s">
        <v>4723</v>
      </c>
      <c r="D196" s="2672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4576</v>
      </c>
      <c r="I196" s="549" t="s">
        <v>4638</v>
      </c>
      <c r="J196" s="303"/>
      <c r="K196" s="66"/>
      <c r="L196" s="549" t="s">
        <v>4583</v>
      </c>
      <c r="M196" s="17" t="s">
        <v>4576</v>
      </c>
      <c r="N196" s="2672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565</v>
      </c>
      <c r="S196" s="17" t="s">
        <v>4723</v>
      </c>
      <c r="T196" s="68"/>
    </row>
    <row r="197" spans="1:20" x14ac:dyDescent="0.15">
      <c r="A197" s="321"/>
      <c r="B197" s="17" t="s">
        <v>565</v>
      </c>
      <c r="C197" s="17" t="s">
        <v>4723</v>
      </c>
      <c r="D197" s="21"/>
      <c r="E197" s="2672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4576</v>
      </c>
      <c r="I197" s="549" t="s">
        <v>4641</v>
      </c>
      <c r="J197" s="303"/>
      <c r="K197" s="66"/>
      <c r="L197" s="549" t="s">
        <v>4588</v>
      </c>
      <c r="M197" s="17" t="s">
        <v>4576</v>
      </c>
      <c r="N197" s="21"/>
      <c r="O197" s="2672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565</v>
      </c>
      <c r="S197" s="17" t="s">
        <v>4723</v>
      </c>
      <c r="T197" s="70"/>
    </row>
    <row r="198" spans="1:20" x14ac:dyDescent="0.15">
      <c r="A198" s="16"/>
      <c r="B198" s="17" t="s">
        <v>565</v>
      </c>
      <c r="C198" s="17" t="s">
        <v>4723</v>
      </c>
      <c r="D198" s="21"/>
      <c r="E198" s="21"/>
      <c r="F198" s="2672" cm="1">
        <f t="array" ref="F198">INDEX('5층_부하량'!K3:K3000,MATCH(1,("5-DaHall 1-PDU-06"='5층_부하량'!A3:A3000)*(7='5층_부하량'!B3:B3000),0))</f>
        <v>0</v>
      </c>
      <c r="G198" s="21"/>
      <c r="H198" s="17" t="s">
        <v>4576</v>
      </c>
      <c r="I198" s="549" t="s">
        <v>4645</v>
      </c>
      <c r="J198" s="303"/>
      <c r="K198" s="66"/>
      <c r="L198" s="549" t="s">
        <v>4593</v>
      </c>
      <c r="M198" s="17" t="s">
        <v>4576</v>
      </c>
      <c r="N198" s="21"/>
      <c r="O198" s="21"/>
      <c r="P198" s="2672" cm="1">
        <f t="array" ref="P198">INDEX('5층_부하량'!K3:K3000,MATCH(1,("5-DaHall 1-PDU-06"='5층_부하량'!A3:A3000)*(8='5층_부하량'!B3:B3000),0))</f>
        <v>0</v>
      </c>
      <c r="Q198" s="21"/>
      <c r="R198" s="17" t="s">
        <v>565</v>
      </c>
      <c r="S198" s="17" t="s">
        <v>4723</v>
      </c>
      <c r="T198" s="68"/>
    </row>
    <row r="199" spans="1:20" x14ac:dyDescent="0.15">
      <c r="A199" s="321"/>
      <c r="B199" s="17" t="s">
        <v>565</v>
      </c>
      <c r="C199" s="17" t="s">
        <v>4723</v>
      </c>
      <c r="D199" s="2672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4576</v>
      </c>
      <c r="I199" s="549" t="s">
        <v>4648</v>
      </c>
      <c r="J199" s="303"/>
      <c r="K199" s="66"/>
      <c r="L199" s="549" t="s">
        <v>4596</v>
      </c>
      <c r="M199" s="17" t="s">
        <v>4597</v>
      </c>
      <c r="N199" s="2672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565</v>
      </c>
      <c r="S199" s="17" t="s">
        <v>4723</v>
      </c>
      <c r="T199" s="70"/>
    </row>
    <row r="200" spans="1:20" x14ac:dyDescent="0.15">
      <c r="A200" s="16"/>
      <c r="B200" s="17" t="s">
        <v>565</v>
      </c>
      <c r="C200" s="17" t="s">
        <v>4723</v>
      </c>
      <c r="D200" s="21"/>
      <c r="E200" s="2672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4576</v>
      </c>
      <c r="I200" s="549" t="s">
        <v>4653</v>
      </c>
      <c r="J200" s="303"/>
      <c r="K200" s="66"/>
      <c r="L200" s="549" t="s">
        <v>4599</v>
      </c>
      <c r="M200" s="17" t="s">
        <v>4597</v>
      </c>
      <c r="N200" s="21"/>
      <c r="O200" s="2672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565</v>
      </c>
      <c r="S200" s="17" t="s">
        <v>4723</v>
      </c>
      <c r="T200" s="68"/>
    </row>
    <row r="201" spans="1:20" x14ac:dyDescent="0.15">
      <c r="A201" s="107"/>
      <c r="B201" s="17" t="s">
        <v>4590</v>
      </c>
      <c r="C201" s="17" t="s">
        <v>4642</v>
      </c>
      <c r="D201" s="21"/>
      <c r="E201" s="21"/>
      <c r="F201" s="2672" cm="1">
        <f t="array" ref="F201">INDEX('5층_부하량'!K3:K3000,MATCH(1,("5-DaHall 1-PDU-06"='5층_부하량'!A3:A3000)*(13='5층_부하량'!B3:B3000),0))</f>
        <v>0</v>
      </c>
      <c r="G201" s="21"/>
      <c r="H201" s="17" t="s">
        <v>4597</v>
      </c>
      <c r="I201" s="549" t="s">
        <v>4657</v>
      </c>
      <c r="J201" s="65"/>
      <c r="K201" s="66"/>
      <c r="L201" s="549" t="s">
        <v>4601</v>
      </c>
      <c r="M201" s="17" t="s">
        <v>4597</v>
      </c>
      <c r="N201" s="21"/>
      <c r="O201" s="21"/>
      <c r="P201" s="2672" cm="1">
        <f t="array" ref="P201">INDEX('5층_부하량'!K3:K3000,MATCH(1,("5-DaHall 1-PDU-06"='5층_부하량'!A3:A3000)*(14='5층_부하량'!B3:B3000),0))</f>
        <v>0</v>
      </c>
      <c r="Q201" s="21"/>
      <c r="R201" s="17" t="s">
        <v>565</v>
      </c>
      <c r="S201" s="17" t="s">
        <v>4723</v>
      </c>
      <c r="T201" s="82"/>
    </row>
    <row r="202" spans="1:20" x14ac:dyDescent="0.15">
      <c r="A202" s="321"/>
      <c r="B202" s="17" t="s">
        <v>565</v>
      </c>
      <c r="C202" s="17" t="s">
        <v>4723</v>
      </c>
      <c r="D202" s="2672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4597</v>
      </c>
      <c r="I202" s="549" t="s">
        <v>4661</v>
      </c>
      <c r="J202" s="65"/>
      <c r="K202" s="66"/>
      <c r="L202" s="549" t="s">
        <v>4603</v>
      </c>
      <c r="M202" s="17" t="s">
        <v>4597</v>
      </c>
      <c r="N202" s="2672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565</v>
      </c>
      <c r="S202" s="17" t="s">
        <v>4723</v>
      </c>
      <c r="T202" s="70"/>
    </row>
    <row r="203" spans="1:20" x14ac:dyDescent="0.15">
      <c r="A203" s="16"/>
      <c r="B203" s="17" t="s">
        <v>565</v>
      </c>
      <c r="C203" s="17" t="s">
        <v>4723</v>
      </c>
      <c r="D203" s="21"/>
      <c r="E203" s="2672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4597</v>
      </c>
      <c r="I203" s="549" t="s">
        <v>4665</v>
      </c>
      <c r="J203" s="65"/>
      <c r="K203" s="66"/>
      <c r="L203" s="549" t="s">
        <v>4605</v>
      </c>
      <c r="M203" s="17" t="s">
        <v>4597</v>
      </c>
      <c r="N203" s="21"/>
      <c r="O203" s="2672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565</v>
      </c>
      <c r="S203" s="17" t="s">
        <v>4723</v>
      </c>
      <c r="T203" s="68"/>
    </row>
    <row r="204" spans="1:20" x14ac:dyDescent="0.15">
      <c r="A204" s="321"/>
      <c r="B204" s="17" t="s">
        <v>565</v>
      </c>
      <c r="C204" s="17" t="s">
        <v>4723</v>
      </c>
      <c r="D204" s="21"/>
      <c r="E204" s="21"/>
      <c r="F204" s="2672" cm="1">
        <f t="array" ref="F204">INDEX('5층_부하량'!K3:K3000,MATCH(1,("5-DaHall 1-PDU-06"='5층_부하량'!A3:A3000)*(19='5층_부하량'!B3:B3000),0))</f>
        <v>0</v>
      </c>
      <c r="G204" s="21"/>
      <c r="H204" s="17" t="s">
        <v>4597</v>
      </c>
      <c r="I204" s="549" t="s">
        <v>4670</v>
      </c>
      <c r="J204" s="65"/>
      <c r="K204" s="66"/>
      <c r="L204" s="549" t="s">
        <v>4609</v>
      </c>
      <c r="M204" s="17" t="s">
        <v>4597</v>
      </c>
      <c r="N204" s="21"/>
      <c r="O204" s="21"/>
      <c r="P204" s="2672" cm="1">
        <f t="array" ref="P204">INDEX('5층_부하량'!K3:K3000,MATCH(1,("5-DaHall 1-PDU-06"='5층_부하량'!A3:A3000)*(20='5층_부하량'!B3:B3000),0))</f>
        <v>0</v>
      </c>
      <c r="Q204" s="21"/>
      <c r="R204" s="17" t="s">
        <v>565</v>
      </c>
      <c r="S204" s="17" t="s">
        <v>4723</v>
      </c>
      <c r="T204" s="70"/>
    </row>
    <row r="205" spans="1:20" x14ac:dyDescent="0.15">
      <c r="A205" s="16"/>
      <c r="B205" s="17" t="s">
        <v>565</v>
      </c>
      <c r="C205" s="17" t="s">
        <v>4723</v>
      </c>
      <c r="D205" s="2672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4597</v>
      </c>
      <c r="I205" s="549" t="s">
        <v>4674</v>
      </c>
      <c r="J205" s="65"/>
      <c r="K205" s="66"/>
      <c r="L205" s="549" t="s">
        <v>4613</v>
      </c>
      <c r="M205" s="17" t="s">
        <v>4597</v>
      </c>
      <c r="N205" s="2672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9" t="s">
        <v>4631</v>
      </c>
      <c r="S205" s="17" t="s">
        <v>4723</v>
      </c>
      <c r="T205" s="70" t="s">
        <v>3480</v>
      </c>
    </row>
    <row r="206" spans="1:20" x14ac:dyDescent="0.15">
      <c r="A206" s="321"/>
      <c r="B206" s="17" t="s">
        <v>565</v>
      </c>
      <c r="C206" s="17" t="s">
        <v>4723</v>
      </c>
      <c r="D206" s="21"/>
      <c r="E206" s="2672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4597</v>
      </c>
      <c r="I206" s="549" t="s">
        <v>4678</v>
      </c>
      <c r="J206" s="65"/>
      <c r="K206" s="66"/>
      <c r="L206" s="549" t="s">
        <v>4680</v>
      </c>
      <c r="M206" s="17" t="s">
        <v>4597</v>
      </c>
      <c r="N206" s="21"/>
      <c r="O206" s="2672" cm="1">
        <f t="array" ref="O206">INDEX('5층_부하량'!J3:J3000,MATCH(1,("5-DaHall 1-PDU-06"='5층_부하량'!A3:A3000)*(24='5층_부하량'!B3:B3000),0))</f>
        <v>0</v>
      </c>
      <c r="P206" s="21"/>
      <c r="Q206" s="21"/>
      <c r="R206" s="69" t="s">
        <v>4631</v>
      </c>
      <c r="S206" s="17" t="s">
        <v>4723</v>
      </c>
      <c r="T206" s="70" t="s">
        <v>3486</v>
      </c>
    </row>
    <row r="207" spans="1:20" x14ac:dyDescent="0.15">
      <c r="A207" s="16"/>
      <c r="B207" s="17" t="s">
        <v>565</v>
      </c>
      <c r="C207" s="17" t="s">
        <v>4723</v>
      </c>
      <c r="D207" s="21"/>
      <c r="E207" s="21"/>
      <c r="F207" s="2672" cm="1">
        <f t="array" ref="F207">INDEX('5층_부하량'!K3:K3000,MATCH(1,("5-DaHall 1-PDU-06"='5층_부하량'!A3:A3000)*(25='5층_부하량'!B3:B3000),0))</f>
        <v>0</v>
      </c>
      <c r="G207" s="21"/>
      <c r="H207" s="17" t="s">
        <v>4597</v>
      </c>
      <c r="I207" s="549" t="s">
        <v>4683</v>
      </c>
      <c r="J207" s="65"/>
      <c r="K207" s="66"/>
      <c r="L207" s="549" t="s">
        <v>4685</v>
      </c>
      <c r="M207" s="17" t="s">
        <v>4597</v>
      </c>
      <c r="N207" s="21"/>
      <c r="O207" s="21"/>
      <c r="P207" s="2672" cm="1">
        <f t="array" ref="P207">INDEX('5층_부하량'!K3:K3000,MATCH(1,("5-DaHall 1-PDU-06"='5층_부하량'!A3:A3000)*(26='5층_부하량'!B3:B3000),0))</f>
        <v>0</v>
      </c>
      <c r="Q207" s="21"/>
      <c r="R207" s="69" t="s">
        <v>4631</v>
      </c>
      <c r="S207" s="17" t="s">
        <v>4723</v>
      </c>
      <c r="T207" s="70" t="s">
        <v>3492</v>
      </c>
    </row>
    <row r="208" spans="1:20" x14ac:dyDescent="0.15">
      <c r="A208" s="107"/>
      <c r="B208" s="17" t="s">
        <v>565</v>
      </c>
      <c r="C208" s="17" t="s">
        <v>4723</v>
      </c>
      <c r="D208" s="2672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4597</v>
      </c>
      <c r="I208" s="549" t="s">
        <v>4688</v>
      </c>
      <c r="J208" s="65"/>
      <c r="K208" s="66"/>
      <c r="L208" s="549" t="s">
        <v>4689</v>
      </c>
      <c r="M208" s="17" t="s">
        <v>4597</v>
      </c>
      <c r="N208" s="2672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9" t="s">
        <v>4631</v>
      </c>
      <c r="S208" s="17" t="s">
        <v>4723</v>
      </c>
      <c r="T208" s="70" t="s">
        <v>3498</v>
      </c>
    </row>
    <row r="209" spans="1:20" x14ac:dyDescent="0.15">
      <c r="A209" s="2154"/>
      <c r="B209" s="72" t="s">
        <v>565</v>
      </c>
      <c r="C209" s="72" t="s">
        <v>4723</v>
      </c>
      <c r="D209" s="21"/>
      <c r="E209" s="2672" cm="1">
        <f t="array" ref="E209">INDEX('5층_부하량'!J3:J3000,MATCH(1,("5-DaHall 1-PDU-06"='5층_부하량'!A3:A3000)*(29='5층_부하량'!B3:B3000),0))</f>
        <v>0</v>
      </c>
      <c r="F209" s="21"/>
      <c r="G209" s="74"/>
      <c r="H209" s="72" t="s">
        <v>4597</v>
      </c>
      <c r="I209" s="550" t="s">
        <v>4691</v>
      </c>
      <c r="J209" s="65"/>
      <c r="K209" s="96"/>
      <c r="L209" s="550" t="s">
        <v>4692</v>
      </c>
      <c r="M209" s="72" t="s">
        <v>4597</v>
      </c>
      <c r="N209" s="21"/>
      <c r="O209" s="2672" cm="1">
        <f t="array" ref="O209">INDEX('5층_부하량'!J3:J3000,MATCH(1,("5-DaHall 1-PDU-06"='5층_부하량'!A3:A3000)*(30='5층_부하량'!B3:B3000),0))</f>
        <v>0</v>
      </c>
      <c r="P209" s="21"/>
      <c r="Q209" s="74"/>
      <c r="R209" s="75" t="s">
        <v>4631</v>
      </c>
      <c r="S209" s="17" t="s">
        <v>4723</v>
      </c>
      <c r="T209" s="70" t="s">
        <v>3504</v>
      </c>
    </row>
    <row r="210" spans="1:20" x14ac:dyDescent="0.15">
      <c r="A210" s="107"/>
      <c r="B210" s="17" t="s">
        <v>565</v>
      </c>
      <c r="C210" s="17" t="s">
        <v>4723</v>
      </c>
      <c r="D210" s="21"/>
      <c r="E210" s="21"/>
      <c r="F210" s="2672" cm="1">
        <f t="array" ref="F210">INDEX('5층_부하량'!K3:K3000,MATCH(1,("5-DaHall 1-PDU-06"='5층_부하량'!A3:A3000)*(31='5층_부하량'!B3:B3000),0))</f>
        <v>0</v>
      </c>
      <c r="G210" s="21"/>
      <c r="H210" s="17" t="s">
        <v>4597</v>
      </c>
      <c r="I210" s="549" t="s">
        <v>4693</v>
      </c>
      <c r="J210" s="65"/>
      <c r="K210" s="66"/>
      <c r="L210" s="549" t="s">
        <v>4694</v>
      </c>
      <c r="M210" s="17" t="s">
        <v>4597</v>
      </c>
      <c r="N210" s="21"/>
      <c r="O210" s="21"/>
      <c r="P210" s="2672" cm="1" t="n">
        <f t="array" ref="P210">INDEX('5층_부하량'!K3:K3000,MATCH(1,("5-DaHall 1-PDU-06"='5층_부하량'!A3:A3000)*(32='5층_부하량'!B3:B3000),0))</f>
        <v>8.214575367860038E-4</v>
      </c>
      <c r="Q210" s="21"/>
      <c r="R210" s="75" t="s">
        <v>4631</v>
      </c>
      <c r="S210" s="17" t="s">
        <v>4723</v>
      </c>
      <c r="T210" s="82" t="s">
        <v>5825</v>
      </c>
    </row>
    <row r="211" spans="1:20" x14ac:dyDescent="0.15">
      <c r="A211" s="107"/>
      <c r="B211" s="17" t="s">
        <v>565</v>
      </c>
      <c r="C211" s="17" t="s">
        <v>4723</v>
      </c>
      <c r="D211" s="2672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4597</v>
      </c>
      <c r="I211" s="549" t="s">
        <v>4697</v>
      </c>
      <c r="J211" s="65"/>
      <c r="K211" s="66"/>
      <c r="L211" s="549" t="s">
        <v>4698</v>
      </c>
      <c r="M211" s="17" t="s">
        <v>4597</v>
      </c>
      <c r="N211" s="2672" cm="1" t="n">
        <f t="array" ref="N211">INDEX('5층_부하량'!I3:I3000,MATCH(1,("5-DaHall 1-PDU-06"='5층_부하량'!A3:A3000)*(34='5층_부하량'!B3:B3000),0))</f>
        <v>8.260919939752056E-4</v>
      </c>
      <c r="O211" s="19"/>
      <c r="P211" s="19"/>
      <c r="Q211" s="21"/>
      <c r="R211" s="75" t="s">
        <v>4631</v>
      </c>
      <c r="S211" s="17" t="s">
        <v>4723</v>
      </c>
      <c r="T211" s="70" t="s">
        <v>3510</v>
      </c>
    </row>
    <row r="212" spans="1:20" x14ac:dyDescent="0.15">
      <c r="A212" s="2154"/>
      <c r="B212" s="17" t="s">
        <v>565</v>
      </c>
      <c r="C212" s="17" t="s">
        <v>4723</v>
      </c>
      <c r="D212" s="21"/>
      <c r="E212" s="2672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4597</v>
      </c>
      <c r="I212" s="549" t="s">
        <v>4701</v>
      </c>
      <c r="J212" s="65"/>
      <c r="K212" s="66"/>
      <c r="L212" s="549" t="s">
        <v>4703</v>
      </c>
      <c r="M212" s="17" t="s">
        <v>4597</v>
      </c>
      <c r="N212" s="21"/>
      <c r="O212" s="2672" cm="1" t="n">
        <f t="array" ref="O212">INDEX('5층_부하량'!J3:J3000,MATCH(1,("5-DaHall 1-PDU-06"='5층_부하량'!A3:A3000)*(36='5층_부하량'!B3:B3000),0))</f>
        <v>4.008805468659483E-4</v>
      </c>
      <c r="P212" s="21"/>
      <c r="Q212" s="21"/>
      <c r="R212" s="75" t="s">
        <v>4631</v>
      </c>
      <c r="S212" s="17" t="s">
        <v>4723</v>
      </c>
      <c r="T212" s="70" t="s">
        <v>3516</v>
      </c>
    </row>
    <row r="213" spans="1:20" x14ac:dyDescent="0.15">
      <c r="A213" s="107"/>
      <c r="B213" s="17" t="s">
        <v>565</v>
      </c>
      <c r="C213" s="17" t="s">
        <v>4723</v>
      </c>
      <c r="D213" s="21"/>
      <c r="E213" s="21"/>
      <c r="F213" s="2672" cm="1" t="n">
        <f t="array" ref="F213">INDEX('5층_부하량'!K3:K3000,MATCH(1,("5-DaHall 1-PDU-06"='5층_부하량'!A3:A3000)*(37='5층_부하량'!B3:B3000),0))</f>
        <v>4.982618771726535E-5</v>
      </c>
      <c r="G213" s="21"/>
      <c r="H213" s="17" t="s">
        <v>4597</v>
      </c>
      <c r="I213" s="549" t="s">
        <v>4706</v>
      </c>
      <c r="J213" s="65"/>
      <c r="K213" s="66"/>
      <c r="L213" s="549" t="s">
        <v>4707</v>
      </c>
      <c r="M213" s="17" t="s">
        <v>4597</v>
      </c>
      <c r="N213" s="21"/>
      <c r="O213" s="21"/>
      <c r="P213" s="2672" cm="1" t="n">
        <f t="array" ref="P213">INDEX('5층_부하량'!K3:K3000,MATCH(1,("5-DaHall 1-PDU-06"='5층_부하량'!A3:A3000)*(38='5층_부하량'!B3:B3000),0))</f>
        <v>6.221037998146432E-4</v>
      </c>
      <c r="Q213" s="21"/>
      <c r="R213" s="69" t="s">
        <v>4590</v>
      </c>
      <c r="S213" s="17" t="s">
        <v>4642</v>
      </c>
      <c r="T213" s="70"/>
    </row>
    <row r="214" spans="1:20" x14ac:dyDescent="0.15">
      <c r="A214" s="107"/>
      <c r="B214" s="17" t="s">
        <v>565</v>
      </c>
      <c r="C214" s="17" t="s">
        <v>4723</v>
      </c>
      <c r="D214" s="2672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4597</v>
      </c>
      <c r="I214" s="549" t="s">
        <v>4710</v>
      </c>
      <c r="J214" s="65"/>
      <c r="K214" s="66"/>
      <c r="L214" s="549" t="s">
        <v>4711</v>
      </c>
      <c r="M214" s="17" t="s">
        <v>4597</v>
      </c>
      <c r="N214" s="2672" cm="1" t="n">
        <f t="array" ref="N214">INDEX('5층_부하량'!I3:I3000,MATCH(1,("5-DaHall 1-PDU-06"='5층_부하량'!A3:A3000)*(40='5층_부하량'!B3:B3000),0))</f>
        <v>6.047265987025023E-4</v>
      </c>
      <c r="O214" s="19"/>
      <c r="P214" s="19"/>
      <c r="Q214" s="21"/>
      <c r="R214" s="69" t="s">
        <v>4590</v>
      </c>
      <c r="S214" s="17" t="s">
        <v>4642</v>
      </c>
      <c r="T214" s="70"/>
    </row>
    <row r="215" spans="1:20" x14ac:dyDescent="0.15">
      <c r="A215" s="107"/>
      <c r="B215" s="17" t="s">
        <v>565</v>
      </c>
      <c r="C215" s="17" t="s">
        <v>4723</v>
      </c>
      <c r="D215" s="21"/>
      <c r="E215" s="2672" cm="1" t="n">
        <f t="array" ref="E215">INDEX('5층_부하량'!J3:J3000,MATCH(1,("5-DaHall 1-PDU-06"='5층_부하량'!A3:A3000)*(41='5층_부하량'!B3:B3000),0))</f>
        <v>2.4333719582850516E-5</v>
      </c>
      <c r="F215" s="21"/>
      <c r="G215" s="21"/>
      <c r="H215" s="17" t="s">
        <v>4597</v>
      </c>
      <c r="I215" s="549" t="s">
        <v>5055</v>
      </c>
      <c r="J215" s="65"/>
      <c r="K215" s="66"/>
      <c r="L215" s="549" t="s">
        <v>4843</v>
      </c>
      <c r="M215" s="17" t="s">
        <v>4597</v>
      </c>
      <c r="N215" s="21"/>
      <c r="O215" s="2672" cm="1" t="n">
        <f t="array" ref="O215">INDEX('5층_부하량'!J3:J3000,MATCH(1,("5-DaHall 1-PDU-06"='5층_부하량'!A3:A3000)*(42='5층_부하량'!B3:B3000),0))</f>
        <v>6.581691772885283E-4</v>
      </c>
      <c r="P215" s="21"/>
      <c r="Q215" s="21"/>
      <c r="R215" s="69" t="s">
        <v>4590</v>
      </c>
      <c r="S215" s="17" t="s">
        <v>4642</v>
      </c>
      <c r="T215" s="70"/>
    </row>
    <row r="216" spans="1:20" x14ac:dyDescent="0.15">
      <c r="A216" s="321"/>
      <c r="B216" s="17" t="s">
        <v>565</v>
      </c>
      <c r="C216" s="17" t="s">
        <v>4723</v>
      </c>
      <c r="D216" s="21"/>
      <c r="E216" s="21"/>
      <c r="F216" s="2672" cm="1" t="n">
        <f t="array" ref="F216">INDEX('5층_부하량'!K3:K3000,MATCH(1,("5-DaHall 1-PDU-06"='5층_부하량'!A3:A3000)*(43='5층_부하량'!B3:B3000),0))</f>
        <v>3.475842891901286E-5</v>
      </c>
      <c r="G216" s="21"/>
      <c r="H216" s="17" t="s">
        <v>4597</v>
      </c>
      <c r="I216" s="549" t="s">
        <v>4845</v>
      </c>
      <c r="J216" s="65"/>
      <c r="K216" s="66"/>
      <c r="L216" s="549" t="s">
        <v>4846</v>
      </c>
      <c r="M216" s="17" t="s">
        <v>4597</v>
      </c>
      <c r="N216" s="21"/>
      <c r="O216" s="21"/>
      <c r="P216" s="2672" cm="1" t="n">
        <f t="array" ref="P216">INDEX('5층_부하량'!K3:K3000,MATCH(1,("5-DaHall 1-PDU-06"='5층_부하량'!A3:A3000)*(44='5층_부하량'!B3:B3000),0))</f>
        <v>9.743946240296606E-4</v>
      </c>
      <c r="Q216" s="21"/>
      <c r="R216" s="69" t="s">
        <v>4590</v>
      </c>
      <c r="S216" s="17" t="s">
        <v>4642</v>
      </c>
      <c r="T216" s="70"/>
    </row>
    <row r="217" spans="1:20" x14ac:dyDescent="0.15">
      <c r="A217" s="321"/>
      <c r="B217" s="17" t="s">
        <v>565</v>
      </c>
      <c r="C217" s="17" t="s">
        <v>4723</v>
      </c>
      <c r="D217" s="2672" cm="1" t="n">
        <f t="array" ref="D217">INDEX('5층_부하량'!I3:I3000,MATCH(1,("5-DaHall 1-PDU-06"='5층_부하량'!A3:A3000)*(45='5층_부하량'!B3:B3000),0))</f>
        <v>3.475842891901286E-5</v>
      </c>
      <c r="E217" s="19"/>
      <c r="F217" s="19"/>
      <c r="G217" s="21"/>
      <c r="H217" s="17" t="s">
        <v>4597</v>
      </c>
      <c r="I217" s="549" t="s">
        <v>4847</v>
      </c>
      <c r="J217" s="65"/>
      <c r="K217" s="66"/>
      <c r="L217" s="549" t="s">
        <v>4848</v>
      </c>
      <c r="M217" s="17" t="s">
        <v>4597</v>
      </c>
      <c r="N217" s="2672" cm="1" t="n">
        <f t="array" ref="N217">INDEX('5층_부하량'!I3:I3000,MATCH(1,("5-DaHall 1-PDU-06"='5층_부하량'!A3:A3000)*(46='5층_부하량'!B3:B3000),0))</f>
        <v>1.123855868381416E-4</v>
      </c>
      <c r="O217" s="19"/>
      <c r="P217" s="19"/>
      <c r="Q217" s="21"/>
      <c r="R217" s="69" t="s">
        <v>4590</v>
      </c>
      <c r="S217" s="17" t="s">
        <v>4642</v>
      </c>
      <c r="T217" s="70"/>
    </row>
    <row r="218" spans="1:20" x14ac:dyDescent="0.15">
      <c r="A218" s="321"/>
      <c r="B218" s="17" t="s">
        <v>565</v>
      </c>
      <c r="C218" s="17" t="s">
        <v>4723</v>
      </c>
      <c r="D218" s="21"/>
      <c r="E218" s="2672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4597</v>
      </c>
      <c r="I218" s="549" t="s">
        <v>4849</v>
      </c>
      <c r="J218" s="65"/>
      <c r="K218" s="66"/>
      <c r="L218" s="549" t="s">
        <v>4850</v>
      </c>
      <c r="M218" s="17" t="s">
        <v>4597</v>
      </c>
      <c r="N218" s="21"/>
      <c r="O218" s="2672" cm="1" t="n">
        <f t="array" ref="O218">INDEX('5층_부하량'!J3:J3000,MATCH(1,("5-DaHall 1-PDU-06"='5층_부하량'!A3:A3000)*(48='5층_부하량'!B3:B3000),0))</f>
        <v>1.2165450121654502E-4</v>
      </c>
      <c r="P218" s="21"/>
      <c r="Q218" s="21"/>
      <c r="R218" s="69" t="s">
        <v>4590</v>
      </c>
      <c r="S218" s="17" t="s">
        <v>4642</v>
      </c>
      <c r="T218" s="70"/>
    </row>
    <row r="219" spans="1:20" ht="15.75" customHeight="1" x14ac:dyDescent="0.15">
      <c r="A219" s="99"/>
      <c r="B219" s="23" t="s">
        <v>565</v>
      </c>
      <c r="C219" s="17" t="s">
        <v>4723</v>
      </c>
      <c r="D219" s="21"/>
      <c r="E219" s="21"/>
      <c r="F219" s="2672" cm="1">
        <f t="array" ref="F219">INDEX('5층_부하량'!K3:K3000,MATCH(1,("5-DaHall 1-PDU-06"='5층_부하량'!A3:A3000)*(49='5층_부하량'!B3:B3000),0))</f>
        <v>0</v>
      </c>
      <c r="G219" s="25"/>
      <c r="H219" s="23" t="s">
        <v>4597</v>
      </c>
      <c r="I219" s="555" t="s">
        <v>4851</v>
      </c>
      <c r="J219" s="102"/>
      <c r="K219" s="103"/>
      <c r="L219" s="555" t="s">
        <v>4852</v>
      </c>
      <c r="M219" s="23" t="s">
        <v>4597</v>
      </c>
      <c r="N219" s="21"/>
      <c r="O219" s="21"/>
      <c r="P219" s="2672" cm="1" t="n">
        <f t="array" ref="P219">INDEX('5층_부하량'!K3:K3000,MATCH(1,("5-DaHall 1-PDU-06"='5층_부하량'!A3:A3000)*(50='5층_부하량'!B3:B3000),0))</f>
        <v>1.9232997335187114E-4</v>
      </c>
      <c r="Q219" s="25"/>
      <c r="R219" s="108" t="s">
        <v>4590</v>
      </c>
      <c r="S219" s="23" t="s">
        <v>4642</v>
      </c>
      <c r="T219" s="104"/>
    </row>
    <row r="220" spans="1:20" x14ac:dyDescent="0.15">
      <c r="A220" s="321"/>
      <c r="B220" s="17" t="s">
        <v>565</v>
      </c>
      <c r="C220" s="17" t="s">
        <v>4723</v>
      </c>
      <c r="D220" s="2672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4597</v>
      </c>
      <c r="I220" s="549" t="s">
        <v>4853</v>
      </c>
      <c r="J220" s="65"/>
      <c r="K220" s="66"/>
      <c r="L220" s="549" t="s">
        <v>4854</v>
      </c>
      <c r="M220" s="17" t="s">
        <v>4597</v>
      </c>
      <c r="N220" s="2672" cm="1" t="n">
        <f t="array" ref="N220">INDEX('5층_부하량'!I3:I3000,MATCH(1,("5-DaHall 1-PDU-06"='5층_부하량'!A3:A3000)*(52='5층_부하량'!B3:B3000),0))</f>
        <v>8.573745800023173E-5</v>
      </c>
      <c r="O220" s="21"/>
      <c r="P220" s="21"/>
      <c r="Q220" s="21"/>
      <c r="R220" s="69" t="s">
        <v>4590</v>
      </c>
      <c r="S220" s="17" t="s">
        <v>4642</v>
      </c>
      <c r="T220" s="70"/>
    </row>
    <row r="221" spans="1:20" ht="14.25" thickBot="1" x14ac:dyDescent="0.2">
      <c r="A221" s="109"/>
      <c r="B221" s="29" t="s">
        <v>565</v>
      </c>
      <c r="C221" s="35" t="s">
        <v>4723</v>
      </c>
      <c r="D221" s="30"/>
      <c r="E221" s="2674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4597</v>
      </c>
      <c r="I221" s="556" t="s">
        <v>4856</v>
      </c>
      <c r="J221" s="2155"/>
      <c r="K221" s="2156"/>
      <c r="L221" s="556" t="s">
        <v>4857</v>
      </c>
      <c r="M221" s="29" t="s">
        <v>4597</v>
      </c>
      <c r="N221" s="30"/>
      <c r="O221" s="2674" cm="1" t="n">
        <f t="array" ref="O221">INDEX('5층_부하량'!J3:J3000,MATCH(1,("5-DaHall 1-PDU-06"='5층_부하량'!A3:A3000)*(54='5층_부하량'!B3:B3000),0))</f>
        <v>8.689607229753218E-5</v>
      </c>
      <c r="P221" s="30"/>
      <c r="Q221" s="30"/>
      <c r="R221" s="110" t="s">
        <v>4590</v>
      </c>
      <c r="S221" s="29" t="s">
        <v>4642</v>
      </c>
      <c r="T221" s="111"/>
    </row>
    <row r="222" spans="1:20" ht="15" thickTop="1" thickBot="1" x14ac:dyDescent="0.2">
      <c r="M222" s="80" t="s">
        <v>5645</v>
      </c>
      <c r="N222" s="33" t="n">
        <f>SUM(D195:D221,N195:N221)</f>
        <v>0.0016637000664350941</v>
      </c>
      <c r="O222" s="33" t="n">
        <f>SUM(E195:E221,O195:O221)</f>
        <v>0.0012919340172514043</v>
      </c>
      <c r="P222" s="33" t="n">
        <f>SUM(F195:F221,P195:P221)</f>
        <v>0.002694870550618457</v>
      </c>
    </row>
    <row r="223" spans="1:20" ht="20.25" thickTop="1" thickBot="1" x14ac:dyDescent="0.2">
      <c r="A223" s="2" t="s">
        <v>6951</v>
      </c>
      <c r="C223" s="3660" t="s">
        <v>5826</v>
      </c>
      <c r="D223" s="3660"/>
      <c r="E223" s="3660"/>
      <c r="F223" s="3660"/>
      <c r="G223" s="53"/>
      <c r="H223" s="124"/>
      <c r="I223" s="124"/>
      <c r="J223" s="3661" t="s">
        <v>5063</v>
      </c>
      <c r="K223" s="3667"/>
      <c r="L223" s="124"/>
      <c r="M223" s="124"/>
      <c r="N223" s="53"/>
      <c r="O223" s="53"/>
      <c r="P223" s="53"/>
      <c r="Q223" s="53"/>
      <c r="R223" s="53"/>
      <c r="S223" s="53"/>
    </row>
    <row r="224" spans="1:20" ht="15" customHeight="1" thickTop="1" thickBot="1" x14ac:dyDescent="0.2">
      <c r="A224" s="3"/>
      <c r="D224" s="54"/>
      <c r="E224" s="54"/>
      <c r="F224" s="54"/>
      <c r="G224" s="54"/>
      <c r="H224" s="4"/>
      <c r="I224" s="4"/>
      <c r="K224" s="56"/>
      <c r="L224" s="565"/>
      <c r="M224" s="1371" t="s">
        <v>4562</v>
      </c>
      <c r="N224" s="1368">
        <v>8.6</v>
      </c>
      <c r="O224" s="1369">
        <v>1.1000000000000001</v>
      </c>
      <c r="P224" s="1370">
        <v>0.7</v>
      </c>
      <c r="Q224" s="508" t="s">
        <v>4563</v>
      </c>
      <c r="R224" s="133"/>
      <c r="S224" s="128"/>
      <c r="T224" s="528"/>
    </row>
    <row r="225" spans="1:20" ht="15" thickTop="1" thickBot="1" x14ac:dyDescent="0.2">
      <c r="A225" s="5" t="s">
        <v>4564</v>
      </c>
      <c r="B225" s="6" t="s">
        <v>4565</v>
      </c>
      <c r="C225" s="7" t="s">
        <v>4566</v>
      </c>
      <c r="D225" s="6" t="s">
        <v>4567</v>
      </c>
      <c r="E225" s="6" t="s">
        <v>4568</v>
      </c>
      <c r="F225" s="6" t="s">
        <v>4569</v>
      </c>
      <c r="G225" s="6" t="s">
        <v>4570</v>
      </c>
      <c r="H225" s="8" t="s">
        <v>4571</v>
      </c>
      <c r="I225" s="547"/>
      <c r="J225" s="58" t="s">
        <v>4572</v>
      </c>
      <c r="K225" s="59" t="s">
        <v>4572</v>
      </c>
      <c r="L225" s="566"/>
      <c r="M225" s="8" t="s">
        <v>4571</v>
      </c>
      <c r="N225" s="6" t="s">
        <v>4567</v>
      </c>
      <c r="O225" s="6" t="s">
        <v>4568</v>
      </c>
      <c r="P225" s="6" t="s">
        <v>4569</v>
      </c>
      <c r="Q225" s="8" t="s">
        <v>4570</v>
      </c>
      <c r="R225" s="6" t="s">
        <v>4565</v>
      </c>
      <c r="S225" s="7" t="s">
        <v>4566</v>
      </c>
      <c r="T225" s="60" t="s">
        <v>4564</v>
      </c>
    </row>
    <row r="226" spans="1:20" ht="24.75" thickTop="1" x14ac:dyDescent="0.15">
      <c r="A226" s="660" t="s">
        <v>5827</v>
      </c>
      <c r="B226" s="11" t="s">
        <v>4631</v>
      </c>
      <c r="C226" s="18" t="s">
        <v>4575</v>
      </c>
      <c r="D226" s="2669" cm="1" t="n">
        <f t="array" ref="D226">INDEX('5층_부하량'!I3:I3000,MATCH(1,("5-DaHall 1-PDU-07"='5층_부하량'!A3:A3000)*(1='5층_부하량'!B3:B3000),0))</f>
        <v>7.774327311478837</v>
      </c>
      <c r="E226" s="15"/>
      <c r="F226" s="15"/>
      <c r="G226" s="15"/>
      <c r="H226" s="13" t="s">
        <v>5786</v>
      </c>
      <c r="I226" s="1214" t="s">
        <v>4633</v>
      </c>
      <c r="J226" s="1021" t="s">
        <v>5828</v>
      </c>
      <c r="K226" s="1022" t="s">
        <v>5829</v>
      </c>
      <c r="L226" s="1210" t="s">
        <v>4578</v>
      </c>
      <c r="M226" s="11" t="s">
        <v>5786</v>
      </c>
      <c r="N226" s="2669" cm="1" t="n">
        <f t="array" ref="N226">INDEX('5층_부하량'!I3:I3000,MATCH(1,("5-DaHall 1-PDU-07"='5층_부하량'!A3:A3000)*(2='5층_부하량'!B3:B3000),0))</f>
        <v>1.0427498619452777</v>
      </c>
      <c r="O226" s="15"/>
      <c r="P226" s="15"/>
      <c r="Q226" s="15"/>
      <c r="R226" s="63" t="s">
        <v>4631</v>
      </c>
      <c r="S226" s="97" t="s">
        <v>4575</v>
      </c>
      <c r="T226" s="1063" t="s">
        <v>5830</v>
      </c>
    </row>
    <row r="227" spans="1:20" ht="16.5" x14ac:dyDescent="0.15">
      <c r="A227" s="16" t="s">
        <v>5831</v>
      </c>
      <c r="B227" s="17" t="s">
        <v>4631</v>
      </c>
      <c r="C227" s="18" t="s">
        <v>4575</v>
      </c>
      <c r="D227" s="19"/>
      <c r="E227" s="2670" cm="1" t="n">
        <f t="array" ref="E227">INDEX('5층_부하량'!J3:J3000,MATCH(1,("5-DaHall 1-PDU-07"='5층_부하량'!A3:A3000)*(3='5층_부하량'!B3:B3000),0))</f>
        <v>1.0895728840439027</v>
      </c>
      <c r="F227" s="19"/>
      <c r="G227" s="19"/>
      <c r="H227" s="17" t="s">
        <v>5790</v>
      </c>
      <c r="I227" s="1207" t="s">
        <v>4638</v>
      </c>
      <c r="J227" s="1023" t="s">
        <v>5828</v>
      </c>
      <c r="K227" s="1024" t="s">
        <v>5832</v>
      </c>
      <c r="L227" s="1207" t="s">
        <v>4583</v>
      </c>
      <c r="M227" s="17" t="s">
        <v>5786</v>
      </c>
      <c r="N227" s="19"/>
      <c r="O227" s="2670" cm="1">
        <f t="array" ref="O227">INDEX('5층_부하량'!J3:J3000,MATCH(1,("5-DaHall 1-PDU-07"='5층_부하량'!A3:A3000)*(4='5층_부하량'!B3:B3000),0))</f>
        <v>0</v>
      </c>
      <c r="P227" s="19"/>
      <c r="Q227" s="19"/>
      <c r="R227" s="67" t="s">
        <v>4631</v>
      </c>
      <c r="S227" s="18" t="s">
        <v>4575</v>
      </c>
      <c r="T227" s="68" t="s">
        <v>5833</v>
      </c>
    </row>
    <row r="228" spans="1:20" ht="36" x14ac:dyDescent="0.15">
      <c r="A228" s="321" t="s">
        <v>5834</v>
      </c>
      <c r="B228" s="17" t="s">
        <v>4631</v>
      </c>
      <c r="C228" s="18" t="s">
        <v>4575</v>
      </c>
      <c r="D228" s="21"/>
      <c r="E228" s="21"/>
      <c r="F228" s="2672" cm="1" t="n">
        <f t="array" ref="F228">INDEX('5층_부하량'!K3:K3000,MATCH(1,("5-DaHall 1-PDU-07"='5층_부하량'!A3:A3000)*(5='5층_부하량'!B3:B3000),0))</f>
        <v>0.3903809744600288</v>
      </c>
      <c r="G228" s="21"/>
      <c r="H228" s="17" t="s">
        <v>5786</v>
      </c>
      <c r="I228" s="1207" t="s">
        <v>4641</v>
      </c>
      <c r="J228" s="1023" t="s">
        <v>5828</v>
      </c>
      <c r="K228" s="1025" t="s">
        <v>5835</v>
      </c>
      <c r="L228" s="1207" t="s">
        <v>4588</v>
      </c>
      <c r="M228" s="17" t="s">
        <v>5786</v>
      </c>
      <c r="N228" s="21"/>
      <c r="O228" s="21"/>
      <c r="P228" s="2672" cm="1" t="n">
        <f t="array" ref="P228">INDEX('5층_부하량'!K3:K3000,MATCH(1,("5-DaHall 1-PDU-07"='5층_부하량'!A3:A3000)*(6='5층_부하량'!B3:B3000),0))</f>
        <v>0.3787995505441786</v>
      </c>
      <c r="Q228" s="21"/>
      <c r="R228" s="69" t="s">
        <v>4631</v>
      </c>
      <c r="S228" s="18" t="s">
        <v>4575</v>
      </c>
      <c r="T228" s="70" t="s">
        <v>5836</v>
      </c>
    </row>
    <row r="229" spans="1:20" x14ac:dyDescent="0.15">
      <c r="A229" s="16"/>
      <c r="B229" s="17" t="s">
        <v>4590</v>
      </c>
      <c r="C229" s="17" t="s">
        <v>4642</v>
      </c>
      <c r="D229" s="2672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5795</v>
      </c>
      <c r="I229" s="549" t="s">
        <v>4645</v>
      </c>
      <c r="J229" s="112"/>
      <c r="K229" s="81"/>
      <c r="L229" s="568" t="s">
        <v>4593</v>
      </c>
      <c r="M229" s="17" t="s">
        <v>5795</v>
      </c>
      <c r="N229" s="2672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9" t="s">
        <v>4590</v>
      </c>
      <c r="S229" s="17" t="s">
        <v>4642</v>
      </c>
      <c r="T229" s="68"/>
    </row>
    <row r="230" spans="1:20" x14ac:dyDescent="0.15">
      <c r="A230" s="321"/>
      <c r="B230" s="17" t="s">
        <v>4590</v>
      </c>
      <c r="C230" s="17" t="s">
        <v>4642</v>
      </c>
      <c r="D230" s="21"/>
      <c r="E230" s="2672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5801</v>
      </c>
      <c r="I230" s="549" t="s">
        <v>4648</v>
      </c>
      <c r="J230" s="112"/>
      <c r="K230" s="81"/>
      <c r="L230" s="568" t="s">
        <v>4596</v>
      </c>
      <c r="M230" s="17" t="s">
        <v>5801</v>
      </c>
      <c r="N230" s="21"/>
      <c r="O230" s="2672" cm="1">
        <f t="array" ref="O230">INDEX('5층_부하량'!J3:J3000,MATCH(1,("5-DaHall 1-PDU-07"='5층_부하량'!A3:A3000)*(10='5층_부하량'!B3:B3000),0))</f>
        <v>0</v>
      </c>
      <c r="P230" s="21"/>
      <c r="Q230" s="21"/>
      <c r="R230" s="69" t="s">
        <v>4590</v>
      </c>
      <c r="S230" s="17" t="s">
        <v>4642</v>
      </c>
      <c r="T230" s="70"/>
    </row>
    <row r="231" spans="1:20" x14ac:dyDescent="0.15">
      <c r="A231" s="16"/>
      <c r="B231" s="23" t="s">
        <v>4590</v>
      </c>
      <c r="C231" s="17" t="s">
        <v>4642</v>
      </c>
      <c r="D231" s="25"/>
      <c r="E231" s="25"/>
      <c r="F231" s="2673" cm="1">
        <f t="array" ref="F231">INDEX('5층_부하량'!K3:K3000,MATCH(1,("5-DaHall 1-PDU-07"='5층_부하량'!A3:A3000)*(11='5층_부하량'!B3:B3000),0))</f>
        <v>0</v>
      </c>
      <c r="G231" s="25"/>
      <c r="H231" s="23" t="s">
        <v>5801</v>
      </c>
      <c r="I231" s="555" t="s">
        <v>4653</v>
      </c>
      <c r="J231" s="113"/>
      <c r="K231" s="114"/>
      <c r="L231" s="569" t="s">
        <v>4599</v>
      </c>
      <c r="M231" s="23" t="s">
        <v>5801</v>
      </c>
      <c r="N231" s="25"/>
      <c r="O231" s="25"/>
      <c r="P231" s="2673" cm="1">
        <f t="array" ref="P231">INDEX('5층_부하량'!K3:K3000,MATCH(1,("5-DaHall 1-PDU-07"='5층_부하량'!A3:A3000)*(12='5층_부하량'!B3:B3000),0))</f>
        <v>0</v>
      </c>
      <c r="Q231" s="25"/>
      <c r="R231" s="108" t="s">
        <v>4590</v>
      </c>
      <c r="S231" s="23" t="s">
        <v>4642</v>
      </c>
      <c r="T231" s="104"/>
    </row>
    <row r="232" spans="1:20" ht="14.25" thickBot="1" x14ac:dyDescent="0.2">
      <c r="A232" s="87"/>
      <c r="B232" s="88" t="s">
        <v>4590</v>
      </c>
      <c r="C232" s="88" t="s">
        <v>4642</v>
      </c>
      <c r="D232" s="2688" cm="1">
        <f t="array" ref="D232">INDEX('5층_부하량'!I3:I3000,MATCH(1,("5-DaHall 1-PDU-07"='5층_부하량'!A3:A3000)*(13='5층_부하량'!B3:B3000),0))</f>
        <v>0</v>
      </c>
      <c r="E232" s="90"/>
      <c r="F232" s="90"/>
      <c r="G232" s="90"/>
      <c r="H232" s="88" t="s">
        <v>5801</v>
      </c>
      <c r="I232" s="553" t="s">
        <v>4657</v>
      </c>
      <c r="J232" s="115"/>
      <c r="K232" s="116"/>
      <c r="L232" s="570" t="s">
        <v>4601</v>
      </c>
      <c r="M232" s="88" t="s">
        <v>5801</v>
      </c>
      <c r="N232" s="2688" cm="1">
        <f t="array" ref="N232">INDEX('5층_부하량'!I3:I3000,MATCH(1,("5-DaHall 1-PDU-07"='5층_부하량'!A3:A3000)*(14='5층_부하량'!B3:B3000),0))</f>
        <v>0</v>
      </c>
      <c r="O232" s="90"/>
      <c r="P232" s="90"/>
      <c r="Q232" s="90"/>
      <c r="R232" s="93" t="s">
        <v>4590</v>
      </c>
      <c r="S232" s="88" t="s">
        <v>4642</v>
      </c>
      <c r="T232" s="94"/>
    </row>
    <row r="233" spans="1:20" ht="14.25" thickTop="1" x14ac:dyDescent="0.15">
      <c r="A233" s="99"/>
      <c r="B233" s="72" t="s">
        <v>4590</v>
      </c>
      <c r="C233" s="72" t="s">
        <v>4642</v>
      </c>
      <c r="D233" s="74"/>
      <c r="E233" s="2689" cm="1">
        <f t="array" ref="E233">INDEX('5층_부하량'!J3:J3000,MATCH(1,("5-DaHall 1-PDU-07"='5층_부하량'!A3:A3000)*(15='5층_부하량'!B3:B3000),0))</f>
        <v>0</v>
      </c>
      <c r="F233" s="74"/>
      <c r="G233" s="74"/>
      <c r="H233" s="72" t="s">
        <v>5801</v>
      </c>
      <c r="I233" s="550" t="s">
        <v>4661</v>
      </c>
      <c r="J233" s="117"/>
      <c r="K233" s="83"/>
      <c r="L233" s="571" t="s">
        <v>4603</v>
      </c>
      <c r="M233" s="72" t="s">
        <v>5801</v>
      </c>
      <c r="N233" s="74"/>
      <c r="O233" s="2689" cm="1">
        <f t="array" ref="O233">INDEX('5층_부하량'!J3:J3000,MATCH(1,("5-DaHall 1-PDU-07"='5층_부하량'!A3:A3000)*(16='5층_부하량'!B3:B3000),0))</f>
        <v>0</v>
      </c>
      <c r="P233" s="74"/>
      <c r="Q233" s="74"/>
      <c r="R233" s="75" t="s">
        <v>4590</v>
      </c>
      <c r="S233" s="72" t="s">
        <v>4642</v>
      </c>
      <c r="T233" s="68"/>
    </row>
    <row r="234" spans="1:20" x14ac:dyDescent="0.15">
      <c r="A234" s="321"/>
      <c r="B234" s="17" t="s">
        <v>4590</v>
      </c>
      <c r="C234" s="17" t="s">
        <v>4642</v>
      </c>
      <c r="D234" s="21"/>
      <c r="E234" s="21"/>
      <c r="F234" s="2672" cm="1">
        <f t="array" ref="F234">INDEX('5층_부하량'!K3:K3000,MATCH(1,("5-DaHall 1-PDU-07"='5층_부하량'!A3:A3000)*(17='5층_부하량'!B3:B3000),0))</f>
        <v>0</v>
      </c>
      <c r="G234" s="21"/>
      <c r="H234" s="17" t="s">
        <v>5801</v>
      </c>
      <c r="I234" s="549" t="s">
        <v>4665</v>
      </c>
      <c r="J234" s="112"/>
      <c r="K234" s="81"/>
      <c r="L234" s="568" t="s">
        <v>4605</v>
      </c>
      <c r="M234" s="17" t="s">
        <v>5801</v>
      </c>
      <c r="N234" s="21"/>
      <c r="O234" s="21"/>
      <c r="P234" s="2672" cm="1">
        <f t="array" ref="P234">INDEX('5층_부하량'!K3:K3000,MATCH(1,("5-DaHall 1-PDU-07"='5층_부하량'!A3:A3000)*(18='5층_부하량'!B3:B3000),0))</f>
        <v>0</v>
      </c>
      <c r="Q234" s="21"/>
      <c r="R234" s="69" t="s">
        <v>4590</v>
      </c>
      <c r="S234" s="17" t="s">
        <v>4642</v>
      </c>
      <c r="T234" s="70"/>
    </row>
    <row r="235" spans="1:20" x14ac:dyDescent="0.15">
      <c r="A235" s="16"/>
      <c r="B235" s="17" t="s">
        <v>4590</v>
      </c>
      <c r="C235" s="17" t="s">
        <v>4642</v>
      </c>
      <c r="D235" s="2672" cm="1" t="n">
        <f t="array" ref="D235">INDEX('5층_부하량'!I3:I3000,MATCH(1,("5-DaHall 1-PDU-07"='5층_부하량'!A3:A3000)*(19='5층_부하량'!B3:B3000),0))</f>
        <v>0.9402762424888852</v>
      </c>
      <c r="E235" s="21"/>
      <c r="F235" s="21"/>
      <c r="G235" s="21"/>
      <c r="H235" s="17" t="s">
        <v>5811</v>
      </c>
      <c r="I235" s="549" t="s">
        <v>4670</v>
      </c>
      <c r="J235" s="112"/>
      <c r="K235" s="81"/>
      <c r="L235" s="568" t="s">
        <v>4609</v>
      </c>
      <c r="M235" s="17" t="s">
        <v>5811</v>
      </c>
      <c r="N235" s="2672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9" t="s">
        <v>4590</v>
      </c>
      <c r="S235" s="17" t="s">
        <v>4642</v>
      </c>
      <c r="T235" s="70"/>
    </row>
    <row r="236" spans="1:20" x14ac:dyDescent="0.15">
      <c r="A236" s="321"/>
      <c r="B236" s="17" t="s">
        <v>4590</v>
      </c>
      <c r="C236" s="17" t="s">
        <v>4642</v>
      </c>
      <c r="D236" s="21"/>
      <c r="E236" s="2672" cm="1" t="n">
        <f t="array" ref="E236">INDEX('5층_부하량'!J3:J3000,MATCH(1,("5-DaHall 1-PDU-07"='5층_부하량'!A3:A3000)*(21='5층_부하량'!B3:B3000),0))</f>
        <v>0.36240837860090497</v>
      </c>
      <c r="F236" s="21"/>
      <c r="G236" s="21"/>
      <c r="H236" s="17" t="s">
        <v>5811</v>
      </c>
      <c r="I236" s="549" t="s">
        <v>4674</v>
      </c>
      <c r="J236" s="112"/>
      <c r="K236" s="81"/>
      <c r="L236" s="568" t="s">
        <v>4613</v>
      </c>
      <c r="M236" s="17" t="s">
        <v>5811</v>
      </c>
      <c r="N236" s="21"/>
      <c r="O236" s="2672" cm="1">
        <f t="array" ref="O236">INDEX('5층_부하량'!J3:J3000,MATCH(1,("5-DaHall 1-PDU-07"='5층_부하량'!A3:A3000)*(22='5층_부하량'!B3:B3000),0))</f>
        <v>0</v>
      </c>
      <c r="P236" s="21"/>
      <c r="Q236" s="21"/>
      <c r="R236" s="69" t="s">
        <v>4590</v>
      </c>
      <c r="S236" s="17" t="s">
        <v>4642</v>
      </c>
      <c r="T236" s="82"/>
    </row>
    <row r="237" spans="1:20" x14ac:dyDescent="0.15">
      <c r="A237" s="321"/>
      <c r="B237" s="17" t="s">
        <v>4590</v>
      </c>
      <c r="C237" s="17" t="s">
        <v>4642</v>
      </c>
      <c r="D237" s="21"/>
      <c r="E237" s="21"/>
      <c r="F237" s="2672" cm="1">
        <f t="array" ref="F237">INDEX('5층_부하량'!K3:K3000,MATCH(1,("5-DaHall 1-PDU-07"='5층_부하량'!A3:A3000)*(23='5층_부하량'!B3:B3000),0))</f>
        <v>0</v>
      </c>
      <c r="G237" s="21"/>
      <c r="H237" s="17" t="s">
        <v>5811</v>
      </c>
      <c r="I237" s="549" t="s">
        <v>4678</v>
      </c>
      <c r="J237" s="112"/>
      <c r="K237" s="81"/>
      <c r="L237" s="568" t="s">
        <v>4680</v>
      </c>
      <c r="M237" s="17" t="s">
        <v>5811</v>
      </c>
      <c r="N237" s="21"/>
      <c r="O237" s="21"/>
      <c r="P237" s="2672" cm="1">
        <f t="array" ref="P237">INDEX('5층_부하량'!K3:K3000,MATCH(1,("5-DaHall 1-PDU-07"='5층_부하량'!A3:A3000)*(24='5층_부하량'!B3:B3000),0))</f>
        <v>0</v>
      </c>
      <c r="Q237" s="21"/>
      <c r="R237" s="69" t="s">
        <v>4590</v>
      </c>
      <c r="S237" s="17" t="s">
        <v>4642</v>
      </c>
      <c r="T237" s="70"/>
    </row>
    <row r="238" spans="1:20" x14ac:dyDescent="0.15">
      <c r="A238" s="321"/>
      <c r="B238" s="17" t="s">
        <v>4590</v>
      </c>
      <c r="C238" s="17" t="s">
        <v>4642</v>
      </c>
      <c r="D238" s="2672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5811</v>
      </c>
      <c r="I238" s="549" t="s">
        <v>4683</v>
      </c>
      <c r="J238" s="112"/>
      <c r="K238" s="81"/>
      <c r="L238" s="568" t="s">
        <v>4685</v>
      </c>
      <c r="M238" s="17" t="s">
        <v>5811</v>
      </c>
      <c r="N238" s="2672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9" t="s">
        <v>4590</v>
      </c>
      <c r="S238" s="17" t="s">
        <v>4642</v>
      </c>
      <c r="T238" s="70"/>
    </row>
    <row r="239" spans="1:20" x14ac:dyDescent="0.15">
      <c r="A239" s="321"/>
      <c r="B239" s="17" t="s">
        <v>4590</v>
      </c>
      <c r="C239" s="17" t="s">
        <v>4642</v>
      </c>
      <c r="D239" s="21"/>
      <c r="E239" s="2672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5811</v>
      </c>
      <c r="I239" s="549" t="s">
        <v>4688</v>
      </c>
      <c r="J239" s="112"/>
      <c r="K239" s="81"/>
      <c r="L239" s="568" t="s">
        <v>4689</v>
      </c>
      <c r="M239" s="17" t="s">
        <v>5811</v>
      </c>
      <c r="N239" s="21"/>
      <c r="O239" s="2672" cm="1">
        <f t="array" ref="O239">INDEX('5층_부하량'!J3:J3000,MATCH(1,("5-DaHall 1-PDU-07"='5층_부하량'!A3:A3000)*(28='5층_부하량'!B3:B3000),0))</f>
        <v>0</v>
      </c>
      <c r="P239" s="21"/>
      <c r="Q239" s="21"/>
      <c r="R239" s="69" t="s">
        <v>4590</v>
      </c>
      <c r="S239" s="17" t="s">
        <v>4642</v>
      </c>
      <c r="T239" s="70"/>
    </row>
    <row r="240" spans="1:20" x14ac:dyDescent="0.15">
      <c r="A240" s="321"/>
      <c r="B240" s="17" t="s">
        <v>4590</v>
      </c>
      <c r="C240" s="17" t="s">
        <v>4642</v>
      </c>
      <c r="D240" s="21"/>
      <c r="E240" s="21"/>
      <c r="F240" s="2672" cm="1">
        <f t="array" ref="F240">INDEX('5층_부하량'!K3:K3000,MATCH(1,("5-DaHall 1-PDU-07"='5층_부하량'!A3:A3000)*(29='5층_부하량'!B3:B3000),0))</f>
        <v>0</v>
      </c>
      <c r="G240" s="21"/>
      <c r="H240" s="17" t="s">
        <v>5811</v>
      </c>
      <c r="I240" s="549" t="s">
        <v>4691</v>
      </c>
      <c r="J240" s="112"/>
      <c r="K240" s="81"/>
      <c r="L240" s="568" t="s">
        <v>4692</v>
      </c>
      <c r="M240" s="17" t="s">
        <v>5811</v>
      </c>
      <c r="N240" s="21"/>
      <c r="O240" s="21"/>
      <c r="P240" s="2672" cm="1">
        <f t="array" ref="P240">INDEX('5층_부하량'!K3:K3000,MATCH(1,("5-DaHall 1-PDU-07"='5층_부하량'!A3:A3000)*(30='5층_부하량'!B3:B3000),0))</f>
        <v>0</v>
      </c>
      <c r="Q240" s="21"/>
      <c r="R240" s="69" t="s">
        <v>4590</v>
      </c>
      <c r="S240" s="17" t="s">
        <v>4642</v>
      </c>
      <c r="T240" s="70"/>
    </row>
    <row r="241" spans="1:20" x14ac:dyDescent="0.15">
      <c r="A241" s="321"/>
      <c r="B241" s="17" t="s">
        <v>4590</v>
      </c>
      <c r="C241" s="17" t="s">
        <v>4642</v>
      </c>
      <c r="D241" s="2672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5811</v>
      </c>
      <c r="I241" s="549" t="s">
        <v>4693</v>
      </c>
      <c r="J241" s="112"/>
      <c r="K241" s="81"/>
      <c r="L241" s="568" t="s">
        <v>4694</v>
      </c>
      <c r="M241" s="17" t="s">
        <v>5811</v>
      </c>
      <c r="N241" s="2672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9" t="s">
        <v>4590</v>
      </c>
      <c r="S241" s="17" t="s">
        <v>4642</v>
      </c>
      <c r="T241" s="70"/>
    </row>
    <row r="242" spans="1:20" x14ac:dyDescent="0.15">
      <c r="A242" s="321"/>
      <c r="B242" s="17" t="s">
        <v>4590</v>
      </c>
      <c r="C242" s="17" t="s">
        <v>4642</v>
      </c>
      <c r="D242" s="21"/>
      <c r="E242" s="2672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5811</v>
      </c>
      <c r="I242" s="549" t="s">
        <v>4697</v>
      </c>
      <c r="J242" s="112"/>
      <c r="K242" s="81"/>
      <c r="L242" s="568" t="s">
        <v>4698</v>
      </c>
      <c r="M242" s="17" t="s">
        <v>5811</v>
      </c>
      <c r="N242" s="21"/>
      <c r="O242" s="2672" cm="1">
        <f t="array" ref="O242">INDEX('5층_부하량'!J3:J3000,MATCH(1,("5-DaHall 1-PDU-07"='5층_부하량'!A3:A3000)*(34='5층_부하량'!B3:B3000),0))</f>
        <v>0</v>
      </c>
      <c r="P242" s="21"/>
      <c r="Q242" s="21"/>
      <c r="R242" s="69" t="s">
        <v>4590</v>
      </c>
      <c r="S242" s="17" t="s">
        <v>4642</v>
      </c>
      <c r="T242" s="70"/>
    </row>
    <row r="243" spans="1:20" ht="14.25" thickBot="1" x14ac:dyDescent="0.2">
      <c r="A243" s="38"/>
      <c r="B243" s="35" t="s">
        <v>4590</v>
      </c>
      <c r="C243" s="35" t="s">
        <v>4642</v>
      </c>
      <c r="D243" s="36"/>
      <c r="E243" s="36"/>
      <c r="F243" s="2671" cm="1">
        <f t="array" ref="F243">INDEX('5층_부하량'!K3:K3000,MATCH(1,("5-DaHall 1-PDU-07"='5층_부하량'!A3:A3000)*(35='5층_부하량'!B3:B3000),0))</f>
        <v>0</v>
      </c>
      <c r="G243" s="36"/>
      <c r="H243" s="35" t="s">
        <v>5811</v>
      </c>
      <c r="I243" s="551" t="s">
        <v>4701</v>
      </c>
      <c r="J243" s="85"/>
      <c r="K243" s="84"/>
      <c r="L243" s="572" t="s">
        <v>4703</v>
      </c>
      <c r="M243" s="35" t="s">
        <v>5811</v>
      </c>
      <c r="N243" s="36"/>
      <c r="O243" s="36"/>
      <c r="P243" s="2671" cm="1">
        <f t="array" ref="P243">INDEX('5층_부하량'!K3:K3000,MATCH(1,("5-DaHall 1-PDU-07"='5층_부하량'!A3:A3000)*(36='5층_부하량'!B3:B3000),0))</f>
        <v>0</v>
      </c>
      <c r="Q243" s="36"/>
      <c r="R243" s="78" t="s">
        <v>4590</v>
      </c>
      <c r="S243" s="35" t="s">
        <v>4642</v>
      </c>
      <c r="T243" s="79"/>
    </row>
    <row r="244" spans="1:20" ht="15" thickTop="1" thickBot="1" x14ac:dyDescent="0.2">
      <c r="M244" s="80" t="s">
        <v>5645</v>
      </c>
      <c r="N244" s="33" t="n">
        <f>SUM(D226:D243,N226:N243)</f>
        <v>9.757353415913</v>
      </c>
      <c r="O244" s="33" t="n">
        <f>SUM(E226:E243,O226:O243)</f>
        <v>1.4519812626448076</v>
      </c>
      <c r="P244" s="33" t="n">
        <f>SUM(F226:F243,P226:P243)</f>
        <v>0.7691805250042074</v>
      </c>
    </row>
    <row r="245" spans="1:20" ht="20.25" thickTop="1" thickBot="1" x14ac:dyDescent="0.2">
      <c r="A245" s="2" t="s">
        <v>6952</v>
      </c>
      <c r="C245" s="3660" t="s">
        <v>5837</v>
      </c>
      <c r="D245" s="3660"/>
      <c r="E245" s="3660"/>
      <c r="F245" s="3660"/>
      <c r="G245" s="53"/>
      <c r="H245" s="124"/>
      <c r="I245" s="124"/>
      <c r="J245" s="3661" t="s">
        <v>5063</v>
      </c>
      <c r="K245" s="3667"/>
      <c r="L245" s="124"/>
      <c r="M245" s="118" t="s">
        <v>5838</v>
      </c>
      <c r="N245" s="53"/>
      <c r="O245" s="53"/>
      <c r="P245" s="53"/>
      <c r="Q245" s="53"/>
      <c r="R245" s="53"/>
      <c r="S245" s="53"/>
    </row>
    <row r="246" spans="1:20" ht="15" thickTop="1" thickBot="1" x14ac:dyDescent="0.2">
      <c r="A246" s="3"/>
      <c r="D246" s="54"/>
      <c r="E246" s="54"/>
      <c r="F246" s="54"/>
      <c r="G246" s="54"/>
      <c r="H246" s="4"/>
      <c r="I246" s="4"/>
      <c r="K246" s="56"/>
      <c r="L246" s="565"/>
      <c r="M246" s="1371" t="s">
        <v>4562</v>
      </c>
      <c r="N246" s="1368"/>
      <c r="O246" s="1369"/>
      <c r="P246" s="1370"/>
      <c r="Q246" s="508" t="s">
        <v>4563</v>
      </c>
      <c r="R246" s="133"/>
      <c r="S246" s="128"/>
      <c r="T246" s="528"/>
    </row>
    <row r="247" spans="1:20" ht="15" thickTop="1" thickBot="1" x14ac:dyDescent="0.2">
      <c r="A247" s="5" t="s">
        <v>4564</v>
      </c>
      <c r="B247" s="6" t="s">
        <v>4565</v>
      </c>
      <c r="C247" s="7" t="s">
        <v>4566</v>
      </c>
      <c r="D247" s="6" t="s">
        <v>4567</v>
      </c>
      <c r="E247" s="6" t="s">
        <v>4568</v>
      </c>
      <c r="F247" s="6" t="s">
        <v>4569</v>
      </c>
      <c r="G247" s="6" t="s">
        <v>4570</v>
      </c>
      <c r="H247" s="8" t="s">
        <v>4571</v>
      </c>
      <c r="I247" s="547"/>
      <c r="J247" s="58" t="s">
        <v>4572</v>
      </c>
      <c r="K247" s="59" t="s">
        <v>4572</v>
      </c>
      <c r="L247" s="566"/>
      <c r="M247" s="8" t="s">
        <v>4571</v>
      </c>
      <c r="N247" s="6" t="s">
        <v>4567</v>
      </c>
      <c r="O247" s="6" t="s">
        <v>4568</v>
      </c>
      <c r="P247" s="6" t="s">
        <v>4569</v>
      </c>
      <c r="Q247" s="6" t="s">
        <v>4570</v>
      </c>
      <c r="R247" s="6" t="s">
        <v>4565</v>
      </c>
      <c r="S247" s="7" t="s">
        <v>4566</v>
      </c>
      <c r="T247" s="60" t="s">
        <v>4564</v>
      </c>
    </row>
    <row r="248" spans="1:20" ht="14.25" thickTop="1" x14ac:dyDescent="0.15">
      <c r="A248" s="10"/>
      <c r="B248" s="11" t="s">
        <v>4590</v>
      </c>
      <c r="C248" s="13" t="s">
        <v>4642</v>
      </c>
      <c r="D248" s="2669" t="n">
        <f>IFERROR(INDEX('5층_부하량'!I3:I3000,MATCH(1,("5-DaHall 1-PDU-09"='5층_부하량'!A3:A3000)*(1='5층_부하량'!B3:B3000),0)),0)</f>
        <v>0.0</v>
      </c>
      <c r="E248" s="15"/>
      <c r="F248" s="15"/>
      <c r="G248" s="15"/>
      <c r="H248" s="13" t="s">
        <v>5786</v>
      </c>
      <c r="I248" s="1177" t="s">
        <v>5787</v>
      </c>
      <c r="J248" s="61"/>
      <c r="K248" s="62"/>
      <c r="L248" s="567" t="s">
        <v>5788</v>
      </c>
      <c r="M248" s="11" t="s">
        <v>5786</v>
      </c>
      <c r="N248" s="2669" t="n">
        <f>IFERROR(INDEX('5층_부하량'!I3:I3000,MATCH(1,("5-DaHall 1-PDU-09"='5층_부하량'!A3:A3000)*(2='5층_부하량'!B3:B3000),0)),0)</f>
        <v>0.0</v>
      </c>
      <c r="O248" s="15"/>
      <c r="P248" s="15"/>
      <c r="Q248" s="15"/>
      <c r="R248" s="63" t="s">
        <v>4590</v>
      </c>
      <c r="S248" s="11" t="s">
        <v>4642</v>
      </c>
      <c r="T248" s="98"/>
    </row>
    <row r="249" spans="1:20" x14ac:dyDescent="0.15">
      <c r="A249" s="16"/>
      <c r="B249" s="17" t="s">
        <v>4590</v>
      </c>
      <c r="C249" s="17" t="s">
        <v>4642</v>
      </c>
      <c r="D249" s="19"/>
      <c r="E249" s="2670" t="n">
        <f>IFERROR(INDEX('5층_부하량'!J3:J3000,MATCH(1,("5-DaHall 1-PDU-09"='5층_부하량'!A3:A3000)*(3='5층_부하량'!B3:B3000),0)),0)</f>
        <v>0.0</v>
      </c>
      <c r="F249" s="19"/>
      <c r="G249" s="19"/>
      <c r="H249" s="17" t="s">
        <v>5790</v>
      </c>
      <c r="I249" s="549" t="s">
        <v>4638</v>
      </c>
      <c r="J249" s="65"/>
      <c r="K249" s="66"/>
      <c r="L249" s="549" t="s">
        <v>4583</v>
      </c>
      <c r="M249" s="17" t="s">
        <v>5786</v>
      </c>
      <c r="N249" s="19"/>
      <c r="O249" s="2670" t="n">
        <f>IFERROR(INDEX('5층_부하량'!J3:J3000,MATCH(1,("5-DaHall 1-PDU-09"='5층_부하량'!A3:A3000)*(4='5층_부하량'!B3:B3000),0)),0)</f>
        <v>0.0</v>
      </c>
      <c r="P249" s="19"/>
      <c r="Q249" s="19"/>
      <c r="R249" s="67" t="s">
        <v>4590</v>
      </c>
      <c r="S249" s="17" t="s">
        <v>4642</v>
      </c>
      <c r="T249" s="68"/>
    </row>
    <row r="250" spans="1:20" x14ac:dyDescent="0.15">
      <c r="A250" s="321"/>
      <c r="B250" s="17" t="s">
        <v>4590</v>
      </c>
      <c r="C250" s="17" t="s">
        <v>4642</v>
      </c>
      <c r="D250" s="21"/>
      <c r="E250" s="21"/>
      <c r="F250" s="2672" t="n">
        <f>IFERROR(INDEX('5층_부하량'!K3:K3000,MATCH(1,("5-DaHall 1-PDU-09"='5층_부하량'!A3:A3000)*(5='5층_부하량'!B3:B3000),0)),0)</f>
        <v>0.0</v>
      </c>
      <c r="G250" s="21"/>
      <c r="H250" s="17" t="s">
        <v>5786</v>
      </c>
      <c r="I250" s="549" t="s">
        <v>4641</v>
      </c>
      <c r="J250" s="112"/>
      <c r="K250" s="81"/>
      <c r="L250" s="568" t="s">
        <v>4588</v>
      </c>
      <c r="M250" s="17" t="s">
        <v>5786</v>
      </c>
      <c r="N250" s="21"/>
      <c r="O250" s="21"/>
      <c r="P250" s="2672" t="n">
        <f>IFERROR(INDEX('5층_부하량'!K3:K3000,MATCH(1,("5-DaHall 1-PDU-09"='5층_부하량'!A3:A3000)*(6='5층_부하량'!B3:B3000),0)),0)</f>
        <v>0.0</v>
      </c>
      <c r="Q250" s="21"/>
      <c r="R250" s="69" t="s">
        <v>4590</v>
      </c>
      <c r="S250" s="17" t="s">
        <v>4642</v>
      </c>
      <c r="T250" s="70"/>
    </row>
    <row r="251" spans="1:20" x14ac:dyDescent="0.15">
      <c r="A251" s="16"/>
      <c r="B251" s="17" t="s">
        <v>4590</v>
      </c>
      <c r="C251" s="17" t="s">
        <v>4642</v>
      </c>
      <c r="D251" s="2672" t="n">
        <f>IFERROR(INDEX('5층_부하량'!I3:I3000,MATCH(1,("5-DaHall 1-PDU-09"='5층_부하량'!A3:A3000)*(7='5층_부하량'!B3:B3000),0)),0)</f>
        <v>0.0</v>
      </c>
      <c r="E251" s="21"/>
      <c r="F251" s="21"/>
      <c r="G251" s="21"/>
      <c r="H251" s="17" t="s">
        <v>5795</v>
      </c>
      <c r="I251" s="549" t="s">
        <v>4645</v>
      </c>
      <c r="J251" s="112"/>
      <c r="K251" s="81"/>
      <c r="L251" s="568" t="s">
        <v>4593</v>
      </c>
      <c r="M251" s="17" t="s">
        <v>5795</v>
      </c>
      <c r="N251" s="2672" t="n">
        <f>IFERROR(INDEX('5층_부하량'!I3:I3000,MATCH(1,("5-DaHall 1-PDU-09"='5층_부하량'!A3:A3000)*(8='5층_부하량'!B3:B3000),0)),0)</f>
        <v>0.0</v>
      </c>
      <c r="O251" s="21"/>
      <c r="P251" s="21"/>
      <c r="Q251" s="21"/>
      <c r="R251" s="69" t="s">
        <v>4590</v>
      </c>
      <c r="S251" s="17" t="s">
        <v>4642</v>
      </c>
      <c r="T251" s="68"/>
    </row>
    <row r="252" spans="1:20" x14ac:dyDescent="0.15">
      <c r="A252" s="321"/>
      <c r="B252" s="17" t="s">
        <v>4590</v>
      </c>
      <c r="C252" s="17" t="s">
        <v>4642</v>
      </c>
      <c r="D252" s="21"/>
      <c r="E252" s="2672" t="n">
        <f>IFERROR(INDEX('5층_부하량'!J3:J3000,MATCH(1,("5-DaHall 1-PDU-09"='5층_부하량'!A3:A3000)*(9='5층_부하량'!B3:B3000),0)),0)</f>
        <v>0.0</v>
      </c>
      <c r="F252" s="21"/>
      <c r="G252" s="21"/>
      <c r="H252" s="17" t="s">
        <v>5790</v>
      </c>
      <c r="I252" s="549" t="s">
        <v>4648</v>
      </c>
      <c r="J252" s="112"/>
      <c r="K252" s="81"/>
      <c r="L252" s="568" t="s">
        <v>4596</v>
      </c>
      <c r="M252" s="17" t="s">
        <v>5790</v>
      </c>
      <c r="N252" s="21"/>
      <c r="O252" s="2672" t="n">
        <f>IFERROR(INDEX('5층_부하량'!J3:J3000,MATCH(1,("5-DaHall 1-PDU-09"='5층_부하량'!A3:A3000)*(10='5층_부하량'!B3:B3000),0)),0)</f>
        <v>0.0</v>
      </c>
      <c r="P252" s="21"/>
      <c r="Q252" s="21"/>
      <c r="R252" s="69" t="s">
        <v>4590</v>
      </c>
      <c r="S252" s="17" t="s">
        <v>4642</v>
      </c>
      <c r="T252" s="70"/>
    </row>
    <row r="253" spans="1:20" x14ac:dyDescent="0.15">
      <c r="A253" s="16"/>
      <c r="B253" s="23" t="s">
        <v>4590</v>
      </c>
      <c r="C253" s="17" t="s">
        <v>4642</v>
      </c>
      <c r="D253" s="25"/>
      <c r="E253" s="25"/>
      <c r="F253" s="2673" t="n">
        <f>IFERROR(INDEX('5층_부하량'!K3:K3000,MATCH(1,("5-DaHall 1-PDU-09"='5층_부하량'!A3:A3000)*(11='5층_부하량'!B3:B3000),0)),0)</f>
        <v>0.0</v>
      </c>
      <c r="G253" s="25"/>
      <c r="H253" s="23" t="s">
        <v>5801</v>
      </c>
      <c r="I253" s="555" t="s">
        <v>4653</v>
      </c>
      <c r="J253" s="113"/>
      <c r="K253" s="114"/>
      <c r="L253" s="569" t="s">
        <v>4599</v>
      </c>
      <c r="M253" s="23" t="s">
        <v>5801</v>
      </c>
      <c r="N253" s="25"/>
      <c r="O253" s="25"/>
      <c r="P253" s="2673" t="n">
        <f>IFERROR(INDEX('5층_부하량'!K3:K3000,MATCH(1,("5-DaHall 1-PDU-09"='5층_부하량'!A3:A3000)*(12='5층_부하량'!B3:B3000),0)),0)</f>
        <v>0.0</v>
      </c>
      <c r="Q253" s="25"/>
      <c r="R253" s="108" t="s">
        <v>4590</v>
      </c>
      <c r="S253" s="23" t="s">
        <v>4642</v>
      </c>
      <c r="T253" s="104"/>
    </row>
    <row r="254" spans="1:20" x14ac:dyDescent="0.15">
      <c r="A254" s="16"/>
      <c r="B254" s="23" t="s">
        <v>4590</v>
      </c>
      <c r="C254" s="23" t="s">
        <v>4642</v>
      </c>
      <c r="D254" s="2673" t="n">
        <f>IFERROR(INDEX('5층_부하량'!I3:I3000,MATCH(1,("5-DaHall 1-PDU-09"='5층_부하량'!A3:A3000)*(13='5층_부하량'!B3:B3000),0)),0)</f>
        <v>0.0</v>
      </c>
      <c r="E254" s="25"/>
      <c r="F254" s="25"/>
      <c r="G254" s="25"/>
      <c r="H254" s="23" t="s">
        <v>5801</v>
      </c>
      <c r="I254" s="555" t="s">
        <v>4657</v>
      </c>
      <c r="J254" s="113"/>
      <c r="K254" s="114"/>
      <c r="L254" s="569" t="s">
        <v>4601</v>
      </c>
      <c r="M254" s="23" t="s">
        <v>5801</v>
      </c>
      <c r="N254" s="2673" t="n">
        <f>IFERROR(INDEX('5층_부하량'!I3:I3000,MATCH(1,("5-DaHall 1-PDU-09"='5층_부하량'!A3:A3000)*(14='5층_부하량'!B3:B3000),0)),0)</f>
        <v>0.0</v>
      </c>
      <c r="O254" s="25"/>
      <c r="P254" s="25"/>
      <c r="Q254" s="25"/>
      <c r="R254" s="108" t="s">
        <v>4590</v>
      </c>
      <c r="S254" s="23" t="s">
        <v>4642</v>
      </c>
      <c r="T254" s="104"/>
    </row>
    <row r="255" spans="1:20" ht="14.25" thickBot="1" x14ac:dyDescent="0.2">
      <c r="A255" s="87"/>
      <c r="B255" s="88" t="s">
        <v>4590</v>
      </c>
      <c r="C255" s="88" t="s">
        <v>4642</v>
      </c>
      <c r="D255" s="90"/>
      <c r="E255" s="2688" t="n">
        <f>IFERROR(INDEX('5층_부하량'!J3:J3000,MATCH(1,("5-DaHall 1-PDU-09"='5층_부하량'!A3:A3000)*(15='5층_부하량'!B3:B3000),0)),0)</f>
        <v>0.0</v>
      </c>
      <c r="F255" s="90"/>
      <c r="G255" s="90"/>
      <c r="H255" s="88" t="s">
        <v>5801</v>
      </c>
      <c r="I255" s="553" t="s">
        <v>4661</v>
      </c>
      <c r="J255" s="115"/>
      <c r="K255" s="116"/>
      <c r="L255" s="570" t="s">
        <v>4603</v>
      </c>
      <c r="M255" s="88" t="s">
        <v>5801</v>
      </c>
      <c r="N255" s="90"/>
      <c r="O255" s="2688" t="n">
        <f>IFERROR(INDEX('5층_부하량'!J3:J3000,MATCH(1,("5-DaHall 1-PDU-09"='5층_부하량'!A3:A3000)*(16='5층_부하량'!B3:B3000),0)),0)</f>
        <v>0.0</v>
      </c>
      <c r="P255" s="90"/>
      <c r="Q255" s="90"/>
      <c r="R255" s="93" t="s">
        <v>4590</v>
      </c>
      <c r="S255" s="88" t="s">
        <v>4642</v>
      </c>
      <c r="T255" s="94"/>
    </row>
    <row r="256" spans="1:20" ht="14.25" thickTop="1" x14ac:dyDescent="0.15">
      <c r="A256" s="71"/>
      <c r="B256" s="72" t="s">
        <v>4590</v>
      </c>
      <c r="C256" s="72" t="s">
        <v>4642</v>
      </c>
      <c r="D256" s="74"/>
      <c r="E256" s="74"/>
      <c r="F256" s="2689" t="n">
        <f>IFERROR(INDEX('5층_부하량'!K3:K3000,MATCH(1,("5-DaHall 1-PDU-09"='5층_부하량'!A3:A3000)*(17='5층_부하량'!B3:B3000),0)),0)</f>
        <v>0.0</v>
      </c>
      <c r="G256" s="74"/>
      <c r="H256" s="72" t="s">
        <v>5801</v>
      </c>
      <c r="I256" s="550" t="s">
        <v>4665</v>
      </c>
      <c r="J256" s="117"/>
      <c r="K256" s="83"/>
      <c r="L256" s="571" t="s">
        <v>4605</v>
      </c>
      <c r="M256" s="72" t="s">
        <v>5801</v>
      </c>
      <c r="N256" s="74"/>
      <c r="O256" s="74"/>
      <c r="P256" s="2689" t="n">
        <f>IFERROR(INDEX('5층_부하량'!K3:K3000,MATCH(1,("5-DaHall 1-PDU-09"='5층_부하량'!A3:A3000)*(18='5층_부하량'!B3:B3000),0)),0)</f>
        <v>0.0</v>
      </c>
      <c r="Q256" s="74"/>
      <c r="R256" s="75" t="s">
        <v>4590</v>
      </c>
      <c r="S256" s="72" t="s">
        <v>4642</v>
      </c>
      <c r="T256" s="68"/>
    </row>
    <row r="257" spans="1:20" x14ac:dyDescent="0.15">
      <c r="A257" s="16"/>
      <c r="B257" s="17" t="s">
        <v>4590</v>
      </c>
      <c r="C257" s="17" t="s">
        <v>4642</v>
      </c>
      <c r="D257" s="2672" t="n">
        <f>IFERROR(INDEX('5층_부하량'!I3:I3000,MATCH(1,("5-DaHall 1-PDU-09"='5층_부하량'!A3:A3000)*(19='5층_부하량'!B3:B3000),0)),0)</f>
        <v>0.0</v>
      </c>
      <c r="E257" s="21"/>
      <c r="F257" s="21"/>
      <c r="G257" s="21"/>
      <c r="H257" s="17" t="s">
        <v>5811</v>
      </c>
      <c r="I257" s="549" t="s">
        <v>4670</v>
      </c>
      <c r="J257" s="112"/>
      <c r="K257" s="81"/>
      <c r="L257" s="568" t="s">
        <v>4609</v>
      </c>
      <c r="M257" s="17" t="s">
        <v>5811</v>
      </c>
      <c r="N257" s="2672" t="n">
        <f>IFERROR(INDEX('5층_부하량'!I3:I3000,MATCH(1,("5-DaHall 1-PDU-09"='5층_부하량'!A3:A3000)*(20='5층_부하량'!B3:B3000),0)),0)</f>
        <v>0.0</v>
      </c>
      <c r="O257" s="21"/>
      <c r="P257" s="21"/>
      <c r="Q257" s="21"/>
      <c r="R257" s="69" t="s">
        <v>4590</v>
      </c>
      <c r="S257" s="17" t="s">
        <v>4642</v>
      </c>
      <c r="T257" s="70"/>
    </row>
    <row r="258" spans="1:20" x14ac:dyDescent="0.15">
      <c r="A258" s="321"/>
      <c r="B258" s="17" t="s">
        <v>4590</v>
      </c>
      <c r="C258" s="17" t="s">
        <v>4642</v>
      </c>
      <c r="D258" s="21"/>
      <c r="E258" s="2672" t="n">
        <f>IFERROR(INDEX('5층_부하량'!J3:J3000,MATCH(1,("5-DaHall 1-PDU-09"='5층_부하량'!A3:A3000)*(21='5층_부하량'!B3:B3000),0)),0)</f>
        <v>0.0</v>
      </c>
      <c r="F258" s="21"/>
      <c r="G258" s="21"/>
      <c r="H258" s="17" t="s">
        <v>5811</v>
      </c>
      <c r="I258" s="549" t="s">
        <v>4674</v>
      </c>
      <c r="J258" s="112"/>
      <c r="K258" s="81"/>
      <c r="L258" s="568" t="s">
        <v>4613</v>
      </c>
      <c r="M258" s="17" t="s">
        <v>5811</v>
      </c>
      <c r="N258" s="21"/>
      <c r="O258" s="2672" t="n">
        <f>IFERROR(INDEX('5층_부하량'!J3:J3000,MATCH(1,("5-DaHall 1-PDU-09"='5층_부하량'!A3:A3000)*(22='5층_부하량'!B3:B3000),0)),0)</f>
        <v>0.0</v>
      </c>
      <c r="P258" s="21"/>
      <c r="Q258" s="21"/>
      <c r="R258" s="69" t="s">
        <v>4590</v>
      </c>
      <c r="S258" s="17" t="s">
        <v>4642</v>
      </c>
      <c r="T258" s="82"/>
    </row>
    <row r="259" spans="1:20" x14ac:dyDescent="0.15">
      <c r="A259" s="321"/>
      <c r="B259" s="17" t="s">
        <v>4590</v>
      </c>
      <c r="C259" s="17" t="s">
        <v>4642</v>
      </c>
      <c r="D259" s="21"/>
      <c r="E259" s="21"/>
      <c r="F259" s="2672" t="n">
        <f>IFERROR(INDEX('5층_부하량'!K3:K3000,MATCH(1,("5-DaHall 1-PDU-09"='5층_부하량'!A3:A3000)*(23='5층_부하량'!B3:B3000),0)),0)</f>
        <v>0.0</v>
      </c>
      <c r="G259" s="21"/>
      <c r="H259" s="17" t="s">
        <v>5811</v>
      </c>
      <c r="I259" s="549" t="s">
        <v>4678</v>
      </c>
      <c r="J259" s="112"/>
      <c r="K259" s="81"/>
      <c r="L259" s="568" t="s">
        <v>4680</v>
      </c>
      <c r="M259" s="17" t="s">
        <v>5811</v>
      </c>
      <c r="N259" s="21"/>
      <c r="O259" s="21"/>
      <c r="P259" s="2672" t="n">
        <f>IFERROR(INDEX('5층_부하량'!K3:K3000,MATCH(1,("5-DaHall 1-PDU-09"='5층_부하량'!A3:A3000)*(24='5층_부하량'!B3:B3000),0)),0)</f>
        <v>0.0</v>
      </c>
      <c r="Q259" s="21"/>
      <c r="R259" s="69" t="s">
        <v>4590</v>
      </c>
      <c r="S259" s="17" t="s">
        <v>4642</v>
      </c>
      <c r="T259" s="70"/>
    </row>
    <row r="260" spans="1:20" x14ac:dyDescent="0.15">
      <c r="A260" s="321"/>
      <c r="B260" s="17" t="s">
        <v>4590</v>
      </c>
      <c r="C260" s="17" t="s">
        <v>4642</v>
      </c>
      <c r="D260" s="2672" t="n">
        <f>IFERROR(INDEX('5층_부하량'!I3:I3000,MATCH(1,("5-DaHall 1-PDU-09"='5층_부하량'!A3:A3000)*(25='5층_부하량'!B3:B3000),0)),0)</f>
        <v>0.0</v>
      </c>
      <c r="E260" s="21"/>
      <c r="F260" s="21"/>
      <c r="G260" s="21"/>
      <c r="H260" s="17" t="s">
        <v>5811</v>
      </c>
      <c r="I260" s="549" t="s">
        <v>4683</v>
      </c>
      <c r="J260" s="112"/>
      <c r="K260" s="81"/>
      <c r="L260" s="568" t="s">
        <v>4685</v>
      </c>
      <c r="M260" s="17" t="s">
        <v>5811</v>
      </c>
      <c r="N260" s="2672" t="n">
        <f>IFERROR(INDEX('5층_부하량'!I3:I3000,MATCH(1,("5-DaHall 1-PDU-09"='5층_부하량'!A3:A3000)*(26='5층_부하량'!B3:B3000),0)),0)</f>
        <v>0.0</v>
      </c>
      <c r="O260" s="21"/>
      <c r="P260" s="21"/>
      <c r="Q260" s="21"/>
      <c r="R260" s="69" t="s">
        <v>4590</v>
      </c>
      <c r="S260" s="17" t="s">
        <v>4642</v>
      </c>
      <c r="T260" s="70"/>
    </row>
    <row r="261" spans="1:20" x14ac:dyDescent="0.15">
      <c r="A261" s="321"/>
      <c r="B261" s="17" t="s">
        <v>4590</v>
      </c>
      <c r="C261" s="17" t="s">
        <v>4642</v>
      </c>
      <c r="D261" s="21"/>
      <c r="E261" s="2672" t="n">
        <f>IFERROR(INDEX('5층_부하량'!J3:J3000,MATCH(1,("5-DaHall 1-PDU-09"='5층_부하량'!A3:A3000)*(27='5층_부하량'!B3:B3000),0)),0)</f>
        <v>0.0</v>
      </c>
      <c r="F261" s="21"/>
      <c r="G261" s="21"/>
      <c r="H261" s="17" t="s">
        <v>5811</v>
      </c>
      <c r="I261" s="549" t="s">
        <v>4688</v>
      </c>
      <c r="J261" s="112"/>
      <c r="K261" s="81"/>
      <c r="L261" s="568" t="s">
        <v>4689</v>
      </c>
      <c r="M261" s="17" t="s">
        <v>5811</v>
      </c>
      <c r="N261" s="21"/>
      <c r="O261" s="2672" t="n">
        <f>IFERROR(INDEX('5층_부하량'!J3:J3000,MATCH(1,("5-DaHall 1-PDU-09"='5층_부하량'!A3:A3000)*(28='5층_부하량'!B3:B3000),0)),0)</f>
        <v>0.0</v>
      </c>
      <c r="P261" s="21"/>
      <c r="Q261" s="21"/>
      <c r="R261" s="69" t="s">
        <v>4590</v>
      </c>
      <c r="S261" s="17" t="s">
        <v>4642</v>
      </c>
      <c r="T261" s="70"/>
    </row>
    <row r="262" spans="1:20" x14ac:dyDescent="0.15">
      <c r="A262" s="321"/>
      <c r="B262" s="17" t="s">
        <v>4590</v>
      </c>
      <c r="C262" s="17" t="s">
        <v>4642</v>
      </c>
      <c r="D262" s="21"/>
      <c r="E262" s="21"/>
      <c r="F262" s="2672" t="n">
        <f>IFERROR(INDEX('5층_부하량'!K3:K3000,MATCH(1,("5-DaHall 1-PDU-09"='5층_부하량'!A3:A3000)*(29='5층_부하량'!B3:B3000),0)),0)</f>
        <v>0.0</v>
      </c>
      <c r="G262" s="21"/>
      <c r="H262" s="17" t="s">
        <v>5811</v>
      </c>
      <c r="I262" s="549" t="s">
        <v>4691</v>
      </c>
      <c r="J262" s="112"/>
      <c r="K262" s="81"/>
      <c r="L262" s="568" t="s">
        <v>4692</v>
      </c>
      <c r="M262" s="17" t="s">
        <v>5811</v>
      </c>
      <c r="N262" s="21"/>
      <c r="O262" s="21"/>
      <c r="P262" s="2672" t="n">
        <f>IFERROR(INDEX('5층_부하량'!K3:K3000,MATCH(1,("5-DaHall 1-PDU-09"='5층_부하량'!A3:A3000)*(30='5층_부하량'!B3:B3000),0)),0)</f>
        <v>0.0</v>
      </c>
      <c r="Q262" s="21"/>
      <c r="R262" s="69" t="s">
        <v>4590</v>
      </c>
      <c r="S262" s="17" t="s">
        <v>4642</v>
      </c>
      <c r="T262" s="70"/>
    </row>
    <row r="263" spans="1:20" x14ac:dyDescent="0.15">
      <c r="A263" s="321"/>
      <c r="B263" s="17" t="s">
        <v>4590</v>
      </c>
      <c r="C263" s="17" t="s">
        <v>4642</v>
      </c>
      <c r="D263" s="2672" t="n">
        <f>IFERROR(INDEX('5층_부하량'!I3:I3000,MATCH(1,("5-DaHall 1-PDU-09"='5층_부하량'!A3:A3000)*(31='5층_부하량'!B3:B3000),0)),0)</f>
        <v>0.0</v>
      </c>
      <c r="E263" s="21"/>
      <c r="F263" s="21"/>
      <c r="G263" s="21"/>
      <c r="H263" s="17" t="s">
        <v>5811</v>
      </c>
      <c r="I263" s="549" t="s">
        <v>4693</v>
      </c>
      <c r="J263" s="112"/>
      <c r="K263" s="81"/>
      <c r="L263" s="568" t="s">
        <v>4694</v>
      </c>
      <c r="M263" s="17" t="s">
        <v>5811</v>
      </c>
      <c r="N263" s="2672" t="n">
        <f>IFERROR(INDEX('5층_부하량'!I3:I3000,MATCH(1,("5-DaHall 1-PDU-09"='5층_부하량'!A3:A3000)*(32='5층_부하량'!B3:B3000),0)),0)</f>
        <v>0.0</v>
      </c>
      <c r="O263" s="21"/>
      <c r="P263" s="21"/>
      <c r="Q263" s="21"/>
      <c r="R263" s="69" t="s">
        <v>4590</v>
      </c>
      <c r="S263" s="17" t="s">
        <v>4642</v>
      </c>
      <c r="T263" s="70"/>
    </row>
    <row r="264" spans="1:20" x14ac:dyDescent="0.15">
      <c r="A264" s="321"/>
      <c r="B264" s="17" t="s">
        <v>4590</v>
      </c>
      <c r="C264" s="17" t="s">
        <v>4642</v>
      </c>
      <c r="D264" s="21"/>
      <c r="E264" s="2672" t="n">
        <f>IFERROR(INDEX('5층_부하량'!J3:J3000,MATCH(1,("5-DaHall 1-PDU-09"='5층_부하량'!A3:A3000)*(33='5층_부하량'!B3:B3000),0)),0)</f>
        <v>0.0</v>
      </c>
      <c r="F264" s="21"/>
      <c r="G264" s="21"/>
      <c r="H264" s="17" t="s">
        <v>5811</v>
      </c>
      <c r="I264" s="549" t="s">
        <v>4697</v>
      </c>
      <c r="J264" s="112"/>
      <c r="K264" s="81"/>
      <c r="L264" s="568" t="s">
        <v>4698</v>
      </c>
      <c r="M264" s="17" t="s">
        <v>5811</v>
      </c>
      <c r="N264" s="21"/>
      <c r="O264" s="2672" t="n">
        <f>IFERROR(INDEX('5층_부하량'!J3:J3000,MATCH(1,("5-DaHall 1-PDU-09"='5층_부하량'!A3:A3000)*(34='5층_부하량'!B3:B3000),0)),0)</f>
        <v>0.0</v>
      </c>
      <c r="P264" s="21"/>
      <c r="Q264" s="21"/>
      <c r="R264" s="69" t="s">
        <v>4590</v>
      </c>
      <c r="S264" s="17" t="s">
        <v>4642</v>
      </c>
      <c r="T264" s="70"/>
    </row>
    <row r="265" spans="1:20" x14ac:dyDescent="0.15">
      <c r="A265" s="321"/>
      <c r="B265" s="17" t="s">
        <v>4590</v>
      </c>
      <c r="C265" s="17" t="s">
        <v>4642</v>
      </c>
      <c r="D265" s="21"/>
      <c r="E265" s="21"/>
      <c r="F265" s="2672" t="n">
        <f>IFERROR(INDEX('5층_부하량'!K3:K3000,MATCH(1,("5-DaHall 1-PDU-09"='5층_부하량'!A3:A3000)*(35='5층_부하량'!B3:B3000),0)),0)</f>
        <v>0.0</v>
      </c>
      <c r="G265" s="21"/>
      <c r="H265" s="17" t="s">
        <v>5811</v>
      </c>
      <c r="I265" s="549" t="s">
        <v>4701</v>
      </c>
      <c r="J265" s="112"/>
      <c r="K265" s="81"/>
      <c r="L265" s="568" t="s">
        <v>4703</v>
      </c>
      <c r="M265" s="17" t="s">
        <v>5811</v>
      </c>
      <c r="N265" s="21"/>
      <c r="O265" s="21"/>
      <c r="P265" s="2672" t="n">
        <f>IFERROR(INDEX('5층_부하량'!K3:K3000,MATCH(1,("5-DaHall 1-PDU-09"='5층_부하량'!A3:A3000)*(36='5층_부하량'!B3:B3000),0)),0)</f>
        <v>0.0</v>
      </c>
      <c r="Q265" s="21"/>
      <c r="R265" s="69" t="s">
        <v>4590</v>
      </c>
      <c r="S265" s="17" t="s">
        <v>4642</v>
      </c>
      <c r="T265" s="70"/>
    </row>
    <row r="266" spans="1:20" ht="14.25" thickBot="1" x14ac:dyDescent="0.2">
      <c r="A266" s="119"/>
      <c r="B266" s="29" t="s">
        <v>4590</v>
      </c>
      <c r="C266" s="29" t="s">
        <v>4642</v>
      </c>
      <c r="D266" s="2674" t="n">
        <f>IFERROR(INDEX('5층_부하량'!I3:I3000,MATCH(1,("5-DaHall 1-PDU-09"='5층_부하량'!A3:A3000)*(37='5층_부하량'!B3:B3000),0)),0)</f>
        <v>0.0</v>
      </c>
      <c r="E266" s="30"/>
      <c r="F266" s="30"/>
      <c r="G266" s="30"/>
      <c r="H266" s="29" t="s">
        <v>5811</v>
      </c>
      <c r="I266" s="556" t="s">
        <v>4927</v>
      </c>
      <c r="J266" s="120"/>
      <c r="K266" s="121"/>
      <c r="L266" s="573" t="s">
        <v>4928</v>
      </c>
      <c r="M266" s="29" t="s">
        <v>5811</v>
      </c>
      <c r="N266" s="2674" t="n">
        <f>IFERROR(INDEX('5층_부하량'!I3:I3000,MATCH(1,("5-DaHall 1-PDU-09"='5층_부하량'!A3:A3000)*(38='5층_부하량'!B3:B3000),0)),0)</f>
        <v>0.0</v>
      </c>
      <c r="O266" s="30"/>
      <c r="P266" s="30"/>
      <c r="Q266" s="30"/>
      <c r="R266" s="110" t="s">
        <v>4590</v>
      </c>
      <c r="S266" s="29" t="s">
        <v>4642</v>
      </c>
      <c r="T266" s="111"/>
    </row>
    <row r="267" spans="1:20" ht="15" thickTop="1" thickBot="1" x14ac:dyDescent="0.2">
      <c r="M267" s="80" t="s">
        <v>5645</v>
      </c>
      <c r="N267" s="33" t="n">
        <f>SUM(D248:D266,N248:N266)</f>
        <v>0.0</v>
      </c>
      <c r="O267" s="33" t="n">
        <f>SUM(E248:E266,O248:O266)</f>
        <v>0.0</v>
      </c>
      <c r="P267" s="33" t="n">
        <f>SUM(F248:F266,P248:P266)</f>
        <v>0.0</v>
      </c>
    </row>
    <row r="268" spans="1:20" ht="20.25" thickTop="1" thickBot="1" x14ac:dyDescent="0.2">
      <c r="A268" s="2" t="s">
        <v>6953</v>
      </c>
      <c r="C268" s="3660" t="s">
        <v>5839</v>
      </c>
      <c r="D268" s="3660"/>
      <c r="E268" s="3660"/>
      <c r="F268" s="3660"/>
      <c r="G268" s="53"/>
      <c r="H268" s="124"/>
      <c r="I268" s="124"/>
      <c r="J268" s="3661" t="s">
        <v>5063</v>
      </c>
      <c r="K268" s="3667"/>
      <c r="L268" s="124"/>
      <c r="M268" s="124"/>
      <c r="N268" s="53"/>
      <c r="O268" s="53"/>
      <c r="P268" s="53"/>
      <c r="Q268" s="53"/>
      <c r="R268" s="53"/>
      <c r="S268" s="53"/>
    </row>
    <row r="269" spans="1:20" ht="15" customHeight="1" thickTop="1" thickBot="1" x14ac:dyDescent="0.2">
      <c r="A269" s="3"/>
      <c r="D269" s="54"/>
      <c r="E269" s="54"/>
      <c r="F269" s="54"/>
      <c r="G269" s="54"/>
      <c r="H269" s="4"/>
      <c r="I269" s="4"/>
      <c r="K269" s="56"/>
      <c r="L269" s="565"/>
      <c r="M269" s="1371" t="s">
        <v>4562</v>
      </c>
      <c r="N269" s="1368">
        <v>6.5</v>
      </c>
      <c r="O269" s="1369">
        <v>1.4</v>
      </c>
      <c r="P269" s="1370">
        <v>1.4</v>
      </c>
      <c r="Q269" s="508" t="s">
        <v>4563</v>
      </c>
      <c r="R269" s="133"/>
      <c r="S269" s="128"/>
      <c r="T269" s="528"/>
    </row>
    <row r="270" spans="1:20" ht="15" thickTop="1" thickBot="1" x14ac:dyDescent="0.2">
      <c r="A270" s="5" t="s">
        <v>4564</v>
      </c>
      <c r="B270" s="6" t="s">
        <v>4565</v>
      </c>
      <c r="C270" s="7" t="s">
        <v>4566</v>
      </c>
      <c r="D270" s="6" t="s">
        <v>4567</v>
      </c>
      <c r="E270" s="6" t="s">
        <v>4568</v>
      </c>
      <c r="F270" s="6" t="s">
        <v>4569</v>
      </c>
      <c r="G270" s="6" t="s">
        <v>4570</v>
      </c>
      <c r="H270" s="8" t="s">
        <v>4571</v>
      </c>
      <c r="I270" s="547"/>
      <c r="J270" s="58" t="s">
        <v>4572</v>
      </c>
      <c r="K270" s="59" t="s">
        <v>4572</v>
      </c>
      <c r="L270" s="566"/>
      <c r="M270" s="8" t="s">
        <v>4571</v>
      </c>
      <c r="N270" s="6" t="s">
        <v>4567</v>
      </c>
      <c r="O270" s="6" t="s">
        <v>4568</v>
      </c>
      <c r="P270" s="6" t="s">
        <v>4569</v>
      </c>
      <c r="Q270" s="6" t="s">
        <v>4570</v>
      </c>
      <c r="R270" s="6" t="s">
        <v>4565</v>
      </c>
      <c r="S270" s="7" t="s">
        <v>4566</v>
      </c>
      <c r="T270" s="60" t="s">
        <v>4564</v>
      </c>
    </row>
    <row r="271" spans="1:20" ht="24.75" thickTop="1" x14ac:dyDescent="0.15">
      <c r="A271" s="10"/>
      <c r="B271" s="11" t="s">
        <v>565</v>
      </c>
      <c r="C271" s="17" t="s">
        <v>4642</v>
      </c>
      <c r="D271" s="2669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5786</v>
      </c>
      <c r="I271" s="552" t="s">
        <v>4633</v>
      </c>
      <c r="J271" s="1026" t="s">
        <v>5832</v>
      </c>
      <c r="K271" s="1022" t="s">
        <v>5840</v>
      </c>
      <c r="L271" s="1210" t="s">
        <v>4578</v>
      </c>
      <c r="M271" s="11" t="s">
        <v>5786</v>
      </c>
      <c r="N271" s="2669" cm="1" t="n">
        <f t="array" ref="N271">INDEX('5층_부하량'!I3:I3000,MATCH(1,("5-DaHall 1-PDU-08"='5층_부하량'!A3:A3000)*(2='5층_부하량'!B3:B3000),0))</f>
        <v>1.244752671364336</v>
      </c>
      <c r="O271" s="15"/>
      <c r="P271" s="15"/>
      <c r="Q271" s="15"/>
      <c r="R271" s="63" t="s">
        <v>4631</v>
      </c>
      <c r="S271" s="97" t="s">
        <v>4575</v>
      </c>
      <c r="T271" s="1063" t="s">
        <v>5841</v>
      </c>
    </row>
    <row r="272" spans="1:20" ht="16.5" x14ac:dyDescent="0.15">
      <c r="A272" s="16" t="s">
        <v>5842</v>
      </c>
      <c r="B272" s="17" t="s">
        <v>4631</v>
      </c>
      <c r="C272" s="18" t="s">
        <v>4575</v>
      </c>
      <c r="D272" s="19"/>
      <c r="E272" s="2670" cm="1" t="n">
        <f t="array" ref="E272">INDEX('5층_부하량'!J3:J3000,MATCH(1,("5-DaHall 1-PDU-08"='5층_부하량'!A3:A3000)*(3='5층_부하량'!B3:B3000),0))</f>
        <v>1.3680977581037836</v>
      </c>
      <c r="F272" s="19"/>
      <c r="G272" s="19"/>
      <c r="H272" s="17" t="s">
        <v>5790</v>
      </c>
      <c r="I272" s="1207" t="s">
        <v>4638</v>
      </c>
      <c r="J272" s="1027" t="s">
        <v>2824</v>
      </c>
      <c r="K272" s="1024" t="s">
        <v>5832</v>
      </c>
      <c r="L272" s="1207" t="s">
        <v>4583</v>
      </c>
      <c r="M272" s="17" t="s">
        <v>5786</v>
      </c>
      <c r="N272" s="19"/>
      <c r="O272" s="2670" cm="1" t="n">
        <f t="array" ref="O272">INDEX('5층_부하량'!J3:J3000,MATCH(1,("5-DaHall 1-PDU-08"='5층_부하량'!A3:A3000)*(4='5층_부하량'!B3:B3000),0))</f>
        <v>5.208812838553057</v>
      </c>
      <c r="P272" s="19"/>
      <c r="Q272" s="19"/>
      <c r="R272" s="67" t="s">
        <v>4631</v>
      </c>
      <c r="S272" s="18" t="s">
        <v>4575</v>
      </c>
      <c r="T272" s="68" t="s">
        <v>5843</v>
      </c>
    </row>
    <row r="273" spans="1:20" ht="36" x14ac:dyDescent="0.15">
      <c r="A273" s="107" t="s">
        <v>5844</v>
      </c>
      <c r="B273" s="17" t="s">
        <v>4631</v>
      </c>
      <c r="C273" s="18" t="s">
        <v>4575</v>
      </c>
      <c r="D273" s="21"/>
      <c r="E273" s="21"/>
      <c r="F273" s="2672" cm="1">
        <f t="array" ref="F273">INDEX('5층_부하량'!K3:K3000,MATCH(1,("5-DaHall 1-PDU-08"='5층_부하량'!A3:A3000)*(5='5층_부하량'!B3:B3000),0))</f>
        <v>0</v>
      </c>
      <c r="G273" s="21"/>
      <c r="H273" s="17" t="s">
        <v>5786</v>
      </c>
      <c r="I273" s="1207" t="s">
        <v>4641</v>
      </c>
      <c r="J273" s="1027" t="s">
        <v>2824</v>
      </c>
      <c r="K273" s="1025" t="s">
        <v>5845</v>
      </c>
      <c r="L273" s="1207" t="s">
        <v>4588</v>
      </c>
      <c r="M273" s="17" t="s">
        <v>5786</v>
      </c>
      <c r="N273" s="21"/>
      <c r="O273" s="21"/>
      <c r="P273" s="2672" cm="1" t="n">
        <f t="array" ref="P273">INDEX('5층_부하량'!K3:K3000,MATCH(1,("5-DaHall 1-PDU-08"='5층_부하량'!A3:A3000)*(6='5층_부하량'!B3:B3000),0))</f>
        <v>1.3279569611502828</v>
      </c>
      <c r="Q273" s="21"/>
      <c r="R273" s="69" t="s">
        <v>4631</v>
      </c>
      <c r="S273" s="18" t="s">
        <v>4575</v>
      </c>
      <c r="T273" s="70" t="s">
        <v>5846</v>
      </c>
    </row>
    <row r="274" spans="1:20" ht="16.5" x14ac:dyDescent="0.15">
      <c r="A274" s="661" t="s">
        <v>5847</v>
      </c>
      <c r="B274" s="17" t="s">
        <v>4631</v>
      </c>
      <c r="C274" s="18" t="s">
        <v>4575</v>
      </c>
      <c r="D274" s="2672" cm="1" t="n">
        <f t="array" ref="D274">INDEX('5층_부하량'!I3:I3000,MATCH(1,("5-DaHall 1-PDU-08"='5층_부하량'!A3:A3000)*(7='5층_부하량'!B3:B3000),0))</f>
        <v>5.271414523763476</v>
      </c>
      <c r="E274" s="21"/>
      <c r="F274" s="21"/>
      <c r="G274" s="21"/>
      <c r="H274" s="17" t="s">
        <v>5795</v>
      </c>
      <c r="I274" s="1207" t="s">
        <v>4645</v>
      </c>
      <c r="J274" s="1027" t="s">
        <v>2824</v>
      </c>
      <c r="K274" s="1028"/>
      <c r="L274" s="568" t="s">
        <v>4593</v>
      </c>
      <c r="M274" s="17" t="s">
        <v>5795</v>
      </c>
      <c r="N274" s="2672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9" t="s">
        <v>4590</v>
      </c>
      <c r="S274" s="17" t="s">
        <v>4642</v>
      </c>
      <c r="T274" s="68"/>
    </row>
    <row r="275" spans="1:20" x14ac:dyDescent="0.15">
      <c r="A275" s="321"/>
      <c r="B275" s="17" t="s">
        <v>4590</v>
      </c>
      <c r="C275" s="17" t="s">
        <v>4642</v>
      </c>
      <c r="D275" s="21"/>
      <c r="E275" s="2672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5801</v>
      </c>
      <c r="I275" s="549" t="s">
        <v>4648</v>
      </c>
      <c r="J275" s="1029"/>
      <c r="K275" s="1028"/>
      <c r="L275" s="568" t="s">
        <v>4596</v>
      </c>
      <c r="M275" s="17" t="s">
        <v>5801</v>
      </c>
      <c r="N275" s="21"/>
      <c r="O275" s="2672" cm="1">
        <f t="array" ref="O275">INDEX('5층_부하량'!J3:J3000,MATCH(1,("5-DaHall 1-PDU-08"='5층_부하량'!A3:A3000)*(10='5층_부하량'!B3:B3000),0))</f>
        <v>0</v>
      </c>
      <c r="P275" s="21"/>
      <c r="Q275" s="21"/>
      <c r="R275" s="69" t="s">
        <v>4590</v>
      </c>
      <c r="S275" s="17" t="s">
        <v>4642</v>
      </c>
      <c r="T275" s="70"/>
    </row>
    <row r="276" spans="1:20" x14ac:dyDescent="0.15">
      <c r="A276" s="16"/>
      <c r="B276" s="23" t="s">
        <v>4590</v>
      </c>
      <c r="C276" s="17" t="s">
        <v>4642</v>
      </c>
      <c r="D276" s="25"/>
      <c r="E276" s="25"/>
      <c r="F276" s="2673" cm="1">
        <f t="array" ref="F276">INDEX('5층_부하량'!K3:K3000,MATCH(1,("5-DaHall 1-PDU-08"='5층_부하량'!A3:A3000)*(11='5층_부하량'!B3:B3000),0))</f>
        <v>0</v>
      </c>
      <c r="G276" s="25"/>
      <c r="H276" s="23" t="s">
        <v>5801</v>
      </c>
      <c r="I276" s="555" t="s">
        <v>4653</v>
      </c>
      <c r="J276" s="113"/>
      <c r="K276" s="114"/>
      <c r="L276" s="569" t="s">
        <v>4599</v>
      </c>
      <c r="M276" s="23" t="s">
        <v>5801</v>
      </c>
      <c r="N276" s="25"/>
      <c r="O276" s="25"/>
      <c r="P276" s="2673" cm="1">
        <f t="array" ref="P276">INDEX('5층_부하량'!K3:K3000,MATCH(1,("5-DaHall 1-PDU-08"='5층_부하량'!A3:A3000)*(12='5층_부하량'!B3:B3000),0))</f>
        <v>0</v>
      </c>
      <c r="Q276" s="25"/>
      <c r="R276" s="108" t="s">
        <v>4590</v>
      </c>
      <c r="S276" s="23" t="s">
        <v>4642</v>
      </c>
      <c r="T276" s="104"/>
    </row>
    <row r="277" spans="1:20" ht="14.25" thickBot="1" x14ac:dyDescent="0.2">
      <c r="A277" s="87"/>
      <c r="B277" s="88" t="s">
        <v>4590</v>
      </c>
      <c r="C277" s="88" t="s">
        <v>4642</v>
      </c>
      <c r="D277" s="2688" cm="1">
        <f t="array" ref="D277">INDEX('5층_부하량'!I3:I3000,MATCH(1,("5-DaHall 1-PDU-08"='5층_부하량'!A3:A3000)*(13='5층_부하량'!B3:B3000),0))</f>
        <v>0</v>
      </c>
      <c r="E277" s="90"/>
      <c r="F277" s="90"/>
      <c r="G277" s="90"/>
      <c r="H277" s="88" t="s">
        <v>5801</v>
      </c>
      <c r="I277" s="553" t="s">
        <v>4657</v>
      </c>
      <c r="J277" s="115"/>
      <c r="K277" s="116"/>
      <c r="L277" s="570" t="s">
        <v>4601</v>
      </c>
      <c r="M277" s="88" t="s">
        <v>5801</v>
      </c>
      <c r="N277" s="2688" cm="1">
        <f t="array" ref="N277">INDEX('5층_부하량'!I3:I3000,MATCH(1,("5-DaHall 1-PDU-08"='5층_부하량'!A3:A3000)*(14='5층_부하량'!B3:B3000),0))</f>
        <v>0</v>
      </c>
      <c r="O277" s="90"/>
      <c r="P277" s="90"/>
      <c r="Q277" s="90"/>
      <c r="R277" s="93" t="s">
        <v>4590</v>
      </c>
      <c r="S277" s="88" t="s">
        <v>4642</v>
      </c>
      <c r="T277" s="94"/>
    </row>
    <row r="278" spans="1:20" ht="14.25" thickTop="1" x14ac:dyDescent="0.15">
      <c r="A278" s="99"/>
      <c r="B278" s="72" t="s">
        <v>4590</v>
      </c>
      <c r="C278" s="72" t="s">
        <v>4642</v>
      </c>
      <c r="D278" s="74"/>
      <c r="E278" s="2689" cm="1">
        <f t="array" ref="E278">INDEX('5층_부하량'!J3:J3000,MATCH(1,("5-DaHall 1-PDU-08"='5층_부하량'!A3:A3000)*(15='5층_부하량'!B3:B3000),0))</f>
        <v>0</v>
      </c>
      <c r="F278" s="74"/>
      <c r="G278" s="74"/>
      <c r="H278" s="72" t="s">
        <v>5801</v>
      </c>
      <c r="I278" s="550" t="s">
        <v>4661</v>
      </c>
      <c r="J278" s="117"/>
      <c r="K278" s="83"/>
      <c r="L278" s="571" t="s">
        <v>4603</v>
      </c>
      <c r="M278" s="72" t="s">
        <v>5801</v>
      </c>
      <c r="N278" s="74"/>
      <c r="O278" s="2689" cm="1">
        <f t="array" ref="O278">INDEX('5층_부하량'!J3:J3000,MATCH(1,("5-DaHall 1-PDU-08"='5층_부하량'!A3:A3000)*(16='5층_부하량'!B3:B3000),0))</f>
        <v>0</v>
      </c>
      <c r="P278" s="74"/>
      <c r="Q278" s="74"/>
      <c r="R278" s="75" t="s">
        <v>4590</v>
      </c>
      <c r="S278" s="72" t="s">
        <v>4642</v>
      </c>
      <c r="T278" s="68"/>
    </row>
    <row r="279" spans="1:20" x14ac:dyDescent="0.15">
      <c r="A279" s="321"/>
      <c r="B279" s="17" t="s">
        <v>4590</v>
      </c>
      <c r="C279" s="17" t="s">
        <v>4642</v>
      </c>
      <c r="D279" s="21"/>
      <c r="E279" s="21"/>
      <c r="F279" s="2672" cm="1">
        <f t="array" ref="F279">INDEX('5층_부하량'!K3:K3000,MATCH(1,("5-DaHall 1-PDU-08"='5층_부하량'!A3:A3000)*(17='5층_부하량'!B3:B3000),0))</f>
        <v>0</v>
      </c>
      <c r="G279" s="21"/>
      <c r="H279" s="17" t="s">
        <v>5801</v>
      </c>
      <c r="I279" s="549" t="s">
        <v>4665</v>
      </c>
      <c r="J279" s="112"/>
      <c r="K279" s="81"/>
      <c r="L279" s="568" t="s">
        <v>4605</v>
      </c>
      <c r="M279" s="17" t="s">
        <v>5801</v>
      </c>
      <c r="N279" s="21"/>
      <c r="O279" s="21"/>
      <c r="P279" s="2672" cm="1">
        <f t="array" ref="P279">INDEX('5층_부하량'!K3:K3000,MATCH(1,("5-DaHall 1-PDU-08"='5층_부하량'!A3:A3000)*(18='5층_부하량'!B3:B3000),0))</f>
        <v>0</v>
      </c>
      <c r="Q279" s="21"/>
      <c r="R279" s="69" t="s">
        <v>4590</v>
      </c>
      <c r="S279" s="17" t="s">
        <v>4642</v>
      </c>
      <c r="T279" s="70"/>
    </row>
    <row r="280" spans="1:20" x14ac:dyDescent="0.15">
      <c r="A280" s="16"/>
      <c r="B280" s="17" t="s">
        <v>4590</v>
      </c>
      <c r="C280" s="17" t="s">
        <v>4642</v>
      </c>
      <c r="D280" s="2672" cm="1" t="n">
        <f t="array" ref="D280">INDEX('5층_부하량'!I3:I3000,MATCH(1,("5-DaHall 1-PDU-08"='5층_부하량'!A3:A3000)*(19='5층_부하량'!B3:B3000),0))</f>
        <v>1.1225587408051227</v>
      </c>
      <c r="E280" s="21"/>
      <c r="F280" s="21"/>
      <c r="G280" s="21"/>
      <c r="H280" s="17" t="s">
        <v>5811</v>
      </c>
      <c r="I280" s="549" t="s">
        <v>4670</v>
      </c>
      <c r="J280" s="112"/>
      <c r="K280" s="81"/>
      <c r="L280" s="568" t="s">
        <v>4609</v>
      </c>
      <c r="M280" s="17" t="s">
        <v>5811</v>
      </c>
      <c r="N280" s="2672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9" t="s">
        <v>4590</v>
      </c>
      <c r="S280" s="17" t="s">
        <v>4642</v>
      </c>
      <c r="T280" s="70"/>
    </row>
    <row r="281" spans="1:20" x14ac:dyDescent="0.15">
      <c r="A281" s="321"/>
      <c r="B281" s="17" t="s">
        <v>4590</v>
      </c>
      <c r="C281" s="17" t="s">
        <v>4642</v>
      </c>
      <c r="D281" s="21"/>
      <c r="E281" s="2672" cm="1" t="n">
        <f t="array" ref="E281">INDEX('5층_부하량'!J3:J3000,MATCH(1,("5-DaHall 1-PDU-08"='5층_부하량'!A3:A3000)*(21='5층_부하량'!B3:B3000),0))</f>
        <v>1.309800936796749</v>
      </c>
      <c r="F281" s="21"/>
      <c r="G281" s="21"/>
      <c r="H281" s="17" t="s">
        <v>5811</v>
      </c>
      <c r="I281" s="549" t="s">
        <v>4674</v>
      </c>
      <c r="J281" s="112"/>
      <c r="K281" s="81"/>
      <c r="L281" s="568" t="s">
        <v>4613</v>
      </c>
      <c r="M281" s="17" t="s">
        <v>5811</v>
      </c>
      <c r="N281" s="21"/>
      <c r="O281" s="2672" cm="1">
        <f t="array" ref="O281">INDEX('5층_부하량'!J3:J3000,MATCH(1,("5-DaHall 1-PDU-08"='5층_부하량'!A3:A3000)*(22='5층_부하량'!B3:B3000),0))</f>
        <v>0</v>
      </c>
      <c r="P281" s="21"/>
      <c r="Q281" s="21"/>
      <c r="R281" s="69" t="s">
        <v>4590</v>
      </c>
      <c r="S281" s="17" t="s">
        <v>4642</v>
      </c>
      <c r="T281" s="82"/>
    </row>
    <row r="282" spans="1:20" x14ac:dyDescent="0.15">
      <c r="A282" s="321"/>
      <c r="B282" s="17" t="s">
        <v>4590</v>
      </c>
      <c r="C282" s="17" t="s">
        <v>4642</v>
      </c>
      <c r="D282" s="21"/>
      <c r="E282" s="21"/>
      <c r="F282" s="2672" cm="1">
        <f t="array" ref="F282">INDEX('5층_부하량'!K3:K3000,MATCH(1,("5-DaHall 1-PDU-08"='5층_부하량'!A3:A3000)*(23='5층_부하량'!B3:B3000),0))</f>
        <v>0</v>
      </c>
      <c r="G282" s="21"/>
      <c r="H282" s="17" t="s">
        <v>5811</v>
      </c>
      <c r="I282" s="549" t="s">
        <v>4678</v>
      </c>
      <c r="J282" s="112"/>
      <c r="K282" s="81"/>
      <c r="L282" s="568" t="s">
        <v>4680</v>
      </c>
      <c r="M282" s="17" t="s">
        <v>5811</v>
      </c>
      <c r="N282" s="21"/>
      <c r="O282" s="21"/>
      <c r="P282" s="2672" cm="1">
        <f t="array" ref="P282">INDEX('5층_부하량'!K3:K3000,MATCH(1,("5-DaHall 1-PDU-08"='5층_부하량'!A3:A3000)*(24='5층_부하량'!B3:B3000),0))</f>
        <v>0</v>
      </c>
      <c r="Q282" s="21"/>
      <c r="R282" s="69" t="s">
        <v>4590</v>
      </c>
      <c r="S282" s="17" t="s">
        <v>4642</v>
      </c>
      <c r="T282" s="70"/>
    </row>
    <row r="283" spans="1:20" x14ac:dyDescent="0.15">
      <c r="A283" s="321"/>
      <c r="B283" s="17" t="s">
        <v>4590</v>
      </c>
      <c r="C283" s="17" t="s">
        <v>4642</v>
      </c>
      <c r="D283" s="2672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5811</v>
      </c>
      <c r="I283" s="549" t="s">
        <v>4683</v>
      </c>
      <c r="J283" s="112"/>
      <c r="K283" s="81"/>
      <c r="L283" s="568" t="s">
        <v>4685</v>
      </c>
      <c r="M283" s="17" t="s">
        <v>5811</v>
      </c>
      <c r="N283" s="2672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9" t="s">
        <v>4590</v>
      </c>
      <c r="S283" s="17" t="s">
        <v>4642</v>
      </c>
      <c r="T283" s="70"/>
    </row>
    <row r="284" spans="1:20" x14ac:dyDescent="0.15">
      <c r="A284" s="321"/>
      <c r="B284" s="17" t="s">
        <v>4590</v>
      </c>
      <c r="C284" s="17" t="s">
        <v>4642</v>
      </c>
      <c r="D284" s="21"/>
      <c r="E284" s="2672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5811</v>
      </c>
      <c r="I284" s="549" t="s">
        <v>4688</v>
      </c>
      <c r="J284" s="112"/>
      <c r="K284" s="81"/>
      <c r="L284" s="568" t="s">
        <v>4689</v>
      </c>
      <c r="M284" s="17" t="s">
        <v>5811</v>
      </c>
      <c r="N284" s="21"/>
      <c r="O284" s="2672" cm="1">
        <f t="array" ref="O284">INDEX('5층_부하량'!J3:J3000,MATCH(1,("5-DaHall 1-PDU-08"='5층_부하량'!A3:A3000)*(28='5층_부하량'!B3:B3000),0))</f>
        <v>0</v>
      </c>
      <c r="P284" s="21"/>
      <c r="Q284" s="21"/>
      <c r="R284" s="69" t="s">
        <v>4590</v>
      </c>
      <c r="S284" s="17" t="s">
        <v>4642</v>
      </c>
      <c r="T284" s="70"/>
    </row>
    <row r="285" spans="1:20" x14ac:dyDescent="0.15">
      <c r="A285" s="321"/>
      <c r="B285" s="17" t="s">
        <v>4590</v>
      </c>
      <c r="C285" s="17" t="s">
        <v>4642</v>
      </c>
      <c r="D285" s="21"/>
      <c r="E285" s="21"/>
      <c r="F285" s="2672" cm="1">
        <f t="array" ref="F285">INDEX('5층_부하량'!K3:K3000,MATCH(1,("5-DaHall 1-PDU-08"='5층_부하량'!A3:A3000)*(29='5층_부하량'!B3:B3000),0))</f>
        <v>0</v>
      </c>
      <c r="G285" s="21"/>
      <c r="H285" s="17" t="s">
        <v>5811</v>
      </c>
      <c r="I285" s="549" t="s">
        <v>4691</v>
      </c>
      <c r="J285" s="112"/>
      <c r="K285" s="81"/>
      <c r="L285" s="568" t="s">
        <v>4692</v>
      </c>
      <c r="M285" s="17" t="s">
        <v>5811</v>
      </c>
      <c r="N285" s="21"/>
      <c r="O285" s="21"/>
      <c r="P285" s="2672" cm="1">
        <f t="array" ref="P285">INDEX('5층_부하량'!K3:K3000,MATCH(1,("5-DaHall 1-PDU-08"='5층_부하량'!A3:A3000)*(30='5층_부하량'!B3:B3000),0))</f>
        <v>0</v>
      </c>
      <c r="Q285" s="21"/>
      <c r="R285" s="69" t="s">
        <v>4590</v>
      </c>
      <c r="S285" s="17" t="s">
        <v>4642</v>
      </c>
      <c r="T285" s="70"/>
    </row>
    <row r="286" spans="1:20" x14ac:dyDescent="0.15">
      <c r="A286" s="321"/>
      <c r="B286" s="17" t="s">
        <v>4590</v>
      </c>
      <c r="C286" s="17" t="s">
        <v>4642</v>
      </c>
      <c r="D286" s="2672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5811</v>
      </c>
      <c r="I286" s="549" t="s">
        <v>4693</v>
      </c>
      <c r="J286" s="112"/>
      <c r="K286" s="81"/>
      <c r="L286" s="568" t="s">
        <v>4694</v>
      </c>
      <c r="M286" s="17" t="s">
        <v>5811</v>
      </c>
      <c r="N286" s="2672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9" t="s">
        <v>4590</v>
      </c>
      <c r="S286" s="17" t="s">
        <v>4642</v>
      </c>
      <c r="T286" s="70"/>
    </row>
    <row r="287" spans="1:20" x14ac:dyDescent="0.15">
      <c r="A287" s="321"/>
      <c r="B287" s="17" t="s">
        <v>4590</v>
      </c>
      <c r="C287" s="17" t="s">
        <v>4642</v>
      </c>
      <c r="D287" s="21"/>
      <c r="E287" s="2672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5811</v>
      </c>
      <c r="I287" s="549" t="s">
        <v>4697</v>
      </c>
      <c r="J287" s="112"/>
      <c r="K287" s="81"/>
      <c r="L287" s="568" t="s">
        <v>4698</v>
      </c>
      <c r="M287" s="17" t="s">
        <v>5811</v>
      </c>
      <c r="N287" s="21"/>
      <c r="O287" s="2672" cm="1">
        <f t="array" ref="O287">INDEX('5층_부하량'!J3:J3000,MATCH(1,("5-DaHall 1-PDU-08"='5층_부하량'!A3:A3000)*(34='5층_부하량'!B3:B3000),0))</f>
        <v>0</v>
      </c>
      <c r="P287" s="21"/>
      <c r="Q287" s="21"/>
      <c r="R287" s="69" t="s">
        <v>4590</v>
      </c>
      <c r="S287" s="17" t="s">
        <v>4642</v>
      </c>
      <c r="T287" s="70"/>
    </row>
    <row r="288" spans="1:20" ht="17.25" thickBot="1" x14ac:dyDescent="0.2">
      <c r="A288" s="38"/>
      <c r="B288" s="35" t="s">
        <v>4631</v>
      </c>
      <c r="C288" s="39" t="s">
        <v>4575</v>
      </c>
      <c r="D288" s="36"/>
      <c r="E288" s="36"/>
      <c r="F288" s="2671" cm="1">
        <f t="array" ref="F288">INDEX('5층_부하량'!K3:K3000,MATCH(1,("5-DaHall 1-PDU-08"='5층_부하량'!A3:A3000)*(35='5층_부하량'!B3:B3000),0))</f>
        <v>0</v>
      </c>
      <c r="G288" s="36"/>
      <c r="H288" s="35" t="s">
        <v>5811</v>
      </c>
      <c r="I288" s="551" t="s">
        <v>4701</v>
      </c>
      <c r="J288" s="85"/>
      <c r="K288" s="84"/>
      <c r="L288" s="572" t="s">
        <v>4703</v>
      </c>
      <c r="M288" s="35" t="s">
        <v>5811</v>
      </c>
      <c r="N288" s="36"/>
      <c r="O288" s="36"/>
      <c r="P288" s="2671" cm="1">
        <f t="array" ref="P288">INDEX('5층_부하량'!K3:K3000,MATCH(1,("5-DaHall 1-PDU-08"='5층_부하량'!A3:A3000)*(36='5층_부하량'!B3:B3000),0))</f>
        <v>0</v>
      </c>
      <c r="Q288" s="36"/>
      <c r="R288" s="78" t="s">
        <v>4590</v>
      </c>
      <c r="S288" s="35" t="s">
        <v>4642</v>
      </c>
      <c r="T288" s="79"/>
    </row>
    <row r="289" spans="1:20" ht="15" thickTop="1" thickBot="1" x14ac:dyDescent="0.2">
      <c r="M289" s="80" t="s">
        <v>5645</v>
      </c>
      <c r="N289" s="33" t="n">
        <f>SUM(D271:D288,N271:N288)</f>
        <v>7.638725935932935</v>
      </c>
      <c r="O289" s="33" t="n">
        <f>SUM(E271:E288,O271:O288)</f>
        <v>7.88671153345359</v>
      </c>
      <c r="P289" s="33" t="n">
        <f>SUM(F271:F288,P271:P288)</f>
        <v>1.3279569611502828</v>
      </c>
    </row>
    <row r="290" spans="1:20" ht="20.25" thickTop="1" thickBot="1" x14ac:dyDescent="0.2">
      <c r="A290" s="2" t="s">
        <v>6954</v>
      </c>
      <c r="C290" s="3660" t="s">
        <v>5848</v>
      </c>
      <c r="D290" s="3660"/>
      <c r="E290" s="3660"/>
      <c r="F290" s="3660"/>
      <c r="G290" s="53"/>
      <c r="H290" s="124"/>
      <c r="I290" s="124"/>
      <c r="J290" s="3661" t="s">
        <v>5063</v>
      </c>
      <c r="K290" s="3667"/>
      <c r="L290" s="124"/>
      <c r="M290" s="118" t="s">
        <v>5838</v>
      </c>
      <c r="N290" s="53"/>
      <c r="O290" s="53"/>
      <c r="P290" s="53"/>
      <c r="Q290" s="53"/>
      <c r="R290" s="53"/>
      <c r="S290" s="53"/>
    </row>
    <row r="291" spans="1:20" ht="15" thickTop="1" thickBot="1" x14ac:dyDescent="0.2">
      <c r="A291" s="3"/>
      <c r="D291" s="54"/>
      <c r="E291" s="54"/>
      <c r="F291" s="54"/>
      <c r="G291" s="54"/>
      <c r="H291" s="4"/>
      <c r="I291" s="4"/>
      <c r="K291" s="56"/>
      <c r="L291" s="565"/>
      <c r="M291" s="1371" t="s">
        <v>4562</v>
      </c>
      <c r="N291" s="1368"/>
      <c r="O291" s="1369"/>
      <c r="P291" s="1370"/>
      <c r="Q291" s="508" t="s">
        <v>4563</v>
      </c>
      <c r="R291" s="133"/>
      <c r="S291" s="128"/>
      <c r="T291" s="528"/>
    </row>
    <row r="292" spans="1:20" ht="15" thickTop="1" thickBot="1" x14ac:dyDescent="0.2">
      <c r="A292" s="5" t="s">
        <v>4564</v>
      </c>
      <c r="B292" s="6" t="s">
        <v>4565</v>
      </c>
      <c r="C292" s="7" t="s">
        <v>4566</v>
      </c>
      <c r="D292" s="6" t="s">
        <v>4567</v>
      </c>
      <c r="E292" s="6" t="s">
        <v>4568</v>
      </c>
      <c r="F292" s="6" t="s">
        <v>4569</v>
      </c>
      <c r="G292" s="6" t="s">
        <v>4570</v>
      </c>
      <c r="H292" s="8" t="s">
        <v>4571</v>
      </c>
      <c r="I292" s="547"/>
      <c r="J292" s="58" t="s">
        <v>4572</v>
      </c>
      <c r="K292" s="59" t="s">
        <v>4572</v>
      </c>
      <c r="L292" s="566"/>
      <c r="M292" s="8" t="s">
        <v>4571</v>
      </c>
      <c r="N292" s="6" t="s">
        <v>4567</v>
      </c>
      <c r="O292" s="6" t="s">
        <v>4568</v>
      </c>
      <c r="P292" s="6" t="s">
        <v>4569</v>
      </c>
      <c r="Q292" s="6" t="s">
        <v>4570</v>
      </c>
      <c r="R292" s="6" t="s">
        <v>4565</v>
      </c>
      <c r="S292" s="7" t="s">
        <v>4566</v>
      </c>
      <c r="T292" s="60" t="s">
        <v>4564</v>
      </c>
    </row>
    <row r="293" spans="1:20" ht="14.25" thickTop="1" x14ac:dyDescent="0.15">
      <c r="A293" s="10"/>
      <c r="B293" s="11" t="s">
        <v>4590</v>
      </c>
      <c r="C293" s="13" t="s">
        <v>4642</v>
      </c>
      <c r="D293" s="2669" t="n">
        <f>IFERROR(INDEX('5층_부하량'!I3:I3000,MATCH(1,("5-DaHall 1-PDU-10"='5층_부하량'!A3:A3000)*(1='5층_부하량'!B3:B3000),0)),0)</f>
        <v>0.0</v>
      </c>
      <c r="E293" s="15"/>
      <c r="F293" s="15"/>
      <c r="G293" s="15"/>
      <c r="H293" s="13" t="s">
        <v>5786</v>
      </c>
      <c r="I293" s="1177" t="s">
        <v>5787</v>
      </c>
      <c r="J293" s="61"/>
      <c r="K293" s="62"/>
      <c r="L293" s="567" t="s">
        <v>5788</v>
      </c>
      <c r="M293" s="11" t="s">
        <v>5786</v>
      </c>
      <c r="N293" s="2669" t="n">
        <f>IFERROR(INDEX('5층_부하량'!I3:I3000,MATCH(1,("5-DaHall 1-PDU-10"='5층_부하량'!A3:A3000)*(2='5층_부하량'!B3:B3000),0)),0)</f>
        <v>0.0</v>
      </c>
      <c r="O293" s="15"/>
      <c r="P293" s="15"/>
      <c r="Q293" s="15"/>
      <c r="R293" s="63" t="s">
        <v>4590</v>
      </c>
      <c r="S293" s="11" t="s">
        <v>4642</v>
      </c>
      <c r="T293" s="98"/>
    </row>
    <row r="294" spans="1:20" x14ac:dyDescent="0.15">
      <c r="A294" s="16"/>
      <c r="B294" s="17" t="s">
        <v>4590</v>
      </c>
      <c r="C294" s="17" t="s">
        <v>4642</v>
      </c>
      <c r="D294" s="19"/>
      <c r="E294" s="2670" t="n">
        <f>IFERROR(INDEX('5층_부하량'!J3:J3000,MATCH(1,("5-DaHall 1-PDU-10"='5층_부하량'!A3:A3000)*(3='5층_부하량'!B3:B3000),0)),0)</f>
        <v>0.0</v>
      </c>
      <c r="F294" s="19"/>
      <c r="G294" s="19"/>
      <c r="H294" s="17" t="s">
        <v>5790</v>
      </c>
      <c r="I294" s="549" t="s">
        <v>4638</v>
      </c>
      <c r="J294" s="65"/>
      <c r="K294" s="66"/>
      <c r="L294" s="549" t="s">
        <v>4583</v>
      </c>
      <c r="M294" s="17" t="s">
        <v>5786</v>
      </c>
      <c r="N294" s="19"/>
      <c r="O294" s="2670" t="n">
        <f>IFERROR(INDEX('5층_부하량'!J3:J3000,MATCH(1,("5-DaHall 1-PDU-10"='5층_부하량'!A3:A3000)*(4='5층_부하량'!B3:B3000),0)),0)</f>
        <v>0.0</v>
      </c>
      <c r="P294" s="19"/>
      <c r="Q294" s="19"/>
      <c r="R294" s="67" t="s">
        <v>4590</v>
      </c>
      <c r="S294" s="17" t="s">
        <v>4642</v>
      </c>
      <c r="T294" s="68"/>
    </row>
    <row r="295" spans="1:20" x14ac:dyDescent="0.15">
      <c r="A295" s="321"/>
      <c r="B295" s="17" t="s">
        <v>4590</v>
      </c>
      <c r="C295" s="17" t="s">
        <v>4642</v>
      </c>
      <c r="D295" s="21"/>
      <c r="E295" s="21"/>
      <c r="F295" s="2672" t="n">
        <f>IFERROR(INDEX('5층_부하량'!K3:K3000,MATCH(1,("5-DaHall 1-PDU-10"='5층_부하량'!A3:A3000)*(5='5층_부하량'!B3:B3000),0)),0)</f>
        <v>0.0</v>
      </c>
      <c r="G295" s="21"/>
      <c r="H295" s="17" t="s">
        <v>5786</v>
      </c>
      <c r="I295" s="549" t="s">
        <v>4641</v>
      </c>
      <c r="J295" s="112"/>
      <c r="K295" s="81"/>
      <c r="L295" s="568" t="s">
        <v>4588</v>
      </c>
      <c r="M295" s="17" t="s">
        <v>5786</v>
      </c>
      <c r="N295" s="21"/>
      <c r="O295" s="21"/>
      <c r="P295" s="2672" t="n">
        <f>IFERROR(INDEX('5층_부하량'!K3:K3000,MATCH(1,("5-DaHall 1-PDU-10"='5층_부하량'!A3:A3000)*(6='5층_부하량'!B3:B3000),0)),0)</f>
        <v>0.0</v>
      </c>
      <c r="Q295" s="21"/>
      <c r="R295" s="69" t="s">
        <v>4590</v>
      </c>
      <c r="S295" s="17" t="s">
        <v>4642</v>
      </c>
      <c r="T295" s="70"/>
    </row>
    <row r="296" spans="1:20" x14ac:dyDescent="0.15">
      <c r="A296" s="16"/>
      <c r="B296" s="17" t="s">
        <v>4590</v>
      </c>
      <c r="C296" s="17" t="s">
        <v>4642</v>
      </c>
      <c r="D296" s="2672" t="n">
        <f>IFERROR(INDEX('5층_부하량'!I3:I3000,MATCH(1,("5-DaHall 1-PDU-10"='5층_부하량'!A3:A3000)*(7='5층_부하량'!B3:B3000),0)),0)</f>
        <v>0.0</v>
      </c>
      <c r="E296" s="21"/>
      <c r="F296" s="21"/>
      <c r="G296" s="21"/>
      <c r="H296" s="17" t="s">
        <v>5795</v>
      </c>
      <c r="I296" s="549" t="s">
        <v>4645</v>
      </c>
      <c r="J296" s="112"/>
      <c r="K296" s="81"/>
      <c r="L296" s="568" t="s">
        <v>4593</v>
      </c>
      <c r="M296" s="17" t="s">
        <v>5795</v>
      </c>
      <c r="N296" s="2672" t="n">
        <f>IFERROR(INDEX('5층_부하량'!I3:I3000,MATCH(1,("5-DaHall 1-PDU-10"='5층_부하량'!A3:A3000)*(8='5층_부하량'!B3:B3000),0)),0)</f>
        <v>0.0</v>
      </c>
      <c r="O296" s="21"/>
      <c r="P296" s="21"/>
      <c r="Q296" s="21"/>
      <c r="R296" s="69" t="s">
        <v>4590</v>
      </c>
      <c r="S296" s="17" t="s">
        <v>4642</v>
      </c>
      <c r="T296" s="68"/>
    </row>
    <row r="297" spans="1:20" x14ac:dyDescent="0.15">
      <c r="A297" s="321"/>
      <c r="B297" s="17" t="s">
        <v>4590</v>
      </c>
      <c r="C297" s="17" t="s">
        <v>4642</v>
      </c>
      <c r="D297" s="21"/>
      <c r="E297" s="2672" t="n">
        <f>IFERROR(INDEX('5층_부하량'!J3:J3000,MATCH(1,("5-DaHall 1-PDU-10"='5층_부하량'!A3:A3000)*(9='5층_부하량'!B3:B3000),0)),0)</f>
        <v>0.0</v>
      </c>
      <c r="F297" s="21"/>
      <c r="G297" s="21"/>
      <c r="H297" s="17" t="s">
        <v>5790</v>
      </c>
      <c r="I297" s="549" t="s">
        <v>4648</v>
      </c>
      <c r="J297" s="112"/>
      <c r="K297" s="81"/>
      <c r="L297" s="568" t="s">
        <v>4596</v>
      </c>
      <c r="M297" s="17" t="s">
        <v>5790</v>
      </c>
      <c r="N297" s="21"/>
      <c r="O297" s="2672" t="n">
        <f>IFERROR(INDEX('5층_부하량'!J3:J3000,MATCH(1,("5-DaHall 1-PDU-10"='5층_부하량'!A3:A3000)*(10='5층_부하량'!B3:B3000),0)),0)</f>
        <v>0.0</v>
      </c>
      <c r="P297" s="21"/>
      <c r="Q297" s="21"/>
      <c r="R297" s="69" t="s">
        <v>4590</v>
      </c>
      <c r="S297" s="17" t="s">
        <v>4642</v>
      </c>
      <c r="T297" s="70"/>
    </row>
    <row r="298" spans="1:20" x14ac:dyDescent="0.15">
      <c r="A298" s="16"/>
      <c r="B298" s="23" t="s">
        <v>4590</v>
      </c>
      <c r="C298" s="17" t="s">
        <v>4642</v>
      </c>
      <c r="D298" s="25"/>
      <c r="E298" s="25"/>
      <c r="F298" s="2673" t="n">
        <f>IFERROR(INDEX('5층_부하량'!K3:K3000,MATCH(1,("5-DaHall 1-PDU-10"='5층_부하량'!A3:A3000)*(11='5층_부하량'!B3:B3000),0)),0)</f>
        <v>0.0</v>
      </c>
      <c r="G298" s="25"/>
      <c r="H298" s="23" t="s">
        <v>5801</v>
      </c>
      <c r="I298" s="555" t="s">
        <v>4653</v>
      </c>
      <c r="J298" s="113"/>
      <c r="K298" s="114"/>
      <c r="L298" s="569" t="s">
        <v>4599</v>
      </c>
      <c r="M298" s="23" t="s">
        <v>5801</v>
      </c>
      <c r="N298" s="25"/>
      <c r="O298" s="25"/>
      <c r="P298" s="2673" t="n">
        <f>IFERROR(INDEX('5층_부하량'!K3:K3000,MATCH(1,("5-DaHall 1-PDU-10"='5층_부하량'!A3:A3000)*(12='5층_부하량'!B3:B3000),0)),0)</f>
        <v>0.0</v>
      </c>
      <c r="Q298" s="25"/>
      <c r="R298" s="108" t="s">
        <v>4590</v>
      </c>
      <c r="S298" s="23" t="s">
        <v>4642</v>
      </c>
      <c r="T298" s="104"/>
    </row>
    <row r="299" spans="1:20" x14ac:dyDescent="0.15">
      <c r="A299" s="16"/>
      <c r="B299" s="23" t="s">
        <v>4590</v>
      </c>
      <c r="C299" s="23" t="s">
        <v>4642</v>
      </c>
      <c r="D299" s="2673" t="n">
        <f>IFERROR(INDEX('5층_부하량'!I3:I3000,MATCH(1,("5-DaHall 1-PDU-10"='5층_부하량'!A3:A3000)*(13='5층_부하량'!B3:B3000),0)),0)</f>
        <v>0.0</v>
      </c>
      <c r="E299" s="25"/>
      <c r="F299" s="25"/>
      <c r="G299" s="25"/>
      <c r="H299" s="23" t="s">
        <v>5801</v>
      </c>
      <c r="I299" s="555" t="s">
        <v>4657</v>
      </c>
      <c r="J299" s="113"/>
      <c r="K299" s="114"/>
      <c r="L299" s="569" t="s">
        <v>4601</v>
      </c>
      <c r="M299" s="23" t="s">
        <v>5801</v>
      </c>
      <c r="N299" s="2673" t="n">
        <f>IFERROR(INDEX('5층_부하량'!I3:I3000,MATCH(1,("5-DaHall 1-PDU-10"='5층_부하량'!A3:A3000)*(14='5층_부하량'!B3:B3000),0)),0)</f>
        <v>0.0</v>
      </c>
      <c r="O299" s="25"/>
      <c r="P299" s="25"/>
      <c r="Q299" s="25"/>
      <c r="R299" s="108" t="s">
        <v>4590</v>
      </c>
      <c r="S299" s="23" t="s">
        <v>4642</v>
      </c>
      <c r="T299" s="104"/>
    </row>
    <row r="300" spans="1:20" ht="14.25" thickBot="1" x14ac:dyDescent="0.2">
      <c r="A300" s="87"/>
      <c r="B300" s="88" t="s">
        <v>4590</v>
      </c>
      <c r="C300" s="88" t="s">
        <v>4642</v>
      </c>
      <c r="D300" s="90"/>
      <c r="E300" s="2688" t="n">
        <f>IFERROR(INDEX('5층_부하량'!J3:J3000,MATCH(1,("5-DaHall 1-PDU-10"='5층_부하량'!A3:A3000)*(15='5층_부하량'!B3:B3000),0)),0)</f>
        <v>0.0</v>
      </c>
      <c r="F300" s="90"/>
      <c r="G300" s="90"/>
      <c r="H300" s="88" t="s">
        <v>5801</v>
      </c>
      <c r="I300" s="553" t="s">
        <v>4661</v>
      </c>
      <c r="J300" s="115"/>
      <c r="K300" s="116"/>
      <c r="L300" s="570" t="s">
        <v>4603</v>
      </c>
      <c r="M300" s="88" t="s">
        <v>5801</v>
      </c>
      <c r="N300" s="90"/>
      <c r="O300" s="2688" t="n">
        <f>IFERROR(INDEX('5층_부하량'!J3:J3000,MATCH(1,("5-DaHall 1-PDU-10"='5층_부하량'!A3:A3000)*(16='5층_부하량'!B3:B3000),0)),0)</f>
        <v>0.0</v>
      </c>
      <c r="P300" s="90"/>
      <c r="Q300" s="90"/>
      <c r="R300" s="93" t="s">
        <v>4590</v>
      </c>
      <c r="S300" s="88" t="s">
        <v>4642</v>
      </c>
      <c r="T300" s="94"/>
    </row>
    <row r="301" spans="1:20" ht="14.25" thickTop="1" x14ac:dyDescent="0.15">
      <c r="A301" s="71"/>
      <c r="B301" s="72" t="s">
        <v>4590</v>
      </c>
      <c r="C301" s="72" t="s">
        <v>4642</v>
      </c>
      <c r="D301" s="74"/>
      <c r="E301" s="74"/>
      <c r="F301" s="2689" t="n">
        <f>IFERROR(INDEX('5층_부하량'!K3:K3000,MATCH(1,("5-DaHall 1-PDU-10"='5층_부하량'!A3:A3000)*(17='5층_부하량'!B3:B3000),0)),0)</f>
        <v>0.0</v>
      </c>
      <c r="G301" s="74"/>
      <c r="H301" s="72" t="s">
        <v>5801</v>
      </c>
      <c r="I301" s="550" t="s">
        <v>4665</v>
      </c>
      <c r="J301" s="117"/>
      <c r="K301" s="83"/>
      <c r="L301" s="571" t="s">
        <v>4605</v>
      </c>
      <c r="M301" s="72" t="s">
        <v>5801</v>
      </c>
      <c r="N301" s="74"/>
      <c r="O301" s="74"/>
      <c r="P301" s="2689" t="n">
        <f>IFERROR(INDEX('5층_부하량'!K3:K3000,MATCH(1,("5-DaHall 1-PDU-10"='5층_부하량'!A3:A3000)*(18='5층_부하량'!B3:B3000),0)),0)</f>
        <v>0.0</v>
      </c>
      <c r="Q301" s="74"/>
      <c r="R301" s="75" t="s">
        <v>4590</v>
      </c>
      <c r="S301" s="72" t="s">
        <v>4642</v>
      </c>
      <c r="T301" s="68"/>
    </row>
    <row r="302" spans="1:20" x14ac:dyDescent="0.15">
      <c r="A302" s="16"/>
      <c r="B302" s="17" t="s">
        <v>4590</v>
      </c>
      <c r="C302" s="17" t="s">
        <v>4642</v>
      </c>
      <c r="D302" s="2672" t="n">
        <f>IFERROR(INDEX('5층_부하량'!I3:I3000,MATCH(1,("5-DaHall 1-PDU-10"='5층_부하량'!A3:A3000)*(19='5층_부하량'!B3:B3000),0)),0)</f>
        <v>0.0</v>
      </c>
      <c r="E302" s="21"/>
      <c r="F302" s="21"/>
      <c r="G302" s="21"/>
      <c r="H302" s="17" t="s">
        <v>5811</v>
      </c>
      <c r="I302" s="549" t="s">
        <v>4670</v>
      </c>
      <c r="J302" s="112"/>
      <c r="K302" s="81"/>
      <c r="L302" s="568" t="s">
        <v>4609</v>
      </c>
      <c r="M302" s="17" t="s">
        <v>5811</v>
      </c>
      <c r="N302" s="2672" t="n">
        <f>IFERROR(INDEX('5층_부하량'!I3:I3000,MATCH(1,("5-DaHall 1-PDU-10"='5층_부하량'!A3:A3000)*(20='5층_부하량'!B3:B3000),0)),0)</f>
        <v>0.0</v>
      </c>
      <c r="O302" s="21"/>
      <c r="P302" s="21"/>
      <c r="Q302" s="21"/>
      <c r="R302" s="69" t="s">
        <v>4590</v>
      </c>
      <c r="S302" s="17" t="s">
        <v>4642</v>
      </c>
      <c r="T302" s="70"/>
    </row>
    <row r="303" spans="1:20" x14ac:dyDescent="0.15">
      <c r="A303" s="321"/>
      <c r="B303" s="17" t="s">
        <v>4590</v>
      </c>
      <c r="C303" s="17" t="s">
        <v>4642</v>
      </c>
      <c r="D303" s="21"/>
      <c r="E303" s="2672" t="n">
        <f>IFERROR(INDEX('5층_부하량'!J3:J3000,MATCH(1,("5-DaHall 1-PDU-10"='5층_부하량'!A3:A3000)*(21='5층_부하량'!B3:B3000),0)),0)</f>
        <v>0.0</v>
      </c>
      <c r="F303" s="21"/>
      <c r="G303" s="21"/>
      <c r="H303" s="17" t="s">
        <v>5811</v>
      </c>
      <c r="I303" s="549" t="s">
        <v>4674</v>
      </c>
      <c r="J303" s="112"/>
      <c r="K303" s="81"/>
      <c r="L303" s="568" t="s">
        <v>4613</v>
      </c>
      <c r="M303" s="17" t="s">
        <v>5811</v>
      </c>
      <c r="N303" s="21"/>
      <c r="O303" s="2672" t="n">
        <f>IFERROR(INDEX('5층_부하량'!J3:J3000,MATCH(1,("5-DaHall 1-PDU-10"='5층_부하량'!A3:A3000)*(22='5층_부하량'!B3:B3000),0)),0)</f>
        <v>0.0</v>
      </c>
      <c r="P303" s="21"/>
      <c r="Q303" s="21"/>
      <c r="R303" s="69" t="s">
        <v>4590</v>
      </c>
      <c r="S303" s="17" t="s">
        <v>4642</v>
      </c>
      <c r="T303" s="82"/>
    </row>
    <row r="304" spans="1:20" x14ac:dyDescent="0.15">
      <c r="A304" s="321"/>
      <c r="B304" s="17" t="s">
        <v>4590</v>
      </c>
      <c r="C304" s="17" t="s">
        <v>4642</v>
      </c>
      <c r="D304" s="21"/>
      <c r="E304" s="21"/>
      <c r="F304" s="2672" t="n">
        <f>IFERROR(INDEX('5층_부하량'!K3:K3000,MATCH(1,("5-DaHall 1-PDU-10"='5층_부하량'!A3:A3000)*(23='5층_부하량'!B3:B3000),0)),0)</f>
        <v>0.0</v>
      </c>
      <c r="G304" s="21"/>
      <c r="H304" s="17" t="s">
        <v>5811</v>
      </c>
      <c r="I304" s="549" t="s">
        <v>4678</v>
      </c>
      <c r="J304" s="112"/>
      <c r="K304" s="81"/>
      <c r="L304" s="568" t="s">
        <v>4680</v>
      </c>
      <c r="M304" s="17" t="s">
        <v>5811</v>
      </c>
      <c r="N304" s="21"/>
      <c r="O304" s="21"/>
      <c r="P304" s="2672" t="n">
        <f>IFERROR(INDEX('5층_부하량'!K3:K3000,MATCH(1,("5-DaHall 1-PDU-10"='5층_부하량'!A3:A3000)*(24='5층_부하량'!B3:B3000),0)),0)</f>
        <v>0.0</v>
      </c>
      <c r="Q304" s="21"/>
      <c r="R304" s="69" t="s">
        <v>4590</v>
      </c>
      <c r="S304" s="17" t="s">
        <v>4642</v>
      </c>
      <c r="T304" s="70"/>
    </row>
    <row r="305" spans="1:20" x14ac:dyDescent="0.15">
      <c r="A305" s="321"/>
      <c r="B305" s="17" t="s">
        <v>4590</v>
      </c>
      <c r="C305" s="17" t="s">
        <v>4642</v>
      </c>
      <c r="D305" s="2672" t="n">
        <f>IFERROR(INDEX('5층_부하량'!I3:I3000,MATCH(1,("5-DaHall 1-PDU-10"='5층_부하량'!A3:A3000)*(25='5층_부하량'!B3:B3000),0)),0)</f>
        <v>0.0</v>
      </c>
      <c r="E305" s="21"/>
      <c r="F305" s="21"/>
      <c r="G305" s="21"/>
      <c r="H305" s="17" t="s">
        <v>5811</v>
      </c>
      <c r="I305" s="549" t="s">
        <v>4683</v>
      </c>
      <c r="J305" s="112"/>
      <c r="K305" s="81"/>
      <c r="L305" s="568" t="s">
        <v>4685</v>
      </c>
      <c r="M305" s="17" t="s">
        <v>5811</v>
      </c>
      <c r="N305" s="2672" t="n">
        <f>IFERROR(INDEX('5층_부하량'!I3:I3000,MATCH(1,("5-DaHall 1-PDU-10"='5층_부하량'!A3:A3000)*(26='5층_부하량'!B3:B3000),0)),0)</f>
        <v>0.0</v>
      </c>
      <c r="O305" s="21"/>
      <c r="P305" s="21"/>
      <c r="Q305" s="21"/>
      <c r="R305" s="69" t="s">
        <v>4590</v>
      </c>
      <c r="S305" s="17" t="s">
        <v>4642</v>
      </c>
      <c r="T305" s="70"/>
    </row>
    <row r="306" spans="1:20" x14ac:dyDescent="0.15">
      <c r="A306" s="321"/>
      <c r="B306" s="17" t="s">
        <v>4590</v>
      </c>
      <c r="C306" s="17" t="s">
        <v>4642</v>
      </c>
      <c r="D306" s="21"/>
      <c r="E306" s="2672" t="n">
        <f>IFERROR(INDEX('5층_부하량'!J3:J3000,MATCH(1,("5-DaHall 1-PDU-10"='5층_부하량'!A3:A3000)*(27='5층_부하량'!B3:B3000),0)),0)</f>
        <v>0.0</v>
      </c>
      <c r="F306" s="21"/>
      <c r="G306" s="21"/>
      <c r="H306" s="17" t="s">
        <v>5811</v>
      </c>
      <c r="I306" s="549" t="s">
        <v>4688</v>
      </c>
      <c r="J306" s="112"/>
      <c r="K306" s="81"/>
      <c r="L306" s="568" t="s">
        <v>4689</v>
      </c>
      <c r="M306" s="17" t="s">
        <v>5811</v>
      </c>
      <c r="N306" s="21"/>
      <c r="O306" s="2672" t="n">
        <f>IFERROR(INDEX('5층_부하량'!J3:J3000,MATCH(1,("5-DaHall 1-PDU-10"='5층_부하량'!A3:A3000)*(28='5층_부하량'!B3:B3000),0)),0)</f>
        <v>0.0</v>
      </c>
      <c r="P306" s="21"/>
      <c r="Q306" s="21"/>
      <c r="R306" s="69" t="s">
        <v>4590</v>
      </c>
      <c r="S306" s="17" t="s">
        <v>4642</v>
      </c>
      <c r="T306" s="70"/>
    </row>
    <row r="307" spans="1:20" x14ac:dyDescent="0.15">
      <c r="A307" s="321"/>
      <c r="B307" s="17" t="s">
        <v>4590</v>
      </c>
      <c r="C307" s="17" t="s">
        <v>4642</v>
      </c>
      <c r="D307" s="21"/>
      <c r="E307" s="21"/>
      <c r="F307" s="2672" t="n">
        <f>IFERROR(INDEX('5층_부하량'!K3:K3000,MATCH(1,("5-DaHall 1-PDU-10"='5층_부하량'!A3:A3000)*(29='5층_부하량'!B3:B3000),0)),0)</f>
        <v>0.0</v>
      </c>
      <c r="G307" s="21"/>
      <c r="H307" s="17" t="s">
        <v>5811</v>
      </c>
      <c r="I307" s="549" t="s">
        <v>4691</v>
      </c>
      <c r="J307" s="112"/>
      <c r="K307" s="81"/>
      <c r="L307" s="568" t="s">
        <v>4692</v>
      </c>
      <c r="M307" s="17" t="s">
        <v>5811</v>
      </c>
      <c r="N307" s="21"/>
      <c r="O307" s="21"/>
      <c r="P307" s="2672" t="n">
        <f>IFERROR(INDEX('5층_부하량'!K3:K3000,MATCH(1,("5-DaHall 1-PDU-10"='5층_부하량'!A3:A3000)*(30='5층_부하량'!B3:B3000),0)),0)</f>
        <v>0.0</v>
      </c>
      <c r="Q307" s="21"/>
      <c r="R307" s="69" t="s">
        <v>4590</v>
      </c>
      <c r="S307" s="17" t="s">
        <v>4642</v>
      </c>
      <c r="T307" s="70"/>
    </row>
    <row r="308" spans="1:20" x14ac:dyDescent="0.15">
      <c r="A308" s="321"/>
      <c r="B308" s="17" t="s">
        <v>4590</v>
      </c>
      <c r="C308" s="17" t="s">
        <v>4642</v>
      </c>
      <c r="D308" s="2672" t="n">
        <f>IFERROR(INDEX('5층_부하량'!I3:I3000,MATCH(1,("5-DaHall 1-PDU-10"='5층_부하량'!A3:A3000)*(31='5층_부하량'!B3:B3000),0)),0)</f>
        <v>0.0</v>
      </c>
      <c r="E308" s="21"/>
      <c r="F308" s="21"/>
      <c r="G308" s="21"/>
      <c r="H308" s="17" t="s">
        <v>5811</v>
      </c>
      <c r="I308" s="549" t="s">
        <v>4693</v>
      </c>
      <c r="J308" s="112"/>
      <c r="K308" s="81"/>
      <c r="L308" s="568" t="s">
        <v>4694</v>
      </c>
      <c r="M308" s="17" t="s">
        <v>5811</v>
      </c>
      <c r="N308" s="2672" t="n">
        <f>IFERROR(INDEX('5층_부하량'!I3:I3000,MATCH(1,("5-DaHall 1-PDU-10"='5층_부하량'!A3:A3000)*(32='5층_부하량'!B3:B3000),0)),0)</f>
        <v>0.0</v>
      </c>
      <c r="O308" s="21"/>
      <c r="P308" s="21"/>
      <c r="Q308" s="21"/>
      <c r="R308" s="69" t="s">
        <v>4590</v>
      </c>
      <c r="S308" s="17" t="s">
        <v>4642</v>
      </c>
      <c r="T308" s="70"/>
    </row>
    <row r="309" spans="1:20" x14ac:dyDescent="0.15">
      <c r="A309" s="321"/>
      <c r="B309" s="17" t="s">
        <v>4590</v>
      </c>
      <c r="C309" s="17" t="s">
        <v>4642</v>
      </c>
      <c r="D309" s="21"/>
      <c r="E309" s="2672" t="n">
        <f>IFERROR(INDEX('5층_부하량'!J3:J3000,MATCH(1,("5-DaHall 1-PDU-10"='5층_부하량'!A3:A3000)*(33='5층_부하량'!B3:B3000),0)),0)</f>
        <v>0.0</v>
      </c>
      <c r="F309" s="21"/>
      <c r="G309" s="21"/>
      <c r="H309" s="17" t="s">
        <v>5811</v>
      </c>
      <c r="I309" s="549" t="s">
        <v>4697</v>
      </c>
      <c r="J309" s="112"/>
      <c r="K309" s="81"/>
      <c r="L309" s="568" t="s">
        <v>4698</v>
      </c>
      <c r="M309" s="17" t="s">
        <v>5811</v>
      </c>
      <c r="N309" s="21"/>
      <c r="O309" s="2672" t="n">
        <f>IFERROR(INDEX('5층_부하량'!J3:J3000,MATCH(1,("5-DaHall 1-PDU-10"='5층_부하량'!A3:A3000)*(34='5층_부하량'!B3:B3000),0)),0)</f>
        <v>0.0</v>
      </c>
      <c r="P309" s="21"/>
      <c r="Q309" s="21"/>
      <c r="R309" s="69" t="s">
        <v>4590</v>
      </c>
      <c r="S309" s="17" t="s">
        <v>4642</v>
      </c>
      <c r="T309" s="70"/>
    </row>
    <row r="310" spans="1:20" x14ac:dyDescent="0.15">
      <c r="A310" s="321"/>
      <c r="B310" s="17" t="s">
        <v>4590</v>
      </c>
      <c r="C310" s="17" t="s">
        <v>4642</v>
      </c>
      <c r="D310" s="21"/>
      <c r="E310" s="21"/>
      <c r="F310" s="2672" t="n">
        <f>IFERROR(INDEX('5층_부하량'!K3:K3000,MATCH(1,("5-DaHall 1-PDU-10"='5층_부하량'!A3:A3000)*(35='5층_부하량'!B3:B3000),0)),0)</f>
        <v>0.0</v>
      </c>
      <c r="G310" s="21"/>
      <c r="H310" s="17" t="s">
        <v>5811</v>
      </c>
      <c r="I310" s="549" t="s">
        <v>4701</v>
      </c>
      <c r="J310" s="112"/>
      <c r="K310" s="81"/>
      <c r="L310" s="568" t="s">
        <v>4703</v>
      </c>
      <c r="M310" s="17" t="s">
        <v>5811</v>
      </c>
      <c r="N310" s="21"/>
      <c r="O310" s="21"/>
      <c r="P310" s="2672" t="n">
        <f>IFERROR(INDEX('5층_부하량'!K3:K3000,MATCH(1,("5-DaHall 1-PDU-10"='5층_부하량'!A3:A3000)*(36='5층_부하량'!B3:B3000),0)),0)</f>
        <v>0.0</v>
      </c>
      <c r="Q310" s="21"/>
      <c r="R310" s="69" t="s">
        <v>4590</v>
      </c>
      <c r="S310" s="17" t="s">
        <v>4642</v>
      </c>
      <c r="T310" s="70"/>
    </row>
    <row r="311" spans="1:20" ht="14.25" thickBot="1" x14ac:dyDescent="0.2">
      <c r="A311" s="119"/>
      <c r="B311" s="29" t="s">
        <v>4590</v>
      </c>
      <c r="C311" s="29" t="s">
        <v>4642</v>
      </c>
      <c r="D311" s="2674" t="n">
        <f>IFERROR(INDEX('5층_부하량'!I3:I3000,MATCH(1,("5-DaHall 1-PDU-10"='5층_부하량'!A3:A3000)*(37='5층_부하량'!B3:B3000),0)),0)</f>
        <v>0.0</v>
      </c>
      <c r="E311" s="30"/>
      <c r="F311" s="30"/>
      <c r="G311" s="30"/>
      <c r="H311" s="29" t="s">
        <v>5811</v>
      </c>
      <c r="I311" s="556" t="s">
        <v>4927</v>
      </c>
      <c r="J311" s="120"/>
      <c r="K311" s="121"/>
      <c r="L311" s="573" t="s">
        <v>4928</v>
      </c>
      <c r="M311" s="29" t="s">
        <v>5811</v>
      </c>
      <c r="N311" s="2674" t="n">
        <f>IFERROR(INDEX('5층_부하량'!I3:I3000,MATCH(1,("5-DaHall 1-PDU-10"='5층_부하량'!A3:A3000)*(38='5층_부하량'!B3:B3000),0)),0)</f>
        <v>0.0</v>
      </c>
      <c r="O311" s="30"/>
      <c r="P311" s="30"/>
      <c r="Q311" s="30"/>
      <c r="R311" s="110" t="s">
        <v>4590</v>
      </c>
      <c r="S311" s="29" t="s">
        <v>4642</v>
      </c>
      <c r="T311" s="111"/>
    </row>
    <row r="312" spans="1:20" ht="15" thickTop="1" thickBot="1" x14ac:dyDescent="0.2">
      <c r="M312" s="80" t="s">
        <v>5645</v>
      </c>
      <c r="N312" s="33" t="n">
        <f>SUM(D293:D311,N293:N311)</f>
        <v>0.0</v>
      </c>
      <c r="O312" s="33" t="n">
        <f>SUM(E293:E311,O293:O311)</f>
        <v>0.0</v>
      </c>
      <c r="P312" s="33" t="n">
        <f>SUM(F293:F311,P293:P311)</f>
        <v>0.0</v>
      </c>
    </row>
    <row r="313" spans="1:20" ht="20.25" thickTop="1" thickBot="1" x14ac:dyDescent="0.2">
      <c r="A313" s="2" t="s">
        <v>6955</v>
      </c>
      <c r="C313" s="3660" t="s">
        <v>5849</v>
      </c>
      <c r="D313" s="3660"/>
      <c r="E313" s="3660"/>
      <c r="F313" s="3660"/>
      <c r="G313" s="53"/>
      <c r="H313" s="124"/>
      <c r="I313" s="124"/>
      <c r="J313" s="3661" t="s">
        <v>5646</v>
      </c>
      <c r="K313" s="3667"/>
      <c r="L313" s="124"/>
      <c r="M313" s="124"/>
      <c r="N313" s="53"/>
      <c r="O313" s="53"/>
      <c r="P313" s="53"/>
      <c r="Q313" s="53"/>
      <c r="R313" s="53"/>
      <c r="S313" s="53"/>
    </row>
    <row r="314" spans="1:20" ht="15" customHeight="1" thickTop="1" thickBot="1" x14ac:dyDescent="0.2">
      <c r="A314" s="3"/>
      <c r="D314" s="54"/>
      <c r="E314" s="54"/>
      <c r="F314" s="54"/>
      <c r="G314" s="54"/>
      <c r="H314" s="4"/>
      <c r="I314" s="4"/>
      <c r="K314" s="56"/>
      <c r="L314" s="565"/>
      <c r="M314" s="1371" t="s">
        <v>4562</v>
      </c>
      <c r="N314" s="1368">
        <v>15.3</v>
      </c>
      <c r="O314" s="1369">
        <v>10.199999999999999</v>
      </c>
      <c r="P314" s="1370">
        <v>9.9</v>
      </c>
      <c r="Q314" s="508" t="s">
        <v>4563</v>
      </c>
      <c r="R314" s="133"/>
      <c r="S314" s="128"/>
      <c r="T314" s="528"/>
    </row>
    <row r="315" spans="1:20" ht="15" thickTop="1" thickBot="1" x14ac:dyDescent="0.2">
      <c r="A315" s="5" t="s">
        <v>4564</v>
      </c>
      <c r="B315" s="6" t="s">
        <v>4565</v>
      </c>
      <c r="C315" s="7" t="s">
        <v>4566</v>
      </c>
      <c r="D315" s="6" t="s">
        <v>4567</v>
      </c>
      <c r="E315" s="6" t="s">
        <v>4568</v>
      </c>
      <c r="F315" s="6" t="s">
        <v>4569</v>
      </c>
      <c r="G315" s="6" t="s">
        <v>4570</v>
      </c>
      <c r="H315" s="8" t="s">
        <v>4571</v>
      </c>
      <c r="I315" s="547"/>
      <c r="J315" s="58" t="s">
        <v>4572</v>
      </c>
      <c r="K315" s="59" t="s">
        <v>4572</v>
      </c>
      <c r="L315" s="566"/>
      <c r="M315" s="8" t="s">
        <v>4571</v>
      </c>
      <c r="N315" s="6" t="s">
        <v>4567</v>
      </c>
      <c r="O315" s="6" t="s">
        <v>4568</v>
      </c>
      <c r="P315" s="6" t="s">
        <v>4569</v>
      </c>
      <c r="Q315" s="6" t="s">
        <v>4570</v>
      </c>
      <c r="R315" s="6" t="s">
        <v>4565</v>
      </c>
      <c r="S315" s="7" t="s">
        <v>4566</v>
      </c>
      <c r="T315" s="60" t="s">
        <v>4564</v>
      </c>
    </row>
    <row r="316" spans="1:20" ht="14.25" thickTop="1" x14ac:dyDescent="0.15">
      <c r="A316" s="10"/>
      <c r="B316" s="11" t="s">
        <v>4590</v>
      </c>
      <c r="C316" s="13" t="s">
        <v>4642</v>
      </c>
      <c r="D316" s="2681" cm="1">
        <f t="array" ref="D316">INDEX('5층_부하량'!I3:I3000,MATCH(1,("5-DaHall 1-PDU-11"='5층_부하량'!A3:A3000)*(1='5층_부하량'!B3:B3000),0))</f>
        <v>0</v>
      </c>
      <c r="E316" s="2681" cm="1">
        <f t="array" ref="E316">INDEX('5층_부하량'!J3:J3000,MATCH(1,("5-DaHall 1-PDU-11"='5층_부하량'!A3:A3000)*(1='5층_부하량'!B3:B3000),0))</f>
        <v>0</v>
      </c>
      <c r="F316" s="2681" cm="1">
        <f t="array" ref="F316">INDEX('5층_부하량'!K3:K3000,MATCH(1,("5-DaHall 1-PDU-11"='5층_부하량'!A3:A3000)*(1='5층_부하량'!B3:B3000),0))</f>
        <v>0</v>
      </c>
      <c r="G316" s="15"/>
      <c r="H316" s="13" t="s">
        <v>5786</v>
      </c>
      <c r="I316" s="1177" t="s">
        <v>5787</v>
      </c>
      <c r="J316" s="61"/>
      <c r="K316" s="62"/>
      <c r="L316" s="567" t="s">
        <v>5788</v>
      </c>
      <c r="M316" s="11" t="s">
        <v>5786</v>
      </c>
      <c r="N316" s="2681" cm="1">
        <f t="array" ref="N316">INDEX('5층_부하량'!I3:I3000,MATCH(1,("5-DaHall 1-PDU-11"='5층_부하량'!A3:A3000)*(2='5층_부하량'!B3:B3000),0))</f>
        <v>0</v>
      </c>
      <c r="O316" s="2681" cm="1">
        <f t="array" ref="O316">INDEX('5층_부하량'!J3:J3000,MATCH(1,("5-DaHall 1-PDU-11"='5층_부하량'!A3:A3000)*(2='5층_부하량'!B3:B3000),0))</f>
        <v>0</v>
      </c>
      <c r="P316" s="2681" cm="1">
        <f t="array" ref="P316">INDEX('5층_부하량'!K3:K3000,MATCH(1,("5-DaHall 1-PDU-11"='5층_부하량'!A3:A3000)*(2='5층_부하량'!B3:B3000),0))</f>
        <v>0</v>
      </c>
      <c r="Q316" s="15"/>
      <c r="R316" s="63" t="s">
        <v>4590</v>
      </c>
      <c r="S316" s="11" t="s">
        <v>4642</v>
      </c>
      <c r="T316" s="98"/>
    </row>
    <row r="317" spans="1:20" ht="16.5" x14ac:dyDescent="0.15">
      <c r="A317" s="16" t="s">
        <v>5850</v>
      </c>
      <c r="B317" s="17" t="s">
        <v>4631</v>
      </c>
      <c r="C317" s="18" t="s">
        <v>4575</v>
      </c>
      <c r="D317" s="2682" cm="1">
        <f t="array" ref="D317">INDEX('5층_부하량'!I3:I3000,MATCH(1,("5-DaHall 1-PDU-11"='5층_부하량'!A3:A3000)*(3='5층_부하량'!B3:B3000),0))</f>
        <v>0</v>
      </c>
      <c r="E317" s="383"/>
      <c r="F317" s="383"/>
      <c r="G317" s="19"/>
      <c r="H317" s="17" t="s">
        <v>5790</v>
      </c>
      <c r="I317" s="549" t="s">
        <v>4638</v>
      </c>
      <c r="J317" s="1031" t="s">
        <v>5832</v>
      </c>
      <c r="K317" s="1024"/>
      <c r="L317" s="549" t="s">
        <v>4583</v>
      </c>
      <c r="M317" s="17" t="s">
        <v>5786</v>
      </c>
      <c r="N317" s="2682" cm="1">
        <f t="array" ref="N317">INDEX('5층_부하량'!I3:I3000,MATCH(1,("5-DaHall 1-PDU-11"='5층_부하량'!A3:A3000)*(4='5층_부하량'!B3:B3000),0))</f>
        <v>0</v>
      </c>
      <c r="O317" s="383"/>
      <c r="P317" s="383"/>
      <c r="Q317" s="19"/>
      <c r="R317" s="67" t="s">
        <v>4631</v>
      </c>
      <c r="S317" s="72" t="s">
        <v>4642</v>
      </c>
      <c r="T317" s="68" t="s">
        <v>5851</v>
      </c>
    </row>
    <row r="318" spans="1:20" ht="16.5" x14ac:dyDescent="0.15">
      <c r="A318" s="599" t="s">
        <v>5852</v>
      </c>
      <c r="B318" s="17" t="s">
        <v>4631</v>
      </c>
      <c r="C318" s="18" t="s">
        <v>4575</v>
      </c>
      <c r="D318" s="387"/>
      <c r="E318" s="2679" cm="1" t="n">
        <f t="array" ref="E318">INDEX('5층_부하량'!J3:J3000,MATCH(1,("5-DaHall 1-PDU-11"='5층_부하량'!A3:A3000)*(5='5층_부하량'!B3:B3000),0))</f>
        <v>4.9924401204648445</v>
      </c>
      <c r="F318" s="387"/>
      <c r="G318" s="21"/>
      <c r="H318" s="17" t="s">
        <v>5786</v>
      </c>
      <c r="I318" s="1207" t="s">
        <v>4641</v>
      </c>
      <c r="J318" s="1031" t="s">
        <v>5832</v>
      </c>
      <c r="K318" s="1024" t="s">
        <v>5832</v>
      </c>
      <c r="L318" s="549" t="s">
        <v>4588</v>
      </c>
      <c r="M318" s="17" t="s">
        <v>5786</v>
      </c>
      <c r="N318" s="387"/>
      <c r="O318" s="2679" cm="1" t="n">
        <f t="array" ref="O318">INDEX('5층_부하량'!J3:J3000,MATCH(1,("5-DaHall 1-PDU-11"='5층_부하량'!A3:A3000)*(6='5층_부하량'!B3:B3000),0))</f>
        <v>1.9353548638277827</v>
      </c>
      <c r="P318" s="387"/>
      <c r="Q318" s="21"/>
      <c r="R318" s="69" t="s">
        <v>4631</v>
      </c>
      <c r="S318" s="18" t="s">
        <v>4575</v>
      </c>
      <c r="T318" s="70" t="s">
        <v>5853</v>
      </c>
    </row>
    <row r="319" spans="1:20" ht="16.5" x14ac:dyDescent="0.15">
      <c r="A319" s="16" t="s">
        <v>5854</v>
      </c>
      <c r="B319" s="17" t="s">
        <v>4631</v>
      </c>
      <c r="C319" s="18" t="s">
        <v>4575</v>
      </c>
      <c r="D319" s="387"/>
      <c r="E319" s="387"/>
      <c r="F319" s="2679" cm="1" t="n">
        <f t="array" ref="F319">INDEX('5층_부하량'!K3:K3000,MATCH(1,("5-DaHall 1-PDU-11"='5층_부하량'!A3:A3000)*(7='5층_부하량'!B3:B3000),0))</f>
        <v>1.8655435965045901</v>
      </c>
      <c r="G319" s="21"/>
      <c r="H319" s="17" t="s">
        <v>5786</v>
      </c>
      <c r="I319" s="549" t="s">
        <v>4645</v>
      </c>
      <c r="J319" s="1031" t="s">
        <v>5832</v>
      </c>
      <c r="K319" s="1024" t="s">
        <v>5832</v>
      </c>
      <c r="L319" s="549" t="s">
        <v>4593</v>
      </c>
      <c r="M319" s="17" t="s">
        <v>5801</v>
      </c>
      <c r="N319" s="387"/>
      <c r="O319" s="387"/>
      <c r="P319" s="2679" cm="1">
        <f t="array" ref="P319">INDEX('5층_부하량'!K3:K3000,MATCH(1,("5-DaHall 1-PDU-11"='5층_부하량'!A3:A3000)*(8='5층_부하량'!B3:B3000),0))</f>
        <v>0</v>
      </c>
      <c r="Q319" s="21"/>
      <c r="R319" s="69" t="s">
        <v>4631</v>
      </c>
      <c r="S319" s="18" t="s">
        <v>4575</v>
      </c>
      <c r="T319" s="68" t="s">
        <v>2998</v>
      </c>
    </row>
    <row r="320" spans="1:20" ht="16.5" x14ac:dyDescent="0.15">
      <c r="A320" s="599" t="s">
        <v>5855</v>
      </c>
      <c r="B320" s="17" t="s">
        <v>4631</v>
      </c>
      <c r="C320" s="18" t="s">
        <v>4575</v>
      </c>
      <c r="D320" s="2679" cm="1" t="n">
        <f t="array" ref="D320">INDEX('5층_부하량'!I3:I3000,MATCH(1,("5-DaHall 1-PDU-11"='5층_부하량'!A3:A3000)*(9='5층_부하량'!B3:B3000),0))</f>
        <v>5.085350206199673</v>
      </c>
      <c r="E320" s="387"/>
      <c r="F320" s="387"/>
      <c r="G320" s="21"/>
      <c r="H320" s="17" t="s">
        <v>5786</v>
      </c>
      <c r="I320" s="1207" t="s">
        <v>4648</v>
      </c>
      <c r="J320" s="1023" t="s">
        <v>5828</v>
      </c>
      <c r="K320" s="1024" t="s">
        <v>5832</v>
      </c>
      <c r="L320" s="549" t="s">
        <v>4596</v>
      </c>
      <c r="M320" s="17" t="s">
        <v>5801</v>
      </c>
      <c r="N320" s="2679" cm="1">
        <f t="array" ref="N320">INDEX('5층_부하량'!I3:I3000,MATCH(1,("5-DaHall 1-PDU-11"='5층_부하량'!A3:A3000)*(10='5층_부하량'!B3:B3000),0))</f>
        <v>0</v>
      </c>
      <c r="O320" s="387"/>
      <c r="P320" s="387"/>
      <c r="Q320" s="21"/>
      <c r="R320" s="69" t="s">
        <v>4631</v>
      </c>
      <c r="S320" s="18" t="s">
        <v>4575</v>
      </c>
      <c r="T320" s="70" t="s">
        <v>3005</v>
      </c>
    </row>
    <row r="321" spans="1:20" ht="17.25" thickBot="1" x14ac:dyDescent="0.2">
      <c r="A321" s="662" t="s">
        <v>5856</v>
      </c>
      <c r="B321" s="23" t="s">
        <v>4631</v>
      </c>
      <c r="C321" s="24" t="s">
        <v>4575</v>
      </c>
      <c r="D321" s="417"/>
      <c r="E321" s="2686" cm="1" t="n">
        <f t="array" ref="E321">INDEX('5층_부하량'!J3:J3000,MATCH(1,("5-DaHall 1-PDU-11"='5층_부하량'!A3:A3000)*(11='5층_부하량'!B3:B3000),0))</f>
        <v>2.4235004967175358</v>
      </c>
      <c r="F321" s="417"/>
      <c r="G321" s="25"/>
      <c r="H321" s="23" t="s">
        <v>5786</v>
      </c>
      <c r="I321" s="1209" t="s">
        <v>4653</v>
      </c>
      <c r="J321" s="1023" t="s">
        <v>5828</v>
      </c>
      <c r="K321" s="1032" t="s">
        <v>5832</v>
      </c>
      <c r="L321" s="555" t="s">
        <v>4599</v>
      </c>
      <c r="M321" s="23" t="s">
        <v>5801</v>
      </c>
      <c r="N321" s="417"/>
      <c r="O321" s="2686" cm="1" t="n">
        <f t="array" ref="O321">INDEX('5층_부하량'!J3:J3000,MATCH(1,("5-DaHall 1-PDU-11"='5층_부하량'!A3:A3000)*(12='5층_부하량'!B3:B3000),0))</f>
        <v>4.74491244847629</v>
      </c>
      <c r="P321" s="417"/>
      <c r="Q321" s="25"/>
      <c r="R321" s="108" t="s">
        <v>4631</v>
      </c>
      <c r="S321" s="24" t="s">
        <v>4575</v>
      </c>
      <c r="T321" s="104" t="s">
        <v>3010</v>
      </c>
    </row>
    <row r="322" spans="1:20" ht="17.25" thickTop="1" x14ac:dyDescent="0.15">
      <c r="A322" s="10" t="s">
        <v>5857</v>
      </c>
      <c r="B322" s="11" t="s">
        <v>4631</v>
      </c>
      <c r="C322" s="97" t="s">
        <v>4575</v>
      </c>
      <c r="D322" s="401"/>
      <c r="E322" s="401"/>
      <c r="F322" s="2678" cm="1" t="n">
        <f t="array" ref="F322">INDEX('5층_부하량'!K3:K3000,MATCH(1,("5-DaHall 1-PDU-11"='5층_부하량'!A3:A3000)*(13='5층_부하량'!B3:B3000),0))</f>
        <v>1.898640867165095</v>
      </c>
      <c r="G322" s="105"/>
      <c r="H322" s="11" t="s">
        <v>5786</v>
      </c>
      <c r="I322" s="1210" t="s">
        <v>4657</v>
      </c>
      <c r="J322" s="1026" t="s">
        <v>5832</v>
      </c>
      <c r="K322" s="1030" t="s">
        <v>5832</v>
      </c>
      <c r="L322" s="548" t="s">
        <v>4601</v>
      </c>
      <c r="M322" s="11" t="s">
        <v>5801</v>
      </c>
      <c r="N322" s="401"/>
      <c r="O322" s="401"/>
      <c r="P322" s="2678" cm="1" t="n">
        <f t="array" ref="P322">INDEX('5층_부하량'!K3:K3000,MATCH(1,("5-DaHall 1-PDU-11"='5층_부하량'!A3:A3000)*(14='5층_부하량'!B3:B3000),0))</f>
        <v>2.4231462492961904</v>
      </c>
      <c r="Q322" s="105"/>
      <c r="R322" s="106" t="s">
        <v>4631</v>
      </c>
      <c r="S322" s="97" t="s">
        <v>4575</v>
      </c>
      <c r="T322" s="101" t="s">
        <v>3015</v>
      </c>
    </row>
    <row r="323" spans="1:20" ht="16.5" x14ac:dyDescent="0.15">
      <c r="A323" s="99" t="s">
        <v>5858</v>
      </c>
      <c r="B323" s="72" t="s">
        <v>4631</v>
      </c>
      <c r="C323" s="73" t="s">
        <v>4575</v>
      </c>
      <c r="D323" s="2687" cm="1">
        <f t="array" ref="D323">INDEX('5층_부하량'!I3:I3000,MATCH(1,("5-DaHall 1-PDU-11"='5층_부하량'!A3:A3000)*(15='5층_부하량'!B3:B3000),0))</f>
        <v>0</v>
      </c>
      <c r="E323" s="426"/>
      <c r="F323" s="426"/>
      <c r="G323" s="74"/>
      <c r="H323" s="72" t="s">
        <v>5801</v>
      </c>
      <c r="I323" s="1215" t="s">
        <v>4661</v>
      </c>
      <c r="J323" s="1033" t="s">
        <v>5832</v>
      </c>
      <c r="K323" s="1034" t="s">
        <v>5832</v>
      </c>
      <c r="L323" s="550" t="s">
        <v>4603</v>
      </c>
      <c r="M323" s="72" t="s">
        <v>5801</v>
      </c>
      <c r="N323" s="2687" cm="1">
        <f t="array" ref="N323">INDEX('5층_부하량'!I3:I3000,MATCH(1,("5-DaHall 1-PDU-11"='5층_부하량'!A3:A3000)*(16='5층_부하량'!B3:B3000),0))</f>
        <v>0</v>
      </c>
      <c r="O323" s="426"/>
      <c r="P323" s="426"/>
      <c r="Q323" s="74"/>
      <c r="R323" s="75" t="s">
        <v>4631</v>
      </c>
      <c r="S323" s="73" t="s">
        <v>4575</v>
      </c>
      <c r="T323" s="68" t="s">
        <v>3020</v>
      </c>
    </row>
    <row r="324" spans="1:20" ht="16.5" x14ac:dyDescent="0.15">
      <c r="A324" s="321" t="s">
        <v>5859</v>
      </c>
      <c r="B324" s="17" t="s">
        <v>4631</v>
      </c>
      <c r="C324" s="18" t="s">
        <v>4575</v>
      </c>
      <c r="D324" s="387"/>
      <c r="E324" s="2679" cm="1">
        <f t="array" ref="E324">INDEX('5층_부하량'!J3:J3000,MATCH(1,("5-DaHall 1-PDU-11"='5층_부하량'!A3:A3000)*(17='5층_부하량'!B3:B3000),0))</f>
        <v>0</v>
      </c>
      <c r="F324" s="387"/>
      <c r="G324" s="21"/>
      <c r="H324" s="17" t="s">
        <v>5801</v>
      </c>
      <c r="I324" s="1215" t="s">
        <v>4665</v>
      </c>
      <c r="J324" s="1033" t="s">
        <v>5832</v>
      </c>
      <c r="K324" s="1024" t="s">
        <v>5832</v>
      </c>
      <c r="L324" s="549" t="s">
        <v>4605</v>
      </c>
      <c r="M324" s="17" t="s">
        <v>5801</v>
      </c>
      <c r="N324" s="387"/>
      <c r="O324" s="2679" cm="1" t="n">
        <f t="array" ref="O324">INDEX('5층_부하량'!J3:J3000,MATCH(1,("5-DaHall 1-PDU-11"='5층_부하량'!A3:A3000)*(18='5층_부하량'!B3:B3000),0))</f>
        <v>3.0066113881293215</v>
      </c>
      <c r="P324" s="387"/>
      <c r="Q324" s="21"/>
      <c r="R324" s="69" t="s">
        <v>4631</v>
      </c>
      <c r="S324" s="18" t="s">
        <v>4575</v>
      </c>
      <c r="T324" s="70" t="s">
        <v>3026</v>
      </c>
    </row>
    <row r="325" spans="1:20" ht="16.5" x14ac:dyDescent="0.15">
      <c r="A325" s="99" t="s">
        <v>5860</v>
      </c>
      <c r="B325" s="17" t="s">
        <v>4631</v>
      </c>
      <c r="C325" s="17" t="s">
        <v>4584</v>
      </c>
      <c r="D325" s="387"/>
      <c r="E325" s="387"/>
      <c r="F325" s="2679" cm="1" t="n">
        <f t="array" ref="F325">INDEX('5층_부하량'!K3:K3000,MATCH(1,("5-DaHall 1-PDU-11"='5층_부하량'!A3:A3000)*(19='5층_부하량'!B3:B3000),0))</f>
        <v>1.9028308179699334</v>
      </c>
      <c r="G325" s="21"/>
      <c r="H325" s="17" t="s">
        <v>5811</v>
      </c>
      <c r="I325" s="1215" t="s">
        <v>4670</v>
      </c>
      <c r="J325" s="1033" t="s">
        <v>5832</v>
      </c>
      <c r="K325" s="1024" t="s">
        <v>5832</v>
      </c>
      <c r="L325" s="549" t="s">
        <v>4609</v>
      </c>
      <c r="M325" s="17" t="s">
        <v>5811</v>
      </c>
      <c r="N325" s="387"/>
      <c r="O325" s="387"/>
      <c r="P325" s="2679" cm="1" t="n">
        <f t="array" ref="P325">INDEX('5층_부하량'!K3:K3000,MATCH(1,("5-DaHall 1-PDU-11"='5층_부하량'!A3:A3000)*(20='5층_부하량'!B3:B3000),0))</f>
        <v>2.9667135678817016</v>
      </c>
      <c r="Q325" s="21"/>
      <c r="R325" s="69" t="s">
        <v>4631</v>
      </c>
      <c r="S325" s="18" t="s">
        <v>4575</v>
      </c>
      <c r="T325" s="70" t="s">
        <v>3031</v>
      </c>
    </row>
    <row r="326" spans="1:20" ht="16.5" x14ac:dyDescent="0.15">
      <c r="A326" s="321" t="s">
        <v>5861</v>
      </c>
      <c r="B326" s="17" t="s">
        <v>4631</v>
      </c>
      <c r="C326" s="18" t="s">
        <v>4575</v>
      </c>
      <c r="D326" s="2679" cm="1" t="n">
        <f t="array" ref="D326">INDEX('5층_부하량'!I3:I3000,MATCH(1,("5-DaHall 1-PDU-11"='5층_부하량'!A3:A3000)*(21='5층_부하량'!B3:B3000),0))</f>
        <v>2.4820585913674083</v>
      </c>
      <c r="E326" s="387"/>
      <c r="F326" s="387"/>
      <c r="G326" s="21"/>
      <c r="H326" s="17" t="s">
        <v>5811</v>
      </c>
      <c r="I326" s="1215" t="s">
        <v>4674</v>
      </c>
      <c r="J326" s="1033" t="s">
        <v>5862</v>
      </c>
      <c r="K326" s="1028"/>
      <c r="L326" s="568" t="s">
        <v>4613</v>
      </c>
      <c r="M326" s="17" t="s">
        <v>5811</v>
      </c>
      <c r="N326" s="2679" cm="1">
        <f t="array" ref="N326">INDEX('5층_부하량'!I3:I3000,MATCH(1,("5-DaHall 1-PDU-11"='5층_부하량'!A3:A3000)*(22='5층_부하량'!B3:B3000),0))</f>
        <v>0</v>
      </c>
      <c r="O326" s="387"/>
      <c r="P326" s="387"/>
      <c r="Q326" s="74"/>
      <c r="R326" s="75" t="s">
        <v>4579</v>
      </c>
      <c r="S326" s="73" t="s">
        <v>4575</v>
      </c>
      <c r="T326" s="82" t="s">
        <v>5863</v>
      </c>
    </row>
    <row r="327" spans="1:20" ht="16.5" x14ac:dyDescent="0.15">
      <c r="A327" s="99" t="s">
        <v>5864</v>
      </c>
      <c r="B327" s="17" t="s">
        <v>4631</v>
      </c>
      <c r="C327" s="18" t="s">
        <v>4575</v>
      </c>
      <c r="D327" s="387"/>
      <c r="E327" s="2679" cm="1" t="n">
        <f t="array" ref="E327">INDEX('5층_부하량'!J3:J3000,MATCH(1,("5-DaHall 1-PDU-11"='5층_부하량'!A3:A3000)*(23='5층_부하량'!B3:B3000),0))</f>
        <v>4.77450839400429</v>
      </c>
      <c r="F327" s="387"/>
      <c r="G327" s="21"/>
      <c r="H327" s="17" t="s">
        <v>5811</v>
      </c>
      <c r="I327" s="1215" t="s">
        <v>4678</v>
      </c>
      <c r="J327" s="1033" t="s">
        <v>5865</v>
      </c>
      <c r="K327" s="1035" t="s">
        <v>2824</v>
      </c>
      <c r="L327" s="568" t="s">
        <v>4680</v>
      </c>
      <c r="M327" s="17" t="s">
        <v>5811</v>
      </c>
      <c r="N327" s="387"/>
      <c r="O327" s="2679" cm="1">
        <f t="array" ref="O327">INDEX('5층_부하량'!J3:J3000,MATCH(1,("5-DaHall 1-PDU-11"='5층_부하량'!A3:A3000)*(24='5층_부하량'!B3:B3000),0))</f>
        <v>0</v>
      </c>
      <c r="P327" s="387"/>
      <c r="Q327" s="21"/>
      <c r="R327" s="69" t="s">
        <v>4579</v>
      </c>
      <c r="S327" s="18" t="s">
        <v>4575</v>
      </c>
      <c r="T327" s="663" t="s">
        <v>5866</v>
      </c>
    </row>
    <row r="328" spans="1:20" ht="16.5" x14ac:dyDescent="0.15">
      <c r="A328" s="321" t="s">
        <v>5867</v>
      </c>
      <c r="B328" s="17" t="s">
        <v>4631</v>
      </c>
      <c r="C328" s="18" t="s">
        <v>4575</v>
      </c>
      <c r="D328" s="387"/>
      <c r="E328" s="387"/>
      <c r="F328" s="2679" cm="1" t="n">
        <f t="array" ref="F328">INDEX('5층_부하량'!K3:K3000,MATCH(1,("5-DaHall 1-PDU-11"='5층_부하량'!A3:A3000)*(25='5층_부하량'!B3:B3000),0))</f>
        <v>2.854603973066875</v>
      </c>
      <c r="G328" s="21"/>
      <c r="H328" s="17" t="s">
        <v>5811</v>
      </c>
      <c r="I328" s="1215" t="s">
        <v>4683</v>
      </c>
      <c r="J328" s="1033" t="s">
        <v>5868</v>
      </c>
      <c r="K328" s="1035" t="s">
        <v>2824</v>
      </c>
      <c r="L328" s="1208" t="s">
        <v>4685</v>
      </c>
      <c r="M328" s="17" t="s">
        <v>5811</v>
      </c>
      <c r="N328" s="387"/>
      <c r="O328" s="387"/>
      <c r="P328" s="2679" cm="1" t="n">
        <f t="array" ref="P328">INDEX('5층_부하량'!K3:K3000,MATCH(1,("5-DaHall 1-PDU-11"='5층_부하량'!A3:A3000)*(26='5층_부하량'!B3:B3000),0))</f>
        <v>4.925920253942905</v>
      </c>
      <c r="Q328" s="21"/>
      <c r="R328" s="69" t="s">
        <v>4631</v>
      </c>
      <c r="S328" s="18" t="s">
        <v>4575</v>
      </c>
      <c r="T328" s="664" t="s">
        <v>5869</v>
      </c>
    </row>
    <row r="329" spans="1:20" ht="16.5" x14ac:dyDescent="0.15">
      <c r="A329" s="99" t="s">
        <v>5870</v>
      </c>
      <c r="B329" s="17" t="s">
        <v>4631</v>
      </c>
      <c r="C329" s="18" t="s">
        <v>4575</v>
      </c>
      <c r="D329" s="2679" cm="1" t="n">
        <f t="array" ref="D329">INDEX('5층_부하량'!I3:I3000,MATCH(1,("5-DaHall 1-PDU-11"='5층_부하량'!A3:A3000)*(27='5층_부하량'!B3:B3000),0))</f>
        <v>2.418695295457703</v>
      </c>
      <c r="E329" s="387"/>
      <c r="F329" s="387"/>
      <c r="G329" s="21"/>
      <c r="H329" s="17" t="s">
        <v>5811</v>
      </c>
      <c r="I329" s="1215" t="s">
        <v>4688</v>
      </c>
      <c r="J329" s="1033" t="s">
        <v>5871</v>
      </c>
      <c r="K329" s="1028"/>
      <c r="L329" s="1208" t="s">
        <v>4689</v>
      </c>
      <c r="M329" s="17" t="s">
        <v>5811</v>
      </c>
      <c r="N329" s="2679" cm="1" t="n">
        <f t="array" ref="N329">INDEX('5층_부하량'!I3:I3000,MATCH(1,("5-DaHall 1-PDU-11"='5층_부하량'!A3:A3000)*(28='5층_부하량'!B3:B3000),0))</f>
        <v>5.278964865185189</v>
      </c>
      <c r="O329" s="387"/>
      <c r="P329" s="387"/>
      <c r="Q329" s="21"/>
      <c r="R329" s="69" t="s">
        <v>4631</v>
      </c>
      <c r="S329" s="18" t="s">
        <v>4575</v>
      </c>
      <c r="T329" s="70" t="s">
        <v>5872</v>
      </c>
    </row>
    <row r="330" spans="1:20" ht="16.5" x14ac:dyDescent="0.15">
      <c r="A330" s="321" t="s">
        <v>5873</v>
      </c>
      <c r="B330" s="17" t="s">
        <v>4631</v>
      </c>
      <c r="C330" s="18" t="s">
        <v>4575</v>
      </c>
      <c r="D330" s="387"/>
      <c r="E330" s="2679" cm="1" t="n">
        <f t="array" ref="E330">INDEX('5층_부하량'!J3:J3000,MATCH(1,("5-DaHall 1-PDU-11"='5층_부하량'!A3:A3000)*(29='5층_부하량'!B3:B3000),0))</f>
        <v>5.203714940097604</v>
      </c>
      <c r="F330" s="387"/>
      <c r="G330" s="21"/>
      <c r="H330" s="17" t="s">
        <v>5811</v>
      </c>
      <c r="I330" s="1215" t="s">
        <v>4691</v>
      </c>
      <c r="J330" s="1033" t="s">
        <v>5874</v>
      </c>
      <c r="K330" s="1028"/>
      <c r="L330" s="568" t="s">
        <v>4692</v>
      </c>
      <c r="M330" s="17" t="s">
        <v>5811</v>
      </c>
      <c r="N330" s="387"/>
      <c r="O330" s="2679" cm="1" t="n">
        <f t="array" ref="O330">INDEX('5층_부하량'!J3:J3000,MATCH(1,("5-DaHall 1-PDU-11"='5층_부하량'!A3:A3000)*(30='5층_부하량'!B3:B3000),0))</f>
        <v>5.239361570072559</v>
      </c>
      <c r="P330" s="387"/>
      <c r="Q330" s="21"/>
      <c r="R330" s="69" t="s">
        <v>4631</v>
      </c>
      <c r="S330" s="18" t="s">
        <v>4575</v>
      </c>
      <c r="T330" s="70" t="s">
        <v>5875</v>
      </c>
    </row>
    <row r="331" spans="1:20" ht="17.25" thickBot="1" x14ac:dyDescent="0.2">
      <c r="A331" s="38" t="s">
        <v>5876</v>
      </c>
      <c r="B331" s="35" t="s">
        <v>4631</v>
      </c>
      <c r="C331" s="35" t="s">
        <v>4642</v>
      </c>
      <c r="D331" s="433"/>
      <c r="E331" s="433"/>
      <c r="F331" s="2680" cm="1">
        <f t="array" ref="F331">INDEX('5층_부하량'!K3:K3000,MATCH(1,("5-DaHall 1-PDU-11"='5층_부하량'!A3:A3000)*(31='5층_부하량'!B3:B3000),0))</f>
        <v>0</v>
      </c>
      <c r="G331" s="36"/>
      <c r="H331" s="35" t="s">
        <v>5811</v>
      </c>
      <c r="I331" s="551" t="s">
        <v>4693</v>
      </c>
      <c r="J331" s="1036"/>
      <c r="K331" s="1037" t="s">
        <v>5832</v>
      </c>
      <c r="L331" s="551" t="s">
        <v>4694</v>
      </c>
      <c r="M331" s="35" t="s">
        <v>5811</v>
      </c>
      <c r="N331" s="433"/>
      <c r="O331" s="433"/>
      <c r="P331" s="2680" cm="1">
        <f t="array" ref="P331">INDEX('5층_부하량'!K3:K3000,MATCH(1,("5-DaHall 1-PDU-11"='5층_부하량'!A3:A3000)*(32='5층_부하량'!B3:B3000),0))</f>
        <v>0</v>
      </c>
      <c r="Q331" s="36"/>
      <c r="R331" s="78" t="s">
        <v>4631</v>
      </c>
      <c r="S331" s="39" t="s">
        <v>4575</v>
      </c>
      <c r="T331" s="79"/>
    </row>
    <row r="332" spans="1:20" ht="15" thickTop="1" thickBot="1" x14ac:dyDescent="0.2">
      <c r="M332" s="80" t="s">
        <v>5645</v>
      </c>
      <c r="N332" s="33" t="n">
        <f>SUM(D316:D331,N316:N331)</f>
        <v>15.265068958209973</v>
      </c>
      <c r="O332" s="33" t="n">
        <f>SUM(E316:E331,O316:O331)</f>
        <v>32.32040422179023</v>
      </c>
      <c r="P332" s="33" t="n">
        <f>SUM(F316:F331,P316:P331)</f>
        <v>18.83739932582729</v>
      </c>
    </row>
    <row r="333" spans="1:20" ht="20.25" thickTop="1" thickBot="1" x14ac:dyDescent="0.2">
      <c r="A333" s="2" t="s">
        <v>6956</v>
      </c>
      <c r="C333" s="3660" t="s">
        <v>5877</v>
      </c>
      <c r="D333" s="3660"/>
      <c r="E333" s="3660"/>
      <c r="F333" s="3660"/>
      <c r="G333" s="53"/>
      <c r="H333" s="124"/>
      <c r="I333" s="124"/>
      <c r="J333" s="3661" t="s">
        <v>5646</v>
      </c>
      <c r="K333" s="3667"/>
      <c r="L333" s="124"/>
      <c r="M333" s="124"/>
      <c r="N333" s="53"/>
      <c r="O333" s="53"/>
      <c r="P333" s="53"/>
      <c r="Q333" s="53"/>
      <c r="R333" s="53"/>
      <c r="S333" s="53"/>
    </row>
    <row r="334" spans="1:20" ht="15" customHeight="1" thickTop="1" thickBot="1" x14ac:dyDescent="0.2">
      <c r="A334" s="3"/>
      <c r="D334" s="54"/>
      <c r="E334" s="54"/>
      <c r="F334" s="54"/>
      <c r="G334" s="54"/>
      <c r="H334" s="4"/>
      <c r="I334" s="4"/>
      <c r="K334" s="56"/>
      <c r="L334" s="565"/>
      <c r="M334" s="1371" t="s">
        <v>4562</v>
      </c>
      <c r="N334" s="1368">
        <v>12</v>
      </c>
      <c r="O334" s="1369">
        <v>18.7</v>
      </c>
      <c r="P334" s="1370">
        <v>14.6</v>
      </c>
      <c r="Q334" s="508" t="s">
        <v>4563</v>
      </c>
      <c r="R334" s="133"/>
      <c r="S334" s="128"/>
      <c r="T334" s="528"/>
    </row>
    <row r="335" spans="1:20" ht="15" thickTop="1" thickBot="1" x14ac:dyDescent="0.2">
      <c r="A335" s="5" t="s">
        <v>4564</v>
      </c>
      <c r="B335" s="6" t="s">
        <v>4565</v>
      </c>
      <c r="C335" s="7" t="s">
        <v>4566</v>
      </c>
      <c r="D335" s="6" t="s">
        <v>4567</v>
      </c>
      <c r="E335" s="6" t="s">
        <v>4568</v>
      </c>
      <c r="F335" s="6" t="s">
        <v>4569</v>
      </c>
      <c r="G335" s="6" t="s">
        <v>4570</v>
      </c>
      <c r="H335" s="8" t="s">
        <v>4571</v>
      </c>
      <c r="I335" s="547"/>
      <c r="J335" s="58" t="s">
        <v>4572</v>
      </c>
      <c r="K335" s="59" t="s">
        <v>4572</v>
      </c>
      <c r="L335" s="566"/>
      <c r="M335" s="8" t="s">
        <v>4571</v>
      </c>
      <c r="N335" s="6" t="s">
        <v>4567</v>
      </c>
      <c r="O335" s="6" t="s">
        <v>4568</v>
      </c>
      <c r="P335" s="6" t="s">
        <v>4569</v>
      </c>
      <c r="Q335" s="6" t="s">
        <v>4570</v>
      </c>
      <c r="R335" s="6" t="s">
        <v>4565</v>
      </c>
      <c r="S335" s="7" t="s">
        <v>4566</v>
      </c>
      <c r="T335" s="60" t="s">
        <v>4564</v>
      </c>
    </row>
    <row r="336" spans="1:20" ht="14.25" thickTop="1" x14ac:dyDescent="0.15">
      <c r="A336" s="10"/>
      <c r="B336" s="11" t="s">
        <v>4590</v>
      </c>
      <c r="C336" s="13" t="s">
        <v>4642</v>
      </c>
      <c r="D336" s="2681" cm="1">
        <f t="array" ref="D336">INDEX('5층_부하량'!I3:I3000,MATCH(1,("5-DaHall 1-PDU-13"='5층_부하량'!A3:A3000)*(1='5층_부하량'!B3:B3000),0))</f>
        <v>0</v>
      </c>
      <c r="E336" s="2681" cm="1">
        <f t="array" ref="E336">INDEX('5층_부하량'!J3:J3000,MATCH(1,("5-DaHall 1-PDU-13"='5층_부하량'!A3:A3000)*(1='5층_부하량'!B3:B3000),0))</f>
        <v>0</v>
      </c>
      <c r="F336" s="2681" cm="1">
        <f t="array" ref="F336">INDEX('5층_부하량'!K3:K3000,MATCH(1,("5-DaHall 1-PDU-13"='5층_부하량'!A3:A3000)*(1='5층_부하량'!B3:B3000),0))</f>
        <v>0</v>
      </c>
      <c r="G336" s="15"/>
      <c r="H336" s="13" t="s">
        <v>5786</v>
      </c>
      <c r="I336" s="1177" t="s">
        <v>5787</v>
      </c>
      <c r="J336" s="61"/>
      <c r="K336" s="62"/>
      <c r="L336" s="567" t="s">
        <v>5788</v>
      </c>
      <c r="M336" s="11" t="s">
        <v>5786</v>
      </c>
      <c r="N336" s="2681" cm="1">
        <f t="array" ref="N336">INDEX('5층_부하량'!I3:I3000,MATCH(1,("5-DaHall 1-PDU-13"='5층_부하량'!A3:A3000)*(2='5층_부하량'!B3:B3000),0))</f>
        <v>0</v>
      </c>
      <c r="O336" s="2681" cm="1">
        <f t="array" ref="O336">INDEX('5층_부하량'!J3:J3000,MATCH(1,("5-DaHall 1-PDU-13"='5층_부하량'!A3:A3000)*(2='5층_부하량'!B3:B3000),0))</f>
        <v>0</v>
      </c>
      <c r="P336" s="2681" cm="1">
        <f t="array" ref="P336">INDEX('5층_부하량'!K3:K3000,MATCH(1,("5-DaHall 1-PDU-13"='5층_부하량'!A3:A3000)*(2='5층_부하량'!B3:B3000),0))</f>
        <v>0</v>
      </c>
      <c r="Q336" s="15"/>
      <c r="R336" s="63" t="s">
        <v>4590</v>
      </c>
      <c r="S336" s="11" t="s">
        <v>4642</v>
      </c>
      <c r="T336" s="98"/>
    </row>
    <row r="337" spans="1:20" ht="16.5" x14ac:dyDescent="0.15">
      <c r="A337" s="16" t="s">
        <v>5878</v>
      </c>
      <c r="B337" s="17" t="s">
        <v>4631</v>
      </c>
      <c r="C337" s="18" t="s">
        <v>4575</v>
      </c>
      <c r="D337" s="2682" cm="1" t="n">
        <f t="array" ref="D337">INDEX('5층_부하량'!I3:I3000,MATCH(1,("5-DaHall 1-PDU-13"='5층_부하량'!A3:A3000)*(3='5층_부하량'!B3:B3000),0))</f>
        <v>5.280917635149092</v>
      </c>
      <c r="E337" s="383"/>
      <c r="F337" s="383"/>
      <c r="G337" s="19"/>
      <c r="H337" s="17" t="s">
        <v>5790</v>
      </c>
      <c r="I337" s="1207" t="s">
        <v>4638</v>
      </c>
      <c r="J337" s="1031" t="s">
        <v>5832</v>
      </c>
      <c r="K337" s="1024" t="s">
        <v>5832</v>
      </c>
      <c r="L337" s="549" t="s">
        <v>4583</v>
      </c>
      <c r="M337" s="17" t="s">
        <v>5786</v>
      </c>
      <c r="N337" s="2682" cm="1">
        <f t="array" ref="N337">INDEX('5층_부하량'!I3:I3000,MATCH(1,("5-DaHall 1-PDU-13"='5층_부하량'!A3:A3000)*(4='5층_부하량'!B3:B3000),0))</f>
        <v>0</v>
      </c>
      <c r="O337" s="383"/>
      <c r="P337" s="383"/>
      <c r="Q337" s="19"/>
      <c r="R337" s="67" t="s">
        <v>4631</v>
      </c>
      <c r="S337" s="18" t="s">
        <v>4575</v>
      </c>
      <c r="T337" s="68" t="s">
        <v>3097</v>
      </c>
    </row>
    <row r="338" spans="1:20" ht="16.5" x14ac:dyDescent="0.15">
      <c r="A338" s="599" t="s">
        <v>5879</v>
      </c>
      <c r="B338" s="17" t="s">
        <v>4631</v>
      </c>
      <c r="C338" s="18" t="s">
        <v>4575</v>
      </c>
      <c r="D338" s="387"/>
      <c r="E338" s="2679" cm="1" t="n">
        <f t="array" ref="E338">INDEX('5층_부하량'!J3:J3000,MATCH(1,("5-DaHall 1-PDU-13"='5층_부하량'!A3:A3000)*(5='5층_부하량'!B3:B3000),0))</f>
        <v>3.8314901147064435</v>
      </c>
      <c r="F338" s="387"/>
      <c r="G338" s="21"/>
      <c r="H338" s="17" t="s">
        <v>5786</v>
      </c>
      <c r="I338" s="1207" t="s">
        <v>4641</v>
      </c>
      <c r="J338" s="1023" t="s">
        <v>5828</v>
      </c>
      <c r="K338" s="1024" t="s">
        <v>5832</v>
      </c>
      <c r="L338" s="549" t="s">
        <v>4588</v>
      </c>
      <c r="M338" s="17" t="s">
        <v>5786</v>
      </c>
      <c r="N338" s="387"/>
      <c r="O338" s="2679" cm="1" t="n">
        <f t="array" ref="O338">INDEX('5층_부하량'!J3:J3000,MATCH(1,("5-DaHall 1-PDU-13"='5층_부하량'!A3:A3000)*(6='5층_부하량'!B3:B3000),0))</f>
        <v>5.7185788115502865</v>
      </c>
      <c r="P338" s="387"/>
      <c r="Q338" s="21"/>
      <c r="R338" s="69" t="s">
        <v>4631</v>
      </c>
      <c r="S338" s="18" t="s">
        <v>4575</v>
      </c>
      <c r="T338" s="70" t="s">
        <v>3104</v>
      </c>
    </row>
    <row r="339" spans="1:20" ht="16.5" x14ac:dyDescent="0.15">
      <c r="A339" s="16" t="s">
        <v>5880</v>
      </c>
      <c r="B339" s="17" t="s">
        <v>4631</v>
      </c>
      <c r="C339" s="18" t="s">
        <v>4575</v>
      </c>
      <c r="D339" s="387"/>
      <c r="E339" s="387"/>
      <c r="F339" s="2679" cm="1" t="n">
        <f t="array" ref="F339">INDEX('5층_부하량'!K3:K3000,MATCH(1,("5-DaHall 1-PDU-13"='5층_부하량'!A3:A3000)*(7='5층_부하량'!B3:B3000),0))</f>
        <v>0.6809343976092294</v>
      </c>
      <c r="G339" s="21"/>
      <c r="H339" s="17" t="s">
        <v>5786</v>
      </c>
      <c r="I339" s="549" t="s">
        <v>4645</v>
      </c>
      <c r="J339" s="1031" t="s">
        <v>5832</v>
      </c>
      <c r="K339" s="1024" t="s">
        <v>5832</v>
      </c>
      <c r="L339" s="549" t="s">
        <v>4593</v>
      </c>
      <c r="M339" s="17" t="s">
        <v>5795</v>
      </c>
      <c r="N339" s="387"/>
      <c r="O339" s="387"/>
      <c r="P339" s="2679" cm="1" t="n">
        <f t="array" ref="P339">INDEX('5층_부하량'!K3:K3000,MATCH(1,("5-DaHall 1-PDU-13"='5층_부하량'!A3:A3000)*(8='5층_부하량'!B3:B3000),0))</f>
        <v>4.114321436456489</v>
      </c>
      <c r="Q339" s="21"/>
      <c r="R339" s="69" t="s">
        <v>4631</v>
      </c>
      <c r="S339" s="18" t="s">
        <v>4575</v>
      </c>
      <c r="T339" s="68" t="s">
        <v>3110</v>
      </c>
    </row>
    <row r="340" spans="1:20" ht="16.5" x14ac:dyDescent="0.15">
      <c r="A340" s="321" t="s">
        <v>5881</v>
      </c>
      <c r="B340" s="17" t="s">
        <v>4631</v>
      </c>
      <c r="C340" s="18" t="s">
        <v>4575</v>
      </c>
      <c r="D340" s="2679" cm="1">
        <f t="array" ref="D340">INDEX('5층_부하량'!I3:I3000,MATCH(1,("5-DaHall 1-PDU-13"='5층_부하량'!A3:A3000)*(9='5층_부하량'!B3:B3000),0))</f>
        <v>0</v>
      </c>
      <c r="E340" s="387"/>
      <c r="F340" s="387"/>
      <c r="G340" s="21"/>
      <c r="H340" s="17" t="s">
        <v>5786</v>
      </c>
      <c r="I340" s="549" t="s">
        <v>4648</v>
      </c>
      <c r="J340" s="1031" t="s">
        <v>5832</v>
      </c>
      <c r="K340" s="1024" t="s">
        <v>5832</v>
      </c>
      <c r="L340" s="549" t="s">
        <v>4596</v>
      </c>
      <c r="M340" s="17" t="s">
        <v>5795</v>
      </c>
      <c r="N340" s="2679" cm="1" t="n">
        <f t="array" ref="N340">INDEX('5층_부하량'!I3:I3000,MATCH(1,("5-DaHall 1-PDU-13"='5층_부하량'!A3:A3000)*(10='5층_부하량'!B3:B3000),0))</f>
        <v>5.435065521716995</v>
      </c>
      <c r="O340" s="387"/>
      <c r="P340" s="387"/>
      <c r="Q340" s="21"/>
      <c r="R340" s="69" t="s">
        <v>4631</v>
      </c>
      <c r="S340" s="18" t="s">
        <v>4575</v>
      </c>
      <c r="T340" s="70" t="s">
        <v>3117</v>
      </c>
    </row>
    <row r="341" spans="1:20" ht="17.25" thickBot="1" x14ac:dyDescent="0.2">
      <c r="A341" s="16" t="s">
        <v>5882</v>
      </c>
      <c r="B341" s="23" t="s">
        <v>4631</v>
      </c>
      <c r="C341" s="24" t="s">
        <v>4575</v>
      </c>
      <c r="D341" s="417"/>
      <c r="E341" s="2686" cm="1" t="n">
        <f t="array" ref="E341">INDEX('5층_부하량'!J3:J3000,MATCH(1,("5-DaHall 1-PDU-13"='5층_부하량'!A3:A3000)*(11='5층_부하량'!B3:B3000),0))</f>
        <v>3.040638177383933</v>
      </c>
      <c r="F341" s="417"/>
      <c r="G341" s="25"/>
      <c r="H341" s="23" t="s">
        <v>5883</v>
      </c>
      <c r="I341" s="555" t="s">
        <v>4653</v>
      </c>
      <c r="J341" s="1038" t="s">
        <v>5832</v>
      </c>
      <c r="K341" s="1032" t="s">
        <v>5832</v>
      </c>
      <c r="L341" s="555" t="s">
        <v>4599</v>
      </c>
      <c r="M341" s="23" t="s">
        <v>5801</v>
      </c>
      <c r="N341" s="417"/>
      <c r="O341" s="2686" cm="1" t="n">
        <f t="array" ref="O341">INDEX('5층_부하량'!J3:J3000,MATCH(1,("5-DaHall 1-PDU-13"='5층_부하량'!A3:A3000)*(12='5층_부하량'!B3:B3000),0))</f>
        <v>8.8343880048585</v>
      </c>
      <c r="P341" s="417"/>
      <c r="Q341" s="25"/>
      <c r="R341" s="108" t="s">
        <v>4631</v>
      </c>
      <c r="S341" s="24" t="s">
        <v>4575</v>
      </c>
      <c r="T341" s="104" t="s">
        <v>2542</v>
      </c>
    </row>
    <row r="342" spans="1:20" ht="17.25" thickTop="1" x14ac:dyDescent="0.15">
      <c r="A342" s="10" t="s">
        <v>3043</v>
      </c>
      <c r="B342" s="11" t="s">
        <v>4631</v>
      </c>
      <c r="C342" s="97" t="s">
        <v>4575</v>
      </c>
      <c r="D342" s="401"/>
      <c r="E342" s="401"/>
      <c r="F342" s="2678" cm="1" t="n">
        <f t="array" ref="F342">INDEX('5층_부하량'!K3:K3000,MATCH(1,("5-DaHall 1-PDU-13"='5층_부하량'!A3:A3000)*(13='5층_부하량'!B3:B3000),0))</f>
        <v>1.1149490974259733</v>
      </c>
      <c r="G342" s="105"/>
      <c r="H342" s="11" t="s">
        <v>5811</v>
      </c>
      <c r="I342" s="548" t="s">
        <v>4657</v>
      </c>
      <c r="J342" s="1026" t="s">
        <v>5832</v>
      </c>
      <c r="K342" s="1030" t="s">
        <v>5832</v>
      </c>
      <c r="L342" s="548" t="s">
        <v>4601</v>
      </c>
      <c r="M342" s="11" t="s">
        <v>5801</v>
      </c>
      <c r="N342" s="401"/>
      <c r="O342" s="401"/>
      <c r="P342" s="2678" cm="1">
        <f t="array" ref="P342">INDEX('5층_부하량'!K3:K3000,MATCH(1,("5-DaHall 1-PDU-13"='5층_부하량'!A3:A3000)*(14='5층_부하량'!B3:B3000),0))</f>
        <v>0</v>
      </c>
      <c r="Q342" s="105"/>
      <c r="R342" s="106" t="s">
        <v>4631</v>
      </c>
      <c r="S342" s="97" t="s">
        <v>4575</v>
      </c>
      <c r="T342" s="101" t="s">
        <v>2548</v>
      </c>
    </row>
    <row r="343" spans="1:20" ht="16.5" x14ac:dyDescent="0.15">
      <c r="A343" s="665" t="s">
        <v>5884</v>
      </c>
      <c r="B343" s="72" t="s">
        <v>4631</v>
      </c>
      <c r="C343" s="73" t="s">
        <v>4575</v>
      </c>
      <c r="D343" s="2687" cm="1">
        <f t="array" ref="D343">INDEX('5층_부하량'!I3:I3000,MATCH(1,("5-DaHall 1-PDU-13"='5층_부하량'!A3:A3000)*(15='5층_부하량'!B3:B3000),0))</f>
        <v>0</v>
      </c>
      <c r="E343" s="426"/>
      <c r="F343" s="426"/>
      <c r="G343" s="74"/>
      <c r="H343" s="72" t="s">
        <v>5801</v>
      </c>
      <c r="I343" s="550" t="s">
        <v>4661</v>
      </c>
      <c r="J343" s="1023" t="s">
        <v>5828</v>
      </c>
      <c r="K343" s="1039" t="s">
        <v>5828</v>
      </c>
      <c r="L343" s="550" t="s">
        <v>4603</v>
      </c>
      <c r="M343" s="72" t="s">
        <v>5801</v>
      </c>
      <c r="N343" s="2687" cm="1" t="n">
        <f t="array" ref="N343">INDEX('5층_부하량'!I3:I3000,MATCH(1,("5-DaHall 1-PDU-13"='5층_부하량'!A3:A3000)*(16='5층_부하량'!B3:B3000),0))</f>
        <v>3.765911846659028</v>
      </c>
      <c r="O343" s="426"/>
      <c r="P343" s="426"/>
      <c r="Q343" s="74"/>
      <c r="R343" s="75" t="s">
        <v>4631</v>
      </c>
      <c r="S343" s="73" t="s">
        <v>4575</v>
      </c>
      <c r="T343" s="666" t="s">
        <v>5885</v>
      </c>
    </row>
    <row r="344" spans="1:20" ht="16.5" x14ac:dyDescent="0.15">
      <c r="A344" s="321" t="s">
        <v>5886</v>
      </c>
      <c r="B344" s="17" t="s">
        <v>4631</v>
      </c>
      <c r="C344" s="18" t="s">
        <v>4575</v>
      </c>
      <c r="D344" s="387"/>
      <c r="E344" s="2679" cm="1">
        <f t="array" ref="E344">INDEX('5층_부하량'!J3:J3000,MATCH(1,("5-DaHall 1-PDU-13"='5층_부하량'!A3:A3000)*(17='5층_부하량'!B3:B3000),0))</f>
        <v>0</v>
      </c>
      <c r="F344" s="387"/>
      <c r="G344" s="21"/>
      <c r="H344" s="17" t="s">
        <v>5801</v>
      </c>
      <c r="I344" s="549" t="s">
        <v>4665</v>
      </c>
      <c r="J344" s="1031" t="s">
        <v>5832</v>
      </c>
      <c r="K344" s="1024" t="s">
        <v>5832</v>
      </c>
      <c r="L344" s="549" t="s">
        <v>4605</v>
      </c>
      <c r="M344" s="17" t="s">
        <v>5801</v>
      </c>
      <c r="N344" s="387"/>
      <c r="O344" s="2679" cm="1">
        <f t="array" ref="O344">INDEX('5층_부하량'!J3:J3000,MATCH(1,("5-DaHall 1-PDU-13"='5층_부하량'!A3:A3000)*(18='5층_부하량'!B3:B3000),0))</f>
        <v>0</v>
      </c>
      <c r="P344" s="387"/>
      <c r="Q344" s="21"/>
      <c r="R344" s="69" t="s">
        <v>4631</v>
      </c>
      <c r="S344" s="1442" t="s">
        <v>4723</v>
      </c>
      <c r="T344" s="70" t="s">
        <v>5387</v>
      </c>
    </row>
    <row r="345" spans="1:20" ht="16.5" x14ac:dyDescent="0.15">
      <c r="A345" s="99" t="s">
        <v>3065</v>
      </c>
      <c r="B345" s="17" t="s">
        <v>4631</v>
      </c>
      <c r="C345" s="18" t="s">
        <v>4575</v>
      </c>
      <c r="D345" s="387"/>
      <c r="E345" s="387"/>
      <c r="F345" s="2679" cm="1" t="n">
        <f t="array" ref="F345">INDEX('5층_부하량'!K3:K3000,MATCH(1,("5-DaHall 1-PDU-13"='5층_부하량'!A3:A3000)*(19='5층_부하량'!B3:B3000),0))</f>
        <v>5.57468012737289</v>
      </c>
      <c r="G345" s="21"/>
      <c r="H345" s="17" t="s">
        <v>5811</v>
      </c>
      <c r="I345" s="549" t="s">
        <v>4670</v>
      </c>
      <c r="J345" s="1031" t="s">
        <v>5832</v>
      </c>
      <c r="K345" s="1024" t="s">
        <v>5832</v>
      </c>
      <c r="L345" s="549" t="s">
        <v>4609</v>
      </c>
      <c r="M345" s="17" t="s">
        <v>5811</v>
      </c>
      <c r="N345" s="387"/>
      <c r="O345" s="387"/>
      <c r="P345" s="2679" cm="1" t="n">
        <f t="array" ref="P345">INDEX('5층_부하량'!K3:K3000,MATCH(1,("5-DaHall 1-PDU-13"='5층_부하량'!A3:A3000)*(20='5층_부하량'!B3:B3000),0))</f>
        <v>4.043955782257792</v>
      </c>
      <c r="Q345" s="21"/>
      <c r="R345" s="69" t="s">
        <v>4631</v>
      </c>
      <c r="S345" s="1442" t="s">
        <v>4723</v>
      </c>
      <c r="T345" s="70" t="s">
        <v>5389</v>
      </c>
    </row>
    <row r="346" spans="1:20" ht="16.5" x14ac:dyDescent="0.15">
      <c r="A346" s="321" t="s">
        <v>3074</v>
      </c>
      <c r="B346" s="17" t="s">
        <v>4631</v>
      </c>
      <c r="C346" s="18" t="s">
        <v>4575</v>
      </c>
      <c r="D346" s="2679" cm="1" t="n">
        <f t="array" ref="D346">INDEX('5층_부하량'!I3:I3000,MATCH(1,("5-DaHall 1-PDU-13"='5층_부하량'!A3:A3000)*(21='5층_부하량'!B3:B3000),0))</f>
        <v>3.098823425315421</v>
      </c>
      <c r="E346" s="387"/>
      <c r="F346" s="387"/>
      <c r="G346" s="21"/>
      <c r="H346" s="17" t="s">
        <v>5811</v>
      </c>
      <c r="I346" s="549" t="s">
        <v>4674</v>
      </c>
      <c r="J346" s="1031" t="s">
        <v>5832</v>
      </c>
      <c r="K346" s="1024" t="s">
        <v>5832</v>
      </c>
      <c r="L346" s="549" t="s">
        <v>4613</v>
      </c>
      <c r="M346" s="17" t="s">
        <v>5811</v>
      </c>
      <c r="N346" s="2679" cm="1">
        <f t="array" ref="N346">INDEX('5층_부하량'!I3:I3000,MATCH(1,("5-DaHall 1-PDU-13"='5층_부하량'!A3:A3000)*(22='5층_부하량'!B3:B3000),0))</f>
        <v>0</v>
      </c>
      <c r="O346" s="387"/>
      <c r="P346" s="387"/>
      <c r="Q346" s="21"/>
      <c r="R346" s="69" t="s">
        <v>4631</v>
      </c>
      <c r="S346" s="1442" t="s">
        <v>4723</v>
      </c>
      <c r="T346" s="70" t="s">
        <v>5391</v>
      </c>
    </row>
    <row r="347" spans="1:20" ht="16.5" x14ac:dyDescent="0.15">
      <c r="A347" s="99" t="s">
        <v>3079</v>
      </c>
      <c r="B347" s="17" t="s">
        <v>4631</v>
      </c>
      <c r="C347" s="18" t="s">
        <v>4575</v>
      </c>
      <c r="D347" s="387"/>
      <c r="E347" s="2679" cm="1" t="n">
        <f t="array" ref="E347">INDEX('5층_부하량'!J3:J3000,MATCH(1,("5-DaHall 1-PDU-13"='5층_부하량'!A3:A3000)*(23='5층_부하량'!B3:B3000),0))</f>
        <v>8.94995989805581</v>
      </c>
      <c r="F347" s="387"/>
      <c r="G347" s="21"/>
      <c r="H347" s="17" t="s">
        <v>5811</v>
      </c>
      <c r="I347" s="549" t="s">
        <v>4678</v>
      </c>
      <c r="J347" s="1031" t="s">
        <v>5832</v>
      </c>
      <c r="K347" s="1024" t="s">
        <v>5832</v>
      </c>
      <c r="L347" s="549" t="s">
        <v>4680</v>
      </c>
      <c r="M347" s="17" t="s">
        <v>5811</v>
      </c>
      <c r="N347" s="387"/>
      <c r="O347" s="2679" cm="1" t="n">
        <f t="array" ref="O347">INDEX('5층_부하량'!J3:J3000,MATCH(1,("5-DaHall 1-PDU-13"='5층_부하량'!A3:A3000)*(24='5층_부하량'!B3:B3000),0))</f>
        <v>3.708803096276047</v>
      </c>
      <c r="P347" s="387"/>
      <c r="Q347" s="21"/>
      <c r="R347" s="69" t="s">
        <v>4631</v>
      </c>
      <c r="S347" s="1442" t="s">
        <v>4723</v>
      </c>
      <c r="T347" s="70" t="s">
        <v>3145</v>
      </c>
    </row>
    <row r="348" spans="1:20" ht="16.5" x14ac:dyDescent="0.15">
      <c r="A348" s="321" t="s">
        <v>3087</v>
      </c>
      <c r="B348" s="17" t="s">
        <v>4631</v>
      </c>
      <c r="C348" s="18" t="s">
        <v>4575</v>
      </c>
      <c r="D348" s="387"/>
      <c r="E348" s="387"/>
      <c r="F348" s="2679" cm="1" t="n">
        <f t="array" ref="F348">INDEX('5층_부하량'!K3:K3000,MATCH(1,("5-DaHall 1-PDU-13"='5층_부하량'!A3:A3000)*(25='5층_부하량'!B3:B3000),0))</f>
        <v>2.4386809822603417</v>
      </c>
      <c r="G348" s="21"/>
      <c r="H348" s="17" t="s">
        <v>5811</v>
      </c>
      <c r="I348" s="549" t="s">
        <v>4683</v>
      </c>
      <c r="J348" s="1031" t="s">
        <v>5832</v>
      </c>
      <c r="K348" s="1024" t="s">
        <v>5832</v>
      </c>
      <c r="L348" s="549" t="s">
        <v>4685</v>
      </c>
      <c r="M348" s="17" t="s">
        <v>5811</v>
      </c>
      <c r="N348" s="387"/>
      <c r="O348" s="387"/>
      <c r="P348" s="2679" cm="1" t="n">
        <f t="array" ref="P348">INDEX('5층_부하량'!K3:K3000,MATCH(1,("5-DaHall 1-PDU-13"='5층_부하량'!A3:A3000)*(26='5층_부하량'!B3:B3000),0))</f>
        <v>1.831355360381447</v>
      </c>
      <c r="Q348" s="21"/>
      <c r="R348" s="69" t="s">
        <v>4631</v>
      </c>
      <c r="S348" s="18" t="s">
        <v>4575</v>
      </c>
      <c r="T348" s="70" t="s">
        <v>5887</v>
      </c>
    </row>
    <row r="349" spans="1:20" ht="16.5" x14ac:dyDescent="0.15">
      <c r="A349" s="99" t="s">
        <v>5374</v>
      </c>
      <c r="B349" s="17" t="s">
        <v>4631</v>
      </c>
      <c r="C349" s="18" t="s">
        <v>4575</v>
      </c>
      <c r="D349" s="2679" cm="1">
        <f t="array" ref="D349">INDEX('5층_부하량'!I3:I3000,MATCH(1,("5-DaHall 1-PDU-13"='5층_부하량'!A3:A3000)*(27='5층_부하량'!B3:B3000),0))</f>
        <v>0</v>
      </c>
      <c r="E349" s="387"/>
      <c r="F349" s="387"/>
      <c r="G349" s="21"/>
      <c r="H349" s="17" t="s">
        <v>5811</v>
      </c>
      <c r="I349" s="549" t="s">
        <v>4688</v>
      </c>
      <c r="J349" s="1031" t="s">
        <v>5832</v>
      </c>
      <c r="K349" s="1024" t="s">
        <v>5832</v>
      </c>
      <c r="L349" s="549" t="s">
        <v>4689</v>
      </c>
      <c r="M349" s="17" t="s">
        <v>5811</v>
      </c>
      <c r="N349" s="2679" cm="1">
        <f t="array" ref="N349">INDEX('5층_부하량'!I3:I3000,MATCH(1,("5-DaHall 1-PDU-13"='5층_부하량'!A3:A3000)*(28='5층_부하량'!B3:B3000),0))</f>
        <v>0</v>
      </c>
      <c r="O349" s="387"/>
      <c r="P349" s="387"/>
      <c r="Q349" s="21"/>
      <c r="R349" s="69" t="s">
        <v>4631</v>
      </c>
      <c r="S349" s="1442" t="s">
        <v>4723</v>
      </c>
      <c r="T349" s="70" t="s">
        <v>5888</v>
      </c>
    </row>
    <row r="350" spans="1:20" ht="16.5" x14ac:dyDescent="0.15">
      <c r="A350" s="321" t="s">
        <v>5375</v>
      </c>
      <c r="B350" s="17" t="s">
        <v>4631</v>
      </c>
      <c r="C350" s="18" t="s">
        <v>4575</v>
      </c>
      <c r="D350" s="387"/>
      <c r="E350" s="2679" cm="1" t="n">
        <f t="array" ref="E350">INDEX('5층_부하량'!J3:J3000,MATCH(1,("5-DaHall 1-PDU-13"='5층_부하량'!A3:A3000)*(29='5층_부하량'!B3:B3000),0))</f>
        <v>1.8120711232380269</v>
      </c>
      <c r="F350" s="387"/>
      <c r="G350" s="21"/>
      <c r="H350" s="17" t="s">
        <v>5811</v>
      </c>
      <c r="I350" s="549" t="s">
        <v>4691</v>
      </c>
      <c r="J350" s="1031" t="s">
        <v>5832</v>
      </c>
      <c r="K350" s="1024" t="s">
        <v>5832</v>
      </c>
      <c r="L350" s="549" t="s">
        <v>4692</v>
      </c>
      <c r="M350" s="17" t="s">
        <v>5811</v>
      </c>
      <c r="N350" s="387"/>
      <c r="O350" s="2679" cm="1">
        <f t="array" ref="O350">INDEX('5층_부하량'!J3:J3000,MATCH(1,("5-DaHall 1-PDU-13"='5층_부하량'!A3:A3000)*(30='5층_부하량'!B3:B3000),0))</f>
        <v>0</v>
      </c>
      <c r="P350" s="387"/>
      <c r="Q350" s="21"/>
      <c r="R350" s="69" t="s">
        <v>4631</v>
      </c>
      <c r="S350" s="1442" t="s">
        <v>4723</v>
      </c>
      <c r="T350" s="70" t="s">
        <v>5889</v>
      </c>
    </row>
    <row r="351" spans="1:20" ht="17.25" thickBot="1" x14ac:dyDescent="0.2">
      <c r="A351" s="38" t="s">
        <v>5377</v>
      </c>
      <c r="B351" s="35" t="s">
        <v>4631</v>
      </c>
      <c r="C351" s="39" t="s">
        <v>4575</v>
      </c>
      <c r="D351" s="433"/>
      <c r="E351" s="433"/>
      <c r="F351" s="2680" cm="1">
        <f t="array" ref="F351">INDEX('5층_부하량'!K3:K3000,MATCH(1,("5-DaHall 1-PDU-13"='5층_부하량'!A3:A3000)*(31='5층_부하량'!B3:B3000),0))</f>
        <v>0</v>
      </c>
      <c r="G351" s="36"/>
      <c r="H351" s="35" t="s">
        <v>5811</v>
      </c>
      <c r="I351" s="551" t="s">
        <v>4693</v>
      </c>
      <c r="J351" s="1036" t="s">
        <v>5832</v>
      </c>
      <c r="K351" s="1037" t="s">
        <v>5832</v>
      </c>
      <c r="L351" s="551" t="s">
        <v>4694</v>
      </c>
      <c r="M351" s="35" t="s">
        <v>5811</v>
      </c>
      <c r="N351" s="433"/>
      <c r="O351" s="433"/>
      <c r="P351" s="2680" cm="1">
        <f t="array" ref="P351">INDEX('5층_부하량'!K3:K3000,MATCH(1,("5-DaHall 1-PDU-13"='5층_부하량'!A3:A3000)*(32='5층_부하량'!B3:B3000),0))</f>
        <v>0</v>
      </c>
      <c r="Q351" s="36"/>
      <c r="R351" s="78" t="s">
        <v>4631</v>
      </c>
      <c r="S351" s="39" t="s">
        <v>4575</v>
      </c>
      <c r="T351" s="122" t="s">
        <v>5890</v>
      </c>
    </row>
    <row r="352" spans="1:20" ht="15" thickTop="1" thickBot="1" x14ac:dyDescent="0.2">
      <c r="M352" s="80" t="s">
        <v>5645</v>
      </c>
      <c r="N352" s="33" t="n">
        <f>SUM(D336:D351,N336:N351)</f>
        <v>17.580718428840534</v>
      </c>
      <c r="O352" s="33" t="n">
        <f>SUM(E336:E351,O336:O351)</f>
        <v>35.89592922606905</v>
      </c>
      <c r="P352" s="33" t="n">
        <f>SUM(F336:F351,P336:P351)</f>
        <v>19.798877183764162</v>
      </c>
    </row>
    <row r="353" spans="1:20" s="356" customFormat="1" ht="20.25" thickTop="1" thickBot="1" x14ac:dyDescent="0.2">
      <c r="A353" s="355" t="s">
        <v>6957</v>
      </c>
      <c r="C353" s="3660" t="s">
        <v>5891</v>
      </c>
      <c r="D353" s="3660"/>
      <c r="E353" s="3660"/>
      <c r="F353" s="3660"/>
      <c r="G353" s="357"/>
      <c r="H353" s="358"/>
      <c r="I353" s="358"/>
      <c r="J353" s="3668" t="s">
        <v>4715</v>
      </c>
      <c r="K353" s="3669"/>
      <c r="L353" s="2442"/>
      <c r="M353" s="358"/>
      <c r="N353" s="357"/>
      <c r="O353" s="357"/>
      <c r="P353" s="357"/>
      <c r="Q353" s="357"/>
      <c r="R353" s="357"/>
      <c r="S353" s="357"/>
    </row>
    <row r="354" spans="1:20" s="356" customFormat="1" ht="15" customHeight="1" thickTop="1" thickBot="1" x14ac:dyDescent="0.2">
      <c r="A354" s="3"/>
      <c r="B354"/>
      <c r="C354"/>
      <c r="D354" s="54"/>
      <c r="E354" s="54"/>
      <c r="F354" s="54"/>
      <c r="G354" s="54"/>
      <c r="H354" s="4"/>
      <c r="I354" s="4"/>
      <c r="J354"/>
      <c r="K354" s="56"/>
      <c r="L354" s="565"/>
      <c r="M354" s="1371" t="s">
        <v>4562</v>
      </c>
      <c r="N354" s="1368">
        <v>19.100000000000001</v>
      </c>
      <c r="O354" s="1369">
        <v>6.2</v>
      </c>
      <c r="P354" s="1370">
        <v>14.5</v>
      </c>
      <c r="Q354" s="508" t="s">
        <v>4563</v>
      </c>
      <c r="R354" s="133"/>
      <c r="S354" s="128"/>
      <c r="T354" s="528"/>
    </row>
    <row r="355" spans="1:20" s="356" customFormat="1" ht="18" thickTop="1" thickBot="1" x14ac:dyDescent="0.2">
      <c r="A355" s="1306" t="s">
        <v>4564</v>
      </c>
      <c r="B355" s="365" t="s">
        <v>4565</v>
      </c>
      <c r="C355" s="366" t="s">
        <v>4566</v>
      </c>
      <c r="D355" s="365" t="s">
        <v>4567</v>
      </c>
      <c r="E355" s="365" t="s">
        <v>4568</v>
      </c>
      <c r="F355" s="365" t="s">
        <v>4569</v>
      </c>
      <c r="G355" s="365" t="s">
        <v>4570</v>
      </c>
      <c r="H355" s="367" t="s">
        <v>4571</v>
      </c>
      <c r="I355" s="557"/>
      <c r="J355" s="368" t="s">
        <v>4572</v>
      </c>
      <c r="K355" s="369" t="s">
        <v>4572</v>
      </c>
      <c r="L355" s="575"/>
      <c r="M355" s="367" t="s">
        <v>4571</v>
      </c>
      <c r="N355" s="365" t="s">
        <v>4567</v>
      </c>
      <c r="O355" s="365" t="s">
        <v>4568</v>
      </c>
      <c r="P355" s="365" t="s">
        <v>4569</v>
      </c>
      <c r="Q355" s="365" t="s">
        <v>4570</v>
      </c>
      <c r="R355" s="365" t="s">
        <v>4565</v>
      </c>
      <c r="S355" s="366" t="s">
        <v>4566</v>
      </c>
      <c r="T355" s="370" t="s">
        <v>4564</v>
      </c>
    </row>
    <row r="356" spans="1:20" s="356" customFormat="1" ht="17.25" thickTop="1" x14ac:dyDescent="0.15">
      <c r="A356" s="1307" t="s">
        <v>5892</v>
      </c>
      <c r="B356" s="372" t="s">
        <v>4635</v>
      </c>
      <c r="C356" s="389" t="s">
        <v>4575</v>
      </c>
      <c r="D356" s="2681" cm="1" t="n">
        <f t="array" ref="D356">INDEX('5층_부하량'!I3:I3000,MATCH(1,("5-DaHall 1-PDU-15"='5층_부하량'!A3:A3000)*(1='5층_부하량'!B3:B3000),0))</f>
        <v>6.0279209510746625</v>
      </c>
      <c r="E356" s="2681" cm="1" t="n">
        <f t="array" ref="E356">INDEX('5층_부하량'!J3:J3000,MATCH(1,("5-DaHall 1-PDU-15"='5층_부하량'!A3:A3000)*(1='5층_부하량'!B3:B3000),0))</f>
        <v>1.2529926146537091</v>
      </c>
      <c r="F356" s="2681" cm="1" t="n">
        <f t="array" ref="F356">INDEX('5층_부하량'!K3:K3000,MATCH(1,("5-DaHall 1-PDU-15"='5층_부하량'!A3:A3000)*(1='5층_부하량'!B3:B3000),0))</f>
        <v>7.972806767204351</v>
      </c>
      <c r="G356" s="377"/>
      <c r="H356" s="373" t="s">
        <v>5893</v>
      </c>
      <c r="I356" s="2443" t="s">
        <v>5894</v>
      </c>
      <c r="J356" s="1040" t="s">
        <v>3877</v>
      </c>
      <c r="K356" s="1041" t="s">
        <v>5895</v>
      </c>
      <c r="L356" s="1178" t="s">
        <v>5896</v>
      </c>
      <c r="M356" s="372" t="s">
        <v>5893</v>
      </c>
      <c r="N356" s="2681" cm="1" t="n">
        <f t="array" ref="N356">INDEX('5층_부하량'!I3:I3000,MATCH(1,("5-DaHall 1-PDU-15"='5층_부하량'!A3:A3000)*(2='5층_부하량'!B3:B3000),0))</f>
        <v>3.2897207263847617</v>
      </c>
      <c r="O356" s="2681" cm="1" t="n">
        <f t="array" ref="O356">INDEX('5층_부하량'!J3:J3000,MATCH(1,("5-DaHall 1-PDU-15"='5층_부하량'!A3:A3000)*(2='5층_부하량'!B3:B3000),0))</f>
        <v>2.7182362914803235</v>
      </c>
      <c r="P356" s="2681" cm="1" t="n">
        <f t="array" ref="P356">INDEX('5층_부하량'!K3:K3000,MATCH(1,("5-DaHall 1-PDU-15"='5층_부하량'!A3:A3000)*(2='5층_부하량'!B3:B3000),0))</f>
        <v>1.9969684553161644</v>
      </c>
      <c r="Q356" s="377"/>
      <c r="R356" s="378" t="s">
        <v>4631</v>
      </c>
      <c r="S356" s="379" t="s">
        <v>4575</v>
      </c>
      <c r="T356" s="380" t="s">
        <v>5897</v>
      </c>
    </row>
    <row r="357" spans="1:20" s="356" customFormat="1" ht="16.5" x14ac:dyDescent="0.15">
      <c r="A357" s="1308"/>
      <c r="B357" s="382" t="s">
        <v>4590</v>
      </c>
      <c r="C357" s="382" t="s">
        <v>4642</v>
      </c>
      <c r="D357" s="2682" cm="1">
        <f t="array" ref="D357">INDEX('5층_부하량'!I3:I3000,MATCH(1,("5-DaHall 1-PDU-15"='5층_부하량'!A3:A3000)*(3='5층_부하량'!B3:B3000),0))</f>
        <v>0</v>
      </c>
      <c r="E357" s="2682" cm="1">
        <f t="array" ref="E357">INDEX('5층_부하량'!J3:J3000,MATCH(1,("5-DaHall 1-PDU-15"='5층_부하량'!A3:A3000)*(3='5층_부하량'!B3:B3000),0))</f>
        <v>0</v>
      </c>
      <c r="F357" s="2682" cm="1">
        <f t="array" ref="F357">INDEX('5층_부하량'!K3:K3000,MATCH(1,("5-DaHall 1-PDU-15"='5층_부하량'!A3:A3000)*(3='5층_부하량'!B3:B3000),0))</f>
        <v>0</v>
      </c>
      <c r="G357" s="383"/>
      <c r="H357" s="382" t="s">
        <v>5898</v>
      </c>
      <c r="I357" s="2444" t="s">
        <v>5899</v>
      </c>
      <c r="J357" s="1042"/>
      <c r="K357" s="1043" t="s">
        <v>5900</v>
      </c>
      <c r="L357" s="1179" t="s">
        <v>5901</v>
      </c>
      <c r="M357" s="382" t="s">
        <v>5893</v>
      </c>
      <c r="N357" s="2682" cm="1">
        <f t="array" ref="N357">INDEX('5층_부하량'!I3:I3000,MATCH(1,("5-DaHall 1-PDU-15"='5층_부하량'!A3:A3000)*(4='5층_부하량'!B3:B3000),0))</f>
        <v>0</v>
      </c>
      <c r="O357" s="2682" cm="1">
        <f t="array" ref="O357">INDEX('5층_부하량'!J3:J3000,MATCH(1,("5-DaHall 1-PDU-15"='5층_부하량'!A3:A3000)*(4='5층_부하량'!B3:B3000),0))</f>
        <v>0</v>
      </c>
      <c r="P357" s="2682" cm="1">
        <f t="array" ref="P357">INDEX('5층_부하량'!K3:K3000,MATCH(1,("5-DaHall 1-PDU-15"='5층_부하량'!A3:A3000)*(4='5층_부하량'!B3:B3000),0))</f>
        <v>0</v>
      </c>
      <c r="Q357" s="387"/>
      <c r="R357" s="394" t="s">
        <v>4590</v>
      </c>
      <c r="S357" s="382" t="s">
        <v>4642</v>
      </c>
      <c r="T357" s="390" t="s">
        <v>5902</v>
      </c>
    </row>
    <row r="358" spans="1:20" s="356" customFormat="1" ht="16.5" x14ac:dyDescent="0.15">
      <c r="A358" s="443" t="s">
        <v>5903</v>
      </c>
      <c r="B358" s="382" t="s">
        <v>4631</v>
      </c>
      <c r="C358" s="382" t="s">
        <v>4642</v>
      </c>
      <c r="D358" s="2679" cm="1">
        <f t="array" ref="D358">INDEX('5층_부하량'!I3:I3000,MATCH(1,("5-DaHall 1-PDU-15"='5층_부하량'!A3:A3000)*(5='5층_부하량'!B3:B3000),0))</f>
        <v>0</v>
      </c>
      <c r="E358" s="2679" cm="1">
        <f t="array" ref="E358">INDEX('5층_부하량'!J3:J3000,MATCH(1,("5-DaHall 1-PDU-15"='5층_부하량'!A3:A3000)*(5='5층_부하량'!B3:B3000),0))</f>
        <v>0</v>
      </c>
      <c r="F358" s="2679" cm="1">
        <f t="array" ref="F358">INDEX('5층_부하량'!K3:K3000,MATCH(1,("5-DaHall 1-PDU-15"='5층_부하량'!A3:A3000)*(5='5층_부하량'!B3:B3000),0))</f>
        <v>0</v>
      </c>
      <c r="G358" s="387"/>
      <c r="H358" s="382" t="s">
        <v>5786</v>
      </c>
      <c r="I358" s="2444" t="s">
        <v>5904</v>
      </c>
      <c r="J358" s="1044"/>
      <c r="K358" s="1045"/>
      <c r="L358" s="1180" t="s">
        <v>5905</v>
      </c>
      <c r="M358" s="382" t="s">
        <v>5786</v>
      </c>
      <c r="N358" s="2679" cm="1">
        <f t="array" ref="N358">INDEX('5층_부하량'!I3:I3000,MATCH(1,("5-DaHall 1-PDU-15"='5층_부하량'!A3:A3000)*(6='5층_부하량'!B3:B3000),0))</f>
        <v>0</v>
      </c>
      <c r="O358" s="2679" cm="1">
        <f t="array" ref="O358">INDEX('5층_부하량'!J3:J3000,MATCH(1,("5-DaHall 1-PDU-15"='5층_부하량'!A3:A3000)*(6='5층_부하량'!B3:B3000),0))</f>
        <v>0</v>
      </c>
      <c r="P358" s="2679" cm="1">
        <f t="array" ref="P358">INDEX('5층_부하량'!K3:K3000,MATCH(1,("5-DaHall 1-PDU-15"='5층_부하량'!A3:A3000)*(6='5층_부하량'!B3:B3000),0))</f>
        <v>0</v>
      </c>
      <c r="Q358" s="387"/>
      <c r="R358" s="394" t="s">
        <v>4590</v>
      </c>
      <c r="S358" s="382" t="s">
        <v>4642</v>
      </c>
      <c r="T358" s="395" t="s">
        <v>5906</v>
      </c>
    </row>
    <row r="359" spans="1:20" s="356" customFormat="1" ht="16.5" x14ac:dyDescent="0.15">
      <c r="A359" s="1309" t="s">
        <v>5907</v>
      </c>
      <c r="B359" s="382" t="s">
        <v>4631</v>
      </c>
      <c r="C359" s="389" t="s">
        <v>4575</v>
      </c>
      <c r="D359" s="2679" cm="1" t="n">
        <f t="array" ref="D359">INDEX('5층_부하량'!I3:I3000,MATCH(1,("5-DaHall 1-PDU-15"='5층_부하량'!A3:A3000)*(7='5층_부하량'!B3:B3000),0))</f>
        <v>3.107684405046484</v>
      </c>
      <c r="E359" s="387"/>
      <c r="F359" s="387"/>
      <c r="G359" s="387"/>
      <c r="H359" s="382" t="s">
        <v>5786</v>
      </c>
      <c r="I359" s="1211" t="s">
        <v>4645</v>
      </c>
      <c r="J359" s="1044" t="s">
        <v>2955</v>
      </c>
      <c r="K359" s="1045"/>
      <c r="L359" s="578" t="s">
        <v>4593</v>
      </c>
      <c r="M359" s="382" t="s">
        <v>5795</v>
      </c>
      <c r="N359" s="2679" cm="1" t="n">
        <f t="array" ref="N359">INDEX('5층_부하량'!I3:I3000,MATCH(1,("5-DaHall 1-PDU-15"='5층_부하량'!A3:A3000)*(8='5층_부하량'!B3:B3000),0))</f>
        <v>4.193720066483461</v>
      </c>
      <c r="O359" s="387"/>
      <c r="P359" s="387"/>
      <c r="Q359" s="387"/>
      <c r="R359" s="382" t="s">
        <v>4579</v>
      </c>
      <c r="S359" s="389" t="s">
        <v>4575</v>
      </c>
      <c r="T359" s="666" t="s">
        <v>5908</v>
      </c>
    </row>
    <row r="360" spans="1:20" s="356" customFormat="1" ht="17.25" thickBot="1" x14ac:dyDescent="0.2">
      <c r="A360" s="1310" t="s">
        <v>5909</v>
      </c>
      <c r="B360" s="88" t="s">
        <v>4631</v>
      </c>
      <c r="C360" s="89" t="s">
        <v>4575</v>
      </c>
      <c r="D360" s="398"/>
      <c r="E360" s="2673" cm="1" t="n">
        <f t="array" ref="E360">INDEX('5층_부하량'!J3:J3000,MATCH(1,("5-DaHall 1-PDU-15"='5층_부하량'!A3:A3000)*(9='5층_부하량'!B3:B3000),0))</f>
        <v>1.7053245081788502</v>
      </c>
      <c r="F360" s="398"/>
      <c r="G360" s="398"/>
      <c r="H360" s="397" t="s">
        <v>5786</v>
      </c>
      <c r="I360" s="1218" t="s">
        <v>4648</v>
      </c>
      <c r="J360" s="1044" t="s">
        <v>2955</v>
      </c>
      <c r="K360" s="1046"/>
      <c r="L360" s="579" t="s">
        <v>4596</v>
      </c>
      <c r="M360" s="397" t="s">
        <v>5795</v>
      </c>
      <c r="N360" s="398"/>
      <c r="O360" s="2673" cm="1" t="n">
        <f t="array" ref="O360">INDEX('5층_부하량'!J3:J3000,MATCH(1,("5-DaHall 1-PDU-15"='5층_부하량'!A3:A3000)*(10='5층_부하량'!B3:B3000),0))</f>
        <v>6.594217287776868</v>
      </c>
      <c r="P360" s="398"/>
      <c r="Q360" s="398"/>
      <c r="R360" s="88" t="s">
        <v>4579</v>
      </c>
      <c r="S360" s="88" t="s">
        <v>4584</v>
      </c>
      <c r="T360" s="400" t="s">
        <v>5910</v>
      </c>
    </row>
    <row r="361" spans="1:20" s="356" customFormat="1" ht="17.25" thickTop="1" x14ac:dyDescent="0.15">
      <c r="A361" s="2407" t="s">
        <v>5911</v>
      </c>
      <c r="B361" s="2405" t="s">
        <v>4635</v>
      </c>
      <c r="C361" s="389" t="s">
        <v>4575</v>
      </c>
      <c r="D361" s="401"/>
      <c r="E361" s="401"/>
      <c r="F361" s="2683" cm="1" t="n">
        <f t="array" ref="F361">INDEX('5층_부하량'!K3:K3000,MATCH(1,("5-DaHall 1-PDU-15"='5층_부하량'!A3:A3000)*(11='5층_부하량'!B3:B3000),0))</f>
        <v>0.003194444444444444</v>
      </c>
      <c r="G361" s="401"/>
      <c r="H361" s="372" t="s">
        <v>5786</v>
      </c>
      <c r="I361" s="559" t="s">
        <v>4653</v>
      </c>
      <c r="J361" s="1047"/>
      <c r="K361" s="1048" t="s">
        <v>5912</v>
      </c>
      <c r="L361" s="580" t="s">
        <v>4599</v>
      </c>
      <c r="M361" s="372" t="s">
        <v>5790</v>
      </c>
      <c r="N361" s="401"/>
      <c r="O361" s="401"/>
      <c r="P361" s="2683" cm="1" t="n">
        <f t="array" ref="P361">INDEX('5층_부하량'!K3:K3000,MATCH(1,("5-DaHall 1-PDU-15"='5층_부하량'!A3:A3000)*(12='5층_부하량'!B3:B3000),0))</f>
        <v>2.314642638868288</v>
      </c>
      <c r="Q361" s="401"/>
      <c r="R361" s="402" t="s">
        <v>4635</v>
      </c>
      <c r="S361" s="389" t="s">
        <v>4575</v>
      </c>
      <c r="T361" s="987" t="s">
        <v>5913</v>
      </c>
    </row>
    <row r="362" spans="1:20" s="356" customFormat="1" ht="24" x14ac:dyDescent="0.15">
      <c r="A362" s="1311" t="s">
        <v>5914</v>
      </c>
      <c r="B362" s="382" t="s">
        <v>4631</v>
      </c>
      <c r="C362" s="389" t="s">
        <v>4575</v>
      </c>
      <c r="D362" s="2679" cm="1" t="n">
        <f t="array" ref="D362">INDEX('5층_부하량'!I3:I3000,MATCH(1,("5-DaHall 1-PDU-15"='5층_부하량'!A3:A3000)*(13='5층_부하량'!B3:B3000),0))</f>
        <v>0.6539775702726592</v>
      </c>
      <c r="E362" s="387"/>
      <c r="F362" s="387"/>
      <c r="G362" s="387"/>
      <c r="H362" s="382" t="s">
        <v>5790</v>
      </c>
      <c r="I362" s="558" t="s">
        <v>4657</v>
      </c>
      <c r="J362" s="1044"/>
      <c r="K362" s="1045"/>
      <c r="L362" s="578" t="s">
        <v>4601</v>
      </c>
      <c r="M362" s="382" t="s">
        <v>5790</v>
      </c>
      <c r="N362" s="2679" cm="1" t="n">
        <f t="array" ref="N362">INDEX('5층_부하량'!I3:I3000,MATCH(1,("5-DaHall 1-PDU-15"='5층_부하량'!A3:A3000)*(14='5층_부하량'!B3:B3000),0))</f>
        <v>1.5308937205046724</v>
      </c>
      <c r="O362" s="387"/>
      <c r="P362" s="387"/>
      <c r="Q362" s="387"/>
      <c r="R362" s="382" t="s">
        <v>4579</v>
      </c>
      <c r="S362" s="389" t="s">
        <v>4575</v>
      </c>
      <c r="T362" s="670" t="s">
        <v>5915</v>
      </c>
    </row>
    <row r="363" spans="1:20" s="356" customFormat="1" ht="16.5" x14ac:dyDescent="0.15">
      <c r="A363" s="1312" t="s">
        <v>5916</v>
      </c>
      <c r="B363" s="382" t="s">
        <v>4590</v>
      </c>
      <c r="C363" s="382" t="s">
        <v>4642</v>
      </c>
      <c r="D363" s="387"/>
      <c r="E363" s="2679" cm="1" t="n">
        <f t="array" ref="E363">INDEX('5층_부하량'!J3:J3000,MATCH(1,("5-DaHall 1-PDU-15"='5층_부하량'!A3:A3000)*(15='5층_부하량'!B3:B3000),0))</f>
        <v>0.34588469074871536</v>
      </c>
      <c r="F363" s="387"/>
      <c r="G363" s="387"/>
      <c r="H363" s="382" t="s">
        <v>5811</v>
      </c>
      <c r="I363" s="558" t="s">
        <v>4661</v>
      </c>
      <c r="J363" s="1044"/>
      <c r="K363" s="1045"/>
      <c r="L363" s="578" t="s">
        <v>4603</v>
      </c>
      <c r="M363" s="382" t="s">
        <v>5811</v>
      </c>
      <c r="N363" s="387"/>
      <c r="O363" s="2679" cm="1" t="n">
        <f t="array" ref="O363">INDEX('5층_부하량'!J3:J3000,MATCH(1,("5-DaHall 1-PDU-15"='5층_부하량'!A3:A3000)*(16='5층_부하량'!B3:B3000),0))</f>
        <v>7.878917682333373</v>
      </c>
      <c r="P363" s="387"/>
      <c r="Q363" s="387"/>
      <c r="R363" s="394" t="s">
        <v>4590</v>
      </c>
      <c r="S363" s="382" t="s">
        <v>4642</v>
      </c>
      <c r="T363" s="395"/>
    </row>
    <row r="364" spans="1:20" s="356" customFormat="1" ht="16.5" x14ac:dyDescent="0.15">
      <c r="A364" s="1311" t="s">
        <v>5917</v>
      </c>
      <c r="B364" s="382" t="s">
        <v>4590</v>
      </c>
      <c r="C364" s="382" t="s">
        <v>4642</v>
      </c>
      <c r="D364" s="387"/>
      <c r="E364" s="387"/>
      <c r="F364" s="2679" cm="1">
        <f t="array" ref="F364">INDEX('5층_부하량'!K3:K3000,MATCH(1,("5-DaHall 1-PDU-15"='5층_부하량'!A3:A3000)*(17='5층_부하량'!B3:B3000),0))</f>
        <v>0</v>
      </c>
      <c r="G364" s="387"/>
      <c r="H364" s="382" t="s">
        <v>5811</v>
      </c>
      <c r="I364" s="558" t="s">
        <v>4665</v>
      </c>
      <c r="J364" s="1044"/>
      <c r="K364" s="1045"/>
      <c r="L364" s="578" t="s">
        <v>4605</v>
      </c>
      <c r="M364" s="382" t="s">
        <v>5811</v>
      </c>
      <c r="N364" s="387"/>
      <c r="O364" s="387"/>
      <c r="P364" s="2679" cm="1">
        <f t="array" ref="P364">INDEX('5층_부하량'!K3:K3000,MATCH(1,("5-DaHall 1-PDU-15"='5층_부하량'!A3:A3000)*(18='5층_부하량'!B3:B3000),0))</f>
        <v>0</v>
      </c>
      <c r="Q364" s="387"/>
      <c r="R364" s="394" t="s">
        <v>4590</v>
      </c>
      <c r="S364" s="382" t="s">
        <v>4642</v>
      </c>
      <c r="T364" s="395"/>
    </row>
    <row r="365" spans="1:20" s="356" customFormat="1" ht="16.5" x14ac:dyDescent="0.15">
      <c r="A365" s="1312" t="s">
        <v>5918</v>
      </c>
      <c r="B365" s="382" t="s">
        <v>4590</v>
      </c>
      <c r="C365" s="382" t="s">
        <v>4642</v>
      </c>
      <c r="D365" s="2679" cm="1" t="n">
        <f t="array" ref="D365">INDEX('5층_부하량'!I3:I3000,MATCH(1,("5-DaHall 1-PDU-15"='5층_부하량'!A3:A3000)*(19='5층_부하량'!B3:B3000),0))</f>
        <v>4.139427226933885</v>
      </c>
      <c r="E365" s="387"/>
      <c r="F365" s="387"/>
      <c r="G365" s="387"/>
      <c r="H365" s="382" t="s">
        <v>5811</v>
      </c>
      <c r="I365" s="558" t="s">
        <v>4670</v>
      </c>
      <c r="J365" s="1044"/>
      <c r="K365" s="1045"/>
      <c r="L365" s="578" t="s">
        <v>4609</v>
      </c>
      <c r="M365" s="382" t="s">
        <v>5811</v>
      </c>
      <c r="N365" s="2679" cm="1" t="n">
        <f t="array" ref="N365">INDEX('5층_부하량'!I3:I3000,MATCH(1,("5-DaHall 1-PDU-15"='5층_부하량'!A3:A3000)*(20='5층_부하량'!B3:B3000),0))</f>
        <v>6.627547689773366</v>
      </c>
      <c r="O365" s="387"/>
      <c r="P365" s="387"/>
      <c r="Q365" s="387"/>
      <c r="R365" s="394" t="s">
        <v>4590</v>
      </c>
      <c r="S365" s="382" t="s">
        <v>4642</v>
      </c>
      <c r="T365" s="395"/>
    </row>
    <row r="366" spans="1:20" s="356" customFormat="1" ht="16.5" x14ac:dyDescent="0.15">
      <c r="A366" s="1311" t="s">
        <v>5919</v>
      </c>
      <c r="B366" s="382" t="s">
        <v>4940</v>
      </c>
      <c r="C366" s="382" t="s">
        <v>4584</v>
      </c>
      <c r="D366" s="387"/>
      <c r="E366" s="2679" cm="1" t="n">
        <f t="array" ref="E366">INDEX('5층_부하량'!J3:J3000,MATCH(1,("5-DaHall 1-PDU-15"='5층_부하량'!A3:A3000)*(21='5층_부하량'!B3:B3000),0))</f>
        <v>2.208577320901051</v>
      </c>
      <c r="F366" s="387"/>
      <c r="G366" s="387"/>
      <c r="H366" s="382" t="s">
        <v>5811</v>
      </c>
      <c r="I366" s="558" t="s">
        <v>4674</v>
      </c>
      <c r="J366" s="1042"/>
      <c r="K366" s="1045"/>
      <c r="L366" s="578" t="s">
        <v>4613</v>
      </c>
      <c r="M366" s="382" t="s">
        <v>5811</v>
      </c>
      <c r="N366" s="387"/>
      <c r="O366" s="2679" cm="1" t="n">
        <f t="array" ref="O366">INDEX('5층_부하량'!J3:J3000,MATCH(1,("5-DaHall 1-PDU-15"='5층_부하량'!A3:A3000)*(22='5층_부하량'!B3:B3000),0))</f>
        <v>1.5007659282015002</v>
      </c>
      <c r="P366" s="387"/>
      <c r="Q366" s="387"/>
      <c r="R366" s="394" t="s">
        <v>4590</v>
      </c>
      <c r="S366" s="382" t="s">
        <v>4642</v>
      </c>
      <c r="T366" s="395"/>
    </row>
    <row r="367" spans="1:20" s="356" customFormat="1" ht="16.5" x14ac:dyDescent="0.15">
      <c r="A367" s="1311" t="s">
        <v>5920</v>
      </c>
      <c r="B367" s="382" t="s">
        <v>4579</v>
      </c>
      <c r="C367" s="389" t="s">
        <v>4575</v>
      </c>
      <c r="D367" s="387"/>
      <c r="E367" s="387"/>
      <c r="F367" s="2679" cm="1" t="n">
        <f t="array" ref="F367">INDEX('5층_부하량'!K3:K3000,MATCH(1,("5-DaHall 1-PDU-15"='5층_부하량'!A3:A3000)*(23='5층_부하량'!B3:B3000),0))</f>
        <v>2.2460133023568316</v>
      </c>
      <c r="G367" s="387"/>
      <c r="H367" s="382" t="s">
        <v>5811</v>
      </c>
      <c r="I367" s="558" t="s">
        <v>4678</v>
      </c>
      <c r="J367" s="1044" t="s">
        <v>5921</v>
      </c>
      <c r="K367" s="1045"/>
      <c r="L367" s="578" t="s">
        <v>4680</v>
      </c>
      <c r="M367" s="382" t="s">
        <v>5811</v>
      </c>
      <c r="N367" s="387"/>
      <c r="O367" s="387"/>
      <c r="P367" s="2679" cm="1">
        <f t="array" ref="P367">INDEX('5층_부하량'!K3:K3000,MATCH(1,("5-DaHall 1-PDU-15"='5층_부하량'!A3:A3000)*(24='5층_부하량'!B3:B3000),0))</f>
        <v>0</v>
      </c>
      <c r="Q367" s="387"/>
      <c r="R367" s="394" t="s">
        <v>4590</v>
      </c>
      <c r="S367" s="382" t="s">
        <v>4642</v>
      </c>
      <c r="T367" s="395"/>
    </row>
    <row r="368" spans="1:20" s="356" customFormat="1" ht="16.5" x14ac:dyDescent="0.15">
      <c r="A368" s="1313" t="s">
        <v>5922</v>
      </c>
      <c r="B368" s="382" t="s">
        <v>4940</v>
      </c>
      <c r="C368" s="382" t="s">
        <v>4584</v>
      </c>
      <c r="D368" s="2679" cm="1">
        <f t="array" ref="D368">INDEX('5층_부하량'!I3:I3000,MATCH(1,("5-DaHall 1-PDU-15"='5층_부하량'!A3:A3000)*(25='5층_부하량'!B3:B3000),0))</f>
        <v>0</v>
      </c>
      <c r="E368" s="387"/>
      <c r="F368" s="387"/>
      <c r="G368" s="387"/>
      <c r="H368" s="382" t="s">
        <v>5811</v>
      </c>
      <c r="I368" s="558" t="s">
        <v>4683</v>
      </c>
      <c r="J368" s="1044"/>
      <c r="K368" s="1045"/>
      <c r="L368" s="578" t="s">
        <v>4685</v>
      </c>
      <c r="M368" s="382" t="s">
        <v>5811</v>
      </c>
      <c r="N368" s="2679" cm="1">
        <f t="array" ref="N368">INDEX('5층_부하량'!I3:I3000,MATCH(1,("5-DaHall 1-PDU-15"='5층_부하량'!A3:A3000)*(26='5층_부하량'!B3:B3000),0))</f>
        <v>0</v>
      </c>
      <c r="O368" s="387"/>
      <c r="P368" s="387"/>
      <c r="Q368" s="387"/>
      <c r="R368" s="394" t="s">
        <v>4590</v>
      </c>
      <c r="S368" s="382" t="s">
        <v>4642</v>
      </c>
      <c r="T368" s="395"/>
    </row>
    <row r="369" spans="1:20" s="356" customFormat="1" ht="16.5" x14ac:dyDescent="0.15">
      <c r="A369" s="1311" t="s">
        <v>5923</v>
      </c>
      <c r="B369" s="382" t="s">
        <v>4940</v>
      </c>
      <c r="C369" s="382" t="s">
        <v>4584</v>
      </c>
      <c r="D369" s="387"/>
      <c r="E369" s="2679" cm="1">
        <f t="array" ref="E369">INDEX('5층_부하량'!J3:J3000,MATCH(1,("5-DaHall 1-PDU-15"='5층_부하량'!A3:A3000)*(27='5층_부하량'!B3:B3000),0))</f>
        <v>0</v>
      </c>
      <c r="F369" s="387"/>
      <c r="G369" s="387"/>
      <c r="H369" s="382" t="s">
        <v>5811</v>
      </c>
      <c r="I369" s="558" t="s">
        <v>4688</v>
      </c>
      <c r="J369" s="1042"/>
      <c r="K369" s="1045" t="s">
        <v>2937</v>
      </c>
      <c r="L369" s="1212" t="s">
        <v>4689</v>
      </c>
      <c r="M369" s="382" t="s">
        <v>5811</v>
      </c>
      <c r="N369" s="387"/>
      <c r="O369" s="2679" cm="1" t="n">
        <f t="array" ref="O369">INDEX('5층_부하량'!J3:J3000,MATCH(1,("5-DaHall 1-PDU-15"='5층_부하량'!A3:A3000)*(28='5층_부하량'!B3:B3000),0))</f>
        <v>0.6901901989912301</v>
      </c>
      <c r="P369" s="387"/>
      <c r="Q369" s="387"/>
      <c r="R369" s="388" t="s">
        <v>4631</v>
      </c>
      <c r="S369" s="389" t="s">
        <v>4575</v>
      </c>
      <c r="T369" s="405" t="s">
        <v>5924</v>
      </c>
    </row>
    <row r="370" spans="1:20" s="356" customFormat="1" ht="17.25" thickBot="1" x14ac:dyDescent="0.2">
      <c r="A370" s="1314" t="s">
        <v>5925</v>
      </c>
      <c r="B370" s="35" t="s">
        <v>4579</v>
      </c>
      <c r="C370" s="39" t="s">
        <v>4575</v>
      </c>
      <c r="D370" s="408"/>
      <c r="E370" s="408"/>
      <c r="F370" s="2684" cm="1" t="n">
        <f t="array" ref="F370">INDEX('5층_부하량'!K3:K3000,MATCH(1,("5-DaHall 1-PDU-15"='5층_부하량'!A3:A3000)*(29='5층_부하량'!B3:B3000),0))</f>
        <v>0.4429375537556649</v>
      </c>
      <c r="G370" s="408"/>
      <c r="H370" s="407" t="s">
        <v>5811</v>
      </c>
      <c r="I370" s="560" t="s">
        <v>4691</v>
      </c>
      <c r="J370" s="1049" t="s">
        <v>5921</v>
      </c>
      <c r="K370" s="1050"/>
      <c r="L370" s="581" t="s">
        <v>4692</v>
      </c>
      <c r="M370" s="407" t="s">
        <v>5811</v>
      </c>
      <c r="N370" s="408"/>
      <c r="O370" s="408"/>
      <c r="P370" s="2684" cm="1">
        <f t="array" ref="P370">INDEX('5층_부하량'!K3:K3000,MATCH(1,("5-DaHall 1-PDU-15"='5층_부하량'!A3:A3000)*(30='5층_부하량'!B3:B3000),0))</f>
        <v>0</v>
      </c>
      <c r="Q370" s="408"/>
      <c r="R370" s="409" t="s">
        <v>4590</v>
      </c>
      <c r="S370" s="407" t="s">
        <v>4642</v>
      </c>
      <c r="T370" s="410" t="s">
        <v>3869</v>
      </c>
    </row>
    <row r="371" spans="1:20" s="356" customFormat="1" ht="18" thickTop="1" thickBot="1" x14ac:dyDescent="0.2">
      <c r="L371" s="2445"/>
      <c r="M371" s="411" t="s">
        <v>5645</v>
      </c>
      <c r="N371" s="412" t="n">
        <f>SUM(D356:D370,N356:N370)</f>
        <v>29.57089235647395</v>
      </c>
      <c r="O371" s="412" t="n">
        <f>SUM(E356:E370,O356:O370)</f>
        <v>24.89510652326562</v>
      </c>
      <c r="P371" s="412" t="n">
        <f>SUM(F356:F370,P356:P370)</f>
        <v>14.976563161945744</v>
      </c>
    </row>
    <row r="372" spans="1:20" s="356" customFormat="1" ht="20.25" thickTop="1" thickBot="1" x14ac:dyDescent="0.2">
      <c r="A372" s="355" t="s">
        <v>6958</v>
      </c>
      <c r="C372" s="3660" t="s">
        <v>5926</v>
      </c>
      <c r="D372" s="3660"/>
      <c r="E372" s="3660"/>
      <c r="F372" s="3660"/>
      <c r="G372" s="357"/>
      <c r="H372" s="358"/>
      <c r="I372" s="358"/>
      <c r="J372" s="3668" t="s">
        <v>5646</v>
      </c>
      <c r="K372" s="3669"/>
      <c r="L372" s="2442"/>
      <c r="M372" s="358"/>
      <c r="N372" s="357"/>
      <c r="O372" s="357"/>
      <c r="P372" s="357"/>
      <c r="Q372" s="357"/>
      <c r="R372" s="357"/>
      <c r="S372" s="357"/>
    </row>
    <row r="373" spans="1:20" s="356" customFormat="1" ht="15" customHeight="1" thickTop="1" thickBot="1" x14ac:dyDescent="0.2">
      <c r="A373" s="3"/>
      <c r="B373"/>
      <c r="C373"/>
      <c r="D373" s="54"/>
      <c r="E373" s="54"/>
      <c r="F373" s="54"/>
      <c r="G373" s="54"/>
      <c r="H373" s="4"/>
      <c r="I373" s="4"/>
      <c r="J373"/>
      <c r="K373" s="56"/>
      <c r="L373" s="565"/>
      <c r="M373" s="1371" t="s">
        <v>4562</v>
      </c>
      <c r="N373" s="1368">
        <v>20.100000000000001</v>
      </c>
      <c r="O373" s="1369">
        <v>13.1</v>
      </c>
      <c r="P373" s="1370">
        <v>14</v>
      </c>
      <c r="Q373" s="508" t="s">
        <v>4563</v>
      </c>
      <c r="R373" s="133"/>
      <c r="S373" s="128"/>
      <c r="T373" s="528"/>
    </row>
    <row r="374" spans="1:20" s="356" customFormat="1" ht="18" thickTop="1" thickBot="1" x14ac:dyDescent="0.2">
      <c r="A374" s="364" t="s">
        <v>4564</v>
      </c>
      <c r="B374" s="365" t="s">
        <v>4565</v>
      </c>
      <c r="C374" s="366" t="s">
        <v>4566</v>
      </c>
      <c r="D374" s="365" t="s">
        <v>4567</v>
      </c>
      <c r="E374" s="365" t="s">
        <v>4568</v>
      </c>
      <c r="F374" s="365" t="s">
        <v>4569</v>
      </c>
      <c r="G374" s="365" t="s">
        <v>4570</v>
      </c>
      <c r="H374" s="367" t="s">
        <v>4571</v>
      </c>
      <c r="I374" s="557"/>
      <c r="J374" s="368" t="s">
        <v>4572</v>
      </c>
      <c r="K374" s="369" t="s">
        <v>4572</v>
      </c>
      <c r="L374" s="575"/>
      <c r="M374" s="367" t="s">
        <v>4571</v>
      </c>
      <c r="N374" s="365" t="s">
        <v>4567</v>
      </c>
      <c r="O374" s="365" t="s">
        <v>4568</v>
      </c>
      <c r="P374" s="365" t="s">
        <v>4569</v>
      </c>
      <c r="Q374" s="365" t="s">
        <v>4570</v>
      </c>
      <c r="R374" s="365" t="s">
        <v>4565</v>
      </c>
      <c r="S374" s="366" t="s">
        <v>4566</v>
      </c>
      <c r="T374" s="370" t="s">
        <v>4564</v>
      </c>
    </row>
    <row r="375" spans="1:20" s="356" customFormat="1" ht="17.25" thickTop="1" x14ac:dyDescent="0.15">
      <c r="A375" s="371"/>
      <c r="B375" s="372" t="s">
        <v>4590</v>
      </c>
      <c r="C375" s="373" t="s">
        <v>4642</v>
      </c>
      <c r="D375" s="2681" cm="1">
        <f t="array" ref="D375">INDEX('5층_부하량'!I3:I3000,MATCH(1,("5-DaHall 1-PDU-12"='5층_부하량'!A3:A3000)*(1='5층_부하량'!B3:B3000),0))</f>
        <v>0</v>
      </c>
      <c r="E375" s="2681" cm="1">
        <f t="array" ref="E375">INDEX('5층_부하량'!J3:J3000,MATCH(1,("5-DaHall 1-PDU-12"='5층_부하량'!A3:A3000)*(1='5층_부하량'!B3:B3000),0))</f>
        <v>0</v>
      </c>
      <c r="F375" s="2681" cm="1">
        <f t="array" ref="F375">INDEX('5층_부하량'!K3:K3000,MATCH(1,("5-DaHall 1-PDU-12"='5층_부하량'!A3:A3000)*(1='5층_부하량'!B3:B3000),0))</f>
        <v>0</v>
      </c>
      <c r="G375" s="374"/>
      <c r="H375" s="373" t="s">
        <v>5786</v>
      </c>
      <c r="I375" s="2446" t="s">
        <v>5894</v>
      </c>
      <c r="J375" s="1051"/>
      <c r="K375" s="1052"/>
      <c r="L375" s="1449" t="s">
        <v>5896</v>
      </c>
      <c r="M375" s="372" t="s">
        <v>5786</v>
      </c>
      <c r="N375" s="2681" cm="1">
        <f t="array" ref="N375">INDEX('5층_부하량'!I3:I3000,MATCH(1,("5-DaHall 1-PDU-12"='5층_부하량'!A3:A3000)*(2='5층_부하량'!B3:B3000),0))</f>
        <v>0</v>
      </c>
      <c r="O375" s="2681" cm="1">
        <f t="array" ref="O375">INDEX('5층_부하량'!J3:J3000,MATCH(1,("5-DaHall 1-PDU-12"='5층_부하량'!A3:A3000)*(2='5층_부하량'!B3:B3000),0))</f>
        <v>0</v>
      </c>
      <c r="P375" s="2681" cm="1">
        <f t="array" ref="P375">INDEX('5층_부하량'!K3:K3000,MATCH(1,("5-DaHall 1-PDU-12"='5층_부하량'!A3:A3000)*(2='5층_부하량'!B3:B3000),0))</f>
        <v>0</v>
      </c>
      <c r="Q375" s="374"/>
      <c r="R375" s="378" t="s">
        <v>4590</v>
      </c>
      <c r="S375" s="372" t="s">
        <v>4642</v>
      </c>
      <c r="T375" s="380"/>
    </row>
    <row r="376" spans="1:20" s="356" customFormat="1" ht="16.5" x14ac:dyDescent="0.15">
      <c r="A376" s="381" t="s">
        <v>5927</v>
      </c>
      <c r="B376" s="382" t="s">
        <v>4631</v>
      </c>
      <c r="C376" s="389" t="s">
        <v>4575</v>
      </c>
      <c r="D376" s="2682" cm="1">
        <f t="array" ref="D376">INDEX('5층_부하량'!I3:I3000,MATCH(1,("5-DaHall 1-PDU-12"='5층_부하량'!A3:A3000)*(3='5층_부하량'!B3:B3000),0))</f>
        <v>0</v>
      </c>
      <c r="E376" s="383"/>
      <c r="F376" s="383"/>
      <c r="G376" s="383"/>
      <c r="H376" s="382" t="s">
        <v>5790</v>
      </c>
      <c r="I376" s="558" t="s">
        <v>4638</v>
      </c>
      <c r="J376" s="1042" t="s">
        <v>5832</v>
      </c>
      <c r="K376" s="1043" t="s">
        <v>5832</v>
      </c>
      <c r="L376" s="577" t="s">
        <v>4583</v>
      </c>
      <c r="M376" s="382" t="s">
        <v>5786</v>
      </c>
      <c r="N376" s="2682" cm="1" t="n">
        <f t="array" ref="N376">INDEX('5층_부하량'!I3:I3000,MATCH(1,("5-DaHall 1-PDU-12"='5층_부하량'!A3:A3000)*(4='5층_부하량'!B3:B3000),0))</f>
        <v>1.8520367029004519</v>
      </c>
      <c r="O376" s="383"/>
      <c r="P376" s="383"/>
      <c r="Q376" s="383"/>
      <c r="R376" s="388" t="s">
        <v>4631</v>
      </c>
      <c r="S376" s="389" t="s">
        <v>4575</v>
      </c>
      <c r="T376" s="395" t="s">
        <v>5928</v>
      </c>
    </row>
    <row r="377" spans="1:20" s="356" customFormat="1" ht="16.5" x14ac:dyDescent="0.15">
      <c r="A377" s="667" t="s">
        <v>5929</v>
      </c>
      <c r="B377" s="382" t="s">
        <v>4631</v>
      </c>
      <c r="C377" s="389" t="s">
        <v>4575</v>
      </c>
      <c r="D377" s="387"/>
      <c r="E377" s="2679" cm="1" t="n">
        <f t="array" ref="E377">INDEX('5층_부하량'!J3:J3000,MATCH(1,("5-DaHall 1-PDU-12"='5층_부하량'!A3:A3000)*(5='5층_부하량'!B3:B3000),0))</f>
        <v>2.799854626215434</v>
      </c>
      <c r="F377" s="387"/>
      <c r="G377" s="387"/>
      <c r="H377" s="382" t="s">
        <v>5786</v>
      </c>
      <c r="I377" s="1211" t="s">
        <v>4641</v>
      </c>
      <c r="J377" s="1053" t="s">
        <v>5828</v>
      </c>
      <c r="K377" s="1043" t="s">
        <v>5832</v>
      </c>
      <c r="L377" s="577" t="s">
        <v>4588</v>
      </c>
      <c r="M377" s="382" t="s">
        <v>5786</v>
      </c>
      <c r="N377" s="387"/>
      <c r="O377" s="2679" cm="1">
        <f t="array" ref="O377">INDEX('5층_부하량'!J3:J3000,MATCH(1,("5-DaHall 1-PDU-12"='5층_부하량'!A3:A3000)*(6='5층_부하량'!B3:B3000),0))</f>
        <v>0</v>
      </c>
      <c r="P377" s="387"/>
      <c r="Q377" s="387"/>
      <c r="R377" s="394" t="s">
        <v>4631</v>
      </c>
      <c r="S377" s="389" t="s">
        <v>4575</v>
      </c>
      <c r="T377" s="390" t="s">
        <v>2999</v>
      </c>
    </row>
    <row r="378" spans="1:20" s="356" customFormat="1" ht="16.5" x14ac:dyDescent="0.15">
      <c r="A378" s="391"/>
      <c r="B378" s="382" t="s">
        <v>4590</v>
      </c>
      <c r="C378" s="382" t="s">
        <v>4642</v>
      </c>
      <c r="D378" s="387"/>
      <c r="E378" s="387"/>
      <c r="F378" s="2679" cm="1">
        <f t="array" ref="F378">INDEX('5층_부하량'!K3:K3000,MATCH(1,("5-DaHall 1-PDU-12"='5층_부하량'!A3:A3000)*(7='5층_부하량'!B3:B3000),0))</f>
        <v>0</v>
      </c>
      <c r="G378" s="387"/>
      <c r="H378" s="382" t="s">
        <v>5786</v>
      </c>
      <c r="I378" s="1450" t="s">
        <v>4645</v>
      </c>
      <c r="J378" s="1042" t="s">
        <v>5832</v>
      </c>
      <c r="K378" s="1043" t="s">
        <v>5832</v>
      </c>
      <c r="L378" s="577" t="s">
        <v>4593</v>
      </c>
      <c r="M378" s="382" t="s">
        <v>5790</v>
      </c>
      <c r="N378" s="387"/>
      <c r="O378" s="387"/>
      <c r="P378" s="2679" cm="1">
        <f t="array" ref="P378">INDEX('5층_부하량'!K3:K3000,MATCH(1,("5-DaHall 1-PDU-12"='5층_부하량'!A3:A3000)*(8='5층_부하량'!B3:B3000),0))</f>
        <v>0</v>
      </c>
      <c r="Q378" s="387"/>
      <c r="R378" s="394" t="s">
        <v>4631</v>
      </c>
      <c r="S378" s="389" t="s">
        <v>4575</v>
      </c>
      <c r="T378" s="395" t="s">
        <v>3006</v>
      </c>
    </row>
    <row r="379" spans="1:20" s="356" customFormat="1" ht="16.5" x14ac:dyDescent="0.15">
      <c r="A379" s="668" t="s">
        <v>5930</v>
      </c>
      <c r="B379" s="382" t="s">
        <v>4631</v>
      </c>
      <c r="C379" s="389" t="s">
        <v>4575</v>
      </c>
      <c r="D379" s="2679" cm="1" t="n">
        <f t="array" ref="D379">INDEX('5층_부하량'!I3:I3000,MATCH(1,("5-DaHall 1-PDU-12"='5층_부하량'!A3:A3000)*(9='5층_부하량'!B3:B3000),0))</f>
        <v>2.8494497411514725</v>
      </c>
      <c r="E379" s="387"/>
      <c r="F379" s="387"/>
      <c r="G379" s="387"/>
      <c r="H379" s="382" t="s">
        <v>5786</v>
      </c>
      <c r="I379" s="1211" t="s">
        <v>4648</v>
      </c>
      <c r="J379" s="1042" t="s">
        <v>5832</v>
      </c>
      <c r="K379" s="1043" t="s">
        <v>5832</v>
      </c>
      <c r="L379" s="577" t="s">
        <v>4596</v>
      </c>
      <c r="M379" s="382" t="s">
        <v>5801</v>
      </c>
      <c r="N379" s="2679" cm="1" t="n">
        <f t="array" ref="N379">INDEX('5층_부하량'!I3:I3000,MATCH(1,("5-DaHall 1-PDU-12"='5층_부하량'!A3:A3000)*(10='5층_부하량'!B3:B3000),0))</f>
        <v>2.8239506118030278</v>
      </c>
      <c r="O379" s="387"/>
      <c r="P379" s="387"/>
      <c r="Q379" s="387"/>
      <c r="R379" s="394" t="s">
        <v>4631</v>
      </c>
      <c r="S379" s="389" t="s">
        <v>4575</v>
      </c>
      <c r="T379" s="413" t="s">
        <v>3011</v>
      </c>
    </row>
    <row r="380" spans="1:20" s="356" customFormat="1" ht="17.25" thickBot="1" x14ac:dyDescent="0.2">
      <c r="A380" s="414" t="s">
        <v>5931</v>
      </c>
      <c r="B380" s="415" t="s">
        <v>4631</v>
      </c>
      <c r="C380" s="416" t="s">
        <v>4575</v>
      </c>
      <c r="D380" s="417"/>
      <c r="E380" s="2686" cm="1" t="n">
        <f t="array" ref="E380">INDEX('5층_부하량'!J3:J3000,MATCH(1,("5-DaHall 1-PDU-12"='5층_부하량'!A3:A3000)*(11='5층_부하량'!B3:B3000),0))</f>
        <v>4.401119021130584</v>
      </c>
      <c r="F380" s="417"/>
      <c r="G380" s="417"/>
      <c r="H380" s="415" t="s">
        <v>5786</v>
      </c>
      <c r="I380" s="1213" t="s">
        <v>4653</v>
      </c>
      <c r="J380" s="1054" t="s">
        <v>5832</v>
      </c>
      <c r="K380" s="1055" t="s">
        <v>5832</v>
      </c>
      <c r="L380" s="582" t="s">
        <v>4599</v>
      </c>
      <c r="M380" s="415" t="s">
        <v>5801</v>
      </c>
      <c r="N380" s="417"/>
      <c r="O380" s="2686" cm="1">
        <f t="array" ref="O380">INDEX('5층_부하량'!J3:J3000,MATCH(1,("5-DaHall 1-PDU-12"='5층_부하량'!A3:A3000)*(12='5층_부하량'!B3:B3000),0))</f>
        <v>0</v>
      </c>
      <c r="P380" s="417"/>
      <c r="Q380" s="417"/>
      <c r="R380" s="421" t="s">
        <v>4631</v>
      </c>
      <c r="S380" s="416" t="s">
        <v>4575</v>
      </c>
      <c r="T380" s="422" t="s">
        <v>3016</v>
      </c>
    </row>
    <row r="381" spans="1:20" s="356" customFormat="1" ht="17.25" thickTop="1" x14ac:dyDescent="0.15">
      <c r="A381" s="403" t="s">
        <v>5932</v>
      </c>
      <c r="B381" s="372" t="s">
        <v>4631</v>
      </c>
      <c r="C381" s="379" t="s">
        <v>4575</v>
      </c>
      <c r="D381" s="401"/>
      <c r="E381" s="401"/>
      <c r="F381" s="2678" cm="1" t="n">
        <f t="array" ref="F381">INDEX('5층_부하량'!K3:K3000,MATCH(1,("5-DaHall 1-PDU-12"='5층_부하량'!A3:A3000)*(13='5층_부하량'!B3:B3000),0))</f>
        <v>3.1179033257768176</v>
      </c>
      <c r="G381" s="401"/>
      <c r="H381" s="372" t="s">
        <v>5883</v>
      </c>
      <c r="I381" s="1216" t="s">
        <v>4657</v>
      </c>
      <c r="J381" s="1051" t="s">
        <v>5832</v>
      </c>
      <c r="K381" s="1052" t="s">
        <v>5832</v>
      </c>
      <c r="L381" s="576" t="s">
        <v>4601</v>
      </c>
      <c r="M381" s="372" t="s">
        <v>5801</v>
      </c>
      <c r="N381" s="401"/>
      <c r="O381" s="401"/>
      <c r="P381" s="2678" cm="1">
        <f t="array" ref="P381">INDEX('5층_부하량'!K3:K3000,MATCH(1,("5-DaHall 1-PDU-12"='5층_부하량'!A3:A3000)*(14='5층_부하량'!B3:B3000),0))</f>
        <v>0</v>
      </c>
      <c r="Q381" s="401"/>
      <c r="R381" s="402" t="s">
        <v>4631</v>
      </c>
      <c r="S381" s="379" t="s">
        <v>4575</v>
      </c>
      <c r="T381" s="423" t="s">
        <v>3021</v>
      </c>
    </row>
    <row r="382" spans="1:20" s="356" customFormat="1" ht="16.5" x14ac:dyDescent="0.15">
      <c r="A382" s="391" t="s">
        <v>5933</v>
      </c>
      <c r="B382" s="424" t="s">
        <v>4631</v>
      </c>
      <c r="C382" s="425" t="s">
        <v>4575</v>
      </c>
      <c r="D382" s="2687" cm="1">
        <f t="array" ref="D382">INDEX('5층_부하량'!I3:I3000,MATCH(1,("5-DaHall 1-PDU-12"='5층_부하량'!A3:A3000)*(15='5층_부하량'!B3:B3000),0))</f>
        <v>0</v>
      </c>
      <c r="E382" s="426"/>
      <c r="F382" s="426"/>
      <c r="G382" s="426"/>
      <c r="H382" s="424" t="s">
        <v>5801</v>
      </c>
      <c r="I382" s="1217" t="s">
        <v>4661</v>
      </c>
      <c r="J382" s="1056" t="s">
        <v>5832</v>
      </c>
      <c r="K382" s="1057" t="s">
        <v>5832</v>
      </c>
      <c r="L382" s="583" t="s">
        <v>4603</v>
      </c>
      <c r="M382" s="424" t="s">
        <v>5811</v>
      </c>
      <c r="N382" s="2687" cm="1" t="n">
        <f t="array" ref="N382">INDEX('5층_부하량'!I3:I3000,MATCH(1,("5-DaHall 1-PDU-12"='5층_부하량'!A3:A3000)*(16='5층_부하량'!B3:B3000),0))</f>
        <v>5.940894286015254</v>
      </c>
      <c r="O382" s="426"/>
      <c r="P382" s="426"/>
      <c r="Q382" s="426"/>
      <c r="R382" s="429" t="s">
        <v>4631</v>
      </c>
      <c r="S382" s="425" t="s">
        <v>4575</v>
      </c>
      <c r="T382" s="395" t="s">
        <v>3027</v>
      </c>
    </row>
    <row r="383" spans="1:20" s="356" customFormat="1" ht="16.5" x14ac:dyDescent="0.15">
      <c r="A383" s="403" t="s">
        <v>5934</v>
      </c>
      <c r="B383" s="382" t="s">
        <v>4631</v>
      </c>
      <c r="C383" s="17" t="s">
        <v>4584</v>
      </c>
      <c r="D383" s="387"/>
      <c r="E383" s="2679" cm="1">
        <f t="array" ref="E383">INDEX('5층_부하량'!J3:J3000,MATCH(1,("5-DaHall 1-PDU-12"='5층_부하량'!A3:A3000)*(17='5층_부하량'!B3:B3000),0))</f>
        <v>0</v>
      </c>
      <c r="F383" s="387"/>
      <c r="G383" s="387"/>
      <c r="H383" s="382" t="s">
        <v>5801</v>
      </c>
      <c r="I383" s="1211" t="s">
        <v>4665</v>
      </c>
      <c r="J383" s="1042" t="s">
        <v>5832</v>
      </c>
      <c r="K383" s="1043" t="s">
        <v>5832</v>
      </c>
      <c r="L383" s="577" t="s">
        <v>4605</v>
      </c>
      <c r="M383" s="382" t="s">
        <v>5801</v>
      </c>
      <c r="N383" s="387"/>
      <c r="O383" s="2679" cm="1" t="n">
        <f t="array" ref="O383">INDEX('5층_부하량'!J3:J3000,MATCH(1,("5-DaHall 1-PDU-12"='5층_부하량'!A3:A3000)*(18='5층_부하량'!B3:B3000),0))</f>
        <v>3.1234368501224776</v>
      </c>
      <c r="P383" s="387"/>
      <c r="Q383" s="387"/>
      <c r="R383" s="394" t="s">
        <v>4631</v>
      </c>
      <c r="S383" s="389" t="s">
        <v>4575</v>
      </c>
      <c r="T383" s="395" t="s">
        <v>3032</v>
      </c>
    </row>
    <row r="384" spans="1:20" s="356" customFormat="1" ht="16.5" x14ac:dyDescent="0.15">
      <c r="A384" s="391" t="s">
        <v>5935</v>
      </c>
      <c r="B384" s="382" t="s">
        <v>4631</v>
      </c>
      <c r="C384" s="389" t="s">
        <v>4575</v>
      </c>
      <c r="D384" s="387"/>
      <c r="E384" s="387"/>
      <c r="F384" s="2679" cm="1" t="n">
        <f t="array" ref="F384">INDEX('5층_부하량'!K3:K3000,MATCH(1,("5-DaHall 1-PDU-12"='5층_부하량'!A3:A3000)*(19='5층_부하량'!B3:B3000),0))</f>
        <v>2.856281678843304</v>
      </c>
      <c r="G384" s="387"/>
      <c r="H384" s="382" t="s">
        <v>5811</v>
      </c>
      <c r="I384" s="1211" t="s">
        <v>4670</v>
      </c>
      <c r="J384" s="1042" t="s">
        <v>5862</v>
      </c>
      <c r="K384" s="1045"/>
      <c r="L384" s="1451" t="s">
        <v>4609</v>
      </c>
      <c r="M384" s="382" t="s">
        <v>5811</v>
      </c>
      <c r="N384" s="387"/>
      <c r="O384" s="387"/>
      <c r="P384" s="2679" cm="1">
        <f t="array" ref="P384">INDEX('5층_부하량'!K3:K3000,MATCH(1,("5-DaHall 1-PDU-12"='5층_부하량'!A3:A3000)*(20='5층_부하량'!B3:B3000),0))</f>
        <v>0</v>
      </c>
      <c r="Q384" s="387"/>
      <c r="R384" s="394" t="s">
        <v>4590</v>
      </c>
      <c r="S384" s="382" t="s">
        <v>4642</v>
      </c>
      <c r="T384" s="430"/>
    </row>
    <row r="385" spans="1:20" s="356" customFormat="1" ht="16.5" x14ac:dyDescent="0.15">
      <c r="A385" s="403" t="s">
        <v>5936</v>
      </c>
      <c r="B385" s="382" t="s">
        <v>4631</v>
      </c>
      <c r="C385" s="389" t="s">
        <v>4575</v>
      </c>
      <c r="D385" s="2679" cm="1" t="n">
        <f t="array" ref="D385">INDEX('5층_부하량'!I3:I3000,MATCH(1,("5-DaHall 1-PDU-12"='5층_부하량'!A3:A3000)*(21='5층_부하량'!B3:B3000),0))</f>
        <v>4.433770933704365</v>
      </c>
      <c r="E385" s="387"/>
      <c r="F385" s="387"/>
      <c r="G385" s="387"/>
      <c r="H385" s="382" t="s">
        <v>5811</v>
      </c>
      <c r="I385" s="1211" t="s">
        <v>4674</v>
      </c>
      <c r="J385" s="1042" t="s">
        <v>5865</v>
      </c>
      <c r="K385" s="1045"/>
      <c r="L385" s="578" t="s">
        <v>4613</v>
      </c>
      <c r="M385" s="382" t="s">
        <v>5811</v>
      </c>
      <c r="N385" s="2679" cm="1">
        <f t="array" ref="N385">INDEX('5층_부하량'!I3:I3000,MATCH(1,("5-DaHall 1-PDU-12"='5층_부하량'!A3:A3000)*(22='5층_부하량'!B3:B3000),0))</f>
        <v>0</v>
      </c>
      <c r="O385" s="387"/>
      <c r="P385" s="387"/>
      <c r="Q385" s="387"/>
      <c r="R385" s="394" t="s">
        <v>5937</v>
      </c>
      <c r="S385" s="382" t="s">
        <v>5660</v>
      </c>
      <c r="T385" s="422" t="s">
        <v>5938</v>
      </c>
    </row>
    <row r="386" spans="1:20" s="356" customFormat="1" ht="16.5" x14ac:dyDescent="0.15">
      <c r="A386" s="391" t="s">
        <v>5939</v>
      </c>
      <c r="B386" s="382" t="s">
        <v>4631</v>
      </c>
      <c r="C386" s="389" t="s">
        <v>4575</v>
      </c>
      <c r="D386" s="387"/>
      <c r="E386" s="2679" cm="1">
        <f t="array" ref="E386">INDEX('5층_부하량'!J3:J3000,MATCH(1,("5-DaHall 1-PDU-12"='5층_부하량'!A3:A3000)*(23='5층_부하량'!B3:B3000),0))</f>
        <v>0</v>
      </c>
      <c r="F386" s="387"/>
      <c r="G386" s="387"/>
      <c r="H386" s="382" t="s">
        <v>5811</v>
      </c>
      <c r="I386" s="1211" t="s">
        <v>4678</v>
      </c>
      <c r="J386" s="1042" t="s">
        <v>5868</v>
      </c>
      <c r="K386" s="1058" t="s">
        <v>2824</v>
      </c>
      <c r="L386" s="578" t="s">
        <v>4680</v>
      </c>
      <c r="M386" s="382" t="s">
        <v>5811</v>
      </c>
      <c r="N386" s="387"/>
      <c r="O386" s="2679" cm="1" t="n">
        <f t="array" ref="O386">INDEX('5층_부하량'!J3:J3000,MATCH(1,("5-DaHall 1-PDU-12"='5층_부하량'!A3:A3000)*(24='5층_부하량'!B3:B3000),0))</f>
        <v>4.113001595463106</v>
      </c>
      <c r="P386" s="387"/>
      <c r="Q386" s="387"/>
      <c r="R386" s="394" t="s">
        <v>4631</v>
      </c>
      <c r="S386" s="389" t="s">
        <v>4575</v>
      </c>
      <c r="T386" s="670" t="s">
        <v>5940</v>
      </c>
    </row>
    <row r="387" spans="1:20" s="356" customFormat="1" ht="16.5" x14ac:dyDescent="0.15">
      <c r="A387" s="403" t="s">
        <v>5941</v>
      </c>
      <c r="B387" s="382" t="s">
        <v>4631</v>
      </c>
      <c r="C387" s="389" t="s">
        <v>4575</v>
      </c>
      <c r="D387" s="387"/>
      <c r="E387" s="387"/>
      <c r="F387" s="2679" cm="1" t="n">
        <f t="array" ref="F387">INDEX('5층_부하량'!K3:K3000,MATCH(1,("5-DaHall 1-PDU-12"='5층_부하량'!A3:A3000)*(25='5층_부하량'!B3:B3000),0))</f>
        <v>3.2839097963817783</v>
      </c>
      <c r="G387" s="387"/>
      <c r="H387" s="382" t="s">
        <v>5811</v>
      </c>
      <c r="I387" s="1211" t="s">
        <v>4683</v>
      </c>
      <c r="J387" s="1042" t="s">
        <v>5871</v>
      </c>
      <c r="K387" s="1058" t="s">
        <v>5828</v>
      </c>
      <c r="L387" s="1212" t="s">
        <v>4685</v>
      </c>
      <c r="M387" s="382" t="s">
        <v>5811</v>
      </c>
      <c r="N387" s="387"/>
      <c r="O387" s="387"/>
      <c r="P387" s="2679" cm="1" t="n">
        <f t="array" ref="P387">INDEX('5층_부하량'!K3:K3000,MATCH(1,("5-DaHall 1-PDU-12"='5층_부하량'!A3:A3000)*(26='5층_부하량'!B3:B3000),0))</f>
        <v>4.852747648333329</v>
      </c>
      <c r="Q387" s="387"/>
      <c r="R387" s="394" t="s">
        <v>4631</v>
      </c>
      <c r="S387" s="389" t="s">
        <v>4575</v>
      </c>
      <c r="T387" s="671" t="s">
        <v>5942</v>
      </c>
    </row>
    <row r="388" spans="1:20" s="356" customFormat="1" ht="16.5" x14ac:dyDescent="0.15">
      <c r="A388" s="391" t="s">
        <v>5943</v>
      </c>
      <c r="B388" s="382" t="s">
        <v>4631</v>
      </c>
      <c r="C388" s="389" t="s">
        <v>4575</v>
      </c>
      <c r="D388" s="2679" cm="1">
        <f t="array" ref="D388">INDEX('5층_부하량'!I3:I3000,MATCH(1,("5-DaHall 1-PDU-12"='5층_부하량'!A3:A3000)*(27='5층_부하량'!B3:B3000),0))</f>
        <v>0</v>
      </c>
      <c r="E388" s="387"/>
      <c r="F388" s="387"/>
      <c r="G388" s="387"/>
      <c r="H388" s="382" t="s">
        <v>5811</v>
      </c>
      <c r="I388" s="1211" t="s">
        <v>4688</v>
      </c>
      <c r="J388" s="1042" t="s">
        <v>5874</v>
      </c>
      <c r="K388" s="1045"/>
      <c r="L388" s="1212" t="s">
        <v>4689</v>
      </c>
      <c r="M388" s="382" t="s">
        <v>5811</v>
      </c>
      <c r="N388" s="2679" cm="1" t="n">
        <f t="array" ref="N388">INDEX('5층_부하량'!I3:I3000,MATCH(1,("5-DaHall 1-PDU-12"='5층_부하량'!A3:A3000)*(28='5층_부하량'!B3:B3000),0))</f>
        <v>5.2756703345685985</v>
      </c>
      <c r="O388" s="387"/>
      <c r="P388" s="387"/>
      <c r="Q388" s="387"/>
      <c r="R388" s="394" t="s">
        <v>4631</v>
      </c>
      <c r="S388" s="389" t="s">
        <v>4575</v>
      </c>
      <c r="T388" s="395" t="s">
        <v>5944</v>
      </c>
    </row>
    <row r="389" spans="1:20" s="356" customFormat="1" ht="16.5" x14ac:dyDescent="0.15">
      <c r="A389" s="403" t="s">
        <v>5945</v>
      </c>
      <c r="B389" s="382" t="s">
        <v>4631</v>
      </c>
      <c r="C389" s="389" t="s">
        <v>4575</v>
      </c>
      <c r="D389" s="387"/>
      <c r="E389" s="2679" cm="1" t="n">
        <f t="array" ref="E389">INDEX('5층_부하량'!J3:J3000,MATCH(1,("5-DaHall 1-PDU-12"='5층_부하량'!A3:A3000)*(29='5층_부하량'!B3:B3000),0))</f>
        <v>4.754532353113612</v>
      </c>
      <c r="F389" s="387"/>
      <c r="G389" s="387"/>
      <c r="H389" s="382" t="s">
        <v>5811</v>
      </c>
      <c r="I389" s="1450" t="s">
        <v>4691</v>
      </c>
      <c r="J389" s="1042" t="s">
        <v>5832</v>
      </c>
      <c r="K389" s="1058" t="s">
        <v>5828</v>
      </c>
      <c r="L389" s="1212" t="s">
        <v>4692</v>
      </c>
      <c r="M389" s="382" t="s">
        <v>5811</v>
      </c>
      <c r="N389" s="387"/>
      <c r="O389" s="2679" cm="1" t="n">
        <f t="array" ref="O389">INDEX('5층_부하량'!J3:J3000,MATCH(1,("5-DaHall 1-PDU-12"='5층_부하량'!A3:A3000)*(30='5층_부하량'!B3:B3000),0))</f>
        <v>6.353099886393774</v>
      </c>
      <c r="P389" s="387"/>
      <c r="Q389" s="387"/>
      <c r="R389" s="394" t="s">
        <v>4590</v>
      </c>
      <c r="S389" s="389" t="s">
        <v>4575</v>
      </c>
      <c r="T389" s="672" t="s">
        <v>5946</v>
      </c>
    </row>
    <row r="390" spans="1:20" s="356" customFormat="1" ht="17.25" thickBot="1" x14ac:dyDescent="0.2">
      <c r="A390" s="431" t="s">
        <v>5947</v>
      </c>
      <c r="B390" s="432" t="s">
        <v>4631</v>
      </c>
      <c r="C390" s="432" t="s">
        <v>4642</v>
      </c>
      <c r="D390" s="433"/>
      <c r="E390" s="433"/>
      <c r="F390" s="2680" cm="1" t="n">
        <f t="array" ref="F390">INDEX('5층_부하량'!K3:K3000,MATCH(1,("5-DaHall 1-PDU-12"='5층_부하량'!A3:A3000)*(31='5층_부하량'!B3:B3000),0))</f>
        <v>6.20814145542508</v>
      </c>
      <c r="G390" s="433"/>
      <c r="H390" s="432" t="s">
        <v>5811</v>
      </c>
      <c r="I390" s="1452" t="s">
        <v>4693</v>
      </c>
      <c r="J390" s="1059" t="s">
        <v>5832</v>
      </c>
      <c r="K390" s="1060" t="s">
        <v>5832</v>
      </c>
      <c r="L390" s="1219" t="s">
        <v>5948</v>
      </c>
      <c r="M390" s="432" t="s">
        <v>5811</v>
      </c>
      <c r="N390" s="433"/>
      <c r="O390" s="433"/>
      <c r="P390" s="2680" cm="1" t="n">
        <f t="array" ref="P390">INDEX('5층_부하량'!K3:K3000,MATCH(1,("5-DaHall 1-PDU-12"='5층_부하량'!A3:A3000)*(32='5층_부하량'!B3:B3000),0))</f>
        <v>3.2036046203471673</v>
      </c>
      <c r="Q390" s="433"/>
      <c r="R390" s="436" t="s">
        <v>4631</v>
      </c>
      <c r="S390" s="437" t="s">
        <v>4575</v>
      </c>
      <c r="T390" s="438" t="s">
        <v>5949</v>
      </c>
    </row>
    <row r="391" spans="1:20" s="356" customFormat="1" ht="18" thickTop="1" thickBot="1" x14ac:dyDescent="0.2">
      <c r="L391" s="2445"/>
      <c r="M391" s="411" t="s">
        <v>5645</v>
      </c>
      <c r="N391" s="412" t="n">
        <f>SUM(D375:D390,N375:N390)</f>
        <v>23.17577261014317</v>
      </c>
      <c r="O391" s="412" t="n">
        <f>SUM(E375:E390,O375:O390)</f>
        <v>25.545044332438987</v>
      </c>
      <c r="P391" s="412" t="n">
        <f>SUM(F375:F390,P375:P390)</f>
        <v>23.522588525107476</v>
      </c>
    </row>
    <row r="392" spans="1:20" s="356" customFormat="1" ht="20.25" thickTop="1" thickBot="1" x14ac:dyDescent="0.2">
      <c r="A392" s="355" t="s">
        <v>6959</v>
      </c>
      <c r="C392" s="3660" t="s">
        <v>5950</v>
      </c>
      <c r="D392" s="3660"/>
      <c r="E392" s="3660"/>
      <c r="F392" s="3660"/>
      <c r="G392" s="357"/>
      <c r="H392" s="358"/>
      <c r="I392" s="358"/>
      <c r="J392" s="3668" t="s">
        <v>5646</v>
      </c>
      <c r="K392" s="3669"/>
      <c r="L392" s="2442"/>
      <c r="M392" s="358"/>
      <c r="N392" s="357"/>
      <c r="O392" s="357"/>
      <c r="P392" s="357"/>
      <c r="Q392" s="357"/>
      <c r="R392" s="357"/>
      <c r="S392" s="357"/>
    </row>
    <row r="393" spans="1:20" s="356" customFormat="1" ht="18" customHeight="1" thickTop="1" thickBot="1" x14ac:dyDescent="0.2">
      <c r="A393" s="3"/>
      <c r="B393"/>
      <c r="C393"/>
      <c r="D393" s="54"/>
      <c r="E393" s="54"/>
      <c r="F393" s="54"/>
      <c r="G393" s="54"/>
      <c r="H393" s="4"/>
      <c r="I393" s="4"/>
      <c r="J393"/>
      <c r="K393" s="56"/>
      <c r="L393" s="565"/>
      <c r="M393" s="1371" t="s">
        <v>4562</v>
      </c>
      <c r="N393" s="1368">
        <v>13.4</v>
      </c>
      <c r="O393" s="1369">
        <v>11.6</v>
      </c>
      <c r="P393" s="1370">
        <v>7.6</v>
      </c>
      <c r="Q393" s="508" t="s">
        <v>4563</v>
      </c>
      <c r="R393" s="133"/>
      <c r="S393" s="128"/>
      <c r="T393" s="528"/>
    </row>
    <row r="394" spans="1:20" s="356" customFormat="1" ht="18" thickTop="1" thickBot="1" x14ac:dyDescent="0.2">
      <c r="A394" s="364" t="s">
        <v>4564</v>
      </c>
      <c r="B394" s="365" t="s">
        <v>4565</v>
      </c>
      <c r="C394" s="366" t="s">
        <v>4566</v>
      </c>
      <c r="D394" s="365" t="s">
        <v>4567</v>
      </c>
      <c r="E394" s="365" t="s">
        <v>4568</v>
      </c>
      <c r="F394" s="365" t="s">
        <v>4569</v>
      </c>
      <c r="G394" s="365" t="s">
        <v>4570</v>
      </c>
      <c r="H394" s="367" t="s">
        <v>4571</v>
      </c>
      <c r="I394" s="557"/>
      <c r="J394" s="368" t="s">
        <v>4572</v>
      </c>
      <c r="K394" s="369" t="s">
        <v>4572</v>
      </c>
      <c r="L394" s="575"/>
      <c r="M394" s="367" t="s">
        <v>4571</v>
      </c>
      <c r="N394" s="365" t="s">
        <v>4567</v>
      </c>
      <c r="O394" s="365" t="s">
        <v>4568</v>
      </c>
      <c r="P394" s="365" t="s">
        <v>4569</v>
      </c>
      <c r="Q394" s="365" t="s">
        <v>4570</v>
      </c>
      <c r="R394" s="365" t="s">
        <v>4565</v>
      </c>
      <c r="S394" s="366" t="s">
        <v>4566</v>
      </c>
      <c r="T394" s="370" t="s">
        <v>4564</v>
      </c>
    </row>
    <row r="395" spans="1:20" s="356" customFormat="1" ht="17.25" thickTop="1" x14ac:dyDescent="0.15">
      <c r="A395" s="371"/>
      <c r="B395" s="372" t="s">
        <v>4590</v>
      </c>
      <c r="C395" s="373" t="s">
        <v>4642</v>
      </c>
      <c r="D395" s="2681" cm="1">
        <f t="array" ref="D395">INDEX('5층_부하량'!I3:I3000,MATCH(1,("5-DaHall 1-PDU-14"='5층_부하량'!A3:A3000)*(1='5층_부하량'!B3:B3000),0))</f>
        <v>0</v>
      </c>
      <c r="E395" s="2681" cm="1">
        <f t="array" ref="E395">INDEX('5층_부하량'!J3:J3000,MATCH(1,("5-DaHall 1-PDU-14"='5층_부하량'!A3:A3000)*(1='5층_부하량'!B3:B3000),0))</f>
        <v>0</v>
      </c>
      <c r="F395" s="2681" cm="1">
        <f t="array" ref="F395">INDEX('5층_부하량'!K3:K3000,MATCH(1,("5-DaHall 1-PDU-14"='5층_부하량'!A3:A3000)*(1='5층_부하량'!B3:B3000),0))</f>
        <v>0</v>
      </c>
      <c r="G395" s="374"/>
      <c r="H395" s="373" t="s">
        <v>5786</v>
      </c>
      <c r="I395" s="2446" t="s">
        <v>5894</v>
      </c>
      <c r="J395" s="1051"/>
      <c r="K395" s="1052"/>
      <c r="L395" s="1449" t="s">
        <v>5896</v>
      </c>
      <c r="M395" s="372" t="s">
        <v>5786</v>
      </c>
      <c r="N395" s="2681" cm="1">
        <f t="array" ref="N395">INDEX('5층_부하량'!I3:I3000,MATCH(1,("5-DaHall 1-PDU-14"='5층_부하량'!A3:A3000)*(2='5층_부하량'!B3:B3000),0))</f>
        <v>0</v>
      </c>
      <c r="O395" s="2681" cm="1">
        <f t="array" ref="O395">INDEX('5층_부하량'!J3:J3000,MATCH(1,("5-DaHall 1-PDU-14"='5층_부하량'!A3:A3000)*(2='5층_부하량'!B3:B3000),0))</f>
        <v>0</v>
      </c>
      <c r="P395" s="2681" cm="1">
        <f t="array" ref="P395">INDEX('5층_부하량'!K3:K3000,MATCH(1,("5-DaHall 1-PDU-14"='5층_부하량'!A3:A3000)*(2='5층_부하량'!B3:B3000),0))</f>
        <v>0</v>
      </c>
      <c r="Q395" s="374"/>
      <c r="R395" s="378" t="s">
        <v>4590</v>
      </c>
      <c r="S395" s="372" t="s">
        <v>4642</v>
      </c>
      <c r="T395" s="380"/>
    </row>
    <row r="396" spans="1:20" s="356" customFormat="1" ht="16.5" x14ac:dyDescent="0.15">
      <c r="A396" s="667" t="s">
        <v>5951</v>
      </c>
      <c r="B396" s="382" t="s">
        <v>4631</v>
      </c>
      <c r="C396" s="389" t="s">
        <v>4575</v>
      </c>
      <c r="D396" s="2682" cm="1" t="n">
        <f t="array" ref="D396">INDEX('5층_부하량'!I3:I3000,MATCH(1,("5-DaHall 1-PDU-14"='5층_부하량'!A3:A3000)*(3='5층_부하량'!B3:B3000),0))</f>
        <v>3.170225310395804</v>
      </c>
      <c r="E396" s="383"/>
      <c r="F396" s="383"/>
      <c r="G396" s="383"/>
      <c r="H396" s="382" t="s">
        <v>5790</v>
      </c>
      <c r="I396" s="1211" t="s">
        <v>4638</v>
      </c>
      <c r="J396" s="669" t="s">
        <v>5828</v>
      </c>
      <c r="K396" s="385" t="s">
        <v>5832</v>
      </c>
      <c r="L396" s="577" t="s">
        <v>4583</v>
      </c>
      <c r="M396" s="382" t="s">
        <v>5786</v>
      </c>
      <c r="N396" s="2682" cm="1" t="n">
        <f t="array" ref="N396">INDEX('5층_부하량'!I3:I3000,MATCH(1,("5-DaHall 1-PDU-14"='5층_부하량'!A3:A3000)*(4='5층_부하량'!B3:B3000),0))</f>
        <v>6.784016385319609</v>
      </c>
      <c r="O396" s="383"/>
      <c r="P396" s="383"/>
      <c r="Q396" s="383"/>
      <c r="R396" s="388" t="s">
        <v>4631</v>
      </c>
      <c r="S396" s="389" t="s">
        <v>4575</v>
      </c>
      <c r="T396" s="395" t="s">
        <v>3105</v>
      </c>
    </row>
    <row r="397" spans="1:20" s="356" customFormat="1" ht="16.5" x14ac:dyDescent="0.15">
      <c r="A397" s="381" t="s">
        <v>5952</v>
      </c>
      <c r="B397" s="382" t="s">
        <v>4631</v>
      </c>
      <c r="C397" s="389" t="s">
        <v>4575</v>
      </c>
      <c r="D397" s="387"/>
      <c r="E397" s="2679" cm="1">
        <f t="array" ref="E397">INDEX('5층_부하량'!J3:J3000,MATCH(1,("5-DaHall 1-PDU-14"='5층_부하량'!A3:A3000)*(5='5층_부하량'!B3:B3000),0))</f>
        <v>0</v>
      </c>
      <c r="F397" s="387"/>
      <c r="G397" s="387"/>
      <c r="H397" s="382" t="s">
        <v>5786</v>
      </c>
      <c r="I397" s="1450" t="s">
        <v>4641</v>
      </c>
      <c r="J397" s="384" t="s">
        <v>5832</v>
      </c>
      <c r="K397" s="385" t="s">
        <v>5832</v>
      </c>
      <c r="L397" s="577" t="s">
        <v>4588</v>
      </c>
      <c r="M397" s="382" t="s">
        <v>5786</v>
      </c>
      <c r="N397" s="387"/>
      <c r="O397" s="2679" cm="1" t="n">
        <f t="array" ref="O397">INDEX('5층_부하량'!J3:J3000,MATCH(1,("5-DaHall 1-PDU-14"='5층_부하량'!A3:A3000)*(6='5층_부하량'!B3:B3000),0))</f>
        <v>2.7566654891002638</v>
      </c>
      <c r="P397" s="387"/>
      <c r="Q397" s="387"/>
      <c r="R397" s="394" t="s">
        <v>4631</v>
      </c>
      <c r="S397" s="389" t="s">
        <v>4575</v>
      </c>
      <c r="T397" s="390" t="s">
        <v>3111</v>
      </c>
    </row>
    <row r="398" spans="1:20" s="356" customFormat="1" ht="16.5" x14ac:dyDescent="0.15">
      <c r="A398" s="391" t="s">
        <v>5953</v>
      </c>
      <c r="B398" s="382" t="s">
        <v>4631</v>
      </c>
      <c r="C398" s="389" t="s">
        <v>4575</v>
      </c>
      <c r="D398" s="387"/>
      <c r="E398" s="387"/>
      <c r="F398" s="2679" cm="1" t="n">
        <f t="array" ref="F398">INDEX('5층_부하량'!K3:K3000,MATCH(1,("5-DaHall 1-PDU-14"='5층_부하량'!A3:A3000)*(7='5층_부하량'!B3:B3000),0))</f>
        <v>1.650682424854571</v>
      </c>
      <c r="G398" s="387"/>
      <c r="H398" s="382" t="s">
        <v>5786</v>
      </c>
      <c r="I398" s="1450" t="s">
        <v>4645</v>
      </c>
      <c r="J398" s="384" t="s">
        <v>5832</v>
      </c>
      <c r="K398" s="385" t="s">
        <v>5832</v>
      </c>
      <c r="L398" s="577" t="s">
        <v>4593</v>
      </c>
      <c r="M398" s="382" t="s">
        <v>5795</v>
      </c>
      <c r="N398" s="387"/>
      <c r="O398" s="387"/>
      <c r="P398" s="2679" cm="1">
        <f t="array" ref="P398">INDEX('5층_부하량'!K3:K3000,MATCH(1,("5-DaHall 1-PDU-14"='5층_부하량'!A3:A3000)*(8='5층_부하량'!B3:B3000),0))</f>
        <v>0</v>
      </c>
      <c r="Q398" s="387"/>
      <c r="R398" s="394" t="s">
        <v>4631</v>
      </c>
      <c r="S398" s="389" t="s">
        <v>4575</v>
      </c>
      <c r="T398" s="395" t="s">
        <v>3118</v>
      </c>
    </row>
    <row r="399" spans="1:20" s="356" customFormat="1" ht="16.5" x14ac:dyDescent="0.15">
      <c r="A399" s="381" t="s">
        <v>5954</v>
      </c>
      <c r="B399" s="382" t="s">
        <v>4631</v>
      </c>
      <c r="C399" s="424" t="s">
        <v>4642</v>
      </c>
      <c r="D399" s="2679" cm="1" t="n">
        <f t="array" ref="D399">INDEX('5층_부하량'!I3:I3000,MATCH(1,("5-DaHall 1-PDU-14"='5층_부하량'!A3:A3000)*(9='5층_부하량'!B3:B3000),0))</f>
        <v>0.918963436807435</v>
      </c>
      <c r="E399" s="387"/>
      <c r="F399" s="387"/>
      <c r="G399" s="387"/>
      <c r="H399" s="382" t="s">
        <v>5786</v>
      </c>
      <c r="I399" s="558" t="s">
        <v>4648</v>
      </c>
      <c r="J399" s="384" t="s">
        <v>5832</v>
      </c>
      <c r="K399" s="385" t="s">
        <v>5832</v>
      </c>
      <c r="L399" s="577" t="s">
        <v>4596</v>
      </c>
      <c r="M399" s="382" t="s">
        <v>5795</v>
      </c>
      <c r="N399" s="2679" cm="1" t="n">
        <f t="array" ref="N399">INDEX('5층_부하량'!I3:I3000,MATCH(1,("5-DaHall 1-PDU-14"='5층_부하량'!A3:A3000)*(10='5층_부하량'!B3:B3000),0))</f>
        <v>2.4611611892786516</v>
      </c>
      <c r="O399" s="387"/>
      <c r="P399" s="387"/>
      <c r="Q399" s="387"/>
      <c r="R399" s="394" t="s">
        <v>4631</v>
      </c>
      <c r="S399" s="389" t="s">
        <v>4575</v>
      </c>
      <c r="T399" s="413" t="s">
        <v>2543</v>
      </c>
    </row>
    <row r="400" spans="1:20" s="356" customFormat="1" ht="17.25" thickBot="1" x14ac:dyDescent="0.2">
      <c r="A400" s="439" t="s">
        <v>3044</v>
      </c>
      <c r="B400" s="415" t="s">
        <v>4631</v>
      </c>
      <c r="C400" s="416" t="s">
        <v>4575</v>
      </c>
      <c r="D400" s="417"/>
      <c r="E400" s="2686" cm="1" t="n">
        <f t="array" ref="E400">INDEX('5층_부하량'!J3:J3000,MATCH(1,("5-DaHall 1-PDU-14"='5층_부하량'!A3:A3000)*(11='5층_부하량'!B3:B3000),0))</f>
        <v>3.229203595463764</v>
      </c>
      <c r="F400" s="417"/>
      <c r="G400" s="417"/>
      <c r="H400" s="415" t="s">
        <v>5883</v>
      </c>
      <c r="I400" s="561" t="s">
        <v>4653</v>
      </c>
      <c r="J400" s="419" t="s">
        <v>5832</v>
      </c>
      <c r="K400" s="420" t="s">
        <v>5832</v>
      </c>
      <c r="L400" s="582" t="s">
        <v>4599</v>
      </c>
      <c r="M400" s="415" t="s">
        <v>5801</v>
      </c>
      <c r="N400" s="417"/>
      <c r="O400" s="2686" cm="1" t="n">
        <f t="array" ref="O400">INDEX('5층_부하량'!J3:J3000,MATCH(1,("5-DaHall 1-PDU-14"='5층_부하량'!A3:A3000)*(12='5층_부하량'!B3:B3000),0))</f>
        <v>2.445521436242747</v>
      </c>
      <c r="P400" s="417"/>
      <c r="Q400" s="417"/>
      <c r="R400" s="421" t="s">
        <v>4631</v>
      </c>
      <c r="S400" s="416" t="s">
        <v>4575</v>
      </c>
      <c r="T400" s="440" t="s">
        <v>2549</v>
      </c>
    </row>
    <row r="401" spans="1:20" s="356" customFormat="1" ht="17.25" thickTop="1" x14ac:dyDescent="0.15">
      <c r="A401" s="673" t="s">
        <v>5955</v>
      </c>
      <c r="B401" s="372" t="s">
        <v>4631</v>
      </c>
      <c r="C401" s="379" t="s">
        <v>4575</v>
      </c>
      <c r="D401" s="401"/>
      <c r="E401" s="401"/>
      <c r="F401" s="2678" cm="1" t="n">
        <f t="array" ref="F401">INDEX('5층_부하량'!K3:K3000,MATCH(1,("5-DaHall 1-PDU-14"='5층_부하량'!A3:A3000)*(13='5층_부하량'!B3:B3000),0))</f>
        <v>1.6830662080244077</v>
      </c>
      <c r="G401" s="401"/>
      <c r="H401" s="372" t="s">
        <v>5883</v>
      </c>
      <c r="I401" s="559" t="s">
        <v>4657</v>
      </c>
      <c r="J401" s="674" t="s">
        <v>5828</v>
      </c>
      <c r="K401" s="675" t="s">
        <v>5828</v>
      </c>
      <c r="L401" s="576" t="s">
        <v>4601</v>
      </c>
      <c r="M401" s="372" t="s">
        <v>5801</v>
      </c>
      <c r="N401" s="401"/>
      <c r="O401" s="401"/>
      <c r="P401" s="2678" cm="1" t="n">
        <f t="array" ref="P401">INDEX('5층_부하량'!K3:K3000,MATCH(1,("5-DaHall 1-PDU-14"='5층_부하량'!A3:A3000)*(14='5층_부하량'!B3:B3000),0))</f>
        <v>3.112584148287278</v>
      </c>
      <c r="Q401" s="401"/>
      <c r="R401" s="402" t="s">
        <v>4631</v>
      </c>
      <c r="S401" s="379" t="s">
        <v>4575</v>
      </c>
      <c r="T401" s="676" t="s">
        <v>5956</v>
      </c>
    </row>
    <row r="402" spans="1:20" s="356" customFormat="1" ht="16.5" x14ac:dyDescent="0.15">
      <c r="A402" s="403" t="s">
        <v>5957</v>
      </c>
      <c r="B402" s="424" t="s">
        <v>4631</v>
      </c>
      <c r="C402" s="425" t="s">
        <v>4575</v>
      </c>
      <c r="D402" s="2687" cm="1">
        <f t="array" ref="D402">INDEX('5층_부하량'!I3:I3000,MATCH(1,("5-DaHall 1-PDU-14"='5층_부하량'!A3:A3000)*(15='5층_부하량'!B3:B3000),0))</f>
        <v>0</v>
      </c>
      <c r="E402" s="426"/>
      <c r="F402" s="426"/>
      <c r="G402" s="426"/>
      <c r="H402" s="424" t="s">
        <v>5801</v>
      </c>
      <c r="I402" s="562" t="s">
        <v>4661</v>
      </c>
      <c r="J402" s="427" t="s">
        <v>5832</v>
      </c>
      <c r="K402" s="428" t="s">
        <v>5832</v>
      </c>
      <c r="L402" s="1453" t="s">
        <v>4603</v>
      </c>
      <c r="M402" s="424" t="s">
        <v>5801</v>
      </c>
      <c r="N402" s="2687" cm="1">
        <f t="array" ref="N402">INDEX('5층_부하량'!I3:I3000,MATCH(1,("5-DaHall 1-PDU-14"='5층_부하량'!A3:A3000)*(16='5층_부하량'!B3:B3000),0))</f>
        <v>0</v>
      </c>
      <c r="O402" s="426"/>
      <c r="P402" s="426"/>
      <c r="Q402" s="21"/>
      <c r="R402" s="69" t="s">
        <v>4631</v>
      </c>
      <c r="S402" s="1442" t="s">
        <v>4723</v>
      </c>
      <c r="T402" s="390" t="s">
        <v>5429</v>
      </c>
    </row>
    <row r="403" spans="1:20" s="356" customFormat="1" ht="16.5" x14ac:dyDescent="0.15">
      <c r="A403" s="391" t="s">
        <v>3066</v>
      </c>
      <c r="B403" s="382" t="s">
        <v>4631</v>
      </c>
      <c r="C403" s="389" t="s">
        <v>4575</v>
      </c>
      <c r="D403" s="387"/>
      <c r="E403" s="2679" cm="1" t="n">
        <f t="array" ref="E403">INDEX('5층_부하량'!J3:J3000,MATCH(1,("5-DaHall 1-PDU-14"='5층_부하량'!A3:A3000)*(17='5층_부하량'!B3:B3000),0))</f>
        <v>0.936871397513888</v>
      </c>
      <c r="F403" s="387"/>
      <c r="G403" s="387"/>
      <c r="H403" s="382" t="s">
        <v>5801</v>
      </c>
      <c r="I403" s="558" t="s">
        <v>4665</v>
      </c>
      <c r="J403" s="384" t="s">
        <v>5832</v>
      </c>
      <c r="K403" s="385" t="s">
        <v>5832</v>
      </c>
      <c r="L403" s="1454" t="s">
        <v>4605</v>
      </c>
      <c r="M403" s="382" t="s">
        <v>5801</v>
      </c>
      <c r="N403" s="387"/>
      <c r="O403" s="2679" cm="1" t="n">
        <f t="array" ref="O403">INDEX('5층_부하량'!J3:J3000,MATCH(1,("5-DaHall 1-PDU-14"='5층_부하량'!A3:A3000)*(18='5층_부하량'!B3:B3000),0))</f>
        <v>6.853733276138478</v>
      </c>
      <c r="P403" s="387"/>
      <c r="Q403" s="21"/>
      <c r="R403" s="69" t="s">
        <v>4631</v>
      </c>
      <c r="S403" s="1442" t="s">
        <v>4723</v>
      </c>
      <c r="T403" s="395" t="s">
        <v>5431</v>
      </c>
    </row>
    <row r="404" spans="1:20" s="356" customFormat="1" ht="16.5" x14ac:dyDescent="0.15">
      <c r="A404" s="403" t="s">
        <v>3075</v>
      </c>
      <c r="B404" s="382" t="s">
        <v>4631</v>
      </c>
      <c r="C404" s="389" t="s">
        <v>4575</v>
      </c>
      <c r="D404" s="387"/>
      <c r="E404" s="387"/>
      <c r="F404" s="2679" cm="1" t="n">
        <f t="array" ref="F404">INDEX('5층_부하량'!K3:K3000,MATCH(1,("5-DaHall 1-PDU-14"='5층_부하량'!A3:A3000)*(19='5층_부하량'!B3:B3000),0))</f>
        <v>2.6305357997015895</v>
      </c>
      <c r="G404" s="387"/>
      <c r="H404" s="382" t="s">
        <v>5811</v>
      </c>
      <c r="I404" s="558" t="s">
        <v>4670</v>
      </c>
      <c r="J404" s="384" t="s">
        <v>5832</v>
      </c>
      <c r="K404" s="385" t="s">
        <v>5832</v>
      </c>
      <c r="L404" s="577" t="s">
        <v>4609</v>
      </c>
      <c r="M404" s="382" t="s">
        <v>5811</v>
      </c>
      <c r="N404" s="387"/>
      <c r="O404" s="387"/>
      <c r="P404" s="2679" cm="1">
        <f t="array" ref="P404">INDEX('5층_부하량'!K3:K3000,MATCH(1,("5-DaHall 1-PDU-14"='5층_부하량'!A3:A3000)*(20='5층_부하량'!B3:B3000),0))</f>
        <v>0</v>
      </c>
      <c r="Q404" s="21"/>
      <c r="R404" s="69" t="s">
        <v>4631</v>
      </c>
      <c r="S404" s="1442" t="s">
        <v>4723</v>
      </c>
      <c r="T404" s="395" t="s">
        <v>5433</v>
      </c>
    </row>
    <row r="405" spans="1:20" s="356" customFormat="1" ht="16.5" x14ac:dyDescent="0.15">
      <c r="A405" s="391" t="s">
        <v>3080</v>
      </c>
      <c r="B405" s="382" t="s">
        <v>4631</v>
      </c>
      <c r="C405" s="389" t="s">
        <v>4575</v>
      </c>
      <c r="D405" s="2679" cm="1" t="n">
        <f t="array" ref="D405">INDEX('5층_부하량'!I3:I3000,MATCH(1,("5-DaHall 1-PDU-14"='5층_부하량'!A3:A3000)*(21='5층_부하량'!B3:B3000),0))</f>
        <v>3.2902154579425247</v>
      </c>
      <c r="E405" s="387"/>
      <c r="F405" s="387"/>
      <c r="G405" s="387"/>
      <c r="H405" s="382" t="s">
        <v>5811</v>
      </c>
      <c r="I405" s="558" t="s">
        <v>4674</v>
      </c>
      <c r="J405" s="384" t="s">
        <v>5832</v>
      </c>
      <c r="K405" s="385" t="s">
        <v>5832</v>
      </c>
      <c r="L405" s="577" t="s">
        <v>4613</v>
      </c>
      <c r="M405" s="382" t="s">
        <v>5811</v>
      </c>
      <c r="N405" s="2679" cm="1">
        <f t="array" ref="N405">INDEX('5층_부하량'!I3:I3000,MATCH(1,("5-DaHall 1-PDU-14"='5층_부하량'!A3:A3000)*(22='5층_부하량'!B3:B3000),0))</f>
        <v>0</v>
      </c>
      <c r="O405" s="387"/>
      <c r="P405" s="387"/>
      <c r="Q405" s="21"/>
      <c r="R405" s="69" t="s">
        <v>4631</v>
      </c>
      <c r="S405" s="1442" t="s">
        <v>4723</v>
      </c>
      <c r="T405" s="395" t="s">
        <v>3146</v>
      </c>
    </row>
    <row r="406" spans="1:20" s="356" customFormat="1" ht="16.5" x14ac:dyDescent="0.15">
      <c r="A406" s="403" t="s">
        <v>3088</v>
      </c>
      <c r="B406" s="382" t="s">
        <v>4631</v>
      </c>
      <c r="C406" s="389" t="s">
        <v>4575</v>
      </c>
      <c r="D406" s="387"/>
      <c r="E406" s="2679" cm="1" t="n">
        <f t="array" ref="E406">INDEX('5층_부하량'!J3:J3000,MATCH(1,("5-DaHall 1-PDU-14"='5층_부하량'!A3:A3000)*(23='5층_부하량'!B3:B3000),0))</f>
        <v>2.7027708662877274</v>
      </c>
      <c r="F406" s="387"/>
      <c r="G406" s="387"/>
      <c r="H406" s="382" t="s">
        <v>5811</v>
      </c>
      <c r="I406" s="558" t="s">
        <v>4678</v>
      </c>
      <c r="J406" s="384" t="s">
        <v>5832</v>
      </c>
      <c r="K406" s="385" t="s">
        <v>5832</v>
      </c>
      <c r="L406" s="577" t="s">
        <v>4680</v>
      </c>
      <c r="M406" s="382" t="s">
        <v>5811</v>
      </c>
      <c r="N406" s="387"/>
      <c r="O406" s="2679" cm="1" t="n">
        <f t="array" ref="O406">INDEX('5층_부하량'!J3:J3000,MATCH(1,("5-DaHall 1-PDU-14"='5층_부하량'!A3:A3000)*(24='5층_부하량'!B3:B3000),0))</f>
        <v>5.225430983936236</v>
      </c>
      <c r="P406" s="387"/>
      <c r="Q406" s="387"/>
      <c r="R406" s="394" t="s">
        <v>4631</v>
      </c>
      <c r="S406" s="389" t="s">
        <v>4575</v>
      </c>
      <c r="T406" s="395" t="s">
        <v>5958</v>
      </c>
    </row>
    <row r="407" spans="1:20" s="356" customFormat="1" ht="16.5" x14ac:dyDescent="0.15">
      <c r="A407" s="391" t="s">
        <v>5416</v>
      </c>
      <c r="B407" s="382" t="s">
        <v>4631</v>
      </c>
      <c r="C407" s="389" t="s">
        <v>4575</v>
      </c>
      <c r="D407" s="387"/>
      <c r="E407" s="387"/>
      <c r="F407" s="2679" cm="1">
        <f t="array" ref="F407">INDEX('5층_부하량'!K3:K3000,MATCH(1,("5-DaHall 1-PDU-14"='5층_부하량'!A3:A3000)*(25='5층_부하량'!B3:B3000),0))</f>
        <v>0</v>
      </c>
      <c r="G407" s="387"/>
      <c r="H407" s="382" t="s">
        <v>5811</v>
      </c>
      <c r="I407" s="1450" t="s">
        <v>4683</v>
      </c>
      <c r="J407" s="384" t="s">
        <v>5832</v>
      </c>
      <c r="K407" s="385" t="s">
        <v>5832</v>
      </c>
      <c r="L407" s="577" t="s">
        <v>4685</v>
      </c>
      <c r="M407" s="382" t="s">
        <v>5811</v>
      </c>
      <c r="N407" s="387"/>
      <c r="O407" s="387"/>
      <c r="P407" s="2679" cm="1">
        <f t="array" ref="P407">INDEX('5층_부하량'!K3:K3000,MATCH(1,("5-DaHall 1-PDU-14"='5층_부하량'!A3:A3000)*(26='5층_부하량'!B3:B3000),0))</f>
        <v>0</v>
      </c>
      <c r="Q407" s="387"/>
      <c r="R407" s="394" t="s">
        <v>4579</v>
      </c>
      <c r="S407" s="1442" t="s">
        <v>4723</v>
      </c>
      <c r="T407" s="395" t="s">
        <v>5959</v>
      </c>
    </row>
    <row r="408" spans="1:20" s="356" customFormat="1" ht="16.5" x14ac:dyDescent="0.15">
      <c r="A408" s="403" t="s">
        <v>5417</v>
      </c>
      <c r="B408" s="382" t="s">
        <v>4631</v>
      </c>
      <c r="C408" s="389" t="s">
        <v>4575</v>
      </c>
      <c r="D408" s="2679" cm="1">
        <f t="array" ref="D408">INDEX('5층_부하량'!I3:I3000,MATCH(1,("5-DaHall 1-PDU-14"='5층_부하량'!A3:A3000)*(27='5층_부하량'!B3:B3000),0))</f>
        <v>0</v>
      </c>
      <c r="E408" s="387"/>
      <c r="F408" s="387"/>
      <c r="G408" s="387"/>
      <c r="H408" s="382" t="s">
        <v>5811</v>
      </c>
      <c r="I408" s="1450" t="s">
        <v>4688</v>
      </c>
      <c r="J408" s="384" t="s">
        <v>5832</v>
      </c>
      <c r="K408" s="385" t="s">
        <v>5832</v>
      </c>
      <c r="L408" s="577" t="s">
        <v>4689</v>
      </c>
      <c r="M408" s="382" t="s">
        <v>5811</v>
      </c>
      <c r="N408" s="2679" cm="1" t="n">
        <f t="array" ref="N408">INDEX('5층_부하량'!I3:I3000,MATCH(1,("5-DaHall 1-PDU-14"='5층_부하량'!A3:A3000)*(28='5층_부하량'!B3:B3000),0))</f>
        <v>5.1565635115263015</v>
      </c>
      <c r="O408" s="387"/>
      <c r="P408" s="387"/>
      <c r="Q408" s="387"/>
      <c r="R408" s="394" t="s">
        <v>4579</v>
      </c>
      <c r="S408" s="1442" t="s">
        <v>4723</v>
      </c>
      <c r="T408" s="395" t="s">
        <v>5960</v>
      </c>
    </row>
    <row r="409" spans="1:20" s="356" customFormat="1" ht="16.5" x14ac:dyDescent="0.15">
      <c r="A409" s="391" t="s">
        <v>5419</v>
      </c>
      <c r="B409" s="382" t="s">
        <v>4631</v>
      </c>
      <c r="C409" s="389" t="s">
        <v>4575</v>
      </c>
      <c r="D409" s="387"/>
      <c r="E409" s="2679" cm="1">
        <f t="array" ref="E409">INDEX('5층_부하량'!J3:J3000,MATCH(1,("5-DaHall 1-PDU-14"='5층_부하량'!A3:A3000)*(29='5층_부하량'!B3:B3000),0))</f>
        <v>0</v>
      </c>
      <c r="F409" s="387"/>
      <c r="G409" s="387"/>
      <c r="H409" s="382" t="s">
        <v>5811</v>
      </c>
      <c r="I409" s="558" t="s">
        <v>4691</v>
      </c>
      <c r="J409" s="384" t="s">
        <v>5832</v>
      </c>
      <c r="K409" s="385" t="s">
        <v>5832</v>
      </c>
      <c r="L409" s="577" t="s">
        <v>4692</v>
      </c>
      <c r="M409" s="382" t="s">
        <v>5811</v>
      </c>
      <c r="N409" s="387"/>
      <c r="O409" s="2679" cm="1" t="n">
        <f t="array" ref="O409">INDEX('5층_부하량'!J3:J3000,MATCH(1,("5-DaHall 1-PDU-14"='5층_부하량'!A3:A3000)*(30='5층_부하량'!B3:B3000),0))</f>
        <v>2.0325886107844783E-4</v>
      </c>
      <c r="P409" s="387"/>
      <c r="Q409" s="387"/>
      <c r="R409" s="394" t="s">
        <v>4631</v>
      </c>
      <c r="S409" s="389" t="s">
        <v>4575</v>
      </c>
      <c r="T409" s="395" t="s">
        <v>5961</v>
      </c>
    </row>
    <row r="410" spans="1:20" s="356" customFormat="1" ht="17.25" thickBot="1" x14ac:dyDescent="0.2">
      <c r="A410" s="431" t="s">
        <v>3098</v>
      </c>
      <c r="B410" s="432" t="s">
        <v>4631</v>
      </c>
      <c r="C410" s="437" t="s">
        <v>4575</v>
      </c>
      <c r="D410" s="433"/>
      <c r="E410" s="433"/>
      <c r="F410" s="2680" cm="1">
        <f t="array" ref="F410">INDEX('5층_부하량'!K3:K3000,MATCH(1,("5-DaHall 1-PDU-14"='5층_부하량'!A3:A3000)*(31='5층_부하량'!B3:B3000),0))</f>
        <v>0</v>
      </c>
      <c r="G410" s="433"/>
      <c r="H410" s="432" t="s">
        <v>5811</v>
      </c>
      <c r="I410" s="563" t="s">
        <v>4693</v>
      </c>
      <c r="J410" s="434" t="s">
        <v>5832</v>
      </c>
      <c r="K410" s="441"/>
      <c r="L410" s="584" t="s">
        <v>4694</v>
      </c>
      <c r="M410" s="432" t="s">
        <v>5811</v>
      </c>
      <c r="N410" s="433"/>
      <c r="O410" s="433"/>
      <c r="P410" s="2680" cm="1" t="n">
        <f t="array" ref="P410">INDEX('5층_부하량'!K3:K3000,MATCH(1,("5-DaHall 1-PDU-14"='5층_부하량'!A3:A3000)*(32='5층_부하량'!B3:B3000),0))</f>
        <v>2.0997816227112385E-4</v>
      </c>
      <c r="Q410" s="433"/>
      <c r="R410" s="436" t="s">
        <v>4631</v>
      </c>
      <c r="S410" s="437" t="s">
        <v>4575</v>
      </c>
      <c r="T410" s="442" t="s">
        <v>5962</v>
      </c>
    </row>
    <row r="411" spans="1:20" s="356" customFormat="1" ht="18" thickTop="1" thickBot="1" x14ac:dyDescent="0.2">
      <c r="L411" s="2445"/>
      <c r="M411" s="411" t="s">
        <v>5645</v>
      </c>
      <c r="N411" s="412" t="n">
        <f>SUM(D395:D410,N395:N410)</f>
        <v>21.781145291270324</v>
      </c>
      <c r="O411" s="412" t="n">
        <f>SUM(E395:E410,O395:O410)</f>
        <v>24.15040030354418</v>
      </c>
      <c r="P411" s="412" t="n">
        <f>SUM(F395:F410,P395:P410)</f>
        <v>9.077078559030117</v>
      </c>
    </row>
    <row r="412" spans="1:20" s="356" customFormat="1" ht="20.25" thickTop="1" thickBot="1" x14ac:dyDescent="0.2">
      <c r="A412" s="355" t="s">
        <v>6960</v>
      </c>
      <c r="C412" s="3660" t="s">
        <v>5963</v>
      </c>
      <c r="D412" s="3660"/>
      <c r="E412" s="3660"/>
      <c r="F412" s="3660"/>
      <c r="G412" s="357"/>
      <c r="H412" s="358"/>
      <c r="I412" s="358"/>
      <c r="J412" s="3668" t="s">
        <v>4715</v>
      </c>
      <c r="K412" s="3669"/>
      <c r="L412" s="2442"/>
      <c r="M412" s="358"/>
      <c r="N412" s="357"/>
      <c r="O412" s="357"/>
      <c r="P412" s="357"/>
      <c r="Q412" s="357"/>
      <c r="R412" s="357"/>
      <c r="S412" s="357"/>
    </row>
    <row r="413" spans="1:20" s="356" customFormat="1" ht="15" customHeight="1" thickTop="1" thickBot="1" x14ac:dyDescent="0.2">
      <c r="A413" s="359"/>
      <c r="D413" s="360"/>
      <c r="E413" s="360"/>
      <c r="F413" s="360"/>
      <c r="G413" s="360"/>
      <c r="H413" s="361"/>
      <c r="I413" s="361"/>
      <c r="K413" s="362"/>
      <c r="L413" s="574"/>
      <c r="M413" s="1371" t="s">
        <v>4562</v>
      </c>
      <c r="N413" s="1368">
        <v>20.100000000000001</v>
      </c>
      <c r="O413" s="1369">
        <v>11.1</v>
      </c>
      <c r="P413" s="1370">
        <v>16</v>
      </c>
      <c r="Q413" s="508" t="s">
        <v>4563</v>
      </c>
      <c r="R413" s="1372"/>
      <c r="T413" s="363" t="s">
        <v>5964</v>
      </c>
    </row>
    <row r="414" spans="1:20" s="356" customFormat="1" ht="18" thickTop="1" thickBot="1" x14ac:dyDescent="0.2">
      <c r="A414" s="364" t="s">
        <v>4564</v>
      </c>
      <c r="B414" s="365" t="s">
        <v>4565</v>
      </c>
      <c r="C414" s="366" t="s">
        <v>4566</v>
      </c>
      <c r="D414" s="365" t="s">
        <v>4567</v>
      </c>
      <c r="E414" s="365" t="s">
        <v>4568</v>
      </c>
      <c r="F414" s="365" t="s">
        <v>4569</v>
      </c>
      <c r="G414" s="365" t="s">
        <v>4570</v>
      </c>
      <c r="H414" s="367" t="s">
        <v>4571</v>
      </c>
      <c r="I414" s="557"/>
      <c r="J414" s="368" t="s">
        <v>4572</v>
      </c>
      <c r="K414" s="369" t="s">
        <v>4572</v>
      </c>
      <c r="L414" s="575"/>
      <c r="M414" s="367" t="s">
        <v>4571</v>
      </c>
      <c r="N414" s="365" t="s">
        <v>4567</v>
      </c>
      <c r="O414" s="365" t="s">
        <v>4568</v>
      </c>
      <c r="P414" s="365" t="s">
        <v>4569</v>
      </c>
      <c r="Q414" s="365" t="s">
        <v>4570</v>
      </c>
      <c r="R414" s="365" t="s">
        <v>4565</v>
      </c>
      <c r="S414" s="366" t="s">
        <v>4566</v>
      </c>
      <c r="T414" s="370" t="s">
        <v>4564</v>
      </c>
    </row>
    <row r="415" spans="1:20" s="356" customFormat="1" ht="17.25" thickTop="1" x14ac:dyDescent="0.15">
      <c r="A415" s="474" t="s">
        <v>5965</v>
      </c>
      <c r="B415" s="372" t="s">
        <v>4635</v>
      </c>
      <c r="C415" s="389" t="s">
        <v>4575</v>
      </c>
      <c r="D415" s="2681" cm="1" t="n">
        <f t="array" ref="D415">INDEX('5층_부하량'!I3:I3000,MATCH(1,("5-DaHall 1-PDU-16"='5층_부하량'!A3:A3000)*(1='5층_부하량'!B3:B3000),0))</f>
        <v>4.7036255959589015</v>
      </c>
      <c r="E415" s="2681" cm="1" t="n">
        <f t="array" ref="E415">INDEX('5층_부하량'!J3:J3000,MATCH(1,("5-DaHall 1-PDU-16"='5층_부하량'!A3:A3000)*(1='5층_부하량'!B3:B3000),0))</f>
        <v>1.3449409429717432</v>
      </c>
      <c r="F415" s="2681" cm="1" t="n">
        <f t="array" ref="F415">INDEX('5층_부하량'!K3:K3000,MATCH(1,("5-DaHall 1-PDU-16"='5층_부하량'!A3:A3000)*(1='5층_부하량'!B3:B3000),0))</f>
        <v>6.100249350177282</v>
      </c>
      <c r="G415" s="377"/>
      <c r="H415" s="373" t="s">
        <v>5893</v>
      </c>
      <c r="I415" s="2443" t="s">
        <v>5894</v>
      </c>
      <c r="J415" s="1040" t="s">
        <v>3877</v>
      </c>
      <c r="K415" s="1041" t="s">
        <v>5895</v>
      </c>
      <c r="L415" s="1178" t="s">
        <v>5896</v>
      </c>
      <c r="M415" s="372" t="s">
        <v>5893</v>
      </c>
      <c r="N415" s="2681" cm="1" t="n">
        <f t="array" ref="N415">INDEX('5층_부하량'!I3:I3000,MATCH(1,("5-DaHall 1-PDU-16"='5층_부하량'!A3:A3000)*(2='5층_부하량'!B3:B3000),0))</f>
        <v>3.05804678255204</v>
      </c>
      <c r="O415" s="2681" cm="1" t="n">
        <f t="array" ref="O415">INDEX('5층_부하량'!J3:J3000,MATCH(1,("5-DaHall 1-PDU-16"='5층_부하량'!A3:A3000)*(2='5층_부하량'!B3:B3000),0))</f>
        <v>3.0547950211478097</v>
      </c>
      <c r="P415" s="2681" cm="1" t="n">
        <f t="array" ref="P415">INDEX('5층_부하량'!K3:K3000,MATCH(1,("5-DaHall 1-PDU-16"='5층_부하량'!A3:A3000)*(2='5층_부하량'!B3:B3000),0))</f>
        <v>1.8160903350407438</v>
      </c>
      <c r="Q415" s="377"/>
      <c r="R415" s="378" t="s">
        <v>4631</v>
      </c>
      <c r="S415" s="379" t="s">
        <v>4575</v>
      </c>
      <c r="T415" s="380" t="s">
        <v>5966</v>
      </c>
    </row>
    <row r="416" spans="1:20" s="356" customFormat="1" ht="16.5" x14ac:dyDescent="0.15">
      <c r="A416" s="381"/>
      <c r="B416" s="382" t="s">
        <v>4590</v>
      </c>
      <c r="C416" s="382" t="s">
        <v>4642</v>
      </c>
      <c r="D416" s="2682" cm="1">
        <f t="array" ref="D416">INDEX('5층_부하량'!I3:I3000,MATCH(1,("5-DaHall 1-PDU-16"='5층_부하량'!A3:A3000)*(3='5층_부하량'!B3:B3000),0))</f>
        <v>0</v>
      </c>
      <c r="E416" s="2682" cm="1">
        <f t="array" ref="E416">INDEX('5층_부하량'!J3:J3000,MATCH(1,("5-DaHall 1-PDU-16"='5층_부하량'!A3:A3000)*(3='5층_부하량'!B3:B3000),0))</f>
        <v>0</v>
      </c>
      <c r="F416" s="2682" cm="1">
        <f t="array" ref="F416">INDEX('5층_부하량'!K3:K3000,MATCH(1,("5-DaHall 1-PDU-16"='5층_부하량'!A3:A3000)*(3='5층_부하량'!B3:B3000),0))</f>
        <v>0</v>
      </c>
      <c r="G416" s="383"/>
      <c r="H416" s="382" t="s">
        <v>5898</v>
      </c>
      <c r="I416" s="2447" t="s">
        <v>5899</v>
      </c>
      <c r="J416" s="1042"/>
      <c r="K416" s="1322" t="s">
        <v>5900</v>
      </c>
      <c r="L416" s="1455" t="s">
        <v>5901</v>
      </c>
      <c r="M416" s="382" t="s">
        <v>5893</v>
      </c>
      <c r="N416" s="2679" cm="1">
        <f t="array" ref="N416">INDEX('5층_부하량'!I3:I3000,MATCH(1,("5-DaHall 1-PDU-16"='5층_부하량'!A3:A3000)*(4='5층_부하량'!B3:B3000),0))</f>
        <v>0</v>
      </c>
      <c r="O416" s="2679" cm="1">
        <f t="array" ref="O416">INDEX('5층_부하량'!J3:J3000,MATCH(1,("5-DaHall 1-PDU-16"='5층_부하량'!A3:A3000)*(4='5층_부하량'!B3:B3000),0))</f>
        <v>0</v>
      </c>
      <c r="P416" s="2679" cm="1">
        <f t="array" ref="P416">INDEX('5층_부하량'!K3:K3000,MATCH(1,("5-DaHall 1-PDU-16"='5층_부하량'!A3:A3000)*(4='5층_부하량'!B3:B3000),0))</f>
        <v>0</v>
      </c>
      <c r="Q416" s="387"/>
      <c r="R416" s="394" t="s">
        <v>4590</v>
      </c>
      <c r="S416" s="382" t="s">
        <v>4642</v>
      </c>
      <c r="T416" s="1323" t="s">
        <v>5967</v>
      </c>
    </row>
    <row r="417" spans="1:20" s="356" customFormat="1" ht="16.5" x14ac:dyDescent="0.15">
      <c r="A417" s="391" t="s">
        <v>5903</v>
      </c>
      <c r="B417" s="382" t="s">
        <v>4590</v>
      </c>
      <c r="C417" s="382" t="s">
        <v>4642</v>
      </c>
      <c r="D417" s="2679" cm="1">
        <f t="array" ref="D417">INDEX('5층_부하량'!I3:I3000,MATCH(1,("5-DaHall 1-PDU-16"='5층_부하량'!A3:A3000)*(5='5층_부하량'!B3:B3000),0))</f>
        <v>0</v>
      </c>
      <c r="E417" s="2679" cm="1">
        <f t="array" ref="E417">INDEX('5층_부하량'!J3:J3000,MATCH(1,("5-DaHall 1-PDU-16"='5층_부하량'!A3:A3000)*(5='5층_부하량'!B3:B3000),0))</f>
        <v>0</v>
      </c>
      <c r="F417" s="2679" cm="1">
        <f t="array" ref="F417">INDEX('5층_부하량'!K3:K3000,MATCH(1,("5-DaHall 1-PDU-16"='5층_부하량'!A3:A3000)*(5='5층_부하량'!B3:B3000),0))</f>
        <v>0</v>
      </c>
      <c r="G417" s="387"/>
      <c r="H417" s="382" t="s">
        <v>5786</v>
      </c>
      <c r="I417" s="2447" t="s">
        <v>5904</v>
      </c>
      <c r="J417" s="1044"/>
      <c r="K417" s="1045"/>
      <c r="L417" s="1456" t="s">
        <v>5905</v>
      </c>
      <c r="M417" s="382" t="s">
        <v>5786</v>
      </c>
      <c r="N417" s="2679" cm="1">
        <f t="array" ref="N417">INDEX('5층_부하량'!I3:I3000,MATCH(1,("5-DaHall 1-PDU-16"='5층_부하량'!A3:A3000)*(6='5층_부하량'!B3:B3000),0))</f>
        <v>0</v>
      </c>
      <c r="O417" s="2679" cm="1">
        <f t="array" ref="O417">INDEX('5층_부하량'!J3:J3000,MATCH(1,("5-DaHall 1-PDU-16"='5층_부하량'!A3:A3000)*(6='5층_부하량'!B3:B3000),0))</f>
        <v>0</v>
      </c>
      <c r="P417" s="2679" cm="1">
        <f t="array" ref="P417">INDEX('5층_부하량'!K3:K3000,MATCH(1,("5-DaHall 1-PDU-16"='5층_부하량'!A3:A3000)*(6='5층_부하량'!B3:B3000),0))</f>
        <v>0</v>
      </c>
      <c r="Q417" s="387"/>
      <c r="R417" s="394" t="s">
        <v>4590</v>
      </c>
      <c r="S417" s="382" t="s">
        <v>4642</v>
      </c>
      <c r="T417" s="395" t="s">
        <v>5906</v>
      </c>
    </row>
    <row r="418" spans="1:20" s="356" customFormat="1" ht="16.5" x14ac:dyDescent="0.15">
      <c r="A418" s="988" t="s">
        <v>5968</v>
      </c>
      <c r="B418" s="382" t="s">
        <v>4631</v>
      </c>
      <c r="C418" s="389" t="s">
        <v>4575</v>
      </c>
      <c r="D418" s="2679" cm="1" t="n">
        <f t="array" ref="D418">INDEX('5층_부하량'!I3:I3000,MATCH(1,("5-DaHall 1-PDU-16"='5층_부하량'!A3:A3000)*(7='5층_부하량'!B3:B3000),0))</f>
        <v>3.471522773847191</v>
      </c>
      <c r="E418" s="387"/>
      <c r="F418" s="387"/>
      <c r="G418" s="387"/>
      <c r="H418" s="382" t="s">
        <v>5786</v>
      </c>
      <c r="I418" s="1211" t="s">
        <v>4645</v>
      </c>
      <c r="J418" s="1044" t="s">
        <v>2955</v>
      </c>
      <c r="K418" s="1045"/>
      <c r="L418" s="1451" t="s">
        <v>4593</v>
      </c>
      <c r="M418" s="382" t="s">
        <v>5795</v>
      </c>
      <c r="N418" s="2679" cm="1" t="n">
        <f t="array" ref="N418">INDEX('5층_부하량'!I3:I3000,MATCH(1,("5-DaHall 1-PDU-16"='5층_부하량'!A3:A3000)*(8='5층_부하량'!B3:B3000),0))</f>
        <v>4.336232715816819</v>
      </c>
      <c r="O418" s="387"/>
      <c r="P418" s="387"/>
      <c r="Q418" s="387"/>
      <c r="R418" s="382" t="s">
        <v>4579</v>
      </c>
      <c r="S418" s="389" t="s">
        <v>4575</v>
      </c>
      <c r="T418" s="666" t="s">
        <v>5908</v>
      </c>
    </row>
    <row r="419" spans="1:20" s="356" customFormat="1" ht="17.25" thickBot="1" x14ac:dyDescent="0.2">
      <c r="A419" s="989" t="s">
        <v>5969</v>
      </c>
      <c r="B419" s="88" t="s">
        <v>4631</v>
      </c>
      <c r="C419" s="89" t="s">
        <v>4575</v>
      </c>
      <c r="D419" s="398"/>
      <c r="E419" s="2673" cm="1" t="n">
        <f t="array" ref="E419">INDEX('5층_부하량'!J3:J3000,MATCH(1,("5-DaHall 1-PDU-16"='5층_부하량'!A3:A3000)*(9='5층_부하량'!B3:B3000),0))</f>
        <v>1.7549165813928873</v>
      </c>
      <c r="F419" s="398"/>
      <c r="G419" s="398"/>
      <c r="H419" s="397" t="s">
        <v>5786</v>
      </c>
      <c r="I419" s="1218" t="s">
        <v>4648</v>
      </c>
      <c r="J419" s="1044" t="s">
        <v>2955</v>
      </c>
      <c r="K419" s="1046"/>
      <c r="L419" s="1457" t="s">
        <v>4596</v>
      </c>
      <c r="M419" s="397" t="s">
        <v>5795</v>
      </c>
      <c r="N419" s="398"/>
      <c r="O419" s="2685" cm="1" t="n">
        <f t="array" ref="O419">INDEX('5층_부하량'!J3:J3000,MATCH(1,("5-DaHall 1-PDU-16"='5층_부하량'!A3:A3000)*(10='5층_부하량'!B3:B3000),0))</f>
        <v>0.9712045056540896</v>
      </c>
      <c r="P419" s="398"/>
      <c r="Q419" s="398"/>
      <c r="R419" s="399" t="s">
        <v>4590</v>
      </c>
      <c r="S419" s="397" t="s">
        <v>4642</v>
      </c>
      <c r="T419" s="400" t="s">
        <v>5910</v>
      </c>
    </row>
    <row r="420" spans="1:20" s="356" customFormat="1" ht="17.25" thickTop="1" x14ac:dyDescent="0.15">
      <c r="A420" s="2406" t="s">
        <v>5970</v>
      </c>
      <c r="B420" s="382" t="s">
        <v>4631</v>
      </c>
      <c r="C420" s="389" t="s">
        <v>4575</v>
      </c>
      <c r="D420" s="401"/>
      <c r="E420" s="401"/>
      <c r="F420" s="2683" cm="1" t="n">
        <f t="array" ref="F420">INDEX('5층_부하량'!K3:K3000,MATCH(1,("5-DaHall 1-PDU-16"='5층_부하량'!A3:A3000)*(11='5층_부하량'!B3:B3000),0))</f>
        <v>0.4029629562589287</v>
      </c>
      <c r="G420" s="401"/>
      <c r="H420" s="372" t="s">
        <v>5786</v>
      </c>
      <c r="I420" s="559" t="s">
        <v>4653</v>
      </c>
      <c r="J420" s="1047"/>
      <c r="K420" s="1048" t="s">
        <v>5912</v>
      </c>
      <c r="L420" s="580" t="s">
        <v>4599</v>
      </c>
      <c r="M420" s="372" t="s">
        <v>5790</v>
      </c>
      <c r="N420" s="401"/>
      <c r="O420" s="401"/>
      <c r="P420" s="2683" cm="1" t="n">
        <f t="array" ref="P420">INDEX('5층_부하량'!K3:K3000,MATCH(1,("5-DaHall 1-PDU-16"='5층_부하량'!A3:A3000)*(12='5층_부하량'!B3:B3000),0))</f>
        <v>2.4929178899954585</v>
      </c>
      <c r="Q420" s="401"/>
      <c r="R420" s="402" t="s">
        <v>4635</v>
      </c>
      <c r="S420" s="389" t="s">
        <v>4575</v>
      </c>
      <c r="T420" s="987" t="s">
        <v>5971</v>
      </c>
    </row>
    <row r="421" spans="1:20" s="356" customFormat="1" ht="24" x14ac:dyDescent="0.15">
      <c r="A421" s="448" t="s">
        <v>5972</v>
      </c>
      <c r="B421" s="382" t="s">
        <v>4631</v>
      </c>
      <c r="C421" s="389" t="s">
        <v>4575</v>
      </c>
      <c r="D421" s="2679" cm="1" t="n">
        <f t="array" ref="D421">INDEX('5층_부하량'!I3:I3000,MATCH(1,("5-DaHall 1-PDU-16"='5층_부하량'!A3:A3000)*(13='5층_부하량'!B3:B3000),0))</f>
        <v>1.340443327773376</v>
      </c>
      <c r="E421" s="387"/>
      <c r="F421" s="387"/>
      <c r="G421" s="387"/>
      <c r="H421" s="382" t="s">
        <v>5790</v>
      </c>
      <c r="I421" s="558" t="s">
        <v>4657</v>
      </c>
      <c r="J421" s="1044"/>
      <c r="K421" s="1045"/>
      <c r="L421" s="1451" t="s">
        <v>4601</v>
      </c>
      <c r="M421" s="382" t="s">
        <v>5790</v>
      </c>
      <c r="N421" s="2679" cm="1" t="n">
        <f t="array" ref="N421">INDEX('5층_부하량'!I3:I3000,MATCH(1,("5-DaHall 1-PDU-16"='5층_부하량'!A3:A3000)*(14='5층_부하량'!B3:B3000),0))</f>
        <v>1.6694999010492249</v>
      </c>
      <c r="O421" s="387"/>
      <c r="P421" s="387"/>
      <c r="Q421" s="387"/>
      <c r="R421" s="382" t="s">
        <v>4579</v>
      </c>
      <c r="S421" s="389" t="s">
        <v>4575</v>
      </c>
      <c r="T421" s="670" t="s">
        <v>5973</v>
      </c>
    </row>
    <row r="422" spans="1:20" s="356" customFormat="1" ht="16.5" x14ac:dyDescent="0.15">
      <c r="A422" s="1311" t="s">
        <v>3852</v>
      </c>
      <c r="B422" s="382" t="s">
        <v>4631</v>
      </c>
      <c r="C422" s="389" t="s">
        <v>4575</v>
      </c>
      <c r="D422" s="387"/>
      <c r="E422" s="2679" cm="1" t="n">
        <f t="array" ref="E422">INDEX('5층_부하량'!J3:J3000,MATCH(1,("5-DaHall 1-PDU-16"='5층_부하량'!A3:A3000)*(15='5층_부하량'!B3:B3000),0))</f>
        <v>2.3944737967553915</v>
      </c>
      <c r="F422" s="387"/>
      <c r="G422" s="387"/>
      <c r="H422" s="2448" t="s">
        <v>5974</v>
      </c>
      <c r="I422" s="558" t="s">
        <v>4661</v>
      </c>
      <c r="J422" s="1044"/>
      <c r="K422" s="1045"/>
      <c r="L422" s="1451" t="s">
        <v>4603</v>
      </c>
      <c r="M422" s="382" t="s">
        <v>5811</v>
      </c>
      <c r="N422" s="387"/>
      <c r="O422" s="2679" cm="1" t="n">
        <f t="array" ref="O422">INDEX('5층_부하량'!J3:J3000,MATCH(1,("5-DaHall 1-PDU-16"='5층_부하량'!A3:A3000)*(16='5층_부하량'!B3:B3000),0))</f>
        <v>7.833847086333635</v>
      </c>
      <c r="P422" s="387"/>
      <c r="Q422" s="387"/>
      <c r="R422" s="394" t="s">
        <v>4590</v>
      </c>
      <c r="S422" s="382" t="s">
        <v>4642</v>
      </c>
      <c r="T422" s="395"/>
    </row>
    <row r="423" spans="1:20" s="356" customFormat="1" ht="16.5" x14ac:dyDescent="0.15">
      <c r="A423" s="1311" t="s">
        <v>3856</v>
      </c>
      <c r="B423" s="382" t="s">
        <v>4631</v>
      </c>
      <c r="C423" s="389" t="s">
        <v>4575</v>
      </c>
      <c r="D423" s="387"/>
      <c r="E423" s="387"/>
      <c r="F423" s="2679" cm="1" t="n">
        <f t="array" ref="F423">INDEX('5층_부하량'!K3:K3000,MATCH(1,("5-DaHall 1-PDU-16"='5층_부하량'!A3:A3000)*(17='5층_부하량'!B3:B3000),0))</f>
        <v>1.5462103163456886</v>
      </c>
      <c r="G423" s="387"/>
      <c r="H423" s="382" t="s">
        <v>5811</v>
      </c>
      <c r="I423" s="558" t="s">
        <v>4665</v>
      </c>
      <c r="J423" s="1044"/>
      <c r="K423" s="1045"/>
      <c r="L423" s="1451" t="s">
        <v>4605</v>
      </c>
      <c r="M423" s="382" t="s">
        <v>5811</v>
      </c>
      <c r="N423" s="387"/>
      <c r="O423" s="387"/>
      <c r="P423" s="2679" cm="1">
        <f t="array" ref="P423">INDEX('5층_부하량'!K3:K3000,MATCH(1,("5-DaHall 1-PDU-16"='5층_부하량'!A3:A3000)*(18='5층_부하량'!B3:B3000),0))</f>
        <v>0</v>
      </c>
      <c r="Q423" s="387"/>
      <c r="R423" s="394" t="s">
        <v>4590</v>
      </c>
      <c r="S423" s="382" t="s">
        <v>4642</v>
      </c>
      <c r="T423" s="395"/>
    </row>
    <row r="424" spans="1:20" s="356" customFormat="1" ht="16.5" x14ac:dyDescent="0.15">
      <c r="A424" s="1311" t="s">
        <v>3858</v>
      </c>
      <c r="B424" s="382" t="s">
        <v>4631</v>
      </c>
      <c r="C424" s="389" t="s">
        <v>4575</v>
      </c>
      <c r="D424" s="2679" cm="1" t="n">
        <f t="array" ref="D424">INDEX('5층_부하량'!I3:I3000,MATCH(1,("5-DaHall 1-PDU-16"='5층_부하량'!A3:A3000)*(19='5층_부하량'!B3:B3000),0))</f>
        <v>4.520009968117057</v>
      </c>
      <c r="E424" s="387"/>
      <c r="F424" s="387"/>
      <c r="G424" s="387"/>
      <c r="H424" s="382" t="s">
        <v>5811</v>
      </c>
      <c r="I424" s="558" t="s">
        <v>4670</v>
      </c>
      <c r="J424" s="1044"/>
      <c r="K424" s="2332" t="s">
        <v>5975</v>
      </c>
      <c r="L424" s="1451" t="s">
        <v>4609</v>
      </c>
      <c r="M424" s="382" t="s">
        <v>5811</v>
      </c>
      <c r="N424" s="2679" cm="1" t="n">
        <f t="array" ref="N424">INDEX('5층_부하량'!I3:I3000,MATCH(1,("5-DaHall 1-PDU-16"='5층_부하량'!A3:A3000)*(20='5층_부하량'!B3:B3000),0))</f>
        <v>0.6892507604925012</v>
      </c>
      <c r="O424" s="387"/>
      <c r="P424" s="387"/>
      <c r="Q424" s="387"/>
      <c r="R424" s="382" t="s">
        <v>4579</v>
      </c>
      <c r="S424" s="389" t="s">
        <v>4575</v>
      </c>
      <c r="T424" s="2333" t="s">
        <v>4094</v>
      </c>
    </row>
    <row r="425" spans="1:20" s="356" customFormat="1" ht="24" x14ac:dyDescent="0.15">
      <c r="A425" s="2331" t="s">
        <v>5976</v>
      </c>
      <c r="B425" s="382" t="s">
        <v>4631</v>
      </c>
      <c r="C425" s="389" t="s">
        <v>4575</v>
      </c>
      <c r="D425" s="387"/>
      <c r="E425" s="2679" cm="1" t="n">
        <f t="array" ref="E425">INDEX('5층_부하량'!J3:J3000,MATCH(1,("5-DaHall 1-PDU-16"='5층_부하량'!A3:A3000)*(21='5층_부하량'!B3:B3000),0))</f>
        <v>0.9669129497413516</v>
      </c>
      <c r="F425" s="387"/>
      <c r="G425" s="387"/>
      <c r="H425" s="382" t="s">
        <v>5811</v>
      </c>
      <c r="I425" s="1450" t="s">
        <v>4674</v>
      </c>
      <c r="J425" s="1044"/>
      <c r="K425" s="2332" t="s">
        <v>5977</v>
      </c>
      <c r="L425" s="1451" t="s">
        <v>4613</v>
      </c>
      <c r="M425" s="382" t="s">
        <v>5811</v>
      </c>
      <c r="N425" s="387"/>
      <c r="O425" s="2679" cm="1" t="n">
        <f t="array" ref="O425">INDEX('5층_부하량'!J3:J3000,MATCH(1,("5-DaHall 1-PDU-16"='5층_부하량'!A3:A3000)*(22='5층_부하량'!B3:B3000),0))</f>
        <v>0.8419348565677044</v>
      </c>
      <c r="P425" s="387"/>
      <c r="Q425" s="387"/>
      <c r="R425" s="382" t="s">
        <v>4579</v>
      </c>
      <c r="S425" s="389" t="s">
        <v>4575</v>
      </c>
      <c r="T425" s="2333" t="s">
        <v>4095</v>
      </c>
    </row>
    <row r="426" spans="1:20" s="356" customFormat="1" ht="16.5" x14ac:dyDescent="0.15">
      <c r="A426" s="443" t="s">
        <v>5922</v>
      </c>
      <c r="B426" s="382" t="s">
        <v>4631</v>
      </c>
      <c r="C426" s="389" t="s">
        <v>4575</v>
      </c>
      <c r="D426" s="387"/>
      <c r="E426" s="387"/>
      <c r="F426" s="2679" cm="1">
        <f t="array" ref="F426">INDEX('5층_부하량'!K3:K3000,MATCH(1,("5-DaHall 1-PDU-16"='5층_부하량'!A3:A3000)*(23='5층_부하량'!B3:B3000),0))</f>
        <v>0</v>
      </c>
      <c r="G426" s="387"/>
      <c r="H426" s="382" t="s">
        <v>5811</v>
      </c>
      <c r="I426" s="558" t="s">
        <v>4678</v>
      </c>
      <c r="J426" s="1042" t="s">
        <v>5978</v>
      </c>
      <c r="K426" s="1043" t="s">
        <v>5978</v>
      </c>
      <c r="L426" s="577" t="s">
        <v>4680</v>
      </c>
      <c r="M426" s="382" t="s">
        <v>5811</v>
      </c>
      <c r="N426" s="387"/>
      <c r="O426" s="387"/>
      <c r="P426" s="2679" cm="1" t="n">
        <f t="array" ref="P426">INDEX('5층_부하량'!K3:K3000,MATCH(1,("5-DaHall 1-PDU-16"='5층_부하량'!A3:A3000)*(24='5층_부하량'!B3:B3000),0))</f>
        <v>1.4455054348998286</v>
      </c>
      <c r="Q426" s="387"/>
      <c r="R426" s="394" t="s">
        <v>4631</v>
      </c>
      <c r="S426" s="389" t="s">
        <v>4575</v>
      </c>
      <c r="T426" s="395" t="s">
        <v>3867</v>
      </c>
    </row>
    <row r="427" spans="1:20" s="356" customFormat="1" ht="16.5" x14ac:dyDescent="0.15">
      <c r="A427" s="403"/>
      <c r="B427" s="382" t="s">
        <v>4631</v>
      </c>
      <c r="C427" s="389" t="s">
        <v>4575</v>
      </c>
      <c r="D427" s="2679" cm="1" t="n">
        <f t="array" ref="D427">INDEX('5층_부하량'!I3:I3000,MATCH(1,("5-DaHall 1-PDU-16"='5층_부하량'!A3:A3000)*(25='5층_부하량'!B3:B3000),0))</f>
        <v>0.4635084016805546</v>
      </c>
      <c r="E427" s="387"/>
      <c r="F427" s="387"/>
      <c r="G427" s="387"/>
      <c r="H427" s="382" t="s">
        <v>5811</v>
      </c>
      <c r="I427" s="558" t="s">
        <v>4683</v>
      </c>
      <c r="J427" s="1042" t="s">
        <v>5978</v>
      </c>
      <c r="K427" s="1043"/>
      <c r="L427" s="1454" t="s">
        <v>4685</v>
      </c>
      <c r="M427" s="382" t="s">
        <v>5811</v>
      </c>
      <c r="N427" s="2679" cm="1" t="n">
        <f t="array" ref="N427">INDEX('5층_부하량'!I3:I3000,MATCH(1,("5-DaHall 1-PDU-16"='5층_부하량'!A3:A3000)*(26='5층_부하량'!B3:B3000),0))</f>
        <v>0.5722704150287925</v>
      </c>
      <c r="O427" s="387"/>
      <c r="P427" s="387"/>
      <c r="Q427" s="387"/>
      <c r="R427" s="394" t="s">
        <v>4590</v>
      </c>
      <c r="S427" s="382" t="s">
        <v>4642</v>
      </c>
      <c r="T427" s="395"/>
    </row>
    <row r="428" spans="1:20" s="356" customFormat="1" ht="18" x14ac:dyDescent="0.15">
      <c r="A428" s="444" t="s">
        <v>3863</v>
      </c>
      <c r="B428" s="382" t="s">
        <v>4631</v>
      </c>
      <c r="C428" s="389" t="s">
        <v>4575</v>
      </c>
      <c r="D428" s="387"/>
      <c r="E428" s="2679" cm="1" t="n">
        <f t="array" ref="E428">INDEX('5층_부하량'!J3:J3000,MATCH(1,("5-DaHall 1-PDU-16"='5층_부하량'!A3:A3000)*(27='5층_부하량'!B3:B3000),0))</f>
        <v>1.4892922341349681</v>
      </c>
      <c r="F428" s="387"/>
      <c r="G428" s="387"/>
      <c r="H428" s="382" t="s">
        <v>5811</v>
      </c>
      <c r="I428" s="558" t="s">
        <v>4688</v>
      </c>
      <c r="J428" s="1042" t="s">
        <v>5978</v>
      </c>
      <c r="K428" s="1045" t="s">
        <v>5979</v>
      </c>
      <c r="L428" s="1212" t="s">
        <v>4689</v>
      </c>
      <c r="M428" s="382" t="s">
        <v>5811</v>
      </c>
      <c r="N428" s="387"/>
      <c r="O428" s="2679" cm="1" t="n">
        <f t="array" ref="O428">INDEX('5층_부하량'!J3:J3000,MATCH(1,("5-DaHall 1-PDU-16"='5층_부하량'!A3:A3000)*(28='5층_부하량'!B3:B3000),0))</f>
        <v>0.2902376946195207</v>
      </c>
      <c r="P428" s="387"/>
      <c r="Q428" s="387"/>
      <c r="R428" s="394" t="s">
        <v>4631</v>
      </c>
      <c r="S428" s="389" t="s">
        <v>4575</v>
      </c>
      <c r="T428" s="405" t="s">
        <v>5980</v>
      </c>
    </row>
    <row r="429" spans="1:20" s="356" customFormat="1" ht="17.25" thickBot="1" x14ac:dyDescent="0.2">
      <c r="A429" s="406" t="s">
        <v>3865</v>
      </c>
      <c r="B429" s="407" t="s">
        <v>4631</v>
      </c>
      <c r="C429" s="445" t="s">
        <v>4575</v>
      </c>
      <c r="D429" s="408"/>
      <c r="E429" s="408"/>
      <c r="F429" s="2684" cm="1" t="n">
        <f t="array" ref="F429">INDEX('5층_부하량'!K3:K3000,MATCH(1,("5-DaHall 1-PDU-16"='5층_부하량'!A3:A3000)*(29='5층_부하량'!B3:B3000),0))</f>
        <v>1.7926571483400484</v>
      </c>
      <c r="G429" s="408"/>
      <c r="H429" s="407" t="s">
        <v>5811</v>
      </c>
      <c r="I429" s="560" t="s">
        <v>4691</v>
      </c>
      <c r="J429" s="1061" t="s">
        <v>5978</v>
      </c>
      <c r="K429" s="1062" t="s">
        <v>5978</v>
      </c>
      <c r="L429" s="585" t="s">
        <v>4692</v>
      </c>
      <c r="M429" s="407" t="s">
        <v>5811</v>
      </c>
      <c r="N429" s="408"/>
      <c r="O429" s="408"/>
      <c r="P429" s="2684" cm="1" t="n">
        <f t="array" ref="P429">INDEX('5층_부하량'!K3:K3000,MATCH(1,("5-DaHall 1-PDU-16"='5층_부하량'!A3:A3000)*(30='5층_부하량'!B3:B3000),0))</f>
        <v>0.49895223638757213</v>
      </c>
      <c r="Q429" s="408"/>
      <c r="R429" s="409" t="s">
        <v>4631</v>
      </c>
      <c r="S429" s="445" t="s">
        <v>4575</v>
      </c>
      <c r="T429" s="410" t="s">
        <v>3869</v>
      </c>
    </row>
    <row r="430" spans="1:20" s="356" customFormat="1" ht="18" thickTop="1" thickBot="1" x14ac:dyDescent="0.2">
      <c r="L430" s="2445"/>
      <c r="M430" s="411" t="s">
        <v>5645</v>
      </c>
      <c r="N430" s="412" t="n">
        <f>SUM(D415:D429,N415:N429)</f>
        <v>24.824410642316458</v>
      </c>
      <c r="O430" s="412" t="n">
        <f>SUM(E415:E429,O415:O429)</f>
        <v>20.9425556693191</v>
      </c>
      <c r="P430" s="412" t="n">
        <f>SUM(F415:F429,P415:P429)</f>
        <v>16.095545667445553</v>
      </c>
    </row>
    <row r="431" spans="1:20" s="356" customFormat="1" ht="20.25" thickTop="1" thickBot="1" x14ac:dyDescent="0.2">
      <c r="A431" s="355" t="s">
        <v>5981</v>
      </c>
      <c r="D431" s="357"/>
      <c r="E431" s="357"/>
      <c r="F431" s="357"/>
      <c r="G431" s="357"/>
      <c r="H431" s="358"/>
      <c r="I431" s="358"/>
      <c r="J431" s="3668" t="s">
        <v>5982</v>
      </c>
      <c r="K431" s="3669"/>
      <c r="L431" s="2442"/>
      <c r="M431" s="358"/>
      <c r="N431" s="357"/>
      <c r="O431" s="357"/>
      <c r="P431" s="357"/>
      <c r="Q431" s="357"/>
      <c r="R431" s="357"/>
      <c r="S431" s="357"/>
    </row>
    <row r="432" spans="1:20" s="356" customFormat="1" ht="18" thickTop="1" thickBot="1" x14ac:dyDescent="0.2">
      <c r="A432" s="3"/>
      <c r="B432"/>
      <c r="C432"/>
      <c r="D432" s="54"/>
      <c r="E432" s="54"/>
      <c r="F432" s="54"/>
      <c r="G432" s="54"/>
      <c r="H432" s="4"/>
      <c r="I432" s="4"/>
      <c r="J432"/>
      <c r="K432" s="56"/>
      <c r="L432" s="565"/>
      <c r="M432" s="1371" t="s">
        <v>4562</v>
      </c>
      <c r="N432" s="1368">
        <v>0</v>
      </c>
      <c r="O432" s="1369">
        <v>0</v>
      </c>
      <c r="P432" s="1370">
        <v>0</v>
      </c>
      <c r="Q432" s="508" t="s">
        <v>4563</v>
      </c>
      <c r="R432" s="133"/>
      <c r="S432" s="128"/>
      <c r="T432" s="528"/>
    </row>
    <row r="433" spans="1:20" s="356" customFormat="1" ht="18" thickTop="1" thickBot="1" x14ac:dyDescent="0.2">
      <c r="A433" s="364" t="s">
        <v>4564</v>
      </c>
      <c r="B433" s="365" t="s">
        <v>4565</v>
      </c>
      <c r="C433" s="366" t="s">
        <v>4566</v>
      </c>
      <c r="D433" s="365" t="s">
        <v>4567</v>
      </c>
      <c r="E433" s="365" t="s">
        <v>4568</v>
      </c>
      <c r="F433" s="365" t="s">
        <v>4569</v>
      </c>
      <c r="G433" s="365" t="s">
        <v>4570</v>
      </c>
      <c r="H433" s="367" t="s">
        <v>4571</v>
      </c>
      <c r="I433" s="557"/>
      <c r="J433" s="368" t="s">
        <v>4572</v>
      </c>
      <c r="K433" s="369" t="s">
        <v>4572</v>
      </c>
      <c r="L433" s="575"/>
      <c r="M433" s="367" t="s">
        <v>4571</v>
      </c>
      <c r="N433" s="365" t="s">
        <v>4567</v>
      </c>
      <c r="O433" s="365" t="s">
        <v>4568</v>
      </c>
      <c r="P433" s="365" t="s">
        <v>4569</v>
      </c>
      <c r="Q433" s="365" t="s">
        <v>4570</v>
      </c>
      <c r="R433" s="365" t="s">
        <v>4565</v>
      </c>
      <c r="S433" s="366" t="s">
        <v>4566</v>
      </c>
      <c r="T433" s="370" t="s">
        <v>4564</v>
      </c>
    </row>
    <row r="434" spans="1:20" s="356" customFormat="1" ht="17.25" thickTop="1" x14ac:dyDescent="0.15">
      <c r="A434" s="371"/>
      <c r="B434" s="372" t="s">
        <v>4590</v>
      </c>
      <c r="C434" s="373" t="s">
        <v>4642</v>
      </c>
      <c r="D434" s="374"/>
      <c r="E434" s="374"/>
      <c r="F434" s="374"/>
      <c r="G434" s="374"/>
      <c r="H434" s="373" t="s">
        <v>5893</v>
      </c>
      <c r="I434" s="2443" t="s">
        <v>5894</v>
      </c>
      <c r="J434" s="375"/>
      <c r="K434" s="376"/>
      <c r="L434" s="1178" t="s">
        <v>5896</v>
      </c>
      <c r="M434" s="372" t="s">
        <v>5893</v>
      </c>
      <c r="N434" s="374"/>
      <c r="O434" s="374"/>
      <c r="P434" s="374"/>
      <c r="Q434" s="374"/>
      <c r="R434" s="378" t="s">
        <v>4590</v>
      </c>
      <c r="S434" s="372" t="s">
        <v>4642</v>
      </c>
      <c r="T434" s="380"/>
    </row>
    <row r="435" spans="1:20" s="356" customFormat="1" ht="16.5" x14ac:dyDescent="0.15">
      <c r="A435" s="446" t="s">
        <v>5983</v>
      </c>
      <c r="B435" s="382" t="s">
        <v>4631</v>
      </c>
      <c r="C435" s="389" t="s">
        <v>4575</v>
      </c>
      <c r="D435" s="386"/>
      <c r="E435" s="386"/>
      <c r="F435" s="386"/>
      <c r="G435" s="383"/>
      <c r="H435" s="382" t="s">
        <v>5790</v>
      </c>
      <c r="I435" s="2444" t="s">
        <v>5899</v>
      </c>
      <c r="J435" s="384" t="s">
        <v>5978</v>
      </c>
      <c r="K435" s="385"/>
      <c r="L435" s="1179" t="s">
        <v>5901</v>
      </c>
      <c r="M435" s="382" t="s">
        <v>5786</v>
      </c>
      <c r="N435" s="383"/>
      <c r="O435" s="383"/>
      <c r="P435" s="383"/>
      <c r="Q435" s="383"/>
      <c r="R435" s="388" t="s">
        <v>4590</v>
      </c>
      <c r="S435" s="382" t="s">
        <v>4642</v>
      </c>
      <c r="T435" s="390"/>
    </row>
    <row r="436" spans="1:20" s="356" customFormat="1" ht="16.5" x14ac:dyDescent="0.15">
      <c r="A436" s="391"/>
      <c r="B436" s="382" t="s">
        <v>4590</v>
      </c>
      <c r="C436" s="382" t="s">
        <v>4642</v>
      </c>
      <c r="D436" s="387"/>
      <c r="E436" s="387"/>
      <c r="F436" s="387"/>
      <c r="G436" s="387"/>
      <c r="H436" s="382" t="s">
        <v>5786</v>
      </c>
      <c r="I436" s="558" t="s">
        <v>4641</v>
      </c>
      <c r="J436" s="392"/>
      <c r="K436" s="393"/>
      <c r="L436" s="578" t="s">
        <v>4588</v>
      </c>
      <c r="M436" s="382" t="s">
        <v>5786</v>
      </c>
      <c r="N436" s="387"/>
      <c r="O436" s="387"/>
      <c r="P436" s="387"/>
      <c r="Q436" s="387"/>
      <c r="R436" s="394" t="s">
        <v>4590</v>
      </c>
      <c r="S436" s="382" t="s">
        <v>4642</v>
      </c>
      <c r="T436" s="395"/>
    </row>
    <row r="437" spans="1:20" s="356" customFormat="1" ht="16.5" x14ac:dyDescent="0.15">
      <c r="A437" s="396" t="s">
        <v>5984</v>
      </c>
      <c r="B437" s="382" t="s">
        <v>4590</v>
      </c>
      <c r="C437" s="382" t="s">
        <v>4642</v>
      </c>
      <c r="D437" s="387"/>
      <c r="E437" s="387"/>
      <c r="F437" s="387"/>
      <c r="G437" s="387"/>
      <c r="H437" s="382" t="s">
        <v>5786</v>
      </c>
      <c r="I437" s="558" t="s">
        <v>4645</v>
      </c>
      <c r="J437" s="392"/>
      <c r="K437" s="385" t="s">
        <v>5978</v>
      </c>
      <c r="L437" s="577" t="s">
        <v>4593</v>
      </c>
      <c r="M437" s="382" t="s">
        <v>5795</v>
      </c>
      <c r="N437" s="387"/>
      <c r="O437" s="404"/>
      <c r="P437" s="387"/>
      <c r="Q437" s="387"/>
      <c r="R437" s="394" t="s">
        <v>4631</v>
      </c>
      <c r="S437" s="389" t="s">
        <v>4575</v>
      </c>
      <c r="T437" s="390" t="s">
        <v>5984</v>
      </c>
    </row>
    <row r="438" spans="1:20" s="356" customFormat="1" ht="16.5" x14ac:dyDescent="0.15">
      <c r="A438" s="396" t="s">
        <v>5906</v>
      </c>
      <c r="B438" s="415" t="s">
        <v>4590</v>
      </c>
      <c r="C438" s="415" t="s">
        <v>4642</v>
      </c>
      <c r="D438" s="417"/>
      <c r="E438" s="417"/>
      <c r="F438" s="417"/>
      <c r="G438" s="417"/>
      <c r="H438" s="415" t="s">
        <v>5801</v>
      </c>
      <c r="I438" s="561" t="s">
        <v>4648</v>
      </c>
      <c r="J438" s="447"/>
      <c r="K438" s="420" t="s">
        <v>5978</v>
      </c>
      <c r="L438" s="582" t="s">
        <v>4596</v>
      </c>
      <c r="M438" s="415" t="s">
        <v>5811</v>
      </c>
      <c r="N438" s="417"/>
      <c r="O438" s="417"/>
      <c r="P438" s="418"/>
      <c r="Q438" s="417"/>
      <c r="R438" s="421" t="s">
        <v>4631</v>
      </c>
      <c r="S438" s="416" t="s">
        <v>4575</v>
      </c>
      <c r="T438" s="413" t="s">
        <v>5984</v>
      </c>
    </row>
    <row r="439" spans="1:20" s="356" customFormat="1" ht="16.5" x14ac:dyDescent="0.15">
      <c r="A439" s="448" t="s">
        <v>5984</v>
      </c>
      <c r="B439" s="382" t="s">
        <v>4631</v>
      </c>
      <c r="C439" s="389" t="s">
        <v>4575</v>
      </c>
      <c r="D439" s="404"/>
      <c r="E439" s="387"/>
      <c r="F439" s="387"/>
      <c r="G439" s="387"/>
      <c r="H439" s="382" t="s">
        <v>5801</v>
      </c>
      <c r="I439" s="558" t="s">
        <v>4653</v>
      </c>
      <c r="J439" s="384" t="s">
        <v>5978</v>
      </c>
      <c r="K439" s="393"/>
      <c r="L439" s="578" t="s">
        <v>4599</v>
      </c>
      <c r="M439" s="382" t="s">
        <v>5811</v>
      </c>
      <c r="N439" s="387"/>
      <c r="O439" s="387"/>
      <c r="P439" s="387"/>
      <c r="Q439" s="387"/>
      <c r="R439" s="394" t="s">
        <v>4590</v>
      </c>
      <c r="S439" s="382" t="s">
        <v>4642</v>
      </c>
      <c r="T439" s="395" t="s">
        <v>5906</v>
      </c>
    </row>
    <row r="440" spans="1:20" s="356" customFormat="1" ht="16.5" x14ac:dyDescent="0.15">
      <c r="A440" s="391"/>
      <c r="B440" s="382" t="s">
        <v>4631</v>
      </c>
      <c r="C440" s="415" t="s">
        <v>4642</v>
      </c>
      <c r="D440" s="387"/>
      <c r="E440" s="387"/>
      <c r="F440" s="387"/>
      <c r="G440" s="387"/>
      <c r="H440" s="382" t="s">
        <v>5801</v>
      </c>
      <c r="I440" s="558" t="s">
        <v>4657</v>
      </c>
      <c r="J440" s="392"/>
      <c r="K440" s="393"/>
      <c r="L440" s="578" t="s">
        <v>4601</v>
      </c>
      <c r="M440" s="382" t="s">
        <v>5811</v>
      </c>
      <c r="N440" s="387"/>
      <c r="O440" s="387"/>
      <c r="P440" s="387"/>
      <c r="Q440" s="387"/>
      <c r="R440" s="394" t="s">
        <v>4590</v>
      </c>
      <c r="S440" s="382" t="s">
        <v>4642</v>
      </c>
      <c r="T440" s="395" t="s">
        <v>5906</v>
      </c>
    </row>
    <row r="441" spans="1:20" s="356" customFormat="1" ht="17.25" thickBot="1" x14ac:dyDescent="0.2">
      <c r="A441" s="431" t="s">
        <v>5985</v>
      </c>
      <c r="B441" s="432" t="s">
        <v>4631</v>
      </c>
      <c r="C441" s="437" t="s">
        <v>4575</v>
      </c>
      <c r="D441" s="433"/>
      <c r="E441" s="433"/>
      <c r="F441" s="435"/>
      <c r="G441" s="433"/>
      <c r="H441" s="432" t="s">
        <v>5801</v>
      </c>
      <c r="I441" s="563" t="s">
        <v>4661</v>
      </c>
      <c r="J441" s="449" t="s">
        <v>5978</v>
      </c>
      <c r="K441" s="441"/>
      <c r="L441" s="584" t="s">
        <v>4603</v>
      </c>
      <c r="M441" s="432" t="s">
        <v>5811</v>
      </c>
      <c r="N441" s="433"/>
      <c r="O441" s="433"/>
      <c r="P441" s="433"/>
      <c r="Q441" s="433"/>
      <c r="R441" s="436" t="s">
        <v>4590</v>
      </c>
      <c r="S441" s="432" t="s">
        <v>4642</v>
      </c>
      <c r="T441" s="438"/>
    </row>
    <row r="442" spans="1:20" s="356" customFormat="1" ht="18" thickTop="1" thickBot="1" x14ac:dyDescent="0.2">
      <c r="A442" s="450"/>
      <c r="B442" s="358"/>
      <c r="C442" s="451"/>
      <c r="D442" s="452"/>
      <c r="E442" s="452"/>
      <c r="F442" s="452"/>
      <c r="G442" s="452"/>
      <c r="H442" s="358"/>
      <c r="I442" s="358"/>
      <c r="J442" s="453"/>
      <c r="K442" s="453"/>
      <c r="L442" s="586"/>
      <c r="M442" s="2449" t="s">
        <v>5986</v>
      </c>
      <c r="N442" s="608" t="n">
        <f>SUM(D434:D441,N434:N441)</f>
        <v>0.0</v>
      </c>
      <c r="O442" s="608" t="n">
        <f>SUM(E434:E441,O434:O441)</f>
        <v>0.0</v>
      </c>
      <c r="P442" s="608" t="n">
        <f>SUM(F434:F441,P434:P441)</f>
        <v>0.0</v>
      </c>
      <c r="Q442" s="452"/>
      <c r="R442" s="454"/>
      <c r="S442" s="358"/>
      <c r="T442" s="361"/>
    </row>
    <row r="443" spans="1:20" s="356" customFormat="1" ht="20.25" thickTop="1" thickBot="1" x14ac:dyDescent="0.2">
      <c r="A443" s="355" t="s">
        <v>6961</v>
      </c>
      <c r="C443" s="3660" t="s">
        <v>5987</v>
      </c>
      <c r="D443" s="3660"/>
      <c r="E443" s="3660"/>
      <c r="F443" s="3660"/>
      <c r="G443" s="357"/>
      <c r="H443" s="358"/>
      <c r="I443" s="358"/>
      <c r="J443" s="3668" t="s">
        <v>5063</v>
      </c>
      <c r="K443" s="3669"/>
      <c r="L443" s="2442"/>
      <c r="M443" s="358"/>
      <c r="N443" s="357"/>
      <c r="O443" s="357"/>
      <c r="P443" s="357"/>
      <c r="Q443" s="357"/>
      <c r="R443" s="357"/>
      <c r="S443" s="357"/>
    </row>
    <row r="444" spans="1:20" s="356" customFormat="1" ht="15" customHeight="1" thickTop="1" thickBot="1" x14ac:dyDescent="0.2">
      <c r="A444" s="3"/>
      <c r="B444"/>
      <c r="C444"/>
      <c r="D444" s="54"/>
      <c r="E444" s="54"/>
      <c r="F444" s="54"/>
      <c r="G444" s="54"/>
      <c r="H444" s="4"/>
      <c r="I444" s="4"/>
      <c r="J444"/>
      <c r="K444" s="56"/>
      <c r="L444" s="565"/>
      <c r="M444" s="1371" t="s">
        <v>4562</v>
      </c>
      <c r="N444" s="1368">
        <v>5.5</v>
      </c>
      <c r="O444" s="1369">
        <v>7.2</v>
      </c>
      <c r="P444" s="1370">
        <v>2.2999999999999998</v>
      </c>
      <c r="Q444" s="508" t="s">
        <v>4563</v>
      </c>
      <c r="R444" s="133"/>
      <c r="S444" s="128"/>
      <c r="T444" s="363"/>
    </row>
    <row r="445" spans="1:20" s="356" customFormat="1" ht="18" thickTop="1" thickBot="1" x14ac:dyDescent="0.2">
      <c r="A445" s="364" t="s">
        <v>4564</v>
      </c>
      <c r="B445" s="365" t="s">
        <v>4565</v>
      </c>
      <c r="C445" s="366" t="s">
        <v>4566</v>
      </c>
      <c r="D445" s="365" t="s">
        <v>4567</v>
      </c>
      <c r="E445" s="365" t="s">
        <v>4568</v>
      </c>
      <c r="F445" s="365" t="s">
        <v>4569</v>
      </c>
      <c r="G445" s="365" t="s">
        <v>4570</v>
      </c>
      <c r="H445" s="367" t="s">
        <v>4571</v>
      </c>
      <c r="I445" s="557"/>
      <c r="J445" s="368" t="s">
        <v>4572</v>
      </c>
      <c r="K445" s="369" t="s">
        <v>4572</v>
      </c>
      <c r="L445" s="575"/>
      <c r="M445" s="367" t="s">
        <v>4571</v>
      </c>
      <c r="N445" s="365" t="s">
        <v>4567</v>
      </c>
      <c r="O445" s="365" t="s">
        <v>4568</v>
      </c>
      <c r="P445" s="365" t="s">
        <v>4569</v>
      </c>
      <c r="Q445" s="365" t="s">
        <v>4570</v>
      </c>
      <c r="R445" s="365" t="s">
        <v>4565</v>
      </c>
      <c r="S445" s="366" t="s">
        <v>4566</v>
      </c>
      <c r="T445" s="370" t="s">
        <v>4564</v>
      </c>
    </row>
    <row r="446" spans="1:20" s="356" customFormat="1" ht="17.25" thickTop="1" x14ac:dyDescent="0.15">
      <c r="A446" s="474" t="s">
        <v>5988</v>
      </c>
      <c r="B446" s="378" t="s">
        <v>5989</v>
      </c>
      <c r="C446" s="379" t="s">
        <v>4575</v>
      </c>
      <c r="D446" s="2678" cm="1" t="n">
        <f t="array" ref="D446">INDEX('5층_부하량'!I3:I3000,MATCH(1,("5-DaHall 1-PDU-17"='5층_부하량'!A3:A3000)*(1='5층_부하량'!B3:B3000),0))</f>
        <v>0.7224188064384994</v>
      </c>
      <c r="E446" s="401"/>
      <c r="F446" s="401"/>
      <c r="G446" s="374"/>
      <c r="H446" s="2450" t="s">
        <v>4597</v>
      </c>
      <c r="I446" s="2451" t="s">
        <v>4577</v>
      </c>
      <c r="J446" s="1040" t="s">
        <v>5990</v>
      </c>
      <c r="K446" s="1041" t="s">
        <v>5991</v>
      </c>
      <c r="L446" s="587" t="s">
        <v>4863</v>
      </c>
      <c r="M446" s="372" t="s">
        <v>4597</v>
      </c>
      <c r="N446" s="2678" cm="1" t="n">
        <f t="array" ref="N446">INDEX('5층_부하량'!I3:I3000,MATCH(1,("5-DaHall 1-PDU-17"='5층_부하량'!A3:A3000)*(2='5층_부하량'!B3:B3000),0))</f>
        <v>0.8174420454845146</v>
      </c>
      <c r="O446" s="401"/>
      <c r="P446" s="401"/>
      <c r="Q446" s="374"/>
      <c r="R446" s="378" t="s">
        <v>5989</v>
      </c>
      <c r="S446" s="379" t="s">
        <v>4575</v>
      </c>
      <c r="T446" s="1233" t="s">
        <v>5992</v>
      </c>
    </row>
    <row r="447" spans="1:20" s="356" customFormat="1" ht="16.5" x14ac:dyDescent="0.15">
      <c r="A447" s="391" t="s">
        <v>5993</v>
      </c>
      <c r="B447" s="388" t="s">
        <v>5989</v>
      </c>
      <c r="C447" s="389" t="s">
        <v>4575</v>
      </c>
      <c r="D447" s="387"/>
      <c r="E447" s="2672" cm="1">
        <f t="array" ref="E447">INDEX('5층_부하량'!J3:J3000,MATCH(1,("5-DaHall 1-PDU-17"='5층_부하량'!A3:A3000)*(3='5층_부하량'!B3:B3000),0))</f>
        <v>0</v>
      </c>
      <c r="F447" s="387"/>
      <c r="G447" s="383"/>
      <c r="H447" s="1319" t="s">
        <v>4597</v>
      </c>
      <c r="I447" s="1320" t="s">
        <v>4582</v>
      </c>
      <c r="J447" s="1042" t="s">
        <v>5994</v>
      </c>
      <c r="K447" s="1043" t="s">
        <v>5995</v>
      </c>
      <c r="L447" s="577" t="s">
        <v>4865</v>
      </c>
      <c r="M447" s="1319" t="s">
        <v>4597</v>
      </c>
      <c r="N447" s="387"/>
      <c r="O447" s="2672" cm="1">
        <f t="array" ref="O447">INDEX('5층_부하량'!J3:J3000,MATCH(1,("5-DaHall 1-PDU-17"='5층_부하량'!A3:A3000)*(4='5층_부하량'!B3:B3000),0))</f>
        <v>0</v>
      </c>
      <c r="P447" s="387"/>
      <c r="Q447" s="387"/>
      <c r="R447" s="388" t="s">
        <v>5989</v>
      </c>
      <c r="S447" s="389" t="s">
        <v>4575</v>
      </c>
      <c r="T447" s="395" t="s">
        <v>5996</v>
      </c>
    </row>
    <row r="448" spans="1:20" s="356" customFormat="1" ht="16.5" x14ac:dyDescent="0.15">
      <c r="A448" s="391" t="s">
        <v>5997</v>
      </c>
      <c r="B448" s="388" t="s">
        <v>5989</v>
      </c>
      <c r="C448" s="389" t="s">
        <v>4575</v>
      </c>
      <c r="D448" s="387"/>
      <c r="E448" s="387"/>
      <c r="F448" s="2679" cm="1" t="n">
        <f t="array" ref="F448">INDEX('5층_부하량'!K3:K3000,MATCH(1,("5-DaHall 1-PDU-17"='5층_부하량'!A3:A3000)*(5='5층_부하량'!B3:B3000),0))</f>
        <v>6.726656390818677</v>
      </c>
      <c r="G448" s="387"/>
      <c r="H448" s="1319" t="s">
        <v>4597</v>
      </c>
      <c r="I448" s="1320" t="s">
        <v>4587</v>
      </c>
      <c r="J448" s="1042" t="s">
        <v>5998</v>
      </c>
      <c r="K448" s="1045" t="s">
        <v>5999</v>
      </c>
      <c r="L448" s="578" t="s">
        <v>4868</v>
      </c>
      <c r="M448" s="1319" t="s">
        <v>4597</v>
      </c>
      <c r="N448" s="387"/>
      <c r="O448" s="387"/>
      <c r="P448" s="2679" cm="1" t="n">
        <f t="array" ref="P448">INDEX('5층_부하량'!K3:K3000,MATCH(1,("5-DaHall 1-PDU-17"='5층_부하량'!A3:A3000)*(6='5층_부하량'!B3:B3000),0))</f>
        <v>0.5000076453181453</v>
      </c>
      <c r="Q448" s="387"/>
      <c r="R448" s="388" t="s">
        <v>5989</v>
      </c>
      <c r="S448" s="389" t="s">
        <v>4575</v>
      </c>
      <c r="T448" s="395" t="s">
        <v>6000</v>
      </c>
    </row>
    <row r="449" spans="1:20" s="356" customFormat="1" ht="16.5" x14ac:dyDescent="0.15">
      <c r="A449" s="391" t="s">
        <v>6001</v>
      </c>
      <c r="B449" s="388" t="s">
        <v>5989</v>
      </c>
      <c r="C449" s="389" t="s">
        <v>4575</v>
      </c>
      <c r="D449" s="2679" cm="1">
        <f t="array" ref="D449">INDEX('5층_부하량'!I3:I3000,MATCH(1,("5-DaHall 1-PDU-17"='5층_부하량'!A3:A3000)*(7='5층_부하량'!B3:B3000),0))</f>
        <v>0</v>
      </c>
      <c r="E449" s="387"/>
      <c r="F449" s="387"/>
      <c r="G449" s="387"/>
      <c r="H449" s="1319" t="s">
        <v>4597</v>
      </c>
      <c r="I449" s="1320" t="s">
        <v>4645</v>
      </c>
      <c r="J449" s="1042" t="s">
        <v>6002</v>
      </c>
      <c r="K449" s="1043" t="s">
        <v>6003</v>
      </c>
      <c r="L449" s="578" t="s">
        <v>4593</v>
      </c>
      <c r="M449" s="1319" t="s">
        <v>4597</v>
      </c>
      <c r="N449" s="2679" cm="1" t="n">
        <f t="array" ref="N449">INDEX('5층_부하량'!I3:I3000,MATCH(1,("5-DaHall 1-PDU-17"='5층_부하량'!A3:A3000)*(8='5층_부하량'!B3:B3000),0))</f>
        <v>2.220777365276243</v>
      </c>
      <c r="O449" s="387"/>
      <c r="P449" s="387"/>
      <c r="Q449" s="387"/>
      <c r="R449" s="388" t="s">
        <v>5989</v>
      </c>
      <c r="S449" s="389" t="s">
        <v>4575</v>
      </c>
      <c r="T449" s="395" t="s">
        <v>6004</v>
      </c>
    </row>
    <row r="450" spans="1:20" s="356" customFormat="1" ht="16.5" x14ac:dyDescent="0.15">
      <c r="A450" s="391" t="s">
        <v>6005</v>
      </c>
      <c r="B450" s="388" t="s">
        <v>5989</v>
      </c>
      <c r="C450" s="389" t="s">
        <v>4575</v>
      </c>
      <c r="D450" s="387"/>
      <c r="E450" s="2672" cm="1" t="n">
        <f t="array" ref="E450">INDEX('5층_부하량'!J3:J3000,MATCH(1,("5-DaHall 1-PDU-17"='5층_부하량'!A3:A3000)*(9='5층_부하량'!B3:B3000),0))</f>
        <v>5.768152311901818</v>
      </c>
      <c r="F450" s="387"/>
      <c r="G450" s="387"/>
      <c r="H450" s="1319" t="s">
        <v>4597</v>
      </c>
      <c r="I450" s="1320" t="s">
        <v>4648</v>
      </c>
      <c r="J450" s="1042" t="s">
        <v>6006</v>
      </c>
      <c r="K450" s="1045" t="s">
        <v>6007</v>
      </c>
      <c r="L450" s="578" t="s">
        <v>4596</v>
      </c>
      <c r="M450" s="1319" t="s">
        <v>4597</v>
      </c>
      <c r="N450" s="387"/>
      <c r="O450" s="2672" cm="1">
        <f t="array" ref="O450">INDEX('5층_부하량'!J3:J3000,MATCH(1,("5-DaHall 1-PDU-17"='5층_부하량'!A3:A3000)*(10='5층_부하량'!B3:B3000),0))</f>
        <v>0</v>
      </c>
      <c r="P450" s="387"/>
      <c r="Q450" s="387"/>
      <c r="R450" s="388" t="s">
        <v>5989</v>
      </c>
      <c r="S450" s="389" t="s">
        <v>4575</v>
      </c>
      <c r="T450" s="395" t="s">
        <v>6008</v>
      </c>
    </row>
    <row r="451" spans="1:20" s="356" customFormat="1" ht="16.5" x14ac:dyDescent="0.15">
      <c r="A451" s="391" t="s">
        <v>6009</v>
      </c>
      <c r="B451" s="388" t="s">
        <v>5989</v>
      </c>
      <c r="C451" s="389" t="s">
        <v>4575</v>
      </c>
      <c r="D451" s="387"/>
      <c r="E451" s="387"/>
      <c r="F451" s="2679" cm="1" t="n">
        <f t="array" ref="F451">INDEX('5층_부하량'!K3:K3000,MATCH(1,("5-DaHall 1-PDU-17"='5층_부하량'!A3:A3000)*(11='5층_부하량'!B3:B3000),0))</f>
        <v>0.5200348026501096</v>
      </c>
      <c r="G451" s="387"/>
      <c r="H451" s="1319" t="s">
        <v>4597</v>
      </c>
      <c r="I451" s="1320" t="s">
        <v>4653</v>
      </c>
      <c r="J451" s="1042" t="s">
        <v>6010</v>
      </c>
      <c r="K451" s="1043" t="s">
        <v>6011</v>
      </c>
      <c r="L451" s="578" t="s">
        <v>4599</v>
      </c>
      <c r="M451" s="1319" t="s">
        <v>4597</v>
      </c>
      <c r="N451" s="387"/>
      <c r="O451" s="387"/>
      <c r="P451" s="2679" cm="1" t="n">
        <f t="array" ref="P451">INDEX('5층_부하량'!K3:K3000,MATCH(1,("5-DaHall 1-PDU-17"='5층_부하량'!A3:A3000)*(12='5층_부하량'!B3:B3000),0))</f>
        <v>1.106384672671493</v>
      </c>
      <c r="Q451" s="387"/>
      <c r="R451" s="388" t="s">
        <v>5989</v>
      </c>
      <c r="S451" s="389" t="s">
        <v>4575</v>
      </c>
      <c r="T451" s="395" t="s">
        <v>6012</v>
      </c>
    </row>
    <row r="452" spans="1:20" s="356" customFormat="1" ht="16.5" x14ac:dyDescent="0.15">
      <c r="A452" s="391" t="s">
        <v>6013</v>
      </c>
      <c r="B452" s="388" t="s">
        <v>5989</v>
      </c>
      <c r="C452" s="389" t="s">
        <v>4575</v>
      </c>
      <c r="D452" s="2679" cm="1" t="n">
        <f t="array" ref="D452">INDEX('5층_부하량'!I3:I3000,MATCH(1,("5-DaHall 1-PDU-17"='5층_부하량'!A3:A3000)*(13='5층_부하량'!B3:B3000),0))</f>
        <v>1.7100467731731261</v>
      </c>
      <c r="E452" s="387"/>
      <c r="F452" s="387"/>
      <c r="G452" s="387"/>
      <c r="H452" s="1319" t="s">
        <v>4597</v>
      </c>
      <c r="I452" s="1320" t="s">
        <v>4657</v>
      </c>
      <c r="J452" s="1042" t="s">
        <v>6014</v>
      </c>
      <c r="K452" s="1045" t="s">
        <v>6015</v>
      </c>
      <c r="L452" s="578" t="s">
        <v>4601</v>
      </c>
      <c r="M452" s="1319" t="s">
        <v>4597</v>
      </c>
      <c r="N452" s="2679" cm="1">
        <f t="array" ref="N452">INDEX('5층_부하량'!I3:I3000,MATCH(1,("5-DaHall 1-PDU-17"='5층_부하량'!A3:A3000)*(14='5층_부하량'!B3:B3000),0))</f>
        <v>0</v>
      </c>
      <c r="O452" s="387"/>
      <c r="P452" s="387"/>
      <c r="Q452" s="387"/>
      <c r="R452" s="388" t="s">
        <v>5989</v>
      </c>
      <c r="S452" s="1232" t="s">
        <v>4723</v>
      </c>
      <c r="T452" s="395" t="s">
        <v>6016</v>
      </c>
    </row>
    <row r="453" spans="1:20" s="356" customFormat="1" ht="16.5" x14ac:dyDescent="0.15">
      <c r="A453" s="448" t="s">
        <v>6017</v>
      </c>
      <c r="B453" s="388" t="s">
        <v>5989</v>
      </c>
      <c r="C453" s="1232" t="s">
        <v>4723</v>
      </c>
      <c r="D453" s="387"/>
      <c r="E453" s="2679" cm="1">
        <f t="array" ref="E453">INDEX('5층_부하량'!J3:J3000,MATCH(1,("5-DaHall 1-PDU-17"='5층_부하량'!A3:A3000)*(15='5층_부하량'!B3:B3000),0))</f>
        <v>0</v>
      </c>
      <c r="F453" s="387"/>
      <c r="G453" s="387"/>
      <c r="H453" s="1319" t="s">
        <v>6018</v>
      </c>
      <c r="I453" s="1320" t="s">
        <v>4661</v>
      </c>
      <c r="J453" s="1042" t="s">
        <v>6019</v>
      </c>
      <c r="K453" s="1043" t="s">
        <v>6020</v>
      </c>
      <c r="L453" s="578" t="s">
        <v>4603</v>
      </c>
      <c r="M453" s="1319" t="s">
        <v>4597</v>
      </c>
      <c r="N453" s="387"/>
      <c r="O453" s="2679" cm="1">
        <f t="array" ref="O453">INDEX('5층_부하량'!J3:J3000,MATCH(1,("5-DaHall 1-PDU-17"='5층_부하량'!A3:A3000)*(16='5층_부하량'!B3:B3000),0))</f>
        <v>0</v>
      </c>
      <c r="P453" s="387"/>
      <c r="Q453" s="387"/>
      <c r="R453" s="388" t="s">
        <v>5989</v>
      </c>
      <c r="S453" s="1232" t="s">
        <v>4723</v>
      </c>
      <c r="T453" s="395" t="s">
        <v>6021</v>
      </c>
    </row>
    <row r="454" spans="1:20" s="356" customFormat="1" ht="16.5" x14ac:dyDescent="0.15">
      <c r="A454" s="448" t="s">
        <v>6022</v>
      </c>
      <c r="B454" s="388" t="s">
        <v>5989</v>
      </c>
      <c r="C454" s="389" t="s">
        <v>4575</v>
      </c>
      <c r="D454" s="387"/>
      <c r="E454" s="387"/>
      <c r="F454" s="2679" cm="1" t="n">
        <f t="array" ref="F454">INDEX('5층_부하량'!K3:K3000,MATCH(1,("5-DaHall 1-PDU-17"='5층_부하량'!A3:A3000)*(17='5층_부하량'!B3:B3000),0))</f>
        <v>0.7420982543689814</v>
      </c>
      <c r="G454" s="387"/>
      <c r="H454" s="1232" t="s">
        <v>4597</v>
      </c>
      <c r="I454" s="1320" t="s">
        <v>4665</v>
      </c>
      <c r="J454" s="1042" t="s">
        <v>6023</v>
      </c>
      <c r="K454" s="1045" t="s">
        <v>6024</v>
      </c>
      <c r="L454" s="578" t="s">
        <v>4605</v>
      </c>
      <c r="M454" s="1319" t="s">
        <v>4597</v>
      </c>
      <c r="N454" s="387"/>
      <c r="O454" s="387"/>
      <c r="P454" s="2679" cm="1" t="n">
        <f t="array" ref="P454">INDEX('5층_부하량'!K3:K3000,MATCH(1,("5-DaHall 1-PDU-17"='5층_부하량'!A3:A3000)*(18='5층_부하량'!B3:B3000),0))</f>
        <v>0.7866116631879928</v>
      </c>
      <c r="Q454" s="387"/>
      <c r="R454" s="388" t="s">
        <v>5989</v>
      </c>
      <c r="S454" s="1232" t="s">
        <v>4723</v>
      </c>
      <c r="T454" s="395" t="s">
        <v>6025</v>
      </c>
    </row>
    <row r="455" spans="1:20" s="356" customFormat="1" ht="16.5" x14ac:dyDescent="0.15">
      <c r="A455" s="448" t="s">
        <v>6026</v>
      </c>
      <c r="B455" s="388" t="s">
        <v>5989</v>
      </c>
      <c r="C455" s="1232" t="s">
        <v>4723</v>
      </c>
      <c r="D455" s="2679" cm="1">
        <f t="array" ref="D455">INDEX('5층_부하량'!I3:I3000,MATCH(1,("5-DaHall 1-PDU-17"='5층_부하량'!A3:A3000)*(19='5층_부하량'!B3:B3000),0))</f>
        <v>0</v>
      </c>
      <c r="E455" s="387"/>
      <c r="F455" s="387"/>
      <c r="G455" s="387"/>
      <c r="H455" s="1232" t="s">
        <v>4597</v>
      </c>
      <c r="I455" s="1320" t="s">
        <v>4670</v>
      </c>
      <c r="J455" s="1042" t="s">
        <v>6027</v>
      </c>
      <c r="K455" s="1043" t="s">
        <v>6028</v>
      </c>
      <c r="L455" s="578" t="s">
        <v>4609</v>
      </c>
      <c r="M455" s="1319" t="s">
        <v>4597</v>
      </c>
      <c r="N455" s="2679" cm="1">
        <f t="array" ref="N455">INDEX('5층_부하량'!I3:I3000,MATCH(1,("5-DaHall 1-PDU-17"='5층_부하량'!A3:A3000)*(20='5층_부하량'!B3:B3000),0))</f>
        <v>0</v>
      </c>
      <c r="O455" s="387"/>
      <c r="P455" s="387"/>
      <c r="Q455" s="387"/>
      <c r="R455" s="388" t="s">
        <v>5989</v>
      </c>
      <c r="S455" s="1232" t="s">
        <v>4723</v>
      </c>
      <c r="T455" s="395" t="s">
        <v>6029</v>
      </c>
    </row>
    <row r="456" spans="1:20" s="356" customFormat="1" ht="16.5" x14ac:dyDescent="0.15">
      <c r="A456" s="448" t="s">
        <v>6030</v>
      </c>
      <c r="B456" s="388" t="s">
        <v>5989</v>
      </c>
      <c r="C456" s="1232" t="s">
        <v>4723</v>
      </c>
      <c r="D456" s="387"/>
      <c r="E456" s="2672" cm="1" t="n">
        <f t="array" ref="E456">INDEX('5층_부하량'!J3:J3000,MATCH(1,("5-DaHall 1-PDU-17"='5층_부하량'!A3:A3000)*(21='5층_부하량'!B3:B3000),0))</f>
        <v>2.138213794370621</v>
      </c>
      <c r="F456" s="387"/>
      <c r="G456" s="387"/>
      <c r="H456" s="1319" t="s">
        <v>4597</v>
      </c>
      <c r="I456" s="1320" t="s">
        <v>4612</v>
      </c>
      <c r="J456" s="1042" t="s">
        <v>6031</v>
      </c>
      <c r="K456" s="1045" t="s">
        <v>6032</v>
      </c>
      <c r="L456" s="578" t="s">
        <v>4893</v>
      </c>
      <c r="M456" s="1319" t="s">
        <v>4597</v>
      </c>
      <c r="N456" s="387"/>
      <c r="O456" s="2672" cm="1">
        <f t="array" ref="O456">INDEX('5층_부하량'!J3:J3000,MATCH(1,("5-DaHall 1-PDU-17"='5층_부하량'!A3:A3000)*(22='5층_부하량'!B3:B3000),0))</f>
        <v>0</v>
      </c>
      <c r="P456" s="387"/>
      <c r="Q456" s="387"/>
      <c r="R456" s="388" t="s">
        <v>5989</v>
      </c>
      <c r="S456" s="1232" t="s">
        <v>4723</v>
      </c>
      <c r="T456" s="395" t="s">
        <v>6033</v>
      </c>
    </row>
    <row r="457" spans="1:20" s="356" customFormat="1" ht="16.5" x14ac:dyDescent="0.15">
      <c r="A457" s="448" t="s">
        <v>6034</v>
      </c>
      <c r="B457" s="388" t="s">
        <v>5989</v>
      </c>
      <c r="C457" s="1232" t="s">
        <v>4723</v>
      </c>
      <c r="D457" s="387"/>
      <c r="E457" s="387"/>
      <c r="F457" s="2679" cm="1" t="n">
        <f t="array" ref="F457">INDEX('5층_부하량'!K3:K3000,MATCH(1,("5-DaHall 1-PDU-17"='5층_부하량'!A3:A3000)*(23='5층_부하량'!B3:B3000),0))</f>
        <v>1.065011417314341</v>
      </c>
      <c r="G457" s="417"/>
      <c r="H457" s="1321" t="s">
        <v>4597</v>
      </c>
      <c r="I457" s="1320" t="s">
        <v>4896</v>
      </c>
      <c r="J457" s="1054" t="s">
        <v>6035</v>
      </c>
      <c r="K457" s="1043" t="s">
        <v>6036</v>
      </c>
      <c r="L457" s="578" t="s">
        <v>4897</v>
      </c>
      <c r="M457" s="1321" t="s">
        <v>4597</v>
      </c>
      <c r="N457" s="387"/>
      <c r="O457" s="387"/>
      <c r="P457" s="2679" cm="1">
        <f t="array" ref="P457">INDEX('5층_부하량'!K3:K3000,MATCH(1,("5-DaHall 1-PDU-17"='5층_부하량'!A3:A3000)*(24='5층_부하량'!B3:B3000),0))</f>
        <v>0</v>
      </c>
      <c r="Q457" s="417"/>
      <c r="R457" s="388" t="s">
        <v>5989</v>
      </c>
      <c r="S457" s="389" t="s">
        <v>4575</v>
      </c>
      <c r="T457" s="413" t="s">
        <v>6037</v>
      </c>
    </row>
    <row r="458" spans="1:20" s="356" customFormat="1" ht="16.5" x14ac:dyDescent="0.15">
      <c r="A458" s="396" t="s">
        <v>6038</v>
      </c>
      <c r="B458" s="388" t="s">
        <v>5989</v>
      </c>
      <c r="C458" s="389" t="s">
        <v>4575</v>
      </c>
      <c r="D458" s="2679" cm="1" t="n">
        <f t="array" ref="D458">INDEX('5층_부하량'!I3:I3000,MATCH(1,("5-DaHall 1-PDU-17"='5층_부하량'!A3:A3000)*(25='5층_부하량'!B3:B3000),0))</f>
        <v>1.7782722340978838</v>
      </c>
      <c r="E458" s="387"/>
      <c r="F458" s="387"/>
      <c r="G458" s="417"/>
      <c r="H458" s="415" t="s">
        <v>4597</v>
      </c>
      <c r="I458" s="2452" t="s">
        <v>6039</v>
      </c>
      <c r="J458" s="1054" t="s">
        <v>6040</v>
      </c>
      <c r="K458" s="1045"/>
      <c r="L458" s="589" t="s">
        <v>4901</v>
      </c>
      <c r="M458" s="415" t="s">
        <v>4597</v>
      </c>
      <c r="N458" s="2679" cm="1">
        <f t="array" ref="N458">INDEX('5층_부하량'!I3:I3000,MATCH(1,("5-DaHall 1-PDU-17"='5층_부하량'!A3:A3000)*(26='5층_부하량'!B3:B3000),0))</f>
        <v>0</v>
      </c>
      <c r="O458" s="387"/>
      <c r="P458" s="387"/>
      <c r="Q458" s="417"/>
      <c r="R458" s="1315" t="s">
        <v>565</v>
      </c>
      <c r="S458" s="1316" t="s">
        <v>4723</v>
      </c>
      <c r="T458" s="413"/>
    </row>
    <row r="459" spans="1:20" s="356" customFormat="1" ht="16.5" x14ac:dyDescent="0.15">
      <c r="A459" s="396"/>
      <c r="B459" s="1315" t="s">
        <v>565</v>
      </c>
      <c r="C459" s="1316" t="s">
        <v>4723</v>
      </c>
      <c r="D459" s="387"/>
      <c r="E459" s="2679" cm="1">
        <f t="array" ref="E459">INDEX('5층_부하량'!J3:J3000,MATCH(1,("5-DaHall 1-PDU-17"='5층_부하량'!A3:A3000)*(27='5층_부하량'!B3:B3000),0))</f>
        <v>0</v>
      </c>
      <c r="F459" s="387"/>
      <c r="G459" s="417"/>
      <c r="H459" s="415" t="s">
        <v>4597</v>
      </c>
      <c r="I459" s="2452" t="s">
        <v>6041</v>
      </c>
      <c r="J459" s="1054"/>
      <c r="K459" s="1318"/>
      <c r="L459" s="589" t="s">
        <v>4906</v>
      </c>
      <c r="M459" s="415" t="s">
        <v>4597</v>
      </c>
      <c r="N459" s="387"/>
      <c r="O459" s="2679" cm="1">
        <f t="array" ref="O459">INDEX('5층_부하량'!J3:J3000,MATCH(1,("5-DaHall 1-PDU-17"='5층_부하량'!A3:A3000)*(28='5층_부하량'!B3:B3000),0))</f>
        <v>0</v>
      </c>
      <c r="P459" s="387"/>
      <c r="Q459" s="417"/>
      <c r="R459" s="1315" t="s">
        <v>565</v>
      </c>
      <c r="S459" s="1316" t="s">
        <v>4723</v>
      </c>
      <c r="T459" s="413"/>
    </row>
    <row r="460" spans="1:20" s="356" customFormat="1" ht="16.5" x14ac:dyDescent="0.15">
      <c r="A460" s="396"/>
      <c r="B460" s="1315" t="s">
        <v>565</v>
      </c>
      <c r="C460" s="1316" t="s">
        <v>4723</v>
      </c>
      <c r="D460" s="387"/>
      <c r="E460" s="387"/>
      <c r="F460" s="2679" cm="1">
        <f t="array" ref="F460">INDEX('5층_부하량'!K3:K3000,MATCH(1,("5-DaHall 1-PDU-17"='5층_부하량'!A3:A3000)*(29='5층_부하량'!B3:B3000),0))</f>
        <v>0</v>
      </c>
      <c r="G460" s="417"/>
      <c r="H460" s="415" t="s">
        <v>4597</v>
      </c>
      <c r="I460" s="2452" t="s">
        <v>6042</v>
      </c>
      <c r="J460" s="1054"/>
      <c r="K460" s="1318"/>
      <c r="L460" s="589" t="s">
        <v>4911</v>
      </c>
      <c r="M460" s="415" t="s">
        <v>4597</v>
      </c>
      <c r="N460" s="387"/>
      <c r="O460" s="387"/>
      <c r="P460" s="2679" cm="1">
        <f t="array" ref="P460">INDEX('5층_부하량'!K3:K3000,MATCH(1,("5-DaHall 1-PDU-17"='5층_부하량'!A3:A3000)*(30='5층_부하량'!B3:B3000),0))</f>
        <v>0</v>
      </c>
      <c r="Q460" s="417"/>
      <c r="R460" s="1315" t="s">
        <v>565</v>
      </c>
      <c r="S460" s="1316" t="s">
        <v>4723</v>
      </c>
      <c r="T460" s="413"/>
    </row>
    <row r="461" spans="1:20" s="356" customFormat="1" ht="16.5" x14ac:dyDescent="0.15">
      <c r="A461" s="396"/>
      <c r="B461" s="1315" t="s">
        <v>565</v>
      </c>
      <c r="C461" s="1316" t="s">
        <v>4723</v>
      </c>
      <c r="D461" s="2679" cm="1">
        <f t="array" ref="D461">INDEX('5층_부하량'!I3:I3000,MATCH(1,("5-DaHall 1-PDU-17"='5층_부하량'!A3:A3000)*(31='5층_부하량'!B3:B3000),0))</f>
        <v>0</v>
      </c>
      <c r="E461" s="387"/>
      <c r="F461" s="387"/>
      <c r="G461" s="417"/>
      <c r="H461" s="415" t="s">
        <v>4597</v>
      </c>
      <c r="I461" s="2452" t="s">
        <v>6043</v>
      </c>
      <c r="J461" s="1054"/>
      <c r="K461" s="1318"/>
      <c r="L461" s="589" t="s">
        <v>4915</v>
      </c>
      <c r="M461" s="415" t="s">
        <v>4597</v>
      </c>
      <c r="N461" s="2679" cm="1">
        <f t="array" ref="N461">INDEX('5층_부하량'!I3:I3000,MATCH(1,("5-DaHall 1-PDU-17"='5층_부하량'!A3:A3000)*(32='5층_부하량'!B3:B3000),0))</f>
        <v>0</v>
      </c>
      <c r="O461" s="387"/>
      <c r="P461" s="387"/>
      <c r="Q461" s="417"/>
      <c r="R461" s="1315" t="s">
        <v>565</v>
      </c>
      <c r="S461" s="1316" t="s">
        <v>4723</v>
      </c>
      <c r="T461" s="413"/>
    </row>
    <row r="462" spans="1:20" s="356" customFormat="1" ht="17.25" thickBot="1" x14ac:dyDescent="0.2">
      <c r="A462" s="431"/>
      <c r="B462" s="436" t="s">
        <v>4590</v>
      </c>
      <c r="C462" s="432" t="s">
        <v>4642</v>
      </c>
      <c r="D462" s="433"/>
      <c r="E462" s="2680" cm="1">
        <f t="array" ref="E462">INDEX('5층_부하량'!J3:J3000,MATCH(1,("5-DaHall 1-PDU-17"='5층_부하량'!A3:A3000)*(33='5층_부하량'!B3:B3000),0))</f>
        <v>0</v>
      </c>
      <c r="F462" s="433"/>
      <c r="G462" s="433"/>
      <c r="H462" s="432" t="s">
        <v>4597</v>
      </c>
      <c r="I462" s="2453" t="s">
        <v>6044</v>
      </c>
      <c r="J462" s="1059"/>
      <c r="K462" s="1230"/>
      <c r="L462" s="1231" t="s">
        <v>4919</v>
      </c>
      <c r="M462" s="432" t="s">
        <v>4597</v>
      </c>
      <c r="N462" s="433"/>
      <c r="O462" s="2680" cm="1">
        <f t="array" ref="O462">INDEX('5층_부하량'!J3:J3000,MATCH(1,("5-DaHall 1-PDU-17"='5층_부하량'!A3:A3000)*(34='5층_부하량'!B3:B3000),0))</f>
        <v>0</v>
      </c>
      <c r="P462" s="433"/>
      <c r="Q462" s="433"/>
      <c r="R462" s="436" t="s">
        <v>4590</v>
      </c>
      <c r="S462" s="432" t="s">
        <v>4642</v>
      </c>
      <c r="T462" s="438"/>
    </row>
    <row r="463" spans="1:20" s="356" customFormat="1" ht="18" thickTop="1" thickBot="1" x14ac:dyDescent="0.2">
      <c r="L463" s="2445"/>
      <c r="M463" s="411" t="s">
        <v>5645</v>
      </c>
      <c r="N463" s="412" t="n">
        <f>SUM(D446:D462,N446:N462)</f>
        <v>7.248957224470267</v>
      </c>
      <c r="O463" s="412" t="n">
        <f>SUM(E446:E462,O446:O462)</f>
        <v>7.906366106272439</v>
      </c>
      <c r="P463" s="412" t="n">
        <f>SUM(F446:F462,P446:P462)</f>
        <v>11.446804846329739</v>
      </c>
    </row>
    <row r="464" spans="1:20" s="356" customFormat="1" ht="20.25" thickTop="1" thickBot="1" x14ac:dyDescent="0.2">
      <c r="A464" s="355" t="s">
        <v>6962</v>
      </c>
      <c r="C464" s="3660" t="s">
        <v>6045</v>
      </c>
      <c r="D464" s="3660"/>
      <c r="E464" s="3660"/>
      <c r="F464" s="3660"/>
      <c r="G464" s="357"/>
      <c r="H464" s="358"/>
      <c r="I464" s="358"/>
      <c r="J464" s="3668" t="s">
        <v>5063</v>
      </c>
      <c r="K464" s="3669"/>
      <c r="L464" s="2442"/>
      <c r="M464" s="358"/>
      <c r="N464" s="357"/>
      <c r="O464" s="357"/>
      <c r="P464" s="357"/>
      <c r="Q464" s="357"/>
      <c r="R464" s="357"/>
      <c r="S464" s="357"/>
    </row>
    <row r="465" spans="1:20" s="356" customFormat="1" ht="15" customHeight="1" thickTop="1" thickBot="1" x14ac:dyDescent="0.2">
      <c r="A465" s="3"/>
      <c r="B465"/>
      <c r="C465"/>
      <c r="D465" s="54"/>
      <c r="E465" s="54"/>
      <c r="F465" s="54"/>
      <c r="G465" s="54"/>
      <c r="H465" s="4"/>
      <c r="I465" s="4"/>
      <c r="J465"/>
      <c r="K465" s="56"/>
      <c r="L465" s="565"/>
      <c r="M465" s="1371" t="s">
        <v>4562</v>
      </c>
      <c r="N465" s="1368">
        <v>4.5999999999999996</v>
      </c>
      <c r="O465" s="1369">
        <v>5</v>
      </c>
      <c r="P465" s="1370">
        <v>1.5</v>
      </c>
      <c r="Q465" s="508" t="s">
        <v>4563</v>
      </c>
      <c r="R465" s="133"/>
      <c r="S465" s="128"/>
      <c r="T465" s="363"/>
    </row>
    <row r="466" spans="1:20" s="356" customFormat="1" ht="18" thickTop="1" thickBot="1" x14ac:dyDescent="0.2">
      <c r="A466" s="364" t="s">
        <v>4564</v>
      </c>
      <c r="B466" s="365" t="s">
        <v>4565</v>
      </c>
      <c r="C466" s="366" t="s">
        <v>4566</v>
      </c>
      <c r="D466" s="365" t="s">
        <v>4567</v>
      </c>
      <c r="E466" s="365" t="s">
        <v>4568</v>
      </c>
      <c r="F466" s="365" t="s">
        <v>4569</v>
      </c>
      <c r="G466" s="365" t="s">
        <v>4570</v>
      </c>
      <c r="H466" s="367" t="s">
        <v>4571</v>
      </c>
      <c r="I466" s="557"/>
      <c r="J466" s="368" t="s">
        <v>4572</v>
      </c>
      <c r="K466" s="369" t="s">
        <v>4572</v>
      </c>
      <c r="L466" s="575"/>
      <c r="M466" s="367" t="s">
        <v>4571</v>
      </c>
      <c r="N466" s="365" t="s">
        <v>4567</v>
      </c>
      <c r="O466" s="365" t="s">
        <v>4568</v>
      </c>
      <c r="P466" s="365" t="s">
        <v>4569</v>
      </c>
      <c r="Q466" s="365" t="s">
        <v>4570</v>
      </c>
      <c r="R466" s="365" t="s">
        <v>4565</v>
      </c>
      <c r="S466" s="366" t="s">
        <v>4566</v>
      </c>
      <c r="T466" s="370" t="s">
        <v>4564</v>
      </c>
    </row>
    <row r="467" spans="1:20" s="356" customFormat="1" ht="17.25" thickTop="1" x14ac:dyDescent="0.15">
      <c r="A467" s="474" t="s">
        <v>5988</v>
      </c>
      <c r="B467" s="378" t="s">
        <v>5989</v>
      </c>
      <c r="C467" s="379" t="s">
        <v>4575</v>
      </c>
      <c r="D467" s="2678" cm="1" t="n">
        <f t="array" ref="D467">INDEX('5층_부하량'!I3:I3000,MATCH(1,("5-DaHall 1-PDU-18"='5층_부하량'!A3:A3000)*(1='5층_부하량'!B3:B3000),0))</f>
        <v>0.8254502300249269</v>
      </c>
      <c r="E467" s="401"/>
      <c r="F467" s="401"/>
      <c r="G467" s="374"/>
      <c r="H467" s="2450" t="s">
        <v>4597</v>
      </c>
      <c r="I467" s="2451" t="s">
        <v>4577</v>
      </c>
      <c r="J467" s="1040" t="s">
        <v>6046</v>
      </c>
      <c r="K467" s="1041" t="s">
        <v>6047</v>
      </c>
      <c r="L467" s="587" t="s">
        <v>4863</v>
      </c>
      <c r="M467" s="372" t="s">
        <v>4597</v>
      </c>
      <c r="N467" s="2678" cm="1" t="n">
        <f t="array" ref="N467">INDEX('5층_부하량'!I3:I3000,MATCH(1,("5-DaHall 1-PDU-18"='5층_부하량'!A3:A3000)*(2='5층_부하량'!B3:B3000),0))</f>
        <v>0.7625004642502601</v>
      </c>
      <c r="O467" s="401"/>
      <c r="P467" s="401"/>
      <c r="Q467" s="374"/>
      <c r="R467" s="378" t="s">
        <v>5989</v>
      </c>
      <c r="S467" s="379" t="s">
        <v>4575</v>
      </c>
      <c r="T467" s="1233" t="s">
        <v>5992</v>
      </c>
    </row>
    <row r="468" spans="1:20" s="356" customFormat="1" ht="16.5" x14ac:dyDescent="0.15">
      <c r="A468" s="391" t="s">
        <v>5993</v>
      </c>
      <c r="B468" s="388" t="s">
        <v>5989</v>
      </c>
      <c r="C468" s="389" t="s">
        <v>4575</v>
      </c>
      <c r="D468" s="387"/>
      <c r="E468" s="2672" cm="1">
        <f t="array" ref="E468">INDEX('5층_부하량'!J3:J3000,MATCH(1,("5-DaHall 1-PDU-18"='5층_부하량'!A3:A3000)*(3='5층_부하량'!B3:B3000),0))</f>
        <v>0</v>
      </c>
      <c r="F468" s="387"/>
      <c r="G468" s="383"/>
      <c r="H468" s="1319" t="s">
        <v>4597</v>
      </c>
      <c r="I468" s="1320" t="s">
        <v>4582</v>
      </c>
      <c r="J468" s="1042" t="s">
        <v>6048</v>
      </c>
      <c r="K468" s="1043" t="s">
        <v>6049</v>
      </c>
      <c r="L468" s="577" t="s">
        <v>4865</v>
      </c>
      <c r="M468" s="1319" t="s">
        <v>4597</v>
      </c>
      <c r="N468" s="387"/>
      <c r="O468" s="2672" cm="1">
        <f t="array" ref="O468">INDEX('5층_부하량'!J3:J3000,MATCH(1,("5-DaHall 1-PDU-18"='5층_부하량'!A3:A3000)*(4='5층_부하량'!B3:B3000),0))</f>
        <v>0</v>
      </c>
      <c r="P468" s="387"/>
      <c r="Q468" s="387"/>
      <c r="R468" s="388" t="s">
        <v>5989</v>
      </c>
      <c r="S468" s="389" t="s">
        <v>4575</v>
      </c>
      <c r="T468" s="395" t="s">
        <v>5996</v>
      </c>
    </row>
    <row r="469" spans="1:20" s="356" customFormat="1" ht="16.5" x14ac:dyDescent="0.15">
      <c r="A469" s="391" t="s">
        <v>5997</v>
      </c>
      <c r="B469" s="388" t="s">
        <v>5989</v>
      </c>
      <c r="C469" s="389" t="s">
        <v>4575</v>
      </c>
      <c r="D469" s="387"/>
      <c r="E469" s="387"/>
      <c r="F469" s="2679" cm="1" t="n">
        <f t="array" ref="F469">INDEX('5층_부하량'!K3:K3000,MATCH(1,("5-DaHall 1-PDU-18"='5층_부하량'!A3:A3000)*(5='5층_부하량'!B3:B3000),0))</f>
        <v>4.645030735892268</v>
      </c>
      <c r="G469" s="387"/>
      <c r="H469" s="1319" t="s">
        <v>4597</v>
      </c>
      <c r="I469" s="1320" t="s">
        <v>4587</v>
      </c>
      <c r="J469" s="1042" t="s">
        <v>6050</v>
      </c>
      <c r="K469" s="1045" t="s">
        <v>6051</v>
      </c>
      <c r="L469" s="578" t="s">
        <v>4868</v>
      </c>
      <c r="M469" s="1319" t="s">
        <v>4597</v>
      </c>
      <c r="N469" s="387"/>
      <c r="O469" s="387"/>
      <c r="P469" s="2679" cm="1" t="n">
        <f t="array" ref="P469">INDEX('5층_부하량'!K3:K3000,MATCH(1,("5-DaHall 1-PDU-18"='5층_부하량'!A3:A3000)*(6='5층_부하량'!B3:B3000),0))</f>
        <v>0.3928343059329224</v>
      </c>
      <c r="Q469" s="387"/>
      <c r="R469" s="388" t="s">
        <v>5989</v>
      </c>
      <c r="S469" s="389" t="s">
        <v>4575</v>
      </c>
      <c r="T469" s="395" t="s">
        <v>6000</v>
      </c>
    </row>
    <row r="470" spans="1:20" s="356" customFormat="1" ht="16.5" x14ac:dyDescent="0.15">
      <c r="A470" s="391" t="s">
        <v>6001</v>
      </c>
      <c r="B470" s="388" t="s">
        <v>5989</v>
      </c>
      <c r="C470" s="389" t="s">
        <v>4575</v>
      </c>
      <c r="D470" s="2679" cm="1">
        <f t="array" ref="D470">INDEX('5층_부하량'!I3:I3000,MATCH(1,("5-DaHall 1-PDU-18"='5층_부하량'!A3:A3000)*(7='5층_부하량'!B3:B3000),0))</f>
        <v>0</v>
      </c>
      <c r="E470" s="387"/>
      <c r="F470" s="387"/>
      <c r="G470" s="387"/>
      <c r="H470" s="1319" t="s">
        <v>4597</v>
      </c>
      <c r="I470" s="1320" t="s">
        <v>4645</v>
      </c>
      <c r="J470" s="1042" t="s">
        <v>6052</v>
      </c>
      <c r="K470" s="1043" t="s">
        <v>6053</v>
      </c>
      <c r="L470" s="578" t="s">
        <v>4593</v>
      </c>
      <c r="M470" s="1319" t="s">
        <v>4597</v>
      </c>
      <c r="N470" s="2679" cm="1" t="n">
        <f t="array" ref="N470">INDEX('5층_부하량'!I3:I3000,MATCH(1,("5-DaHall 1-PDU-18"='5층_부하량'!A3:A3000)*(8='5층_부하량'!B3:B3000),0))</f>
        <v>2.1393808099313527</v>
      </c>
      <c r="O470" s="387"/>
      <c r="P470" s="387"/>
      <c r="Q470" s="387"/>
      <c r="R470" s="388" t="s">
        <v>5989</v>
      </c>
      <c r="S470" s="389" t="s">
        <v>4575</v>
      </c>
      <c r="T470" s="395" t="s">
        <v>6004</v>
      </c>
    </row>
    <row r="471" spans="1:20" s="356" customFormat="1" ht="16.5" x14ac:dyDescent="0.15">
      <c r="A471" s="391" t="s">
        <v>6005</v>
      </c>
      <c r="B471" s="388" t="s">
        <v>5989</v>
      </c>
      <c r="C471" s="389" t="s">
        <v>4575</v>
      </c>
      <c r="D471" s="387"/>
      <c r="E471" s="2672" cm="1" t="n">
        <f t="array" ref="E471">INDEX('5층_부하량'!J3:J3000,MATCH(1,("5-DaHall 1-PDU-18"='5층_부하량'!A3:A3000)*(9='5층_부하량'!B3:B3000),0))</f>
        <v>4.833868551935492</v>
      </c>
      <c r="F471" s="387"/>
      <c r="G471" s="387"/>
      <c r="H471" s="1319" t="s">
        <v>4597</v>
      </c>
      <c r="I471" s="1320" t="s">
        <v>4648</v>
      </c>
      <c r="J471" s="1042" t="s">
        <v>6054</v>
      </c>
      <c r="K471" s="1045" t="s">
        <v>6055</v>
      </c>
      <c r="L471" s="578" t="s">
        <v>4596</v>
      </c>
      <c r="M471" s="1319" t="s">
        <v>4597</v>
      </c>
      <c r="N471" s="387"/>
      <c r="O471" s="2672" cm="1">
        <f t="array" ref="O471">INDEX('5층_부하량'!J3:J3000,MATCH(1,("5-DaHall 1-PDU-18"='5층_부하량'!A3:A3000)*(10='5층_부하량'!B3:B3000),0))</f>
        <v>0</v>
      </c>
      <c r="P471" s="387"/>
      <c r="Q471" s="387"/>
      <c r="R471" s="388" t="s">
        <v>5989</v>
      </c>
      <c r="S471" s="389" t="s">
        <v>4575</v>
      </c>
      <c r="T471" s="395" t="s">
        <v>6008</v>
      </c>
    </row>
    <row r="472" spans="1:20" s="356" customFormat="1" ht="16.5" x14ac:dyDescent="0.15">
      <c r="A472" s="391" t="s">
        <v>6009</v>
      </c>
      <c r="B472" s="388" t="s">
        <v>5989</v>
      </c>
      <c r="C472" s="389" t="s">
        <v>4575</v>
      </c>
      <c r="D472" s="387"/>
      <c r="E472" s="387"/>
      <c r="F472" s="2679" cm="1" t="n">
        <f t="array" ref="F472">INDEX('5층_부하량'!K3:K3000,MATCH(1,("5-DaHall 1-PDU-18"='5층_부하량'!A3:A3000)*(11='5층_부하량'!B3:B3000),0))</f>
        <v>0.4091136166614396</v>
      </c>
      <c r="G472" s="387"/>
      <c r="H472" s="1319" t="s">
        <v>4597</v>
      </c>
      <c r="I472" s="1320" t="s">
        <v>4653</v>
      </c>
      <c r="J472" s="1042" t="s">
        <v>6056</v>
      </c>
      <c r="K472" s="1043" t="s">
        <v>6057</v>
      </c>
      <c r="L472" s="578" t="s">
        <v>4599</v>
      </c>
      <c r="M472" s="1319" t="s">
        <v>4597</v>
      </c>
      <c r="N472" s="387"/>
      <c r="O472" s="387"/>
      <c r="P472" s="2679" cm="1" t="n">
        <f t="array" ref="P472">INDEX('5층_부하량'!K3:K3000,MATCH(1,("5-DaHall 1-PDU-18"='5층_부하량'!A3:A3000)*(12='5층_부하량'!B3:B3000),0))</f>
        <v>1.0356424813661005</v>
      </c>
      <c r="Q472" s="387"/>
      <c r="R472" s="388" t="s">
        <v>5989</v>
      </c>
      <c r="S472" s="389" t="s">
        <v>4575</v>
      </c>
      <c r="T472" s="395" t="s">
        <v>6012</v>
      </c>
    </row>
    <row r="473" spans="1:20" s="356" customFormat="1" ht="16.5" x14ac:dyDescent="0.15">
      <c r="A473" s="391" t="s">
        <v>6013</v>
      </c>
      <c r="B473" s="388" t="s">
        <v>5989</v>
      </c>
      <c r="C473" s="389" t="s">
        <v>4575</v>
      </c>
      <c r="D473" s="2679" cm="1" t="n">
        <f t="array" ref="D473">INDEX('5층_부하량'!I3:I3000,MATCH(1,("5-DaHall 1-PDU-18"='5층_부하량'!A3:A3000)*(13='5층_부하량'!B3:B3000),0))</f>
        <v>0.9382998786295778</v>
      </c>
      <c r="E473" s="387"/>
      <c r="F473" s="387"/>
      <c r="G473" s="387"/>
      <c r="H473" s="1319" t="s">
        <v>4597</v>
      </c>
      <c r="I473" s="1320" t="s">
        <v>4657</v>
      </c>
      <c r="J473" s="1042" t="s">
        <v>6058</v>
      </c>
      <c r="K473" s="1045" t="s">
        <v>6059</v>
      </c>
      <c r="L473" s="578" t="s">
        <v>4601</v>
      </c>
      <c r="M473" s="1319" t="s">
        <v>4597</v>
      </c>
      <c r="N473" s="2679" cm="1">
        <f t="array" ref="N473">INDEX('5층_부하량'!I3:I3000,MATCH(1,("5-DaHall 1-PDU-18"='5층_부하량'!A3:A3000)*(14='5층_부하량'!B3:B3000),0))</f>
        <v>0</v>
      </c>
      <c r="O473" s="387"/>
      <c r="P473" s="387"/>
      <c r="Q473" s="387"/>
      <c r="R473" s="388" t="s">
        <v>5989</v>
      </c>
      <c r="S473" s="1232" t="s">
        <v>4723</v>
      </c>
      <c r="T473" s="395" t="s">
        <v>6016</v>
      </c>
    </row>
    <row r="474" spans="1:20" s="356" customFormat="1" ht="16.5" x14ac:dyDescent="0.15">
      <c r="A474" s="448" t="s">
        <v>6017</v>
      </c>
      <c r="B474" s="388" t="s">
        <v>5989</v>
      </c>
      <c r="C474" s="1232" t="s">
        <v>4723</v>
      </c>
      <c r="D474" s="387"/>
      <c r="E474" s="2679" cm="1">
        <f t="array" ref="E474">INDEX('5층_부하량'!J3:J3000,MATCH(1,("5-DaHall 1-PDU-18"='5층_부하량'!A3:A3000)*(15='5층_부하량'!B3:B3000),0))</f>
        <v>0</v>
      </c>
      <c r="F474" s="387"/>
      <c r="G474" s="387"/>
      <c r="H474" s="1319" t="s">
        <v>6018</v>
      </c>
      <c r="I474" s="1320" t="s">
        <v>4661</v>
      </c>
      <c r="J474" s="1042" t="s">
        <v>6060</v>
      </c>
      <c r="K474" s="1043" t="s">
        <v>6061</v>
      </c>
      <c r="L474" s="578" t="s">
        <v>4603</v>
      </c>
      <c r="M474" s="1319" t="s">
        <v>4597</v>
      </c>
      <c r="N474" s="387"/>
      <c r="O474" s="2679" cm="1">
        <f t="array" ref="O474">INDEX('5층_부하량'!J3:J3000,MATCH(1,("5-DaHall 1-PDU-18"='5층_부하량'!A3:A3000)*(16='5층_부하량'!B3:B3000),0))</f>
        <v>0</v>
      </c>
      <c r="P474" s="387"/>
      <c r="Q474" s="387"/>
      <c r="R474" s="388" t="s">
        <v>5989</v>
      </c>
      <c r="S474" s="1232" t="s">
        <v>4723</v>
      </c>
      <c r="T474" s="395" t="s">
        <v>6021</v>
      </c>
    </row>
    <row r="475" spans="1:20" s="356" customFormat="1" ht="16.5" x14ac:dyDescent="0.15">
      <c r="A475" s="448" t="s">
        <v>6022</v>
      </c>
      <c r="B475" s="388" t="s">
        <v>5989</v>
      </c>
      <c r="C475" s="1232" t="s">
        <v>4723</v>
      </c>
      <c r="D475" s="387"/>
      <c r="E475" s="387"/>
      <c r="F475" s="2679" cm="1">
        <f t="array" ref="F475">INDEX('5층_부하량'!K3:K3000,MATCH(1,("5-DaHall 1-PDU-18"='5층_부하량'!A3:A3000)*(17='5층_부하량'!B3:B3000),0))</f>
        <v>0</v>
      </c>
      <c r="G475" s="387"/>
      <c r="H475" s="1232" t="s">
        <v>4597</v>
      </c>
      <c r="I475" s="1320" t="s">
        <v>4665</v>
      </c>
      <c r="J475" s="1042" t="s">
        <v>6062</v>
      </c>
      <c r="K475" s="1045" t="s">
        <v>6063</v>
      </c>
      <c r="L475" s="578" t="s">
        <v>4605</v>
      </c>
      <c r="M475" s="1319" t="s">
        <v>4597</v>
      </c>
      <c r="N475" s="387"/>
      <c r="O475" s="387"/>
      <c r="P475" s="2679" cm="1" t="n">
        <f t="array" ref="P475">INDEX('5층_부하량'!K3:K3000,MATCH(1,("5-DaHall 1-PDU-18"='5층_부하량'!A3:A3000)*(18='5층_부하량'!B3:B3000),0))</f>
        <v>0.7383520177237802</v>
      </c>
      <c r="Q475" s="387"/>
      <c r="R475" s="388" t="s">
        <v>5989</v>
      </c>
      <c r="S475" s="1232" t="s">
        <v>4723</v>
      </c>
      <c r="T475" s="395" t="s">
        <v>6025</v>
      </c>
    </row>
    <row r="476" spans="1:20" s="356" customFormat="1" ht="16.5" x14ac:dyDescent="0.15">
      <c r="A476" s="448" t="s">
        <v>6026</v>
      </c>
      <c r="B476" s="388" t="s">
        <v>5989</v>
      </c>
      <c r="C476" s="1232" t="s">
        <v>4723</v>
      </c>
      <c r="D476" s="2679" cm="1">
        <f t="array" ref="D476">INDEX('5층_부하량'!I3:I3000,MATCH(1,("5-DaHall 1-PDU-18"='5층_부하량'!A3:A3000)*(19='5층_부하량'!B3:B3000),0))</f>
        <v>0</v>
      </c>
      <c r="E476" s="387"/>
      <c r="F476" s="387"/>
      <c r="G476" s="387"/>
      <c r="H476" s="1232" t="s">
        <v>4597</v>
      </c>
      <c r="I476" s="1320" t="s">
        <v>4670</v>
      </c>
      <c r="J476" s="1042" t="s">
        <v>6064</v>
      </c>
      <c r="K476" s="1043" t="s">
        <v>6065</v>
      </c>
      <c r="L476" s="578" t="s">
        <v>4609</v>
      </c>
      <c r="M476" s="1319" t="s">
        <v>4597</v>
      </c>
      <c r="N476" s="2679" cm="1">
        <f t="array" ref="N476">INDEX('5층_부하량'!I3:I3000,MATCH(1,("5-DaHall 1-PDU-18"='5층_부하량'!A3:A3000)*(20='5층_부하량'!B3:B3000),0))</f>
        <v>0</v>
      </c>
      <c r="O476" s="387"/>
      <c r="P476" s="387"/>
      <c r="Q476" s="387"/>
      <c r="R476" s="388" t="s">
        <v>5989</v>
      </c>
      <c r="S476" s="1232" t="s">
        <v>4723</v>
      </c>
      <c r="T476" s="395" t="s">
        <v>6029</v>
      </c>
    </row>
    <row r="477" spans="1:20" s="356" customFormat="1" ht="16.5" x14ac:dyDescent="0.15">
      <c r="A477" s="448" t="s">
        <v>6030</v>
      </c>
      <c r="B477" s="388" t="s">
        <v>5989</v>
      </c>
      <c r="C477" s="1232" t="s">
        <v>4723</v>
      </c>
      <c r="D477" s="387"/>
      <c r="E477" s="2672" cm="1" t="n">
        <f t="array" ref="E477">INDEX('5층_부하량'!J3:J3000,MATCH(1,("5-DaHall 1-PDU-18"='5층_부하량'!A3:A3000)*(21='5층_부하량'!B3:B3000),0))</f>
        <v>2.0598352248234373</v>
      </c>
      <c r="F477" s="387"/>
      <c r="G477" s="387"/>
      <c r="H477" s="1319" t="s">
        <v>4597</v>
      </c>
      <c r="I477" s="1320" t="s">
        <v>4612</v>
      </c>
      <c r="J477" s="1042" t="s">
        <v>6066</v>
      </c>
      <c r="K477" s="1045" t="s">
        <v>6067</v>
      </c>
      <c r="L477" s="578" t="s">
        <v>4893</v>
      </c>
      <c r="M477" s="1319" t="s">
        <v>4597</v>
      </c>
      <c r="N477" s="387"/>
      <c r="O477" s="2672" cm="1">
        <f t="array" ref="O477">INDEX('5층_부하량'!J3:J3000,MATCH(1,("5-DaHall 1-PDU-18"='5층_부하량'!A3:A3000)*(22='5층_부하량'!B3:B3000),0))</f>
        <v>0</v>
      </c>
      <c r="P477" s="387"/>
      <c r="Q477" s="387"/>
      <c r="R477" s="388" t="s">
        <v>5989</v>
      </c>
      <c r="S477" s="1232" t="s">
        <v>4723</v>
      </c>
      <c r="T477" s="395" t="s">
        <v>6033</v>
      </c>
    </row>
    <row r="478" spans="1:20" s="356" customFormat="1" ht="16.5" x14ac:dyDescent="0.15">
      <c r="A478" s="448" t="s">
        <v>6034</v>
      </c>
      <c r="B478" s="388" t="s">
        <v>5989</v>
      </c>
      <c r="C478" s="1232" t="s">
        <v>4723</v>
      </c>
      <c r="D478" s="387"/>
      <c r="E478" s="387"/>
      <c r="F478" s="2679" cm="1" t="n">
        <f t="array" ref="F478">INDEX('5층_부하량'!K3:K3000,MATCH(1,("5-DaHall 1-PDU-18"='5층_부하량'!A3:A3000)*(23='5층_부하량'!B3:B3000),0))</f>
        <v>0.9922824189148416</v>
      </c>
      <c r="G478" s="417"/>
      <c r="H478" s="1321" t="s">
        <v>4597</v>
      </c>
      <c r="I478" s="1320" t="s">
        <v>4896</v>
      </c>
      <c r="J478" s="1042" t="s">
        <v>6068</v>
      </c>
      <c r="K478" s="1043" t="s">
        <v>6069</v>
      </c>
      <c r="L478" s="578" t="s">
        <v>4897</v>
      </c>
      <c r="M478" s="1321" t="s">
        <v>4597</v>
      </c>
      <c r="N478" s="387"/>
      <c r="O478" s="387"/>
      <c r="P478" s="2679" cm="1">
        <f t="array" ref="P478">INDEX('5층_부하량'!K3:K3000,MATCH(1,("5-DaHall 1-PDU-18"='5층_부하량'!A3:A3000)*(24='5층_부하량'!B3:B3000),0))</f>
        <v>0</v>
      </c>
      <c r="Q478" s="417"/>
      <c r="R478" s="388" t="s">
        <v>5989</v>
      </c>
      <c r="S478" s="389" t="s">
        <v>4575</v>
      </c>
      <c r="T478" s="413" t="s">
        <v>6070</v>
      </c>
    </row>
    <row r="479" spans="1:20" s="356" customFormat="1" ht="16.5" x14ac:dyDescent="0.15">
      <c r="A479" s="396" t="s">
        <v>6038</v>
      </c>
      <c r="B479" s="388" t="s">
        <v>5989</v>
      </c>
      <c r="C479" s="389" t="s">
        <v>4575</v>
      </c>
      <c r="D479" s="2679" cm="1" t="n">
        <f t="array" ref="D479">INDEX('5층_부하량'!I3:I3000,MATCH(1,("5-DaHall 1-PDU-18"='5층_부하량'!A3:A3000)*(25='5층_부하량'!B3:B3000),0))</f>
        <v>0.9861227232484256</v>
      </c>
      <c r="E479" s="387"/>
      <c r="F479" s="387"/>
      <c r="G479" s="417"/>
      <c r="H479" s="415" t="s">
        <v>4597</v>
      </c>
      <c r="I479" s="2452" t="s">
        <v>6039</v>
      </c>
      <c r="J479" s="1042" t="s">
        <v>6071</v>
      </c>
      <c r="K479" s="1318"/>
      <c r="L479" s="589" t="s">
        <v>4901</v>
      </c>
      <c r="M479" s="415" t="s">
        <v>4597</v>
      </c>
      <c r="N479" s="2679" cm="1">
        <f t="array" ref="N479">INDEX('5층_부하량'!I3:I3000,MATCH(1,("5-DaHall 1-PDU-18"='5층_부하량'!A3:A3000)*(26='5층_부하량'!B3:B3000),0))</f>
        <v>0</v>
      </c>
      <c r="O479" s="387"/>
      <c r="P479" s="387"/>
      <c r="Q479" s="417"/>
      <c r="R479" s="1315" t="s">
        <v>565</v>
      </c>
      <c r="S479" s="1316" t="s">
        <v>4723</v>
      </c>
      <c r="T479" s="413"/>
    </row>
    <row r="480" spans="1:20" s="356" customFormat="1" ht="16.5" x14ac:dyDescent="0.15">
      <c r="A480" s="396"/>
      <c r="B480" s="1315" t="s">
        <v>565</v>
      </c>
      <c r="C480" s="1316" t="s">
        <v>4723</v>
      </c>
      <c r="D480" s="387"/>
      <c r="E480" s="2679" cm="1">
        <f t="array" ref="E480">INDEX('5층_부하량'!J3:J3000,MATCH(1,("5-DaHall 1-PDU-18"='5층_부하량'!A3:A3000)*(27='5층_부하량'!B3:B3000),0))</f>
        <v>0</v>
      </c>
      <c r="F480" s="387"/>
      <c r="G480" s="417"/>
      <c r="H480" s="415" t="s">
        <v>4597</v>
      </c>
      <c r="I480" s="2452" t="s">
        <v>6041</v>
      </c>
      <c r="J480" s="1317"/>
      <c r="K480" s="1318"/>
      <c r="L480" s="589" t="s">
        <v>4906</v>
      </c>
      <c r="M480" s="415" t="s">
        <v>4597</v>
      </c>
      <c r="N480" s="387"/>
      <c r="O480" s="2679" cm="1">
        <f t="array" ref="O480">INDEX('5층_부하량'!J3:J3000,MATCH(1,("5-DaHall 1-PDU-18"='5층_부하량'!A3:A3000)*(28='5층_부하량'!B3:B3000),0))</f>
        <v>0</v>
      </c>
      <c r="P480" s="387"/>
      <c r="Q480" s="417"/>
      <c r="R480" s="1315" t="s">
        <v>565</v>
      </c>
      <c r="S480" s="1316" t="s">
        <v>4723</v>
      </c>
      <c r="T480" s="413"/>
    </row>
    <row r="481" spans="1:20" s="356" customFormat="1" ht="16.5" x14ac:dyDescent="0.15">
      <c r="A481" s="396"/>
      <c r="B481" s="1315" t="s">
        <v>565</v>
      </c>
      <c r="C481" s="1316" t="s">
        <v>4723</v>
      </c>
      <c r="D481" s="387"/>
      <c r="E481" s="387"/>
      <c r="F481" s="2679" cm="1">
        <f t="array" ref="F481">INDEX('5층_부하량'!K3:K3000,MATCH(1,("5-DaHall 1-PDU-18"='5층_부하량'!A3:A3000)*(29='5층_부하량'!B3:B3000),0))</f>
        <v>0</v>
      </c>
      <c r="G481" s="417"/>
      <c r="H481" s="415" t="s">
        <v>4597</v>
      </c>
      <c r="I481" s="2452" t="s">
        <v>6042</v>
      </c>
      <c r="J481" s="1317"/>
      <c r="K481" s="1318"/>
      <c r="L481" s="589" t="s">
        <v>4911</v>
      </c>
      <c r="M481" s="415" t="s">
        <v>4597</v>
      </c>
      <c r="N481" s="387"/>
      <c r="O481" s="387"/>
      <c r="P481" s="2679" cm="1">
        <f t="array" ref="P481">INDEX('5층_부하량'!K3:K3000,MATCH(1,("5-DaHall 1-PDU-18"='5층_부하량'!A3:A3000)*(30='5층_부하량'!B3:B3000),0))</f>
        <v>0</v>
      </c>
      <c r="Q481" s="417"/>
      <c r="R481" s="1315" t="s">
        <v>565</v>
      </c>
      <c r="S481" s="1316" t="s">
        <v>4723</v>
      </c>
      <c r="T481" s="413"/>
    </row>
    <row r="482" spans="1:20" s="356" customFormat="1" ht="16.5" x14ac:dyDescent="0.15">
      <c r="A482" s="396"/>
      <c r="B482" s="1315" t="s">
        <v>565</v>
      </c>
      <c r="C482" s="1316" t="s">
        <v>4723</v>
      </c>
      <c r="D482" s="2679" cm="1">
        <f t="array" ref="D482">INDEX('5층_부하량'!I3:I3000,MATCH(1,("5-DaHall 1-PDU-18"='5층_부하량'!A3:A3000)*(31='5층_부하량'!B3:B3000),0))</f>
        <v>0</v>
      </c>
      <c r="E482" s="387"/>
      <c r="F482" s="387"/>
      <c r="G482" s="417"/>
      <c r="H482" s="415" t="s">
        <v>4597</v>
      </c>
      <c r="I482" s="2452" t="s">
        <v>6043</v>
      </c>
      <c r="J482" s="1317"/>
      <c r="K482" s="1318"/>
      <c r="L482" s="589" t="s">
        <v>4915</v>
      </c>
      <c r="M482" s="415" t="s">
        <v>4597</v>
      </c>
      <c r="N482" s="2679" cm="1">
        <f t="array" ref="N482">INDEX('5층_부하량'!I3:I3000,MATCH(1,("5-DaHall 1-PDU-18"='5층_부하량'!A3:A3000)*(32='5층_부하량'!B3:B3000),0))</f>
        <v>0</v>
      </c>
      <c r="O482" s="387"/>
      <c r="P482" s="387"/>
      <c r="Q482" s="417"/>
      <c r="R482" s="1315" t="s">
        <v>565</v>
      </c>
      <c r="S482" s="1316" t="s">
        <v>4723</v>
      </c>
      <c r="T482" s="413"/>
    </row>
    <row r="483" spans="1:20" s="356" customFormat="1" ht="17.25" thickBot="1" x14ac:dyDescent="0.2">
      <c r="A483" s="431"/>
      <c r="B483" s="436" t="s">
        <v>4590</v>
      </c>
      <c r="C483" s="432" t="s">
        <v>4642</v>
      </c>
      <c r="D483" s="433"/>
      <c r="E483" s="2680" cm="1">
        <f t="array" ref="E483">INDEX('5층_부하량'!J3:J3000,MATCH(1,("5-DaHall 1-PDU-18"='5층_부하량'!A3:A3000)*(33='5층_부하량'!B3:B3000),0))</f>
        <v>0</v>
      </c>
      <c r="F483" s="433"/>
      <c r="G483" s="433"/>
      <c r="H483" s="432" t="s">
        <v>4597</v>
      </c>
      <c r="I483" s="2453" t="s">
        <v>6044</v>
      </c>
      <c r="J483" s="1229"/>
      <c r="K483" s="1230"/>
      <c r="L483" s="1231" t="s">
        <v>4919</v>
      </c>
      <c r="M483" s="432" t="s">
        <v>4597</v>
      </c>
      <c r="N483" s="433"/>
      <c r="O483" s="2680" cm="1">
        <f t="array" ref="O483">INDEX('5층_부하량'!J3:J3000,MATCH(1,("5-DaHall 1-PDU-18"='5층_부하량'!A3:A3000)*(34='5층_부하량'!B3:B3000),0))</f>
        <v>0</v>
      </c>
      <c r="P483" s="433"/>
      <c r="Q483" s="433"/>
      <c r="R483" s="436" t="s">
        <v>4590</v>
      </c>
      <c r="S483" s="432" t="s">
        <v>4642</v>
      </c>
      <c r="T483" s="438"/>
    </row>
    <row r="484" spans="1:20" s="356" customFormat="1" ht="18" thickTop="1" thickBot="1" x14ac:dyDescent="0.2">
      <c r="L484" s="2445"/>
      <c r="M484" s="411" t="s">
        <v>5645</v>
      </c>
      <c r="N484" s="412" t="n">
        <f>SUM(D467:D483,N467:N483)</f>
        <v>5.651754106084543</v>
      </c>
      <c r="O484" s="412" t="n">
        <f>SUM(E467:E483,O467:O483)</f>
        <v>6.8937037767589295</v>
      </c>
      <c r="P484" s="412" t="n">
        <f>SUM(F467:F483,P467:P483)</f>
        <v>8.213255576491353</v>
      </c>
    </row>
    <row r="485" spans="1:20" s="356" customFormat="1" ht="20.25" thickTop="1" thickBot="1" x14ac:dyDescent="0.2">
      <c r="A485" s="355" t="s">
        <v>6963</v>
      </c>
      <c r="C485" s="3660" t="s">
        <v>6072</v>
      </c>
      <c r="D485" s="3660"/>
      <c r="E485" s="3660"/>
      <c r="F485" s="3660"/>
      <c r="G485" s="357"/>
      <c r="H485" s="358"/>
      <c r="I485" s="358"/>
      <c r="J485" s="3668" t="s">
        <v>4715</v>
      </c>
      <c r="K485" s="3669"/>
      <c r="L485" s="2442"/>
      <c r="M485" s="358"/>
      <c r="N485" s="357"/>
      <c r="O485" s="357"/>
      <c r="P485" s="357"/>
      <c r="Q485" s="357"/>
      <c r="R485" s="357"/>
      <c r="S485" s="357"/>
    </row>
    <row r="486" spans="1:20" s="356" customFormat="1" ht="15" customHeight="1" thickTop="1" thickBot="1" x14ac:dyDescent="0.2">
      <c r="A486" s="3"/>
      <c r="B486"/>
      <c r="C486"/>
      <c r="D486" s="54"/>
      <c r="E486" s="54"/>
      <c r="F486" s="54"/>
      <c r="G486" s="54"/>
      <c r="H486" s="4"/>
      <c r="I486" s="4"/>
      <c r="J486"/>
      <c r="K486" s="56"/>
      <c r="L486" s="565"/>
      <c r="M486" s="1371" t="s">
        <v>4562</v>
      </c>
      <c r="N486" s="1368">
        <v>35.1</v>
      </c>
      <c r="O486" s="1369">
        <v>38.9</v>
      </c>
      <c r="P486" s="1370">
        <v>22.2</v>
      </c>
      <c r="Q486" s="508" t="s">
        <v>4563</v>
      </c>
      <c r="R486" s="133"/>
      <c r="S486" s="128"/>
      <c r="T486" s="363"/>
    </row>
    <row r="487" spans="1:20" s="356" customFormat="1" ht="18" thickTop="1" thickBot="1" x14ac:dyDescent="0.2">
      <c r="A487" s="364" t="s">
        <v>4564</v>
      </c>
      <c r="B487" s="365" t="s">
        <v>4565</v>
      </c>
      <c r="C487" s="366" t="s">
        <v>4566</v>
      </c>
      <c r="D487" s="365" t="s">
        <v>4567</v>
      </c>
      <c r="E487" s="365" t="s">
        <v>4568</v>
      </c>
      <c r="F487" s="365" t="s">
        <v>4569</v>
      </c>
      <c r="G487" s="365" t="s">
        <v>4570</v>
      </c>
      <c r="H487" s="367" t="s">
        <v>4571</v>
      </c>
      <c r="I487" s="557"/>
      <c r="J487" s="368" t="s">
        <v>4572</v>
      </c>
      <c r="K487" s="369" t="s">
        <v>4572</v>
      </c>
      <c r="L487" s="575"/>
      <c r="M487" s="367" t="s">
        <v>4571</v>
      </c>
      <c r="N487" s="365" t="s">
        <v>4567</v>
      </c>
      <c r="O487" s="365" t="s">
        <v>4568</v>
      </c>
      <c r="P487" s="365" t="s">
        <v>4569</v>
      </c>
      <c r="Q487" s="365" t="s">
        <v>4570</v>
      </c>
      <c r="R487" s="365" t="s">
        <v>4565</v>
      </c>
      <c r="S487" s="366" t="s">
        <v>4566</v>
      </c>
      <c r="T487" s="370" t="s">
        <v>4564</v>
      </c>
    </row>
    <row r="488" spans="1:20" s="356" customFormat="1" ht="17.25" thickTop="1" x14ac:dyDescent="0.15">
      <c r="A488" s="474" t="s">
        <v>6073</v>
      </c>
      <c r="B488" s="378" t="s">
        <v>5989</v>
      </c>
      <c r="C488" s="379" t="s">
        <v>4575</v>
      </c>
      <c r="D488" s="2678" cm="1" t="n">
        <f t="array" ref="D488">INDEX('5층_부하량'!I3:I3000,MATCH(1,("5-DaHall 1-PDU-19"='5층_부하량'!A3:A3000)*(1='5층_부하량'!B3:B3000),0))</f>
        <v>4.35546904876135</v>
      </c>
      <c r="E488" s="401"/>
      <c r="F488" s="401"/>
      <c r="G488" s="374"/>
      <c r="H488" s="2450" t="s">
        <v>4936</v>
      </c>
      <c r="I488" s="2451" t="s">
        <v>4577</v>
      </c>
      <c r="J488" s="1040"/>
      <c r="K488" s="1041"/>
      <c r="L488" s="587" t="s">
        <v>4863</v>
      </c>
      <c r="M488" s="372" t="s">
        <v>5001</v>
      </c>
      <c r="N488" s="2678" cm="1" t="n">
        <f t="array" ref="N488">INDEX('5층_부하량'!I3:I3000,MATCH(1,("5-DaHall 1-PDU-19"='5층_부하량'!A3:A3000)*(2='5층_부하량'!B3:B3000),0))</f>
        <v>3.193659071244748</v>
      </c>
      <c r="O488" s="401"/>
      <c r="P488" s="401"/>
      <c r="Q488" s="374"/>
      <c r="R488" s="378" t="s">
        <v>5989</v>
      </c>
      <c r="S488" s="379" t="s">
        <v>4575</v>
      </c>
      <c r="T488" s="1233" t="s">
        <v>6074</v>
      </c>
    </row>
    <row r="489" spans="1:20" s="356" customFormat="1" ht="16.5" x14ac:dyDescent="0.15">
      <c r="A489" s="391" t="s">
        <v>6075</v>
      </c>
      <c r="B489" s="388" t="s">
        <v>5989</v>
      </c>
      <c r="C489" s="389" t="s">
        <v>4575</v>
      </c>
      <c r="D489" s="387"/>
      <c r="E489" s="2672" cm="1" t="n">
        <f t="array" ref="E489">INDEX('5층_부하량'!J3:J3000,MATCH(1,("5-DaHall 1-PDU-19"='5층_부하량'!A3:A3000)*(3='5층_부하량'!B3:B3000),0))</f>
        <v>4.083818395054173</v>
      </c>
      <c r="F489" s="387"/>
      <c r="G489" s="383"/>
      <c r="H489" s="382" t="s">
        <v>5001</v>
      </c>
      <c r="I489" s="2452" t="s">
        <v>4582</v>
      </c>
      <c r="J489" s="1042"/>
      <c r="K489" s="1043"/>
      <c r="L489" s="588" t="s">
        <v>4865</v>
      </c>
      <c r="M489" s="382" t="s">
        <v>5001</v>
      </c>
      <c r="N489" s="387"/>
      <c r="O489" s="2672" cm="1" t="n">
        <f t="array" ref="O489">INDEX('5층_부하량'!J3:J3000,MATCH(1,("5-DaHall 1-PDU-19"='5층_부하량'!A3:A3000)*(4='5층_부하량'!B3:B3000),0))</f>
        <v>3.4713835669277553</v>
      </c>
      <c r="P489" s="387"/>
      <c r="Q489" s="387"/>
      <c r="R489" s="388" t="s">
        <v>5989</v>
      </c>
      <c r="S489" s="389" t="s">
        <v>4575</v>
      </c>
      <c r="T489" s="395" t="s">
        <v>6076</v>
      </c>
    </row>
    <row r="490" spans="1:20" s="356" customFormat="1" ht="16.5" x14ac:dyDescent="0.15">
      <c r="A490" s="391" t="s">
        <v>6077</v>
      </c>
      <c r="B490" s="388" t="s">
        <v>5989</v>
      </c>
      <c r="C490" s="389" t="s">
        <v>4575</v>
      </c>
      <c r="D490" s="387"/>
      <c r="E490" s="387"/>
      <c r="F490" s="2679" cm="1" t="n">
        <f t="array" ref="F490">INDEX('5층_부하량'!K3:K3000,MATCH(1,("5-DaHall 1-PDU-19"='5층_부하량'!A3:A3000)*(5='5층_부하량'!B3:B3000),0))</f>
        <v>3.6577187627138574</v>
      </c>
      <c r="G490" s="387"/>
      <c r="H490" s="382" t="s">
        <v>5001</v>
      </c>
      <c r="I490" s="2452" t="s">
        <v>4587</v>
      </c>
      <c r="J490" s="1044"/>
      <c r="K490" s="1045"/>
      <c r="L490" s="589" t="s">
        <v>4868</v>
      </c>
      <c r="M490" s="1234" t="s">
        <v>6078</v>
      </c>
      <c r="N490" s="387"/>
      <c r="O490" s="387"/>
      <c r="P490" s="2679" cm="1" t="n">
        <f t="array" ref="P490">INDEX('5층_부하량'!K3:K3000,MATCH(1,("5-DaHall 1-PDU-19"='5층_부하량'!A3:A3000)*(6='5층_부하량'!B3:B3000),0))</f>
        <v>3.1370558923726253</v>
      </c>
      <c r="Q490" s="387"/>
      <c r="R490" s="388" t="s">
        <v>5989</v>
      </c>
      <c r="S490" s="389" t="s">
        <v>4575</v>
      </c>
      <c r="T490" s="395" t="s">
        <v>6079</v>
      </c>
    </row>
    <row r="491" spans="1:20" s="356" customFormat="1" ht="16.5" x14ac:dyDescent="0.15">
      <c r="A491" s="391" t="s">
        <v>6080</v>
      </c>
      <c r="B491" s="388" t="s">
        <v>5989</v>
      </c>
      <c r="C491" s="389" t="s">
        <v>4575</v>
      </c>
      <c r="D491" s="2679" cm="1" t="n">
        <f t="array" ref="D491">INDEX('5층_부하량'!I3:I3000,MATCH(1,("5-DaHall 1-PDU-19"='5층_부하량'!A3:A3000)*(7='5층_부하량'!B3:B3000),0))</f>
        <v>5.043185745771462</v>
      </c>
      <c r="E491" s="387"/>
      <c r="F491" s="387"/>
      <c r="G491" s="387"/>
      <c r="H491" s="382" t="s">
        <v>5001</v>
      </c>
      <c r="I491" s="558" t="s">
        <v>4645</v>
      </c>
      <c r="J491" s="1044"/>
      <c r="K491" s="1045"/>
      <c r="L491" s="578" t="s">
        <v>4593</v>
      </c>
      <c r="M491" s="382" t="s">
        <v>5001</v>
      </c>
      <c r="N491" s="2679" cm="1" t="n">
        <f t="array" ref="N491">INDEX('5층_부하량'!I3:I3000,MATCH(1,("5-DaHall 1-PDU-19"='5층_부하량'!A3:A3000)*(8='5층_부하량'!B3:B3000),0))</f>
        <v>5.37809606057853</v>
      </c>
      <c r="O491" s="387"/>
      <c r="P491" s="387"/>
      <c r="Q491" s="387"/>
      <c r="R491" s="388" t="s">
        <v>5989</v>
      </c>
      <c r="S491" s="389" t="s">
        <v>4575</v>
      </c>
      <c r="T491" s="395" t="s">
        <v>6081</v>
      </c>
    </row>
    <row r="492" spans="1:20" s="356" customFormat="1" ht="16.5" x14ac:dyDescent="0.15">
      <c r="A492" s="391" t="s">
        <v>6082</v>
      </c>
      <c r="B492" s="388" t="s">
        <v>5989</v>
      </c>
      <c r="C492" s="389" t="s">
        <v>4575</v>
      </c>
      <c r="D492" s="387"/>
      <c r="E492" s="2672" cm="1" t="n">
        <f t="array" ref="E492">INDEX('5층_부하량'!J3:J3000,MATCH(1,("5-DaHall 1-PDU-19"='5층_부하량'!A3:A3000)*(9='5층_부하량'!B3:B3000),0))</f>
        <v>3.683190783678499</v>
      </c>
      <c r="F492" s="387"/>
      <c r="G492" s="387"/>
      <c r="H492" s="382" t="s">
        <v>5001</v>
      </c>
      <c r="I492" s="558" t="s">
        <v>4648</v>
      </c>
      <c r="J492" s="1044"/>
      <c r="K492" s="1045"/>
      <c r="L492" s="578" t="s">
        <v>4596</v>
      </c>
      <c r="M492" s="382" t="s">
        <v>5001</v>
      </c>
      <c r="N492" s="387"/>
      <c r="O492" s="2672" cm="1" t="n">
        <f t="array" ref="O492">INDEX('5층_부하량'!J3:J3000,MATCH(1,("5-DaHall 1-PDU-19"='5층_부하량'!A3:A3000)*(10='5층_부하량'!B3:B3000),0))</f>
        <v>5.035313147559305</v>
      </c>
      <c r="P492" s="387"/>
      <c r="Q492" s="387"/>
      <c r="R492" s="388" t="s">
        <v>5989</v>
      </c>
      <c r="S492" s="389" t="s">
        <v>4575</v>
      </c>
      <c r="T492" s="395" t="s">
        <v>6083</v>
      </c>
    </row>
    <row r="493" spans="1:20" s="356" customFormat="1" ht="16.5" x14ac:dyDescent="0.15">
      <c r="A493" s="391" t="s">
        <v>6084</v>
      </c>
      <c r="B493" s="388" t="s">
        <v>5989</v>
      </c>
      <c r="C493" s="389" t="s">
        <v>4575</v>
      </c>
      <c r="D493" s="387"/>
      <c r="E493" s="387"/>
      <c r="F493" s="2679" cm="1" t="n">
        <f t="array" ref="F493">INDEX('5층_부하량'!K3:K3000,MATCH(1,("5-DaHall 1-PDU-19"='5층_부하량'!A3:A3000)*(11='5층_부하량'!B3:B3000),0))</f>
        <v>3.2033315827098487</v>
      </c>
      <c r="G493" s="387"/>
      <c r="H493" s="382" t="s">
        <v>5001</v>
      </c>
      <c r="I493" s="558" t="s">
        <v>4653</v>
      </c>
      <c r="J493" s="1044"/>
      <c r="K493" s="1045"/>
      <c r="L493" s="578" t="s">
        <v>4599</v>
      </c>
      <c r="M493" s="1234" t="s">
        <v>6078</v>
      </c>
      <c r="N493" s="387"/>
      <c r="O493" s="387"/>
      <c r="P493" s="2679" cm="1" t="n">
        <f t="array" ref="P493">INDEX('5층_부하량'!K3:K3000,MATCH(1,("5-DaHall 1-PDU-19"='5층_부하량'!A3:A3000)*(12='5층_부하량'!B3:B3000),0))</f>
        <v>3.9269880236710653</v>
      </c>
      <c r="Q493" s="387"/>
      <c r="R493" s="388" t="s">
        <v>5989</v>
      </c>
      <c r="S493" s="389" t="s">
        <v>4575</v>
      </c>
      <c r="T493" s="395" t="s">
        <v>6085</v>
      </c>
    </row>
    <row r="494" spans="1:20" s="356" customFormat="1" ht="16.5" x14ac:dyDescent="0.15">
      <c r="A494" s="391" t="s">
        <v>6086</v>
      </c>
      <c r="B494" s="388" t="s">
        <v>5989</v>
      </c>
      <c r="C494" s="389" t="s">
        <v>4575</v>
      </c>
      <c r="D494" s="2679" cm="1" t="n">
        <f t="array" ref="D494">INDEX('5층_부하량'!I3:I3000,MATCH(1,("5-DaHall 1-PDU-19"='5층_부하량'!A3:A3000)*(13='5층_부하량'!B3:B3000),0))</f>
        <v>4.362081238630728</v>
      </c>
      <c r="E494" s="387"/>
      <c r="F494" s="387"/>
      <c r="G494" s="387"/>
      <c r="H494" s="382" t="s">
        <v>5001</v>
      </c>
      <c r="I494" s="558" t="s">
        <v>4657</v>
      </c>
      <c r="J494" s="1044"/>
      <c r="K494" s="1045"/>
      <c r="L494" s="578" t="s">
        <v>4601</v>
      </c>
      <c r="M494" s="1234" t="s">
        <v>6078</v>
      </c>
      <c r="N494" s="2679" cm="1" t="n">
        <f t="array" ref="N494">INDEX('5층_부하량'!I3:I3000,MATCH(1,("5-DaHall 1-PDU-19"='5층_부하량'!A3:A3000)*(14='5층_부하량'!B3:B3000),0))</f>
        <v>1.7822187285117186</v>
      </c>
      <c r="O494" s="387"/>
      <c r="P494" s="387"/>
      <c r="Q494" s="387"/>
      <c r="R494" s="388" t="s">
        <v>5989</v>
      </c>
      <c r="S494" s="389" t="s">
        <v>4575</v>
      </c>
      <c r="T494" s="395" t="s">
        <v>6087</v>
      </c>
    </row>
    <row r="495" spans="1:20" s="356" customFormat="1" ht="16.5" x14ac:dyDescent="0.15">
      <c r="A495" s="448" t="s">
        <v>6088</v>
      </c>
      <c r="B495" s="388" t="s">
        <v>5989</v>
      </c>
      <c r="C495" s="389" t="s">
        <v>4575</v>
      </c>
      <c r="D495" s="387"/>
      <c r="E495" s="2679" cm="1" t="n">
        <f t="array" ref="E495">INDEX('5층_부하량'!J3:J3000,MATCH(1,("5-DaHall 1-PDU-19"='5층_부하량'!A3:A3000)*(15='5층_부하량'!B3:B3000),0))</f>
        <v>5.495018461786693</v>
      </c>
      <c r="F495" s="387"/>
      <c r="G495" s="387"/>
      <c r="H495" s="1234" t="s">
        <v>6078</v>
      </c>
      <c r="I495" s="558" t="s">
        <v>4661</v>
      </c>
      <c r="J495" s="1044"/>
      <c r="K495" s="1045"/>
      <c r="L495" s="578" t="s">
        <v>4603</v>
      </c>
      <c r="M495" s="382" t="s">
        <v>5001</v>
      </c>
      <c r="N495" s="387"/>
      <c r="O495" s="2679" cm="1" t="n">
        <f t="array" ref="O495">INDEX('5층_부하량'!J3:J3000,MATCH(1,("5-DaHall 1-PDU-19"='5층_부하량'!A3:A3000)*(16='5층_부하량'!B3:B3000),0))</f>
        <v>6.326683774835967</v>
      </c>
      <c r="P495" s="387"/>
      <c r="Q495" s="387"/>
      <c r="R495" s="388" t="s">
        <v>5989</v>
      </c>
      <c r="S495" s="1232" t="s">
        <v>4723</v>
      </c>
      <c r="T495" s="395" t="s">
        <v>6089</v>
      </c>
    </row>
    <row r="496" spans="1:20" s="356" customFormat="1" ht="16.5" x14ac:dyDescent="0.15">
      <c r="A496" s="448" t="s">
        <v>6090</v>
      </c>
      <c r="B496" s="388" t="s">
        <v>5989</v>
      </c>
      <c r="C496" s="389" t="s">
        <v>4575</v>
      </c>
      <c r="D496" s="387"/>
      <c r="E496" s="387"/>
      <c r="F496" s="2679" cm="1" t="n">
        <f t="array" ref="F496">INDEX('5층_부하량'!K3:K3000,MATCH(1,("5-DaHall 1-PDU-19"='5층_부하량'!A3:A3000)*(17='5층_부하량'!B3:B3000),0))</f>
        <v>4.016666347690264</v>
      </c>
      <c r="G496" s="387"/>
      <c r="H496" s="1235" t="s">
        <v>4576</v>
      </c>
      <c r="I496" s="558" t="s">
        <v>4665</v>
      </c>
      <c r="J496" s="1044"/>
      <c r="K496" s="1045"/>
      <c r="L496" s="578" t="s">
        <v>4605</v>
      </c>
      <c r="M496" s="382" t="s">
        <v>5001</v>
      </c>
      <c r="N496" s="387"/>
      <c r="O496" s="387"/>
      <c r="P496" s="2679" cm="1" t="n">
        <f t="array" ref="P496">INDEX('5층_부하량'!K3:K3000,MATCH(1,("5-DaHall 1-PDU-19"='5층_부하량'!A3:A3000)*(18='5층_부하량'!B3:B3000),0))</f>
        <v>5.0459976961800574</v>
      </c>
      <c r="Q496" s="387"/>
      <c r="R496" s="388" t="s">
        <v>5989</v>
      </c>
      <c r="S496" s="1232" t="s">
        <v>4723</v>
      </c>
      <c r="T496" s="395" t="s">
        <v>6091</v>
      </c>
    </row>
    <row r="497" spans="1:20" s="356" customFormat="1" ht="16.5" x14ac:dyDescent="0.15">
      <c r="A497" s="448" t="s">
        <v>6092</v>
      </c>
      <c r="B497" s="388" t="s">
        <v>5989</v>
      </c>
      <c r="C497" s="389" t="s">
        <v>4575</v>
      </c>
      <c r="D497" s="2679" cm="1" t="n">
        <f t="array" ref="D497">INDEX('5층_부하량'!I3:I3000,MATCH(1,("5-DaHall 1-PDU-19"='5층_부하량'!A3:A3000)*(19='5층_부하량'!B3:B3000),0))</f>
        <v>3.0090328029314652</v>
      </c>
      <c r="E497" s="387"/>
      <c r="F497" s="387"/>
      <c r="G497" s="387"/>
      <c r="H497" s="1235" t="s">
        <v>4576</v>
      </c>
      <c r="I497" s="558" t="s">
        <v>4670</v>
      </c>
      <c r="J497" s="1044"/>
      <c r="K497" s="1045"/>
      <c r="L497" s="578" t="s">
        <v>4609</v>
      </c>
      <c r="M497" s="382" t="s">
        <v>5001</v>
      </c>
      <c r="N497" s="2679" cm="1" t="n">
        <f t="array" ref="N497">INDEX('5층_부하량'!I3:I3000,MATCH(1,("5-DaHall 1-PDU-19"='5층_부하량'!A3:A3000)*(20='5층_부하량'!B3:B3000),0))</f>
        <v>7.129129806297764</v>
      </c>
      <c r="O497" s="387"/>
      <c r="P497" s="387"/>
      <c r="Q497" s="387"/>
      <c r="R497" s="388" t="s">
        <v>5989</v>
      </c>
      <c r="S497" s="1232" t="s">
        <v>4723</v>
      </c>
      <c r="T497" s="395" t="s">
        <v>6093</v>
      </c>
    </row>
    <row r="498" spans="1:20" s="356" customFormat="1" ht="16.5" x14ac:dyDescent="0.15">
      <c r="A498" s="448"/>
      <c r="B498" s="388" t="s">
        <v>565</v>
      </c>
      <c r="C498" s="1232" t="s">
        <v>4723</v>
      </c>
      <c r="D498" s="387"/>
      <c r="E498" s="2672" cm="1" t="n">
        <f t="array" ref="E498">INDEX('5층_부하량'!J3:J3000,MATCH(1,("5-DaHall 1-PDU-19"='5층_부하량'!A3:A3000)*(21='5층_부하량'!B3:B3000),0))</f>
        <v>6.964324356845329</v>
      </c>
      <c r="F498" s="387"/>
      <c r="G498" s="387"/>
      <c r="H498" s="382" t="s">
        <v>5001</v>
      </c>
      <c r="I498" s="2452" t="s">
        <v>6094</v>
      </c>
      <c r="J498" s="1044"/>
      <c r="K498" s="1045"/>
      <c r="L498" s="589" t="s">
        <v>6095</v>
      </c>
      <c r="M498" s="382" t="s">
        <v>5001</v>
      </c>
      <c r="N498" s="387"/>
      <c r="O498" s="2672" cm="1" t="n">
        <f t="array" ref="O498">INDEX('5층_부하량'!J3:J3000,MATCH(1,("5-DaHall 1-PDU-19"='5층_부하량'!A3:A3000)*(22='5층_부하량'!B3:B3000),0))</f>
        <v>8.105475343729703</v>
      </c>
      <c r="P498" s="387"/>
      <c r="Q498" s="387"/>
      <c r="R498" s="388" t="s">
        <v>5989</v>
      </c>
      <c r="S498" s="1232" t="s">
        <v>4723</v>
      </c>
      <c r="T498" s="395" t="s">
        <v>6096</v>
      </c>
    </row>
    <row r="499" spans="1:20" s="356" customFormat="1" ht="17.25" thickBot="1" x14ac:dyDescent="0.2">
      <c r="A499" s="431"/>
      <c r="B499" s="436" t="s">
        <v>4590</v>
      </c>
      <c r="C499" s="432" t="s">
        <v>4642</v>
      </c>
      <c r="D499" s="433"/>
      <c r="E499" s="433"/>
      <c r="F499" s="2680" cm="1" t="n">
        <f t="array" ref="F499">INDEX('5층_부하량'!K3:K3000,MATCH(1,("5-DaHall 1-PDU-19"='5층_부하량'!A3:A3000)*(23='5층_부하량'!B3:B3000),0))</f>
        <v>8.951440048950486</v>
      </c>
      <c r="G499" s="433"/>
      <c r="H499" s="432" t="s">
        <v>5001</v>
      </c>
      <c r="I499" s="2453" t="s">
        <v>6097</v>
      </c>
      <c r="J499" s="1229"/>
      <c r="K499" s="1230"/>
      <c r="L499" s="1231" t="s">
        <v>6098</v>
      </c>
      <c r="M499" s="432" t="s">
        <v>5001</v>
      </c>
      <c r="N499" s="433"/>
      <c r="O499" s="433"/>
      <c r="P499" s="2680" cm="1">
        <f t="array" ref="P499">INDEX('5층_부하량'!K3:K3000,MATCH(1,("5-DaHall 1-PDU-19"='5층_부하량'!A3:A3000)*(24='5층_부하량'!B3:B3000),0))</f>
        <v>0</v>
      </c>
      <c r="Q499" s="433"/>
      <c r="R499" s="436" t="s">
        <v>4590</v>
      </c>
      <c r="S499" s="432" t="s">
        <v>4642</v>
      </c>
      <c r="T499" s="438"/>
    </row>
    <row r="500" spans="1:20" s="356" customFormat="1" ht="18" thickTop="1" thickBot="1" x14ac:dyDescent="0.2">
      <c r="L500" s="2445"/>
      <c r="M500" s="411" t="s">
        <v>5645</v>
      </c>
      <c r="N500" s="412" t="n">
        <f>SUM(D488:D499,N488:N499)</f>
        <v>34.25287250272777</v>
      </c>
      <c r="O500" s="412" t="n">
        <f>SUM(E488:E499,O488:O499)</f>
        <v>43.16520783041742</v>
      </c>
      <c r="P500" s="412" t="n">
        <f>SUM(F488:F499,P488:P499)</f>
        <v>31.9391983542882</v>
      </c>
    </row>
    <row r="501" spans="1:20" s="356" customFormat="1" ht="20.25" thickTop="1" thickBot="1" x14ac:dyDescent="0.2">
      <c r="A501" s="355" t="s">
        <v>6964</v>
      </c>
      <c r="C501" s="3660" t="s">
        <v>6099</v>
      </c>
      <c r="D501" s="3660"/>
      <c r="E501" s="3660"/>
      <c r="F501" s="3660"/>
      <c r="G501" s="357"/>
      <c r="H501" s="358"/>
      <c r="I501" s="358"/>
      <c r="J501" s="3668" t="s">
        <v>4715</v>
      </c>
      <c r="K501" s="3669"/>
      <c r="L501" s="2442"/>
      <c r="M501" s="358"/>
      <c r="N501" s="357"/>
      <c r="O501" s="357"/>
      <c r="P501" s="357"/>
      <c r="Q501" s="357"/>
      <c r="R501" s="357"/>
      <c r="S501" s="357"/>
    </row>
    <row r="502" spans="1:20" s="356" customFormat="1" ht="15" customHeight="1" thickTop="1" thickBot="1" x14ac:dyDescent="0.2">
      <c r="A502" s="3"/>
      <c r="B502"/>
      <c r="C502"/>
      <c r="D502" s="54"/>
      <c r="E502" s="54"/>
      <c r="F502" s="54"/>
      <c r="G502" s="54"/>
      <c r="H502" s="4"/>
      <c r="I502" s="4"/>
      <c r="J502"/>
      <c r="K502" s="56"/>
      <c r="L502" s="565"/>
      <c r="M502" s="1371" t="s">
        <v>4562</v>
      </c>
      <c r="N502" s="1368">
        <v>28.1</v>
      </c>
      <c r="O502" s="1369">
        <v>32.6</v>
      </c>
      <c r="P502" s="1370">
        <v>23.1</v>
      </c>
      <c r="Q502" s="508" t="s">
        <v>4563</v>
      </c>
      <c r="R502" s="133"/>
      <c r="S502" s="128"/>
      <c r="T502" s="363"/>
    </row>
    <row r="503" spans="1:20" s="356" customFormat="1" ht="18" thickTop="1" thickBot="1" x14ac:dyDescent="0.2">
      <c r="A503" s="364" t="s">
        <v>4564</v>
      </c>
      <c r="B503" s="365" t="s">
        <v>4565</v>
      </c>
      <c r="C503" s="366" t="s">
        <v>4566</v>
      </c>
      <c r="D503" s="365" t="s">
        <v>4567</v>
      </c>
      <c r="E503" s="365" t="s">
        <v>4568</v>
      </c>
      <c r="F503" s="365" t="s">
        <v>4569</v>
      </c>
      <c r="G503" s="365" t="s">
        <v>4570</v>
      </c>
      <c r="H503" s="367" t="s">
        <v>4571</v>
      </c>
      <c r="I503" s="557"/>
      <c r="J503" s="368" t="s">
        <v>4572</v>
      </c>
      <c r="K503" s="369" t="s">
        <v>4572</v>
      </c>
      <c r="L503" s="575"/>
      <c r="M503" s="367" t="s">
        <v>4571</v>
      </c>
      <c r="N503" s="365" t="s">
        <v>4567</v>
      </c>
      <c r="O503" s="365" t="s">
        <v>4568</v>
      </c>
      <c r="P503" s="365" t="s">
        <v>4569</v>
      </c>
      <c r="Q503" s="365" t="s">
        <v>4570</v>
      </c>
      <c r="R503" s="365" t="s">
        <v>4565</v>
      </c>
      <c r="S503" s="366" t="s">
        <v>4566</v>
      </c>
      <c r="T503" s="370" t="s">
        <v>4564</v>
      </c>
    </row>
    <row r="504" spans="1:20" s="356" customFormat="1" ht="17.25" thickTop="1" x14ac:dyDescent="0.15">
      <c r="A504" s="474" t="s">
        <v>6100</v>
      </c>
      <c r="B504" s="378" t="s">
        <v>5989</v>
      </c>
      <c r="C504" s="379" t="s">
        <v>4575</v>
      </c>
      <c r="D504" s="2678" cm="1" t="n">
        <f t="array" ref="D504">INDEX('5층_부하량'!I3:I3000,MATCH(1,("5-DaHall 1-PDU-20"='5층_부하량'!A3:A3000)*(1='5층_부하량'!B3:B3000),0))</f>
        <v>4.388005025025178</v>
      </c>
      <c r="E504" s="401"/>
      <c r="F504" s="401"/>
      <c r="G504" s="374"/>
      <c r="H504" s="2450" t="s">
        <v>4936</v>
      </c>
      <c r="I504" s="2451" t="s">
        <v>4577</v>
      </c>
      <c r="J504" s="1040"/>
      <c r="K504" s="1041"/>
      <c r="L504" s="587" t="s">
        <v>4863</v>
      </c>
      <c r="M504" s="372" t="s">
        <v>5001</v>
      </c>
      <c r="N504" s="2678" cm="1" t="n">
        <f t="array" ref="N504">INDEX('5층_부하량'!I3:I3000,MATCH(1,("5-DaHall 1-PDU-20"='5층_부하량'!A3:A3000)*(2='5층_부하량'!B3:B3000),0))</f>
        <v>3.818687844578456</v>
      </c>
      <c r="O504" s="401"/>
      <c r="P504" s="401"/>
      <c r="Q504" s="374"/>
      <c r="R504" s="378" t="s">
        <v>5989</v>
      </c>
      <c r="S504" s="379" t="s">
        <v>4575</v>
      </c>
      <c r="T504" s="1233" t="s">
        <v>6101</v>
      </c>
    </row>
    <row r="505" spans="1:20" s="356" customFormat="1" ht="16.5" x14ac:dyDescent="0.15">
      <c r="A505" s="391" t="s">
        <v>6102</v>
      </c>
      <c r="B505" s="388" t="s">
        <v>5989</v>
      </c>
      <c r="C505" s="389" t="s">
        <v>4575</v>
      </c>
      <c r="D505" s="387"/>
      <c r="E505" s="2672" cm="1" t="n">
        <f t="array" ref="E505">INDEX('5층_부하량'!J3:J3000,MATCH(1,("5-DaHall 1-PDU-20"='5층_부하량'!A3:A3000)*(3='5층_부하량'!B3:B3000),0))</f>
        <v>3.941355655177422</v>
      </c>
      <c r="F505" s="387"/>
      <c r="G505" s="383"/>
      <c r="H505" s="382" t="s">
        <v>5001</v>
      </c>
      <c r="I505" s="2452" t="s">
        <v>4582</v>
      </c>
      <c r="J505" s="1042"/>
      <c r="K505" s="1043"/>
      <c r="L505" s="588" t="s">
        <v>4865</v>
      </c>
      <c r="M505" s="382" t="s">
        <v>5001</v>
      </c>
      <c r="N505" s="387"/>
      <c r="O505" s="2672" cm="1" t="n">
        <f t="array" ref="O505">INDEX('5층_부하량'!J3:J3000,MATCH(1,("5-DaHall 1-PDU-20"='5층_부하량'!A3:A3000)*(4='5층_부하량'!B3:B3000),0))</f>
        <v>3.4008435129414503</v>
      </c>
      <c r="P505" s="387"/>
      <c r="Q505" s="387"/>
      <c r="R505" s="388" t="s">
        <v>5989</v>
      </c>
      <c r="S505" s="389" t="s">
        <v>4575</v>
      </c>
      <c r="T505" s="395" t="s">
        <v>6103</v>
      </c>
    </row>
    <row r="506" spans="1:20" s="356" customFormat="1" ht="16.5" x14ac:dyDescent="0.15">
      <c r="A506" s="391" t="s">
        <v>6104</v>
      </c>
      <c r="B506" s="388" t="s">
        <v>5989</v>
      </c>
      <c r="C506" s="389" t="s">
        <v>4575</v>
      </c>
      <c r="D506" s="387"/>
      <c r="E506" s="387"/>
      <c r="F506" s="2679" cm="1" t="n">
        <f t="array" ref="F506">INDEX('5층_부하량'!K3:K3000,MATCH(1,("5-DaHall 1-PDU-20"='5층_부하량'!A3:A3000)*(5='5층_부하량'!B3:B3000),0))</f>
        <v>3.616285403118615</v>
      </c>
      <c r="G506" s="387"/>
      <c r="H506" s="382" t="s">
        <v>5001</v>
      </c>
      <c r="I506" s="2452" t="s">
        <v>4587</v>
      </c>
      <c r="J506" s="1044"/>
      <c r="K506" s="1045"/>
      <c r="L506" s="589" t="s">
        <v>4868</v>
      </c>
      <c r="M506" s="1234" t="s">
        <v>6078</v>
      </c>
      <c r="N506" s="387"/>
      <c r="O506" s="387"/>
      <c r="P506" s="2679" cm="1" t="n">
        <f t="array" ref="P506">INDEX('5층_부하량'!K3:K3000,MATCH(1,("5-DaHall 1-PDU-20"='5층_부하량'!A3:A3000)*(6='5층_부하량'!B3:B3000),0))</f>
        <v>2.1511565330566635</v>
      </c>
      <c r="Q506" s="387"/>
      <c r="R506" s="388" t="s">
        <v>5989</v>
      </c>
      <c r="S506" s="389" t="s">
        <v>4575</v>
      </c>
      <c r="T506" s="395" t="s">
        <v>6105</v>
      </c>
    </row>
    <row r="507" spans="1:20" s="356" customFormat="1" ht="16.5" x14ac:dyDescent="0.15">
      <c r="A507" s="391" t="s">
        <v>6106</v>
      </c>
      <c r="B507" s="388" t="s">
        <v>5989</v>
      </c>
      <c r="C507" s="389" t="s">
        <v>4575</v>
      </c>
      <c r="D507" s="2679" cm="1" t="n">
        <f t="array" ref="D507">INDEX('5층_부하량'!I3:I3000,MATCH(1,("5-DaHall 1-PDU-20"='5층_부하량'!A3:A3000)*(7='5층_부하량'!B3:B3000),0))</f>
        <v>5.055116496323373</v>
      </c>
      <c r="E507" s="387"/>
      <c r="F507" s="387"/>
      <c r="G507" s="387"/>
      <c r="H507" s="382" t="s">
        <v>5001</v>
      </c>
      <c r="I507" s="558" t="s">
        <v>4645</v>
      </c>
      <c r="J507" s="1044"/>
      <c r="K507" s="1045"/>
      <c r="L507" s="578" t="s">
        <v>4593</v>
      </c>
      <c r="M507" s="382" t="s">
        <v>5001</v>
      </c>
      <c r="N507" s="2679" cm="1" t="n">
        <f t="array" ref="N507">INDEX('5층_부하량'!I3:I3000,MATCH(1,("5-DaHall 1-PDU-20"='5층_부하량'!A3:A3000)*(8='5층_부하량'!B3:B3000),0))</f>
        <v>5.612732309393971</v>
      </c>
      <c r="O507" s="387"/>
      <c r="P507" s="387"/>
      <c r="Q507" s="387"/>
      <c r="R507" s="388" t="s">
        <v>5989</v>
      </c>
      <c r="S507" s="389" t="s">
        <v>4575</v>
      </c>
      <c r="T507" s="395" t="s">
        <v>6107</v>
      </c>
    </row>
    <row r="508" spans="1:20" s="356" customFormat="1" ht="16.5" x14ac:dyDescent="0.15">
      <c r="A508" s="391" t="s">
        <v>6108</v>
      </c>
      <c r="B508" s="388" t="s">
        <v>5989</v>
      </c>
      <c r="C508" s="389" t="s">
        <v>4575</v>
      </c>
      <c r="D508" s="387"/>
      <c r="E508" s="2672" cm="1" t="n">
        <f t="array" ref="E508">INDEX('5층_부하량'!J3:J3000,MATCH(1,("5-DaHall 1-PDU-20"='5층_부하량'!A3:A3000)*(9='5층_부하량'!B3:B3000),0))</f>
        <v>3.6920510611922954</v>
      </c>
      <c r="F508" s="387"/>
      <c r="G508" s="387"/>
      <c r="H508" s="382" t="s">
        <v>5001</v>
      </c>
      <c r="I508" s="558" t="s">
        <v>4648</v>
      </c>
      <c r="J508" s="1044"/>
      <c r="K508" s="1045"/>
      <c r="L508" s="578" t="s">
        <v>4596</v>
      </c>
      <c r="M508" s="382" t="s">
        <v>5001</v>
      </c>
      <c r="N508" s="387"/>
      <c r="O508" s="2672" cm="1" t="n">
        <f t="array" ref="O508">INDEX('5층_부하량'!J3:J3000,MATCH(1,("5-DaHall 1-PDU-20"='5층_부하량'!A3:A3000)*(10='5층_부하량'!B3:B3000),0))</f>
        <v>5.000447999226016</v>
      </c>
      <c r="P508" s="387"/>
      <c r="Q508" s="387"/>
      <c r="R508" s="388" t="s">
        <v>5989</v>
      </c>
      <c r="S508" s="389" t="s">
        <v>4575</v>
      </c>
      <c r="T508" s="395" t="s">
        <v>6109</v>
      </c>
    </row>
    <row r="509" spans="1:20" s="356" customFormat="1" ht="16.5" x14ac:dyDescent="0.15">
      <c r="A509" s="391" t="s">
        <v>6110</v>
      </c>
      <c r="B509" s="388" t="s">
        <v>5989</v>
      </c>
      <c r="C509" s="389" t="s">
        <v>4575</v>
      </c>
      <c r="D509" s="387"/>
      <c r="E509" s="387"/>
      <c r="F509" s="2679" cm="1" t="n">
        <f t="array" ref="F509">INDEX('5층_부하량'!K3:K3000,MATCH(1,("5-DaHall 1-PDU-20"='5층_부하량'!A3:A3000)*(11='5층_부하량'!B3:B3000),0))</f>
        <v>2.529772784923796</v>
      </c>
      <c r="G509" s="387"/>
      <c r="H509" s="382" t="s">
        <v>5001</v>
      </c>
      <c r="I509" s="558" t="s">
        <v>4653</v>
      </c>
      <c r="J509" s="1044"/>
      <c r="K509" s="1045"/>
      <c r="L509" s="578" t="s">
        <v>4599</v>
      </c>
      <c r="M509" s="1234" t="s">
        <v>6078</v>
      </c>
      <c r="N509" s="387"/>
      <c r="O509" s="387"/>
      <c r="P509" s="2679" cm="1" t="n">
        <f t="array" ref="P509">INDEX('5층_부하량'!K3:K3000,MATCH(1,("5-DaHall 1-PDU-20"='5층_부하량'!A3:A3000)*(12='5층_부하량'!B3:B3000),0))</f>
        <v>3.8241190801977543</v>
      </c>
      <c r="Q509" s="387"/>
      <c r="R509" s="388" t="s">
        <v>5989</v>
      </c>
      <c r="S509" s="389" t="s">
        <v>4575</v>
      </c>
      <c r="T509" s="395" t="s">
        <v>6111</v>
      </c>
    </row>
    <row r="510" spans="1:20" s="356" customFormat="1" ht="16.5" x14ac:dyDescent="0.15">
      <c r="A510" s="391" t="s">
        <v>6112</v>
      </c>
      <c r="B510" s="388" t="s">
        <v>5989</v>
      </c>
      <c r="C510" s="389" t="s">
        <v>4575</v>
      </c>
      <c r="D510" s="2679" cm="1" t="n">
        <f t="array" ref="D510">INDEX('5층_부하량'!I3:I3000,MATCH(1,("5-DaHall 1-PDU-20"='5층_부하량'!A3:A3000)*(13='5층_부하량'!B3:B3000),0))</f>
        <v>4.258056366181763</v>
      </c>
      <c r="E510" s="387"/>
      <c r="F510" s="387"/>
      <c r="G510" s="387"/>
      <c r="H510" s="382" t="s">
        <v>5001</v>
      </c>
      <c r="I510" s="558" t="s">
        <v>4657</v>
      </c>
      <c r="J510" s="1044"/>
      <c r="K510" s="1045"/>
      <c r="L510" s="578" t="s">
        <v>4601</v>
      </c>
      <c r="M510" s="1234" t="s">
        <v>6078</v>
      </c>
      <c r="N510" s="2679" cm="1" t="n">
        <f t="array" ref="N510">INDEX('5층_부하량'!I3:I3000,MATCH(1,("5-DaHall 1-PDU-20"='5층_부하량'!A3:A3000)*(14='5층_부하량'!B3:B3000),0))</f>
        <v>1.6513436675526696</v>
      </c>
      <c r="O510" s="387"/>
      <c r="P510" s="387"/>
      <c r="Q510" s="387"/>
      <c r="R510" s="388" t="s">
        <v>5989</v>
      </c>
      <c r="S510" s="389" t="s">
        <v>4575</v>
      </c>
      <c r="T510" s="395" t="s">
        <v>6113</v>
      </c>
    </row>
    <row r="511" spans="1:20" s="356" customFormat="1" ht="16.5" x14ac:dyDescent="0.15">
      <c r="A511" s="448" t="s">
        <v>6114</v>
      </c>
      <c r="B511" s="388" t="s">
        <v>5989</v>
      </c>
      <c r="C511" s="389" t="s">
        <v>4575</v>
      </c>
      <c r="D511" s="387"/>
      <c r="E511" s="2679" cm="1" t="n">
        <f t="array" ref="E511">INDEX('5층_부하량'!J3:J3000,MATCH(1,("5-DaHall 1-PDU-20"='5층_부하량'!A3:A3000)*(15='5층_부하량'!B3:B3000),0))</f>
        <v>5.69582905195692</v>
      </c>
      <c r="F511" s="387"/>
      <c r="G511" s="387"/>
      <c r="H511" s="1234" t="s">
        <v>6078</v>
      </c>
      <c r="I511" s="558" t="s">
        <v>4661</v>
      </c>
      <c r="J511" s="1044"/>
      <c r="K511" s="1045"/>
      <c r="L511" s="578" t="s">
        <v>4603</v>
      </c>
      <c r="M511" s="382" t="s">
        <v>5001</v>
      </c>
      <c r="N511" s="387"/>
      <c r="O511" s="2679" cm="1" t="n">
        <f t="array" ref="O511">INDEX('5층_부하량'!J3:J3000,MATCH(1,("5-DaHall 1-PDU-20"='5층_부하량'!A3:A3000)*(16='5층_부하량'!B3:B3000),0))</f>
        <v>6.409770198986542</v>
      </c>
      <c r="P511" s="387"/>
      <c r="Q511" s="387"/>
      <c r="R511" s="388" t="s">
        <v>5989</v>
      </c>
      <c r="S511" s="1232" t="s">
        <v>4723</v>
      </c>
      <c r="T511" s="395" t="s">
        <v>6115</v>
      </c>
    </row>
    <row r="512" spans="1:20" s="356" customFormat="1" ht="16.5" x14ac:dyDescent="0.15">
      <c r="A512" s="448" t="s">
        <v>6116</v>
      </c>
      <c r="B512" s="388" t="s">
        <v>5989</v>
      </c>
      <c r="C512" s="389" t="s">
        <v>4575</v>
      </c>
      <c r="D512" s="387"/>
      <c r="E512" s="387"/>
      <c r="F512" s="2679" cm="1" t="n">
        <f t="array" ref="F512">INDEX('5층_부하량'!K3:K3000,MATCH(1,("5-DaHall 1-PDU-20"='5층_부하량'!A3:A3000)*(17='5층_부하량'!B3:B3000),0))</f>
        <v>4.251578762809987</v>
      </c>
      <c r="G512" s="387"/>
      <c r="H512" s="1235" t="s">
        <v>4576</v>
      </c>
      <c r="I512" s="558" t="s">
        <v>4665</v>
      </c>
      <c r="J512" s="1044"/>
      <c r="K512" s="1045"/>
      <c r="L512" s="578" t="s">
        <v>4605</v>
      </c>
      <c r="M512" s="382" t="s">
        <v>5001</v>
      </c>
      <c r="N512" s="387"/>
      <c r="O512" s="387"/>
      <c r="P512" s="2679" cm="1" t="n">
        <f t="array" ref="P512">INDEX('5층_부하량'!K3:K3000,MATCH(1,("5-DaHall 1-PDU-20"='5층_부하량'!A3:A3000)*(18='5층_부하량'!B3:B3000),0))</f>
        <v>4.874561808104687</v>
      </c>
      <c r="Q512" s="387"/>
      <c r="R512" s="388" t="s">
        <v>5989</v>
      </c>
      <c r="S512" s="1232" t="s">
        <v>4723</v>
      </c>
      <c r="T512" s="395" t="s">
        <v>6117</v>
      </c>
    </row>
    <row r="513" spans="1:20" s="356" customFormat="1" ht="16.5" x14ac:dyDescent="0.15">
      <c r="A513" s="448" t="s">
        <v>6118</v>
      </c>
      <c r="B513" s="388" t="s">
        <v>5989</v>
      </c>
      <c r="C513" s="389" t="s">
        <v>4575</v>
      </c>
      <c r="D513" s="2679" cm="1" t="n">
        <f t="array" ref="D513">INDEX('5층_부하량'!I3:I3000,MATCH(1,("5-DaHall 1-PDU-20"='5층_부하량'!A3:A3000)*(19='5층_부하량'!B3:B3000),0))</f>
        <v>3.0109001505621884</v>
      </c>
      <c r="E513" s="387"/>
      <c r="F513" s="387"/>
      <c r="G513" s="387"/>
      <c r="H513" s="1235" t="s">
        <v>4576</v>
      </c>
      <c r="I513" s="558" t="s">
        <v>4670</v>
      </c>
      <c r="J513" s="1044"/>
      <c r="K513" s="1045"/>
      <c r="L513" s="578" t="s">
        <v>4609</v>
      </c>
      <c r="M513" s="382" t="s">
        <v>5001</v>
      </c>
      <c r="N513" s="2679" cm="1" t="n">
        <f t="array" ref="N513">INDEX('5층_부하량'!I3:I3000,MATCH(1,("5-DaHall 1-PDU-20"='5층_부하량'!A3:A3000)*(20='5층_부하량'!B3:B3000),0))</f>
        <v>2.7153476520166304</v>
      </c>
      <c r="O513" s="387"/>
      <c r="P513" s="387"/>
      <c r="Q513" s="387"/>
      <c r="R513" s="388" t="s">
        <v>5989</v>
      </c>
      <c r="S513" s="1232" t="s">
        <v>4723</v>
      </c>
      <c r="T513" s="395" t="s">
        <v>6119</v>
      </c>
    </row>
    <row r="514" spans="1:20" s="356" customFormat="1" ht="16.5" x14ac:dyDescent="0.15">
      <c r="A514" s="448"/>
      <c r="B514" s="388" t="s">
        <v>565</v>
      </c>
      <c r="C514" s="1232" t="s">
        <v>4723</v>
      </c>
      <c r="D514" s="387"/>
      <c r="E514" s="2672" cm="1" t="n">
        <f t="array" ref="E514">INDEX('5층_부하량'!J3:J3000,MATCH(1,("5-DaHall 1-PDU-20"='5층_부하량'!A3:A3000)*(21='5층_부하량'!B3:B3000),0))</f>
        <v>6.780773692885338</v>
      </c>
      <c r="F514" s="387"/>
      <c r="G514" s="387"/>
      <c r="H514" s="382" t="s">
        <v>5001</v>
      </c>
      <c r="I514" s="2452" t="s">
        <v>6094</v>
      </c>
      <c r="J514" s="1044"/>
      <c r="K514" s="1045"/>
      <c r="L514" s="589" t="s">
        <v>6095</v>
      </c>
      <c r="M514" s="382" t="s">
        <v>5001</v>
      </c>
      <c r="N514" s="387"/>
      <c r="O514" s="2672" cm="1" t="n">
        <f t="array" ref="O514">INDEX('5층_부하량'!J3:J3000,MATCH(1,("5-DaHall 1-PDU-20"='5층_부하량'!A3:A3000)*(22='5층_부하량'!B3:B3000),0))</f>
        <v>2.8347050617718987</v>
      </c>
      <c r="P514" s="387"/>
      <c r="Q514" s="387"/>
      <c r="R514" s="388" t="s">
        <v>5989</v>
      </c>
      <c r="S514" s="1232" t="s">
        <v>4723</v>
      </c>
      <c r="T514" s="395" t="s">
        <v>6120</v>
      </c>
    </row>
    <row r="515" spans="1:20" s="356" customFormat="1" ht="17.25" thickBot="1" x14ac:dyDescent="0.2">
      <c r="A515" s="431"/>
      <c r="B515" s="436" t="s">
        <v>4590</v>
      </c>
      <c r="C515" s="432" t="s">
        <v>4642</v>
      </c>
      <c r="D515" s="433"/>
      <c r="E515" s="433"/>
      <c r="F515" s="2680" cm="1" t="n">
        <f t="array" ref="F515">INDEX('5층_부하량'!K3:K3000,MATCH(1,("5-DaHall 1-PDU-20"='5층_부하량'!A3:A3000)*(23='5층_부하량'!B3:B3000),0))</f>
        <v>2.533249127058667</v>
      </c>
      <c r="G515" s="433"/>
      <c r="H515" s="432" t="s">
        <v>5001</v>
      </c>
      <c r="I515" s="2453" t="s">
        <v>6097</v>
      </c>
      <c r="J515" s="1229"/>
      <c r="K515" s="1230"/>
      <c r="L515" s="1231" t="s">
        <v>6098</v>
      </c>
      <c r="M515" s="432" t="s">
        <v>5001</v>
      </c>
      <c r="N515" s="433"/>
      <c r="O515" s="433"/>
      <c r="P515" s="2680" cm="1">
        <f t="array" ref="P515">INDEX('5층_부하량'!K3:K3000,MATCH(1,("5-DaHall 1-PDU-20"='5층_부하량'!A3:A3000)*(24='5층_부하량'!B3:B3000),0))</f>
        <v>0</v>
      </c>
      <c r="Q515" s="433"/>
      <c r="R515" s="436" t="s">
        <v>4590</v>
      </c>
      <c r="S515" s="432" t="s">
        <v>4642</v>
      </c>
      <c r="T515" s="438"/>
    </row>
    <row r="516" spans="1:20" s="356" customFormat="1" ht="18" thickTop="1" thickBot="1" x14ac:dyDescent="0.2">
      <c r="L516" s="2445"/>
      <c r="M516" s="411" t="s">
        <v>5645</v>
      </c>
      <c r="N516" s="412" t="n">
        <f>SUM(D504:D515,N504:N515)</f>
        <v>30.51018951163423</v>
      </c>
      <c r="O516" s="412" t="n">
        <f>SUM(E504:E515,O504:O515)</f>
        <v>37.755776234137876</v>
      </c>
      <c r="P516" s="412" t="n">
        <f>SUM(F504:F515,P504:P515)</f>
        <v>23.78072349927017</v>
      </c>
    </row>
    <row r="517" spans="1:20" s="356" customFormat="1" ht="20.25" thickTop="1" thickBot="1" x14ac:dyDescent="0.2">
      <c r="A517" s="355" t="s">
        <v>6965</v>
      </c>
      <c r="C517" s="3660" t="s">
        <v>6121</v>
      </c>
      <c r="D517" s="3660"/>
      <c r="E517" s="3660"/>
      <c r="F517" s="3660"/>
      <c r="G517" s="357"/>
      <c r="H517" s="358"/>
      <c r="I517" s="358"/>
      <c r="J517" s="3668" t="s">
        <v>4715</v>
      </c>
      <c r="K517" s="3669"/>
      <c r="L517" s="2442"/>
      <c r="M517" s="358"/>
      <c r="N517" s="357"/>
      <c r="O517" s="357"/>
      <c r="P517" s="357"/>
      <c r="Q517" s="357"/>
      <c r="R517" s="357"/>
      <c r="S517" s="357"/>
    </row>
    <row r="518" spans="1:20" s="356" customFormat="1" ht="15" customHeight="1" thickTop="1" thickBot="1" x14ac:dyDescent="0.2">
      <c r="A518" s="3"/>
      <c r="B518"/>
      <c r="C518"/>
      <c r="D518" s="54"/>
      <c r="E518" s="54"/>
      <c r="F518" s="54"/>
      <c r="G518" s="54"/>
      <c r="H518" s="4"/>
      <c r="I518" s="4"/>
      <c r="J518"/>
      <c r="K518" s="56"/>
      <c r="L518" s="565"/>
      <c r="M518" s="1371" t="s">
        <v>4562</v>
      </c>
      <c r="N518" s="1368">
        <v>41.9</v>
      </c>
      <c r="O518" s="1369">
        <v>33.6</v>
      </c>
      <c r="P518" s="1370">
        <v>29.3</v>
      </c>
      <c r="Q518" s="508" t="s">
        <v>4563</v>
      </c>
      <c r="R518" s="133"/>
      <c r="S518" s="128"/>
      <c r="T518" s="363"/>
    </row>
    <row r="519" spans="1:20" s="356" customFormat="1" ht="18" thickTop="1" thickBot="1" x14ac:dyDescent="0.2">
      <c r="A519" s="364" t="s">
        <v>4564</v>
      </c>
      <c r="B519" s="365" t="s">
        <v>4565</v>
      </c>
      <c r="C519" s="366" t="s">
        <v>4566</v>
      </c>
      <c r="D519" s="365" t="s">
        <v>4567</v>
      </c>
      <c r="E519" s="365" t="s">
        <v>4568</v>
      </c>
      <c r="F519" s="365" t="s">
        <v>4569</v>
      </c>
      <c r="G519" s="365" t="s">
        <v>4570</v>
      </c>
      <c r="H519" s="367" t="s">
        <v>4571</v>
      </c>
      <c r="I519" s="557"/>
      <c r="J519" s="368" t="s">
        <v>4572</v>
      </c>
      <c r="K519" s="369" t="s">
        <v>4572</v>
      </c>
      <c r="L519" s="575"/>
      <c r="M519" s="367" t="s">
        <v>4571</v>
      </c>
      <c r="N519" s="365" t="s">
        <v>4567</v>
      </c>
      <c r="O519" s="365" t="s">
        <v>4568</v>
      </c>
      <c r="P519" s="365" t="s">
        <v>4569</v>
      </c>
      <c r="Q519" s="365" t="s">
        <v>4570</v>
      </c>
      <c r="R519" s="365" t="s">
        <v>4565</v>
      </c>
      <c r="S519" s="366" t="s">
        <v>4566</v>
      </c>
      <c r="T519" s="370" t="s">
        <v>4564</v>
      </c>
    </row>
    <row r="520" spans="1:20" s="356" customFormat="1" ht="17.25" thickTop="1" x14ac:dyDescent="0.15">
      <c r="A520" s="474" t="s">
        <v>6122</v>
      </c>
      <c r="B520" s="378" t="s">
        <v>5989</v>
      </c>
      <c r="C520" s="379" t="s">
        <v>4575</v>
      </c>
      <c r="D520" s="2678" cm="1" t="n">
        <f t="array" ref="D520">INDEX('5층_부하량'!I3:I3000,MATCH(1,("5-DaHall 1-PDU-21"='5층_부하량'!A3:A3000)*(1='5층_부하량'!B3:B3000),0))</f>
        <v>3.6779994046627595</v>
      </c>
      <c r="E520" s="401"/>
      <c r="F520" s="401"/>
      <c r="G520" s="374"/>
      <c r="H520" s="2450" t="s">
        <v>4936</v>
      </c>
      <c r="I520" s="2451" t="s">
        <v>4577</v>
      </c>
      <c r="J520" s="1040"/>
      <c r="K520" s="1041"/>
      <c r="L520" s="587" t="s">
        <v>4863</v>
      </c>
      <c r="M520" s="372" t="s">
        <v>5001</v>
      </c>
      <c r="N520" s="2678" cm="1" t="n">
        <f t="array" ref="N520">INDEX('5층_부하량'!I3:I3000,MATCH(1,("5-DaHall 1-PDU-21"='5층_부하량'!A3:A3000)*(2='5층_부하량'!B3:B3000),0))</f>
        <v>2.8626826817624593</v>
      </c>
      <c r="O520" s="401"/>
      <c r="P520" s="401"/>
      <c r="Q520" s="374"/>
      <c r="R520" s="378" t="s">
        <v>5989</v>
      </c>
      <c r="S520" s="379" t="s">
        <v>4575</v>
      </c>
      <c r="T520" s="1233" t="s">
        <v>6123</v>
      </c>
    </row>
    <row r="521" spans="1:20" s="356" customFormat="1" ht="16.5" x14ac:dyDescent="0.15">
      <c r="A521" s="391" t="s">
        <v>6124</v>
      </c>
      <c r="B521" s="388" t="s">
        <v>5989</v>
      </c>
      <c r="C521" s="389" t="s">
        <v>4575</v>
      </c>
      <c r="D521" s="387"/>
      <c r="E521" s="2672" cm="1" t="n">
        <f t="array" ref="E521">INDEX('5층_부하량'!J3:J3000,MATCH(1,("5-DaHall 1-PDU-21"='5층_부하량'!A3:A3000)*(3='5층_부하량'!B3:B3000),0))</f>
        <v>4.848642789939971</v>
      </c>
      <c r="F521" s="387"/>
      <c r="G521" s="383"/>
      <c r="H521" s="382" t="s">
        <v>5001</v>
      </c>
      <c r="I521" s="2452" t="s">
        <v>4582</v>
      </c>
      <c r="J521" s="1042"/>
      <c r="K521" s="1043"/>
      <c r="L521" s="588" t="s">
        <v>4865</v>
      </c>
      <c r="M521" s="382" t="s">
        <v>5001</v>
      </c>
      <c r="N521" s="387"/>
      <c r="O521" s="2672" cm="1" t="n">
        <f t="array" ref="O521">INDEX('5층_부하량'!J3:J3000,MATCH(1,("5-DaHall 1-PDU-21"='5층_부하량'!A3:A3000)*(4='5층_부하량'!B3:B3000),0))</f>
        <v>2.6553781360861133</v>
      </c>
      <c r="P521" s="387"/>
      <c r="Q521" s="387"/>
      <c r="R521" s="388" t="s">
        <v>5989</v>
      </c>
      <c r="S521" s="389" t="s">
        <v>4575</v>
      </c>
      <c r="T521" s="395" t="s">
        <v>6125</v>
      </c>
    </row>
    <row r="522" spans="1:20" s="356" customFormat="1" ht="16.5" x14ac:dyDescent="0.15">
      <c r="A522" s="391" t="s">
        <v>6126</v>
      </c>
      <c r="B522" s="388" t="s">
        <v>5989</v>
      </c>
      <c r="C522" s="389" t="s">
        <v>4575</v>
      </c>
      <c r="D522" s="387"/>
      <c r="E522" s="387"/>
      <c r="F522" s="2679" cm="1" t="n">
        <f t="array" ref="F522">INDEX('5층_부하량'!K3:K3000,MATCH(1,("5-DaHall 1-PDU-21"='5층_부하량'!A3:A3000)*(5='5층_부하량'!B3:B3000),0))</f>
        <v>5.590006448358349</v>
      </c>
      <c r="G522" s="387"/>
      <c r="H522" s="382" t="s">
        <v>5001</v>
      </c>
      <c r="I522" s="2452" t="s">
        <v>4587</v>
      </c>
      <c r="J522" s="1044"/>
      <c r="K522" s="1045"/>
      <c r="L522" s="589" t="s">
        <v>4868</v>
      </c>
      <c r="M522" s="1234" t="s">
        <v>6078</v>
      </c>
      <c r="N522" s="387"/>
      <c r="O522" s="387"/>
      <c r="P522" s="2679" cm="1" t="n">
        <f t="array" ref="P522">INDEX('5층_부하량'!K3:K3000,MATCH(1,("5-DaHall 1-PDU-21"='5층_부하량'!A3:A3000)*(6='5층_부하량'!B3:B3000),0))</f>
        <v>4.362512748245454</v>
      </c>
      <c r="Q522" s="387"/>
      <c r="R522" s="388" t="s">
        <v>5989</v>
      </c>
      <c r="S522" s="389" t="s">
        <v>4575</v>
      </c>
      <c r="T522" s="395" t="s">
        <v>6127</v>
      </c>
    </row>
    <row r="523" spans="1:20" s="356" customFormat="1" ht="16.5" x14ac:dyDescent="0.15">
      <c r="A523" s="391" t="s">
        <v>6128</v>
      </c>
      <c r="B523" s="388" t="s">
        <v>5989</v>
      </c>
      <c r="C523" s="389" t="s">
        <v>4575</v>
      </c>
      <c r="D523" s="2679" cm="1" t="n">
        <f t="array" ref="D523">INDEX('5층_부하량'!I3:I3000,MATCH(1,("5-DaHall 1-PDU-21"='5층_부하량'!A3:A3000)*(7='5층_부하량'!B3:B3000),0))</f>
        <v>4.408068402149323</v>
      </c>
      <c r="E523" s="387"/>
      <c r="F523" s="387"/>
      <c r="G523" s="387"/>
      <c r="H523" s="382" t="s">
        <v>5001</v>
      </c>
      <c r="I523" s="558" t="s">
        <v>4645</v>
      </c>
      <c r="J523" s="1044"/>
      <c r="K523" s="1045"/>
      <c r="L523" s="578" t="s">
        <v>4593</v>
      </c>
      <c r="M523" s="382" t="s">
        <v>5001</v>
      </c>
      <c r="N523" s="2679" cm="1" t="n">
        <f t="array" ref="N523">INDEX('5층_부하량'!I3:I3000,MATCH(1,("5-DaHall 1-PDU-21"='5층_부하량'!A3:A3000)*(8='5층_부하량'!B3:B3000),0))</f>
        <v>5.384244352626076</v>
      </c>
      <c r="O523" s="387"/>
      <c r="P523" s="387"/>
      <c r="Q523" s="387"/>
      <c r="R523" s="388" t="s">
        <v>5989</v>
      </c>
      <c r="S523" s="389" t="s">
        <v>4575</v>
      </c>
      <c r="T523" s="395" t="s">
        <v>6129</v>
      </c>
    </row>
    <row r="524" spans="1:20" s="356" customFormat="1" ht="16.5" x14ac:dyDescent="0.15">
      <c r="A524" s="391" t="s">
        <v>6130</v>
      </c>
      <c r="B524" s="388" t="s">
        <v>5989</v>
      </c>
      <c r="C524" s="389" t="s">
        <v>4575</v>
      </c>
      <c r="D524" s="387"/>
      <c r="E524" s="2672" cm="1" t="n">
        <f t="array" ref="E524">INDEX('5층_부하량'!J3:J3000,MATCH(1,("5-DaHall 1-PDU-21"='5층_부하량'!A3:A3000)*(9='5층_부하량'!B3:B3000),0))</f>
        <v>4.561805887452546</v>
      </c>
      <c r="F524" s="387"/>
      <c r="G524" s="387"/>
      <c r="H524" s="382" t="s">
        <v>5001</v>
      </c>
      <c r="I524" s="558" t="s">
        <v>4648</v>
      </c>
      <c r="J524" s="1044"/>
      <c r="K524" s="1045"/>
      <c r="L524" s="578" t="s">
        <v>4596</v>
      </c>
      <c r="M524" s="382" t="s">
        <v>5001</v>
      </c>
      <c r="N524" s="387"/>
      <c r="O524" s="2672" cm="1" t="n">
        <f t="array" ref="O524">INDEX('5층_부하량'!J3:J3000,MATCH(1,("5-DaHall 1-PDU-21"='5층_부하량'!A3:A3000)*(10='5층_부하량'!B3:B3000),0))</f>
        <v>6.742019094390415</v>
      </c>
      <c r="P524" s="387"/>
      <c r="Q524" s="387"/>
      <c r="R524" s="388" t="s">
        <v>5989</v>
      </c>
      <c r="S524" s="389" t="s">
        <v>4575</v>
      </c>
      <c r="T524" s="395" t="s">
        <v>6131</v>
      </c>
    </row>
    <row r="525" spans="1:20" s="356" customFormat="1" ht="16.5" x14ac:dyDescent="0.15">
      <c r="A525" s="391" t="s">
        <v>6132</v>
      </c>
      <c r="B525" s="388" t="s">
        <v>5989</v>
      </c>
      <c r="C525" s="389" t="s">
        <v>4575</v>
      </c>
      <c r="D525" s="387"/>
      <c r="E525" s="387"/>
      <c r="F525" s="2679" cm="1" t="n">
        <f t="array" ref="F525">INDEX('5층_부하량'!K3:K3000,MATCH(1,("5-DaHall 1-PDU-21"='5층_부하량'!A3:A3000)*(11='5층_부하량'!B3:B3000),0))</f>
        <v>2.903113599101417</v>
      </c>
      <c r="G525" s="387"/>
      <c r="H525" s="382" t="s">
        <v>5001</v>
      </c>
      <c r="I525" s="558" t="s">
        <v>4653</v>
      </c>
      <c r="J525" s="1044"/>
      <c r="K525" s="1045"/>
      <c r="L525" s="578" t="s">
        <v>4599</v>
      </c>
      <c r="M525" s="1234" t="s">
        <v>6078</v>
      </c>
      <c r="N525" s="387"/>
      <c r="O525" s="387"/>
      <c r="P525" s="2679" cm="1" t="n">
        <f t="array" ref="P525">INDEX('5층_부하량'!K3:K3000,MATCH(1,("5-DaHall 1-PDU-21"='5층_부하량'!A3:A3000)*(12='5층_부하량'!B3:B3000),0))</f>
        <v>1.716137282135869</v>
      </c>
      <c r="Q525" s="387"/>
      <c r="R525" s="388" t="s">
        <v>5989</v>
      </c>
      <c r="S525" s="389" t="s">
        <v>4575</v>
      </c>
      <c r="T525" s="395" t="s">
        <v>6133</v>
      </c>
    </row>
    <row r="526" spans="1:20" s="356" customFormat="1" ht="16.5" x14ac:dyDescent="0.15">
      <c r="A526" s="391" t="s">
        <v>6134</v>
      </c>
      <c r="B526" s="388" t="s">
        <v>5989</v>
      </c>
      <c r="C526" s="389" t="s">
        <v>4575</v>
      </c>
      <c r="D526" s="2679" cm="1" t="n">
        <f t="array" ref="D526">INDEX('5층_부하량'!I3:I3000,MATCH(1,("5-DaHall 1-PDU-21"='5층_부하량'!A3:A3000)*(13='5층_부하량'!B3:B3000),0))</f>
        <v>4.3279484130335675</v>
      </c>
      <c r="E526" s="387"/>
      <c r="F526" s="387"/>
      <c r="G526" s="387"/>
      <c r="H526" s="382" t="s">
        <v>5001</v>
      </c>
      <c r="I526" s="558" t="s">
        <v>4657</v>
      </c>
      <c r="J526" s="1044"/>
      <c r="K526" s="1045"/>
      <c r="L526" s="578" t="s">
        <v>4601</v>
      </c>
      <c r="M526" s="1234" t="s">
        <v>6078</v>
      </c>
      <c r="N526" s="2679" cm="1" t="n">
        <f t="array" ref="N526">INDEX('5층_부하량'!I3:I3000,MATCH(1,("5-DaHall 1-PDU-21"='5층_부하량'!A3:A3000)*(14='5층_부하량'!B3:B3000),0))</f>
        <v>2.3177652464986758</v>
      </c>
      <c r="O526" s="387"/>
      <c r="P526" s="387"/>
      <c r="Q526" s="387"/>
      <c r="R526" s="388" t="s">
        <v>5989</v>
      </c>
      <c r="S526" s="389" t="s">
        <v>4575</v>
      </c>
      <c r="T526" s="395" t="s">
        <v>6135</v>
      </c>
    </row>
    <row r="527" spans="1:20" s="356" customFormat="1" ht="16.5" x14ac:dyDescent="0.15">
      <c r="A527" s="448" t="s">
        <v>6136</v>
      </c>
      <c r="B527" s="388" t="s">
        <v>5989</v>
      </c>
      <c r="C527" s="389" t="s">
        <v>4575</v>
      </c>
      <c r="D527" s="387"/>
      <c r="E527" s="2679" cm="1" t="n">
        <f t="array" ref="E527">INDEX('5층_부하량'!J3:J3000,MATCH(1,("5-DaHall 1-PDU-21"='5층_부하량'!A3:A3000)*(15='5층_부하량'!B3:B3000),0))</f>
        <v>3.662985961155529</v>
      </c>
      <c r="F527" s="387"/>
      <c r="G527" s="387"/>
      <c r="H527" s="1234" t="s">
        <v>6078</v>
      </c>
      <c r="I527" s="558" t="s">
        <v>4661</v>
      </c>
      <c r="J527" s="1044"/>
      <c r="K527" s="1045"/>
      <c r="L527" s="578" t="s">
        <v>4603</v>
      </c>
      <c r="M527" s="382" t="s">
        <v>5001</v>
      </c>
      <c r="N527" s="387"/>
      <c r="O527" s="2679" cm="1" t="n">
        <f t="array" ref="O527">INDEX('5층_부하량'!J3:J3000,MATCH(1,("5-DaHall 1-PDU-21"='5층_부하량'!A3:A3000)*(16='5층_부하량'!B3:B3000),0))</f>
        <v>8.14526155499735</v>
      </c>
      <c r="P527" s="387"/>
      <c r="Q527" s="387"/>
      <c r="R527" s="388" t="s">
        <v>5989</v>
      </c>
      <c r="S527" s="1232" t="s">
        <v>4723</v>
      </c>
      <c r="T527" s="395" t="s">
        <v>6137</v>
      </c>
    </row>
    <row r="528" spans="1:20" s="356" customFormat="1" ht="16.5" x14ac:dyDescent="0.15">
      <c r="A528" s="448" t="s">
        <v>6138</v>
      </c>
      <c r="B528" s="388" t="s">
        <v>5989</v>
      </c>
      <c r="C528" s="389" t="s">
        <v>4575</v>
      </c>
      <c r="D528" s="387"/>
      <c r="E528" s="387"/>
      <c r="F528" s="2679" cm="1" t="n">
        <f t="array" ref="F528">INDEX('5층_부하량'!K3:K3000,MATCH(1,("5-DaHall 1-PDU-21"='5층_부하량'!A3:A3000)*(17='5층_부하량'!B3:B3000),0))</f>
        <v>4.787381473154188</v>
      </c>
      <c r="G528" s="387"/>
      <c r="H528" s="1235" t="s">
        <v>4576</v>
      </c>
      <c r="I528" s="558" t="s">
        <v>4665</v>
      </c>
      <c r="J528" s="1044"/>
      <c r="K528" s="1045"/>
      <c r="L528" s="578" t="s">
        <v>4605</v>
      </c>
      <c r="M528" s="382" t="s">
        <v>5001</v>
      </c>
      <c r="N528" s="387"/>
      <c r="O528" s="387"/>
      <c r="P528" s="2679" cm="1" t="n">
        <f t="array" ref="P528">INDEX('5층_부하량'!K3:K3000,MATCH(1,("5-DaHall 1-PDU-21"='5층_부하량'!A3:A3000)*(18='5층_부하량'!B3:B3000),0))</f>
        <v>4.542063839650828</v>
      </c>
      <c r="Q528" s="387"/>
      <c r="R528" s="388" t="s">
        <v>5989</v>
      </c>
      <c r="S528" s="1232" t="s">
        <v>4723</v>
      </c>
      <c r="T528" s="395" t="s">
        <v>6139</v>
      </c>
    </row>
    <row r="529" spans="1:20" s="356" customFormat="1" ht="16.5" x14ac:dyDescent="0.15">
      <c r="A529" s="448" t="s">
        <v>6140</v>
      </c>
      <c r="B529" s="388" t="s">
        <v>5989</v>
      </c>
      <c r="C529" s="389" t="s">
        <v>4575</v>
      </c>
      <c r="D529" s="2679" cm="1" t="n">
        <f t="array" ref="D529">INDEX('5층_부하량'!I3:I3000,MATCH(1,("5-DaHall 1-PDU-21"='5층_부하량'!A3:A3000)*(19='5층_부하량'!B3:B3000),0))</f>
        <v>3.312938168835345</v>
      </c>
      <c r="E529" s="387"/>
      <c r="F529" s="387"/>
      <c r="G529" s="387"/>
      <c r="H529" s="1235" t="s">
        <v>4576</v>
      </c>
      <c r="I529" s="558" t="s">
        <v>4670</v>
      </c>
      <c r="J529" s="1044"/>
      <c r="K529" s="1045"/>
      <c r="L529" s="578" t="s">
        <v>4609</v>
      </c>
      <c r="M529" s="382" t="s">
        <v>5001</v>
      </c>
      <c r="N529" s="2679" cm="1" t="n">
        <f t="array" ref="N529">INDEX('5층_부하량'!I3:I3000,MATCH(1,("5-DaHall 1-PDU-21"='5층_부하량'!A3:A3000)*(20='5층_부하량'!B3:B3000),0))</f>
        <v>7.799852706672818</v>
      </c>
      <c r="O529" s="387"/>
      <c r="P529" s="387"/>
      <c r="Q529" s="387"/>
      <c r="R529" s="388" t="s">
        <v>5989</v>
      </c>
      <c r="S529" s="1232" t="s">
        <v>4723</v>
      </c>
      <c r="T529" s="395" t="s">
        <v>6141</v>
      </c>
    </row>
    <row r="530" spans="1:20" s="356" customFormat="1" ht="16.5" x14ac:dyDescent="0.15">
      <c r="A530" s="448"/>
      <c r="B530" s="388" t="s">
        <v>565</v>
      </c>
      <c r="C530" s="1232" t="s">
        <v>4723</v>
      </c>
      <c r="D530" s="387"/>
      <c r="E530" s="2672" cm="1" t="n">
        <f t="array" ref="E530">INDEX('5층_부하량'!J3:J3000,MATCH(1,("5-DaHall 1-PDU-21"='5층_부하량'!A3:A3000)*(21='5층_부하량'!B3:B3000),0))</f>
        <v>5.0670614156366</v>
      </c>
      <c r="F530" s="387"/>
      <c r="G530" s="387"/>
      <c r="H530" s="382" t="s">
        <v>5001</v>
      </c>
      <c r="I530" s="2452" t="s">
        <v>6094</v>
      </c>
      <c r="J530" s="1044"/>
      <c r="K530" s="1045"/>
      <c r="L530" s="589" t="s">
        <v>6095</v>
      </c>
      <c r="M530" s="382" t="s">
        <v>5001</v>
      </c>
      <c r="N530" s="387"/>
      <c r="O530" s="2672" cm="1" t="n">
        <f t="array" ref="O530">INDEX('5층_부하량'!J3:J3000,MATCH(1,("5-DaHall 1-PDU-21"='5층_부하량'!A3:A3000)*(22='5층_부하량'!B3:B3000),0))</f>
        <v>7.3646168358078</v>
      </c>
      <c r="P530" s="387"/>
      <c r="Q530" s="387"/>
      <c r="R530" s="388" t="s">
        <v>5989</v>
      </c>
      <c r="S530" s="1232" t="s">
        <v>4723</v>
      </c>
      <c r="T530" s="395" t="s">
        <v>6142</v>
      </c>
    </row>
    <row r="531" spans="1:20" s="356" customFormat="1" ht="17.25" thickBot="1" x14ac:dyDescent="0.2">
      <c r="A531" s="431"/>
      <c r="B531" s="436" t="s">
        <v>4590</v>
      </c>
      <c r="C531" s="432" t="s">
        <v>4642</v>
      </c>
      <c r="D531" s="433"/>
      <c r="E531" s="433"/>
      <c r="F531" s="2680" cm="1" t="n">
        <f t="array" ref="F531">INDEX('5층_부하량'!K3:K3000,MATCH(1,("5-DaHall 1-PDU-21"='5층_부하량'!A3:A3000)*(23='5층_부하량'!B3:B3000),0))</f>
        <v>7.78074994509223</v>
      </c>
      <c r="G531" s="433"/>
      <c r="H531" s="432" t="s">
        <v>5001</v>
      </c>
      <c r="I531" s="2453" t="s">
        <v>6097</v>
      </c>
      <c r="J531" s="1229"/>
      <c r="K531" s="1230"/>
      <c r="L531" s="1231" t="s">
        <v>6098</v>
      </c>
      <c r="M531" s="432" t="s">
        <v>5001</v>
      </c>
      <c r="N531" s="433"/>
      <c r="O531" s="433"/>
      <c r="P531" s="2680" cm="1">
        <f t="array" ref="P531">INDEX('5층_부하량'!K3:K3000,MATCH(1,("5-DaHall 1-PDU-21"='5층_부하량'!A3:A3000)*(24='5층_부하량'!B3:B3000),0))</f>
        <v>0</v>
      </c>
      <c r="Q531" s="433"/>
      <c r="R531" s="436" t="s">
        <v>4590</v>
      </c>
      <c r="S531" s="432" t="s">
        <v>4642</v>
      </c>
      <c r="T531" s="438"/>
    </row>
    <row r="532" spans="1:20" s="356" customFormat="1" ht="18" thickTop="1" thickBot="1" x14ac:dyDescent="0.2">
      <c r="L532" s="2445"/>
      <c r="M532" s="411" t="s">
        <v>5645</v>
      </c>
      <c r="N532" s="412" t="n">
        <f>SUM(D520:D531,N520:N531)</f>
        <v>34.091499376241025</v>
      </c>
      <c r="O532" s="412" t="n">
        <f>SUM(E520:E531,O520:O531)</f>
        <v>43.04777167546633</v>
      </c>
      <c r="P532" s="412" t="n">
        <f>SUM(F520:F531,P520:P531)</f>
        <v>31.681965335738333</v>
      </c>
    </row>
    <row r="533" spans="1:20" s="356" customFormat="1" ht="20.25" thickTop="1" thickBot="1" x14ac:dyDescent="0.2">
      <c r="A533" s="355" t="s">
        <v>6967</v>
      </c>
      <c r="C533" s="3660" t="s">
        <v>6143</v>
      </c>
      <c r="D533" s="3660"/>
      <c r="E533" s="3660"/>
      <c r="F533" s="3660"/>
      <c r="G533" s="357"/>
      <c r="H533" s="358"/>
      <c r="I533" s="358"/>
      <c r="J533" s="3668" t="s">
        <v>4715</v>
      </c>
      <c r="K533" s="3669"/>
      <c r="L533" s="2442"/>
      <c r="M533" s="358"/>
      <c r="N533" s="357"/>
      <c r="O533" s="357"/>
      <c r="P533" s="357"/>
      <c r="Q533" s="357"/>
      <c r="R533" s="357"/>
      <c r="S533" s="357"/>
    </row>
    <row r="534" spans="1:20" s="356" customFormat="1" ht="15" customHeight="1" thickTop="1" thickBot="1" x14ac:dyDescent="0.2">
      <c r="A534" s="3"/>
      <c r="B534"/>
      <c r="C534"/>
      <c r="D534" s="54"/>
      <c r="E534" s="54"/>
      <c r="F534" s="54"/>
      <c r="G534" s="54"/>
      <c r="H534" s="4"/>
      <c r="I534" s="4"/>
      <c r="J534"/>
      <c r="K534" s="56"/>
      <c r="L534" s="565"/>
      <c r="M534" s="1371" t="s">
        <v>4562</v>
      </c>
      <c r="N534" s="1368">
        <v>37</v>
      </c>
      <c r="O534" s="1369">
        <v>27.7</v>
      </c>
      <c r="P534" s="1370">
        <v>24</v>
      </c>
      <c r="Q534" s="508" t="s">
        <v>4563</v>
      </c>
      <c r="R534" s="133"/>
      <c r="S534" s="128"/>
      <c r="T534" s="363"/>
    </row>
    <row r="535" spans="1:20" s="356" customFormat="1" ht="18" thickTop="1" thickBot="1" x14ac:dyDescent="0.2">
      <c r="A535" s="364" t="s">
        <v>4564</v>
      </c>
      <c r="B535" s="365" t="s">
        <v>4565</v>
      </c>
      <c r="C535" s="366" t="s">
        <v>4566</v>
      </c>
      <c r="D535" s="365" t="s">
        <v>4567</v>
      </c>
      <c r="E535" s="365" t="s">
        <v>4568</v>
      </c>
      <c r="F535" s="365" t="s">
        <v>4569</v>
      </c>
      <c r="G535" s="365" t="s">
        <v>4570</v>
      </c>
      <c r="H535" s="367" t="s">
        <v>4571</v>
      </c>
      <c r="I535" s="557"/>
      <c r="J535" s="368" t="s">
        <v>4572</v>
      </c>
      <c r="K535" s="369" t="s">
        <v>4572</v>
      </c>
      <c r="L535" s="575"/>
      <c r="M535" s="367" t="s">
        <v>4571</v>
      </c>
      <c r="N535" s="365" t="s">
        <v>4567</v>
      </c>
      <c r="O535" s="365" t="s">
        <v>4568</v>
      </c>
      <c r="P535" s="365" t="s">
        <v>4569</v>
      </c>
      <c r="Q535" s="365" t="s">
        <v>4570</v>
      </c>
      <c r="R535" s="365" t="s">
        <v>4565</v>
      </c>
      <c r="S535" s="366" t="s">
        <v>4566</v>
      </c>
      <c r="T535" s="370" t="s">
        <v>4564</v>
      </c>
    </row>
    <row r="536" spans="1:20" s="356" customFormat="1" ht="17.25" thickTop="1" x14ac:dyDescent="0.15">
      <c r="A536" s="474" t="s">
        <v>6144</v>
      </c>
      <c r="B536" s="378" t="s">
        <v>5989</v>
      </c>
      <c r="C536" s="379" t="s">
        <v>4575</v>
      </c>
      <c r="D536" s="2678" cm="1" t="n">
        <f t="array" ref="D536">INDEX('5층_부하량'!I3:I3000,MATCH(1,("5-DaHall 1-PDU-22"='5층_부하량'!A3:A3000)*(1='5층_부하량'!B3:B3000),0))</f>
        <v>4.002139542978427</v>
      </c>
      <c r="E536" s="401"/>
      <c r="F536" s="401"/>
      <c r="G536" s="374"/>
      <c r="H536" s="2450" t="s">
        <v>4936</v>
      </c>
      <c r="I536" s="2451" t="s">
        <v>4577</v>
      </c>
      <c r="J536" s="1040"/>
      <c r="K536" s="1041"/>
      <c r="L536" s="587" t="s">
        <v>4863</v>
      </c>
      <c r="M536" s="372" t="s">
        <v>5001</v>
      </c>
      <c r="N536" s="2678" cm="1" t="n">
        <f t="array" ref="N536">INDEX('5층_부하량'!I3:I3000,MATCH(1,("5-DaHall 1-PDU-22"='5층_부하량'!A3:A3000)*(2='5층_부하량'!B3:B3000),0))</f>
        <v>2.8229552890524237</v>
      </c>
      <c r="O536" s="401"/>
      <c r="P536" s="401"/>
      <c r="Q536" s="374"/>
      <c r="R536" s="378" t="s">
        <v>5989</v>
      </c>
      <c r="S536" s="379" t="s">
        <v>4575</v>
      </c>
      <c r="T536" s="1233" t="s">
        <v>6145</v>
      </c>
    </row>
    <row r="537" spans="1:20" s="356" customFormat="1" ht="16.5" x14ac:dyDescent="0.15">
      <c r="A537" s="391" t="s">
        <v>6146</v>
      </c>
      <c r="B537" s="388" t="s">
        <v>5989</v>
      </c>
      <c r="C537" s="389" t="s">
        <v>4575</v>
      </c>
      <c r="D537" s="387"/>
      <c r="E537" s="2672" cm="1" t="n">
        <f t="array" ref="E537">INDEX('5층_부하량'!J3:J3000,MATCH(1,("5-DaHall 1-PDU-22"='5층_부하량'!A3:A3000)*(3='5층_부하량'!B3:B3000),0))</f>
        <v>4.781808758484248</v>
      </c>
      <c r="F537" s="387"/>
      <c r="G537" s="383"/>
      <c r="H537" s="382" t="s">
        <v>5001</v>
      </c>
      <c r="I537" s="2452" t="s">
        <v>4582</v>
      </c>
      <c r="J537" s="1042"/>
      <c r="K537" s="1043"/>
      <c r="L537" s="588" t="s">
        <v>4865</v>
      </c>
      <c r="M537" s="382" t="s">
        <v>5001</v>
      </c>
      <c r="N537" s="387"/>
      <c r="O537" s="2672" cm="1" t="n">
        <f t="array" ref="O537">INDEX('5층_부하량'!J3:J3000,MATCH(1,("5-DaHall 1-PDU-22"='5층_부하량'!A3:A3000)*(4='5층_부하량'!B3:B3000),0))</f>
        <v>2.356329076960877</v>
      </c>
      <c r="P537" s="387"/>
      <c r="Q537" s="387"/>
      <c r="R537" s="388" t="s">
        <v>5989</v>
      </c>
      <c r="S537" s="389" t="s">
        <v>4575</v>
      </c>
      <c r="T537" s="395" t="s">
        <v>6147</v>
      </c>
    </row>
    <row r="538" spans="1:20" s="356" customFormat="1" ht="16.5" x14ac:dyDescent="0.15">
      <c r="A538" s="391" t="s">
        <v>6148</v>
      </c>
      <c r="B538" s="388" t="s">
        <v>5989</v>
      </c>
      <c r="C538" s="389" t="s">
        <v>4575</v>
      </c>
      <c r="D538" s="387"/>
      <c r="E538" s="387"/>
      <c r="F538" s="2679" cm="1" t="n">
        <f t="array" ref="F538">INDEX('5층_부하량'!K3:K3000,MATCH(1,("5-DaHall 1-PDU-22"='5층_부하량'!A3:A3000)*(5='5층_부하량'!B3:B3000),0))</f>
        <v>5.126811389913103</v>
      </c>
      <c r="G538" s="387"/>
      <c r="H538" s="382" t="s">
        <v>5001</v>
      </c>
      <c r="I538" s="2452" t="s">
        <v>4587</v>
      </c>
      <c r="J538" s="1044"/>
      <c r="K538" s="1045"/>
      <c r="L538" s="589" t="s">
        <v>4868</v>
      </c>
      <c r="M538" s="1234" t="s">
        <v>6078</v>
      </c>
      <c r="N538" s="387"/>
      <c r="O538" s="387"/>
      <c r="P538" s="2679" cm="1" t="n">
        <f t="array" ref="P538">INDEX('5층_부하량'!K3:K3000,MATCH(1,("5-DaHall 1-PDU-22"='5층_부하량'!A3:A3000)*(6='5층_부하량'!B3:B3000),0))</f>
        <v>2.958372639746897</v>
      </c>
      <c r="Q538" s="387"/>
      <c r="R538" s="388" t="s">
        <v>5989</v>
      </c>
      <c r="S538" s="389" t="s">
        <v>4575</v>
      </c>
      <c r="T538" s="395" t="s">
        <v>6149</v>
      </c>
    </row>
    <row r="539" spans="1:20" s="356" customFormat="1" ht="16.5" x14ac:dyDescent="0.15">
      <c r="A539" s="391" t="s">
        <v>6150</v>
      </c>
      <c r="B539" s="388" t="s">
        <v>5989</v>
      </c>
      <c r="C539" s="389" t="s">
        <v>4575</v>
      </c>
      <c r="D539" s="2679" cm="1" t="n">
        <f t="array" ref="D539">INDEX('5층_부하량'!I3:I3000,MATCH(1,("5-DaHall 1-PDU-22"='5층_부하량'!A3:A3000)*(7='5층_부하량'!B3:B3000),0))</f>
        <v>4.2732178557314136</v>
      </c>
      <c r="E539" s="387"/>
      <c r="F539" s="387"/>
      <c r="G539" s="387"/>
      <c r="H539" s="382" t="s">
        <v>5001</v>
      </c>
      <c r="I539" s="558" t="s">
        <v>4645</v>
      </c>
      <c r="J539" s="1044"/>
      <c r="K539" s="1045"/>
      <c r="L539" s="578" t="s">
        <v>4593</v>
      </c>
      <c r="M539" s="382" t="s">
        <v>5001</v>
      </c>
      <c r="N539" s="2679" cm="1" t="n">
        <f t="array" ref="N539">INDEX('5층_부하량'!I3:I3000,MATCH(1,("5-DaHall 1-PDU-22"='5층_부하량'!A3:A3000)*(8='5층_부하량'!B3:B3000),0))</f>
        <v>5.8281326760103855</v>
      </c>
      <c r="O539" s="387"/>
      <c r="P539" s="387"/>
      <c r="Q539" s="387"/>
      <c r="R539" s="388" t="s">
        <v>5989</v>
      </c>
      <c r="S539" s="389" t="s">
        <v>4575</v>
      </c>
      <c r="T539" s="395" t="s">
        <v>6151</v>
      </c>
    </row>
    <row r="540" spans="1:20" s="356" customFormat="1" ht="16.5" x14ac:dyDescent="0.15">
      <c r="A540" s="391" t="s">
        <v>6152</v>
      </c>
      <c r="B540" s="388" t="s">
        <v>5989</v>
      </c>
      <c r="C540" s="389" t="s">
        <v>4575</v>
      </c>
      <c r="D540" s="387"/>
      <c r="E540" s="2672" cm="1" t="n">
        <f t="array" ref="E540">INDEX('5층_부하량'!J3:J3000,MATCH(1,("5-DaHall 1-PDU-22"='5층_부하량'!A3:A3000)*(9='5층_부하량'!B3:B3000),0))</f>
        <v>4.368034084329952</v>
      </c>
      <c r="F540" s="387"/>
      <c r="G540" s="387"/>
      <c r="H540" s="382" t="s">
        <v>5001</v>
      </c>
      <c r="I540" s="558" t="s">
        <v>4648</v>
      </c>
      <c r="J540" s="1044"/>
      <c r="K540" s="1045"/>
      <c r="L540" s="578" t="s">
        <v>4596</v>
      </c>
      <c r="M540" s="382" t="s">
        <v>5001</v>
      </c>
      <c r="N540" s="387"/>
      <c r="O540" s="2672" cm="1" t="n">
        <f t="array" ref="O540">INDEX('5층_부하량'!J3:J3000,MATCH(1,("5-DaHall 1-PDU-22"='5층_부하량'!A3:A3000)*(10='5층_부하량'!B3:B3000),0))</f>
        <v>6.497000132526527</v>
      </c>
      <c r="P540" s="387"/>
      <c r="Q540" s="387"/>
      <c r="R540" s="388" t="s">
        <v>5989</v>
      </c>
      <c r="S540" s="389" t="s">
        <v>4575</v>
      </c>
      <c r="T540" s="395" t="s">
        <v>6153</v>
      </c>
    </row>
    <row r="541" spans="1:20" s="356" customFormat="1" ht="16.5" x14ac:dyDescent="0.15">
      <c r="A541" s="391" t="s">
        <v>6154</v>
      </c>
      <c r="B541" s="388" t="s">
        <v>5989</v>
      </c>
      <c r="C541" s="389" t="s">
        <v>4575</v>
      </c>
      <c r="D541" s="387"/>
      <c r="E541" s="387"/>
      <c r="F541" s="2679" cm="1" t="n">
        <f t="array" ref="F541">INDEX('5층_부하량'!K3:K3000,MATCH(1,("5-DaHall 1-PDU-22"='5층_부하량'!A3:A3000)*(11='5층_부하량'!B3:B3000),0))</f>
        <v>3.0904648614675807</v>
      </c>
      <c r="G541" s="387"/>
      <c r="H541" s="382" t="s">
        <v>5001</v>
      </c>
      <c r="I541" s="558" t="s">
        <v>4653</v>
      </c>
      <c r="J541" s="1044"/>
      <c r="K541" s="1045"/>
      <c r="L541" s="578" t="s">
        <v>4599</v>
      </c>
      <c r="M541" s="1234" t="s">
        <v>6078</v>
      </c>
      <c r="N541" s="387"/>
      <c r="O541" s="387"/>
      <c r="P541" s="2679" cm="1" t="n">
        <f t="array" ref="P541">INDEX('5층_부하량'!K3:K3000,MATCH(1,("5-DaHall 1-PDU-22"='5층_부하량'!A3:A3000)*(12='5층_부하량'!B3:B3000),0))</f>
        <v>1.740381336117945</v>
      </c>
      <c r="Q541" s="387"/>
      <c r="R541" s="388" t="s">
        <v>5989</v>
      </c>
      <c r="S541" s="389" t="s">
        <v>4575</v>
      </c>
      <c r="T541" s="395" t="s">
        <v>6155</v>
      </c>
    </row>
    <row r="542" spans="1:20" s="356" customFormat="1" ht="16.5" x14ac:dyDescent="0.15">
      <c r="A542" s="391" t="s">
        <v>6156</v>
      </c>
      <c r="B542" s="388" t="s">
        <v>5989</v>
      </c>
      <c r="C542" s="389" t="s">
        <v>4575</v>
      </c>
      <c r="D542" s="2679" cm="1" t="n">
        <f t="array" ref="D542">INDEX('5층_부하량'!I3:I3000,MATCH(1,("5-DaHall 1-PDU-22"='5층_부하량'!A3:A3000)*(13='5층_부하량'!B3:B3000),0))</f>
        <v>4.06572118793818</v>
      </c>
      <c r="E542" s="387"/>
      <c r="F542" s="387"/>
      <c r="G542" s="387"/>
      <c r="H542" s="382" t="s">
        <v>5001</v>
      </c>
      <c r="I542" s="558" t="s">
        <v>4657</v>
      </c>
      <c r="J542" s="1044"/>
      <c r="K542" s="1045"/>
      <c r="L542" s="578" t="s">
        <v>4601</v>
      </c>
      <c r="M542" s="1234" t="s">
        <v>6078</v>
      </c>
      <c r="N542" s="2679" cm="1" t="n">
        <f t="array" ref="N542">INDEX('5층_부하량'!I3:I3000,MATCH(1,("5-DaHall 1-PDU-22"='5층_부하량'!A3:A3000)*(14='5층_부하량'!B3:B3000),0))</f>
        <v>2.339954678185228</v>
      </c>
      <c r="O542" s="387"/>
      <c r="P542" s="387"/>
      <c r="Q542" s="387"/>
      <c r="R542" s="388" t="s">
        <v>5989</v>
      </c>
      <c r="S542" s="389" t="s">
        <v>4575</v>
      </c>
      <c r="T542" s="395" t="s">
        <v>6157</v>
      </c>
    </row>
    <row r="543" spans="1:20" s="356" customFormat="1" ht="16.5" x14ac:dyDescent="0.15">
      <c r="A543" s="448" t="s">
        <v>6158</v>
      </c>
      <c r="B543" s="388" t="s">
        <v>5989</v>
      </c>
      <c r="C543" s="389" t="s">
        <v>4575</v>
      </c>
      <c r="D543" s="387"/>
      <c r="E543" s="2679" cm="1" t="n">
        <f t="array" ref="E543">INDEX('5층_부하량'!J3:J3000,MATCH(1,("5-DaHall 1-PDU-22"='5층_부하량'!A3:A3000)*(15='5층_부하량'!B3:B3000),0))</f>
        <v>3.7615005394402967</v>
      </c>
      <c r="F543" s="387"/>
      <c r="G543" s="387"/>
      <c r="H543" s="1234" t="s">
        <v>6078</v>
      </c>
      <c r="I543" s="558" t="s">
        <v>4661</v>
      </c>
      <c r="J543" s="1044"/>
      <c r="K543" s="1045"/>
      <c r="L543" s="578" t="s">
        <v>4603</v>
      </c>
      <c r="M543" s="382" t="s">
        <v>5001</v>
      </c>
      <c r="N543" s="387"/>
      <c r="O543" s="2679" cm="1" t="n">
        <f t="array" ref="O543">INDEX('5층_부하량'!J3:J3000,MATCH(1,("5-DaHall 1-PDU-22"='5층_부하량'!A3:A3000)*(16='5층_부하량'!B3:B3000),0))</f>
        <v>8.513702297905091</v>
      </c>
      <c r="P543" s="387"/>
      <c r="Q543" s="387"/>
      <c r="R543" s="388" t="s">
        <v>5989</v>
      </c>
      <c r="S543" s="1232" t="s">
        <v>4723</v>
      </c>
      <c r="T543" s="395" t="s">
        <v>6159</v>
      </c>
    </row>
    <row r="544" spans="1:20" s="356" customFormat="1" ht="16.5" x14ac:dyDescent="0.15">
      <c r="A544" s="448" t="s">
        <v>6160</v>
      </c>
      <c r="B544" s="388" t="s">
        <v>5989</v>
      </c>
      <c r="C544" s="389" t="s">
        <v>4575</v>
      </c>
      <c r="D544" s="387"/>
      <c r="E544" s="387"/>
      <c r="F544" s="2679" cm="1" t="n">
        <f t="array" ref="F544">INDEX('5층_부하량'!K3:K3000,MATCH(1,("5-DaHall 1-PDU-22"='5층_부하량'!A3:A3000)*(17='5층_부하량'!B3:B3000),0))</f>
        <v>4.3797013059000705</v>
      </c>
      <c r="G544" s="387"/>
      <c r="H544" s="1235" t="s">
        <v>4576</v>
      </c>
      <c r="I544" s="558" t="s">
        <v>4665</v>
      </c>
      <c r="J544" s="1044"/>
      <c r="K544" s="1045"/>
      <c r="L544" s="578" t="s">
        <v>4605</v>
      </c>
      <c r="M544" s="382" t="s">
        <v>5001</v>
      </c>
      <c r="N544" s="387"/>
      <c r="O544" s="387"/>
      <c r="P544" s="2679" cm="1" t="n">
        <f t="array" ref="P544">INDEX('5층_부하량'!K3:K3000,MATCH(1,("5-DaHall 1-PDU-22"='5층_부하량'!A3:A3000)*(18='5층_부하량'!B3:B3000),0))</f>
        <v>4.330253187721862</v>
      </c>
      <c r="Q544" s="387"/>
      <c r="R544" s="388" t="s">
        <v>5989</v>
      </c>
      <c r="S544" s="1232" t="s">
        <v>4723</v>
      </c>
      <c r="T544" s="395" t="s">
        <v>6161</v>
      </c>
    </row>
    <row r="545" spans="1:20" s="356" customFormat="1" ht="16.5" x14ac:dyDescent="0.15">
      <c r="A545" s="448" t="s">
        <v>6162</v>
      </c>
      <c r="B545" s="388" t="s">
        <v>5989</v>
      </c>
      <c r="C545" s="389" t="s">
        <v>4575</v>
      </c>
      <c r="D545" s="2679" cm="1" t="n">
        <f t="array" ref="D545">INDEX('5층_부하량'!I3:I3000,MATCH(1,("5-DaHall 1-PDU-22"='5층_부하량'!A3:A3000)*(19='5층_부하량'!B3:B3000),0))</f>
        <v>3.523111260566929</v>
      </c>
      <c r="E545" s="387"/>
      <c r="F545" s="387"/>
      <c r="G545" s="387"/>
      <c r="H545" s="1235" t="s">
        <v>4576</v>
      </c>
      <c r="I545" s="558" t="s">
        <v>4670</v>
      </c>
      <c r="J545" s="1044"/>
      <c r="K545" s="1045"/>
      <c r="L545" s="578" t="s">
        <v>4609</v>
      </c>
      <c r="M545" s="382" t="s">
        <v>5001</v>
      </c>
      <c r="N545" s="2679" cm="1" t="n">
        <f t="array" ref="N545">INDEX('5층_부하량'!I3:I3000,MATCH(1,("5-DaHall 1-PDU-22"='5층_부하량'!A3:A3000)*(20='5층_부하량'!B3:B3000),0))</f>
        <v>3.237705466774116</v>
      </c>
      <c r="O545" s="387"/>
      <c r="P545" s="387"/>
      <c r="Q545" s="387"/>
      <c r="R545" s="388" t="s">
        <v>5989</v>
      </c>
      <c r="S545" s="1232" t="s">
        <v>4723</v>
      </c>
      <c r="T545" s="395" t="s">
        <v>6163</v>
      </c>
    </row>
    <row r="546" spans="1:20" s="356" customFormat="1" ht="16.5" x14ac:dyDescent="0.15">
      <c r="A546" s="448"/>
      <c r="B546" s="388" t="s">
        <v>565</v>
      </c>
      <c r="C546" s="1232" t="s">
        <v>4723</v>
      </c>
      <c r="D546" s="387"/>
      <c r="E546" s="2672" cm="1" t="n">
        <f t="array" ref="E546">INDEX('5층_부하량'!J3:J3000,MATCH(1,("5-DaHall 1-PDU-22"='5층_부하량'!A3:A3000)*(21='5층_부하량'!B3:B3000),0))</f>
        <v>4.801776105615272</v>
      </c>
      <c r="F546" s="387"/>
      <c r="G546" s="387"/>
      <c r="H546" s="382" t="s">
        <v>5001</v>
      </c>
      <c r="I546" s="2452" t="s">
        <v>6094</v>
      </c>
      <c r="J546" s="1044"/>
      <c r="K546" s="1045"/>
      <c r="L546" s="589" t="s">
        <v>6095</v>
      </c>
      <c r="M546" s="382" t="s">
        <v>5001</v>
      </c>
      <c r="N546" s="387"/>
      <c r="O546" s="2672" cm="1" t="n">
        <f t="array" ref="O546">INDEX('5층_부하량'!J3:J3000,MATCH(1,("5-DaHall 1-PDU-22"='5층_부하량'!A3:A3000)*(22='5층_부하량'!B3:B3000),0))</f>
        <v>3.213533847291237</v>
      </c>
      <c r="P546" s="387"/>
      <c r="Q546" s="387"/>
      <c r="R546" s="388" t="s">
        <v>5989</v>
      </c>
      <c r="S546" s="1232" t="s">
        <v>4723</v>
      </c>
      <c r="T546" s="395" t="s">
        <v>6164</v>
      </c>
    </row>
    <row r="547" spans="1:20" s="356" customFormat="1" ht="17.25" thickBot="1" x14ac:dyDescent="0.2">
      <c r="A547" s="431"/>
      <c r="B547" s="436" t="s">
        <v>4590</v>
      </c>
      <c r="C547" s="432" t="s">
        <v>4642</v>
      </c>
      <c r="D547" s="433"/>
      <c r="E547" s="433"/>
      <c r="F547" s="2680" cm="1" t="n">
        <f t="array" ref="F547">INDEX('5층_부하량'!K3:K3000,MATCH(1,("5-DaHall 1-PDU-22"='5층_부하량'!A3:A3000)*(23='5층_부하량'!B3:B3000),0))</f>
        <v>4.648599596876963</v>
      </c>
      <c r="G547" s="433"/>
      <c r="H547" s="432" t="s">
        <v>5001</v>
      </c>
      <c r="I547" s="2453" t="s">
        <v>6097</v>
      </c>
      <c r="J547" s="1229"/>
      <c r="K547" s="1230"/>
      <c r="L547" s="1231" t="s">
        <v>6098</v>
      </c>
      <c r="M547" s="432" t="s">
        <v>5001</v>
      </c>
      <c r="N547" s="433"/>
      <c r="O547" s="433"/>
      <c r="P547" s="2680" cm="1">
        <f t="array" ref="P547">INDEX('5층_부하량'!K3:K3000,MATCH(1,("5-DaHall 1-PDU-22"='5층_부하량'!A3:A3000)*(24='5층_부하량'!B3:B3000),0))</f>
        <v>0</v>
      </c>
      <c r="Q547" s="433"/>
      <c r="R547" s="436" t="s">
        <v>4590</v>
      </c>
      <c r="S547" s="432" t="s">
        <v>4642</v>
      </c>
      <c r="T547" s="438"/>
    </row>
    <row r="548" spans="1:20" s="356" customFormat="1" ht="17.25" thickTop="1" x14ac:dyDescent="0.15">
      <c r="L548" s="2445"/>
      <c r="M548" s="411" t="s">
        <v>5645</v>
      </c>
      <c r="N548" s="412" t="n">
        <f>SUM(D536:D547,N536:N547)</f>
        <v>30.092937957237105</v>
      </c>
      <c r="O548" s="412" t="n">
        <f>SUM(E536:E547,O536:O547)</f>
        <v>38.293684842553496</v>
      </c>
      <c r="P548" s="412" t="n">
        <f>SUM(F536:F547,P536:P547)</f>
        <v>26.27458431774442</v>
      </c>
    </row>
    <row r="549" spans="1:20" s="356" customFormat="1" ht="18.75" x14ac:dyDescent="0.15">
      <c r="A549" s="355" t="s">
        <v>6165</v>
      </c>
      <c r="B549" s="358"/>
      <c r="C549" s="451"/>
      <c r="D549" s="452"/>
      <c r="E549" s="452"/>
      <c r="F549" s="452"/>
      <c r="G549" s="452"/>
      <c r="H549" s="358"/>
      <c r="I549" s="358"/>
      <c r="J549" s="453"/>
      <c r="K549" s="453"/>
      <c r="L549" s="586"/>
      <c r="M549" s="411"/>
      <c r="N549" s="452"/>
      <c r="O549" s="452"/>
      <c r="P549" s="452"/>
      <c r="Q549" s="452"/>
      <c r="R549" s="454"/>
      <c r="S549" s="358"/>
      <c r="T549" s="361"/>
    </row>
    <row r="550" spans="1:20" s="356" customFormat="1" ht="17.25" thickBot="1" x14ac:dyDescent="0.2">
      <c r="L550" s="2445"/>
      <c r="M550" s="411"/>
      <c r="N550" s="412"/>
      <c r="O550" s="412"/>
      <c r="P550" s="412"/>
    </row>
    <row r="551" spans="1:20" s="356" customFormat="1" ht="18" thickTop="1" thickBot="1" x14ac:dyDescent="0.2">
      <c r="A551" s="364" t="s">
        <v>4564</v>
      </c>
      <c r="B551" s="365" t="s">
        <v>4565</v>
      </c>
      <c r="C551" s="366" t="s">
        <v>4566</v>
      </c>
      <c r="D551" s="365" t="s">
        <v>4567</v>
      </c>
      <c r="E551" s="365" t="s">
        <v>4568</v>
      </c>
      <c r="F551" s="365" t="s">
        <v>4569</v>
      </c>
      <c r="G551" s="365" t="s">
        <v>4570</v>
      </c>
      <c r="H551" s="367" t="s">
        <v>4571</v>
      </c>
      <c r="I551" s="557"/>
      <c r="J551" s="368" t="s">
        <v>4572</v>
      </c>
      <c r="K551" s="369" t="s">
        <v>4572</v>
      </c>
      <c r="L551" s="575"/>
      <c r="M551" s="367" t="s">
        <v>4571</v>
      </c>
      <c r="N551" s="365" t="s">
        <v>4567</v>
      </c>
      <c r="O551" s="365" t="s">
        <v>4568</v>
      </c>
      <c r="P551" s="365" t="s">
        <v>4569</v>
      </c>
      <c r="Q551" s="365" t="s">
        <v>4570</v>
      </c>
      <c r="R551" s="365" t="s">
        <v>4565</v>
      </c>
      <c r="S551" s="366" t="s">
        <v>4566</v>
      </c>
      <c r="T551" s="370" t="s">
        <v>4564</v>
      </c>
    </row>
    <row r="552" spans="1:20" s="356" customFormat="1" ht="17.25" thickTop="1" x14ac:dyDescent="0.15">
      <c r="A552" s="1324" t="s">
        <v>6166</v>
      </c>
      <c r="B552" s="372" t="s">
        <v>4635</v>
      </c>
      <c r="C552" s="389" t="s">
        <v>4575</v>
      </c>
      <c r="D552" s="377">
        <v>5.6</v>
      </c>
      <c r="E552" s="377">
        <v>7.2</v>
      </c>
      <c r="F552" s="377">
        <v>2.2999999999999998</v>
      </c>
      <c r="G552" s="377">
        <v>3.8</v>
      </c>
      <c r="H552" s="2454" t="s">
        <v>6167</v>
      </c>
      <c r="I552" s="2455" t="s">
        <v>6168</v>
      </c>
      <c r="J552" s="375" t="s">
        <v>6169</v>
      </c>
      <c r="K552" s="376" t="s">
        <v>4309</v>
      </c>
      <c r="L552" s="587" t="s">
        <v>4871</v>
      </c>
      <c r="M552" s="2450" t="s">
        <v>6167</v>
      </c>
      <c r="N552" s="377">
        <v>4.5999999999999996</v>
      </c>
      <c r="O552" s="377">
        <v>5</v>
      </c>
      <c r="P552" s="377">
        <v>1.5</v>
      </c>
      <c r="Q552" s="377">
        <v>2.7</v>
      </c>
      <c r="R552" s="378" t="s">
        <v>4635</v>
      </c>
      <c r="S552" s="389" t="s">
        <v>4575</v>
      </c>
      <c r="T552" s="2456" t="s">
        <v>6170</v>
      </c>
    </row>
    <row r="553" spans="1:20" s="356" customFormat="1" ht="16.5" x14ac:dyDescent="0.15">
      <c r="A553" s="391" t="s">
        <v>6171</v>
      </c>
      <c r="B553" s="382" t="s">
        <v>4631</v>
      </c>
      <c r="C553" s="389" t="s">
        <v>4575</v>
      </c>
      <c r="D553" s="386">
        <v>8.4</v>
      </c>
      <c r="E553" s="386">
        <v>19.2</v>
      </c>
      <c r="F553" s="386">
        <v>9.1999999999999993</v>
      </c>
      <c r="G553" s="386">
        <v>10.7</v>
      </c>
      <c r="H553" s="382" t="s">
        <v>5790</v>
      </c>
      <c r="I553" s="2452" t="s">
        <v>6172</v>
      </c>
      <c r="J553" s="384" t="s">
        <v>6173</v>
      </c>
      <c r="K553" s="385" t="s">
        <v>6174</v>
      </c>
      <c r="L553" s="588" t="s">
        <v>6175</v>
      </c>
      <c r="M553" s="382" t="s">
        <v>5786</v>
      </c>
      <c r="N553" s="386">
        <v>8.6</v>
      </c>
      <c r="O553" s="386">
        <v>8.4</v>
      </c>
      <c r="P553" s="386">
        <v>9</v>
      </c>
      <c r="Q553" s="386">
        <v>2.1</v>
      </c>
      <c r="R553" s="388" t="s">
        <v>4635</v>
      </c>
      <c r="S553" s="389" t="s">
        <v>4575</v>
      </c>
      <c r="T553" s="390" t="s">
        <v>6176</v>
      </c>
    </row>
    <row r="554" spans="1:20" s="356" customFormat="1" ht="17.25" thickBot="1" x14ac:dyDescent="0.2">
      <c r="A554" s="431" t="s">
        <v>6177</v>
      </c>
      <c r="B554" s="432" t="s">
        <v>4635</v>
      </c>
      <c r="C554" s="437" t="s">
        <v>4575</v>
      </c>
      <c r="D554" s="435">
        <v>11.2</v>
      </c>
      <c r="E554" s="435">
        <v>8</v>
      </c>
      <c r="F554" s="435">
        <v>11.6</v>
      </c>
      <c r="G554" s="435">
        <v>4</v>
      </c>
      <c r="H554" s="432" t="s">
        <v>5786</v>
      </c>
      <c r="I554" s="2453" t="s">
        <v>6178</v>
      </c>
      <c r="J554" s="449" t="s">
        <v>6174</v>
      </c>
      <c r="K554" s="441" t="s">
        <v>6174</v>
      </c>
      <c r="L554" s="1231" t="s">
        <v>6179</v>
      </c>
      <c r="M554" s="432" t="s">
        <v>5786</v>
      </c>
      <c r="N554" s="435">
        <v>11.7</v>
      </c>
      <c r="O554" s="435">
        <v>11.5</v>
      </c>
      <c r="P554" s="435">
        <v>11.5</v>
      </c>
      <c r="Q554" s="435">
        <v>1.8</v>
      </c>
      <c r="R554" s="436" t="s">
        <v>4635</v>
      </c>
      <c r="S554" s="437" t="s">
        <v>4575</v>
      </c>
      <c r="T554" s="438" t="s">
        <v>6180</v>
      </c>
    </row>
    <row r="555" spans="1:20" s="356" customFormat="1" ht="17.25" thickTop="1" x14ac:dyDescent="0.15">
      <c r="L555" s="2445"/>
    </row>
    <row r="556" spans="1:20" s="356" customFormat="1" ht="16.5" x14ac:dyDescent="0.15">
      <c r="D556" s="356" t="s">
        <v>4969</v>
      </c>
      <c r="E556" s="356" t="s">
        <v>6181</v>
      </c>
      <c r="L556" s="2445"/>
    </row>
    <row r="557" spans="1:20" s="356" customFormat="1" ht="16.5" x14ac:dyDescent="0.15">
      <c r="B557" s="356" t="s">
        <v>6182</v>
      </c>
      <c r="D557" s="412" t="n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651.6080654694381</v>
      </c>
      <c r="E557" s="455" t="n">
        <f t="shared" ref="E557:E564" si="0">D557/$D$564</f>
        <v>0.503058584709188</v>
      </c>
      <c r="L557" s="2445"/>
      <c r="M557" s="356" t="s">
        <v>6888</v>
      </c>
      <c r="N557" s="412" t="n">
        <f>N53</f>
        <v>35.41443095167022</v>
      </c>
      <c r="O557" s="412" t="n">
        <f t="shared" ref="O557:P557" si="1">O53</f>
        <v>38.35676223463697</v>
      </c>
      <c r="P557" s="412" t="n">
        <f t="shared" si="1"/>
        <v>28.56522907716273</v>
      </c>
    </row>
    <row r="558" spans="1:20" s="356" customFormat="1" ht="16.5" x14ac:dyDescent="0.15">
      <c r="A558" s="456"/>
      <c r="B558" s="2457" t="s">
        <v>3871</v>
      </c>
      <c r="D558" s="412" t="n">
        <f>SUM(N356:P356,N415:P415,D356:F356,D415:F415,D425:F425)</f>
        <v>44.303306783703846</v>
      </c>
      <c r="E558" s="455" t="n">
        <f t="shared" si="0"/>
        <v>0.0342033194332711</v>
      </c>
      <c r="L558" s="2445"/>
      <c r="M558" s="356" t="s">
        <v>6889</v>
      </c>
      <c r="N558" s="412" t="n">
        <f>N83</f>
        <v>34.260547035432324</v>
      </c>
      <c r="O558" s="412" t="n">
        <f t="shared" ref="O558:P558" si="2">O83</f>
        <v>35.69933458120285</v>
      </c>
      <c r="P558" s="412" t="n">
        <f t="shared" si="2"/>
        <v>27.022333544301457</v>
      </c>
    </row>
    <row r="559" spans="1:20" s="356" customFormat="1" ht="16.5" x14ac:dyDescent="0.15">
      <c r="A559" s="456"/>
      <c r="B559" s="2457" t="s">
        <v>6183</v>
      </c>
      <c r="D559" s="412" t="n">
        <f>SUM(D553:F554,N553:P554)</f>
        <v>128.3</v>
      </c>
      <c r="E559" s="455" t="n">
        <f t="shared" si="0"/>
        <v>0.09905097840016838</v>
      </c>
      <c r="L559" s="2445"/>
      <c r="M559" s="356" t="s">
        <v>6890</v>
      </c>
      <c r="N559" s="412" t="n">
        <f>N113</f>
        <v>28.00070764045334</v>
      </c>
      <c r="O559" s="412" t="n">
        <f t="shared" ref="O559:P559" si="3">O113</f>
        <v>18.689396809852447</v>
      </c>
      <c r="P559" s="412" t="n">
        <f t="shared" si="3"/>
        <v>18.71630801304488</v>
      </c>
    </row>
    <row r="560" spans="1:20" s="356" customFormat="1" ht="16.5" x14ac:dyDescent="0.15">
      <c r="A560" s="456"/>
      <c r="B560" s="2457" t="s">
        <v>6184</v>
      </c>
      <c r="D560" s="1008" t="n">
        <f>SUM(N463:P463)</f>
        <v>26.602128177072444</v>
      </c>
      <c r="E560" s="1009" t="n">
        <f t="shared" si="0"/>
        <v>0.02053754344088631</v>
      </c>
      <c r="L560" s="2445"/>
      <c r="M560" s="356" t="s">
        <v>6891</v>
      </c>
      <c r="N560" s="412" t="n">
        <f>N143</f>
        <v>25.126113500137926</v>
      </c>
      <c r="O560" s="412" t="n">
        <f t="shared" ref="O560:P560" si="4">O143</f>
        <v>17.16435185052263</v>
      </c>
      <c r="P560" s="412" t="n">
        <f t="shared" si="4"/>
        <v>18.33823250804028</v>
      </c>
    </row>
    <row r="561" spans="1:17" s="356" customFormat="1" ht="16.5" x14ac:dyDescent="0.15">
      <c r="A561" s="456"/>
      <c r="B561" s="2457" t="s">
        <v>6185</v>
      </c>
      <c r="D561" s="1008" t="n">
        <f>SUM(N484:P484)</f>
        <v>20.758713459334825</v>
      </c>
      <c r="E561" s="1009" t="n">
        <f t="shared" si="0"/>
        <v>0.01602627340978845</v>
      </c>
      <c r="F561" s="2458" t="s">
        <v>6186</v>
      </c>
      <c r="G561" s="1010" t="n">
        <f>SUM(E560:E561)</f>
        <v>0.03656381685067476</v>
      </c>
      <c r="H561" s="412"/>
      <c r="L561" s="2445"/>
      <c r="M561" s="356" t="s">
        <v>6892</v>
      </c>
      <c r="N561" s="412" t="n">
        <f>N191</f>
        <v>0.0</v>
      </c>
      <c r="O561" s="412" t="n">
        <f t="shared" ref="O561:P561" si="5">O191</f>
        <v>0.0</v>
      </c>
      <c r="P561" s="412" t="n">
        <f t="shared" si="5"/>
        <v>0.0</v>
      </c>
    </row>
    <row r="562" spans="1:17" s="356" customFormat="1" ht="16.5" x14ac:dyDescent="0.15">
      <c r="A562" s="456"/>
      <c r="B562" s="2457" t="s">
        <v>6187</v>
      </c>
      <c r="D562" s="1008" t="n">
        <f>SUM(D362:F362,D367:F367,D370:F370,D421:F424,D426:F429,N426:P426,N429:P429)</f>
        <v>18.833981290819644</v>
      </c>
      <c r="E562" s="1009" t="n">
        <f t="shared" si="0"/>
        <v>0.014540329493578736</v>
      </c>
      <c r="F562" s="2458"/>
      <c r="G562" s="1010"/>
      <c r="L562" s="2445"/>
      <c r="M562" s="356" t="s">
        <v>6893</v>
      </c>
      <c r="N562" s="412" t="n">
        <f>N222</f>
        <v>0.0016637000664350941</v>
      </c>
      <c r="O562" s="412" t="n">
        <f t="shared" ref="O562:P562" si="6">O222</f>
        <v>0.0012919340172514043</v>
      </c>
      <c r="P562" s="412" t="n">
        <f t="shared" si="6"/>
        <v>0.002694870550618457</v>
      </c>
    </row>
    <row r="563" spans="1:17" s="356" customFormat="1" ht="16.5" x14ac:dyDescent="0.15">
      <c r="A563" s="456"/>
      <c r="B563" s="1236" t="s">
        <v>6188</v>
      </c>
      <c r="C563" s="1237"/>
      <c r="D563" s="1238" t="n">
        <f>SUM(N500:P500,N516:P516,N532:P532,N548:P548)</f>
        <v>404.88641143745633</v>
      </c>
      <c r="E563" s="1239" t="n">
        <f t="shared" si="0"/>
        <v>0.31258297111311906</v>
      </c>
      <c r="F563" s="2445"/>
      <c r="L563" s="2445"/>
      <c r="M563" s="356" t="s">
        <v>6894</v>
      </c>
      <c r="N563" s="412" t="n">
        <f>N244</f>
        <v>9.757353415913</v>
      </c>
      <c r="O563" s="412" t="n">
        <f t="shared" ref="O563:P563" si="7">O244</f>
        <v>1.4519812626448076</v>
      </c>
      <c r="P563" s="412" t="n">
        <f t="shared" si="7"/>
        <v>0.7691805250042074</v>
      </c>
    </row>
    <row r="564" spans="1:17" s="356" customFormat="1" ht="16.5" x14ac:dyDescent="0.15">
      <c r="A564" s="356" t="s">
        <v>6189</v>
      </c>
      <c r="B564" s="356" t="s">
        <v>6182</v>
      </c>
      <c r="D564" s="412" t="n">
        <f>SUM(D557:D563)</f>
        <v>1295.2926066178252</v>
      </c>
      <c r="E564" s="457" t="n">
        <f t="shared" si="0"/>
        <v>1.0</v>
      </c>
      <c r="J564" s="412"/>
      <c r="L564" s="2445"/>
      <c r="M564" s="356" t="s">
        <v>6895</v>
      </c>
      <c r="N564" s="412" t="n">
        <f>N289</f>
        <v>7.638725935932935</v>
      </c>
      <c r="O564" s="412" t="n">
        <f t="shared" ref="O564:P564" si="8">O289</f>
        <v>7.88671153345359</v>
      </c>
      <c r="P564" s="412" t="n">
        <f t="shared" si="8"/>
        <v>1.3279569611502828</v>
      </c>
    </row>
    <row r="565" spans="1:17" s="356" customFormat="1" ht="16.5" x14ac:dyDescent="0.15">
      <c r="D565" s="412"/>
      <c r="E565" s="412"/>
      <c r="L565" s="2445"/>
      <c r="M565" s="356" t="s">
        <v>6896</v>
      </c>
      <c r="N565" s="412" t="n">
        <f>N267</f>
        <v>0.0</v>
      </c>
      <c r="O565" s="412" t="n">
        <f t="shared" ref="O565:P565" si="9">O267</f>
        <v>0.0</v>
      </c>
      <c r="P565" s="412" t="n">
        <f t="shared" si="9"/>
        <v>0.0</v>
      </c>
    </row>
    <row r="566" spans="1:17" s="356" customFormat="1" ht="16.5" x14ac:dyDescent="0.15">
      <c r="L566" s="2445"/>
      <c r="M566" s="356" t="s">
        <v>6897</v>
      </c>
      <c r="N566" s="412" t="n">
        <f>N312</f>
        <v>0.0</v>
      </c>
      <c r="O566" s="412" t="n">
        <f t="shared" ref="O566:P566" si="10">O312</f>
        <v>0.0</v>
      </c>
      <c r="P566" s="412" t="n">
        <f t="shared" si="10"/>
        <v>0.0</v>
      </c>
    </row>
    <row r="567" spans="1:17" s="356" customFormat="1" ht="16.5" x14ac:dyDescent="0.15">
      <c r="L567" s="2445"/>
      <c r="M567" s="356" t="s">
        <v>6898</v>
      </c>
      <c r="N567" s="412" t="n">
        <f>N332</f>
        <v>15.265068958209973</v>
      </c>
      <c r="O567" s="412" t="n">
        <f t="shared" ref="O567:P567" si="11">O332</f>
        <v>32.32040422179023</v>
      </c>
      <c r="P567" s="412" t="n">
        <f t="shared" si="11"/>
        <v>18.83739932582729</v>
      </c>
    </row>
    <row r="568" spans="1:17" s="356" customFormat="1" ht="17.25" thickBot="1" x14ac:dyDescent="0.2">
      <c r="L568" s="2445"/>
      <c r="M568" s="356" t="s">
        <v>6899</v>
      </c>
      <c r="N568" s="412" t="n">
        <f>N391</f>
        <v>23.17577261014317</v>
      </c>
      <c r="O568" s="412" t="n">
        <f t="shared" ref="O568:P568" si="12">O391</f>
        <v>25.545044332438987</v>
      </c>
      <c r="P568" s="412" t="n">
        <f t="shared" si="12"/>
        <v>23.522588525107476</v>
      </c>
    </row>
    <row r="569" spans="1:17" s="356" customFormat="1" ht="16.5" x14ac:dyDescent="0.15">
      <c r="B569" s="458"/>
      <c r="C569" s="459"/>
      <c r="D569" s="460"/>
      <c r="E569" s="460"/>
      <c r="F569" s="460"/>
      <c r="G569" s="460"/>
      <c r="H569" s="460"/>
      <c r="I569" s="460"/>
      <c r="J569" s="459"/>
      <c r="L569" s="2445"/>
      <c r="M569" s="356" t="s">
        <v>6900</v>
      </c>
      <c r="N569" s="412" t="n">
        <f>N352</f>
        <v>17.580718428840534</v>
      </c>
      <c r="O569" s="412" t="n">
        <f t="shared" ref="O569:P569" si="13">O352</f>
        <v>35.89592922606905</v>
      </c>
      <c r="P569" s="412" t="n">
        <f t="shared" si="13"/>
        <v>19.798877183764162</v>
      </c>
    </row>
    <row r="570" spans="1:17" s="356" customFormat="1" ht="16.5" x14ac:dyDescent="0.15">
      <c r="B570" s="3670" t="s">
        <v>6173</v>
      </c>
      <c r="C570" s="3671"/>
      <c r="J570" s="461"/>
      <c r="L570" s="2445"/>
      <c r="M570" s="356" t="s">
        <v>6391</v>
      </c>
      <c r="N570" s="412" t="n">
        <f>N411</f>
        <v>21.781145291270324</v>
      </c>
      <c r="O570" s="412" t="n">
        <f t="shared" ref="O570:P570" si="14">O411</f>
        <v>24.15040030354418</v>
      </c>
      <c r="P570" s="412" t="n">
        <f t="shared" si="14"/>
        <v>9.077078559030117</v>
      </c>
    </row>
    <row r="571" spans="1:17" s="356" customFormat="1" ht="17.25" thickBot="1" x14ac:dyDescent="0.2">
      <c r="B571" s="462"/>
      <c r="C571" s="463"/>
      <c r="J571" s="461"/>
      <c r="L571" s="2445"/>
      <c r="M571" s="356" t="s">
        <v>6393</v>
      </c>
      <c r="N571" s="412" t="n">
        <f>N371</f>
        <v>29.57089235647395</v>
      </c>
      <c r="O571" s="412" t="n">
        <f t="shared" ref="O571:P571" si="15">O371</f>
        <v>24.89510652326562</v>
      </c>
      <c r="P571" s="412" t="n">
        <f t="shared" si="15"/>
        <v>14.976563161945744</v>
      </c>
    </row>
    <row r="572" spans="1:17" s="356" customFormat="1" ht="16.5" x14ac:dyDescent="0.15">
      <c r="B572" s="464"/>
      <c r="J572" s="461"/>
      <c r="L572" s="2445"/>
      <c r="M572" s="356" t="s">
        <v>6395</v>
      </c>
      <c r="N572" s="412" t="n">
        <f>N430</f>
        <v>24.824410642316458</v>
      </c>
      <c r="O572" s="412" t="n">
        <f t="shared" ref="O572:P572" si="16">O430</f>
        <v>20.9425556693191</v>
      </c>
      <c r="P572" s="412" t="n">
        <f t="shared" si="16"/>
        <v>16.095545667445553</v>
      </c>
    </row>
    <row r="573" spans="1:17" s="356" customFormat="1" ht="16.5" x14ac:dyDescent="0.15">
      <c r="B573" s="464"/>
      <c r="E573" s="465"/>
      <c r="J573" s="461"/>
      <c r="L573" s="2445"/>
      <c r="M573" s="356" t="s">
        <v>6901</v>
      </c>
      <c r="N573" s="412" t="n">
        <f>N463</f>
        <v>7.248957224470267</v>
      </c>
      <c r="O573" s="412" t="n">
        <f t="shared" ref="O573:P573" si="17">O463</f>
        <v>7.906366106272439</v>
      </c>
      <c r="P573" s="412" t="n">
        <f t="shared" si="17"/>
        <v>11.446804846329739</v>
      </c>
      <c r="Q573" s="412" t="n">
        <f>SUM(N573:P573)</f>
        <v>26.602128177072444</v>
      </c>
    </row>
    <row r="574" spans="1:17" s="356" customFormat="1" ht="16.5" x14ac:dyDescent="0.15">
      <c r="B574" s="464"/>
      <c r="E574" s="466"/>
      <c r="J574" s="461"/>
      <c r="L574" s="2445"/>
      <c r="M574" s="356" t="s">
        <v>6902</v>
      </c>
      <c r="N574" s="412" t="n">
        <f>N484</f>
        <v>5.651754106084543</v>
      </c>
      <c r="O574" s="412" t="n">
        <f t="shared" ref="O574:P574" si="18">O484</f>
        <v>6.8937037767589295</v>
      </c>
      <c r="P574" s="412" t="n">
        <f t="shared" si="18"/>
        <v>8.213255576491353</v>
      </c>
      <c r="Q574" s="412" t="n">
        <f>SUM(N574:P574)</f>
        <v>20.758713459334825</v>
      </c>
    </row>
    <row r="575" spans="1:17" s="356" customFormat="1" ht="16.5" x14ac:dyDescent="0.15">
      <c r="B575" s="464"/>
      <c r="E575" s="466"/>
      <c r="J575" s="461"/>
      <c r="L575" s="2445"/>
      <c r="M575" s="356" t="s">
        <v>6903</v>
      </c>
      <c r="N575" s="412" t="n">
        <f>N500</f>
        <v>34.25287250272777</v>
      </c>
      <c r="O575" s="412" t="n">
        <f t="shared" ref="O575:P575" si="19">O500</f>
        <v>43.16520783041742</v>
      </c>
      <c r="P575" s="412" t="n">
        <f t="shared" si="19"/>
        <v>31.9391983542882</v>
      </c>
    </row>
    <row r="576" spans="1:17" s="356" customFormat="1" ht="16.5" x14ac:dyDescent="0.15">
      <c r="B576" s="464"/>
      <c r="E576" s="467" t="s">
        <v>6190</v>
      </c>
      <c r="J576" s="461"/>
      <c r="L576" s="2445"/>
      <c r="M576" s="356" t="s">
        <v>6904</v>
      </c>
      <c r="N576" s="412" t="n">
        <f>N516</f>
        <v>30.51018951163423</v>
      </c>
      <c r="O576" s="412" t="n">
        <f t="shared" ref="O576:P576" si="20">O516</f>
        <v>37.755776234137876</v>
      </c>
      <c r="P576" s="412" t="n">
        <f t="shared" si="20"/>
        <v>23.78072349927017</v>
      </c>
    </row>
    <row r="577" spans="2:18" s="356" customFormat="1" ht="16.5" x14ac:dyDescent="0.15">
      <c r="B577" s="464"/>
      <c r="E577" s="466"/>
      <c r="J577" s="461"/>
      <c r="L577" s="2445"/>
      <c r="M577" s="356" t="s">
        <v>6905</v>
      </c>
      <c r="N577" s="412" t="n">
        <f>N532</f>
        <v>34.091499376241025</v>
      </c>
      <c r="O577" s="412" t="n">
        <f t="shared" ref="O577:P577" si="21">O532</f>
        <v>43.04777167546633</v>
      </c>
      <c r="P577" s="412" t="n">
        <f t="shared" si="21"/>
        <v>31.681965335738333</v>
      </c>
    </row>
    <row r="578" spans="2:18" s="356" customFormat="1" ht="16.5" x14ac:dyDescent="0.15">
      <c r="B578" s="464"/>
      <c r="E578" s="466"/>
      <c r="J578" s="461"/>
      <c r="L578" s="2445"/>
      <c r="M578" s="356" t="s">
        <v>6906</v>
      </c>
      <c r="N578" s="412" t="n">
        <f>N548</f>
        <v>30.092937957237105</v>
      </c>
      <c r="O578" s="412" t="n">
        <f t="shared" ref="O578:P578" si="22">O548</f>
        <v>38.293684842553496</v>
      </c>
      <c r="P578" s="412" t="n">
        <f t="shared" si="22"/>
        <v>26.27458431774442</v>
      </c>
      <c r="R578" s="412" t="n">
        <f>SUM(N575:P578)</f>
        <v>404.88641143745633</v>
      </c>
    </row>
    <row r="579" spans="2:18" s="356" customFormat="1" ht="17.25" thickBot="1" x14ac:dyDescent="0.2">
      <c r="B579" s="464"/>
      <c r="E579" s="468" t="s">
        <v>6191</v>
      </c>
      <c r="J579" s="461"/>
      <c r="L579" s="2445"/>
      <c r="N579" s="412" t="n">
        <f>SUM(N557:N578)</f>
        <v>414.24576114525547</v>
      </c>
      <c r="O579" s="412" t="n">
        <f t="shared" ref="O579:P579" si="23">SUM(O557:O578)</f>
        <v>460.06178094836423</v>
      </c>
      <c r="P579" s="412" t="n">
        <f t="shared" si="23"/>
        <v>330.386519852237</v>
      </c>
      <c r="Q579" s="412" t="n">
        <f>SUM(N579:P579)</f>
        <v>1204.6940619458567</v>
      </c>
    </row>
    <row r="580" spans="2:18" s="356" customFormat="1" ht="16.5" x14ac:dyDescent="0.15">
      <c r="B580" s="464"/>
      <c r="J580" s="461"/>
      <c r="L580" s="2445"/>
      <c r="Q580" s="412" t="n">
        <f>SUM(D553:F554)+SUM(N553:P554)</f>
        <v>128.3</v>
      </c>
    </row>
    <row r="581" spans="2:18" s="356" customFormat="1" ht="17.25" thickBot="1" x14ac:dyDescent="0.2">
      <c r="B581" s="464"/>
      <c r="J581" s="461"/>
      <c r="L581" s="2445"/>
      <c r="Q581" s="412" t="n">
        <f>SUM(Q579:Q580)</f>
        <v>1332.9940619458566</v>
      </c>
    </row>
    <row r="582" spans="2:18" s="356" customFormat="1" ht="16.5" x14ac:dyDescent="0.15">
      <c r="B582" s="464"/>
      <c r="F582" s="458"/>
      <c r="G582" s="459"/>
      <c r="H582" s="469"/>
      <c r="I582" s="469"/>
      <c r="J582" s="469"/>
      <c r="L582" s="2445"/>
    </row>
    <row r="583" spans="2:18" s="356" customFormat="1" ht="16.5" x14ac:dyDescent="0.15">
      <c r="B583" s="464"/>
      <c r="F583" s="3670" t="s">
        <v>6192</v>
      </c>
      <c r="G583" s="3671"/>
      <c r="H583" s="470" t="s">
        <v>6193</v>
      </c>
      <c r="I583" s="470"/>
      <c r="J583" s="470" t="s">
        <v>6194</v>
      </c>
      <c r="L583" s="2445"/>
    </row>
    <row r="584" spans="2:18" s="356" customFormat="1" ht="16.5" x14ac:dyDescent="0.15">
      <c r="B584" s="464"/>
      <c r="F584" s="464"/>
      <c r="G584" s="461"/>
      <c r="H584" s="471"/>
      <c r="I584" s="471"/>
      <c r="J584" s="471"/>
      <c r="L584" s="2445"/>
    </row>
    <row r="585" spans="2:18" s="356" customFormat="1" ht="17.25" thickBot="1" x14ac:dyDescent="0.2">
      <c r="B585" s="462"/>
      <c r="C585" s="472"/>
      <c r="D585" s="472"/>
      <c r="E585" s="472"/>
      <c r="F585" s="462"/>
      <c r="G585" s="463"/>
      <c r="H585" s="473"/>
      <c r="I585" s="473"/>
      <c r="J585" s="473"/>
      <c r="L585" s="2445"/>
    </row>
    <row r="586" spans="2:18" s="356" customFormat="1" ht="16.5" x14ac:dyDescent="0.15">
      <c r="L586" s="2445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1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3.5" x14ac:dyDescent="0.15"/>
  <cols>
    <col min="1" max="1" customWidth="true" width="18.33203125" collapsed="false"/>
    <col min="2" max="3" customWidth="true" width="6.77734375" collapsed="false"/>
    <col min="4" max="7" customWidth="true" width="8.109375" collapsed="false"/>
    <col min="8" max="8" bestFit="true" customWidth="true" width="8.21875" collapsed="false"/>
    <col min="9" max="9" bestFit="true" customWidth="true" width="8.0" collapsed="false"/>
    <col min="10" max="10" customWidth="true" width="10.33203125" collapsed="false"/>
    <col min="11" max="11" customWidth="true" width="18.33203125" collapsed="false"/>
    <col min="12" max="12" customWidth="true" width="8.33203125" collapsed="false"/>
    <col min="13" max="13" customWidth="true" width="6.77734375" collapsed="false"/>
    <col min="14" max="17" customWidth="true" width="8.109375" collapsed="false"/>
    <col min="18" max="18" bestFit="true" customWidth="true" width="8.21875" collapsed="false"/>
    <col min="19" max="19" bestFit="true" customWidth="true" width="8.0" collapsed="false"/>
    <col min="20" max="20" customWidth="true" width="10.33203125" collapsed="false"/>
  </cols>
  <sheetData>
    <row r="1" spans="1:22" x14ac:dyDescent="0.15">
      <c r="A1" s="2694" t="s">
        <v>9602</v>
      </c>
    </row>
    <row r="2" spans="1:22" ht="14.25" thickBot="1" x14ac:dyDescent="0.2">
      <c r="V2" s="2147"/>
    </row>
    <row r="3" spans="1:22" ht="20.25" thickTop="1" thickBot="1" x14ac:dyDescent="0.2">
      <c r="A3" s="2" t="s">
        <v>6933</v>
      </c>
      <c r="D3" s="3661" t="s">
        <v>6196</v>
      </c>
      <c r="E3" s="3667"/>
      <c r="F3" s="124"/>
      <c r="G3" s="3660" t="s">
        <v>6197</v>
      </c>
      <c r="H3" s="3660"/>
      <c r="I3" s="3660"/>
      <c r="K3" s="2" t="s">
        <v>6934</v>
      </c>
      <c r="N3" s="3661" t="s">
        <v>6196</v>
      </c>
      <c r="O3" s="3667"/>
      <c r="P3" s="124"/>
      <c r="Q3" s="3660" t="s">
        <v>6199</v>
      </c>
      <c r="R3" s="3660"/>
      <c r="S3" s="3660"/>
    </row>
    <row r="4" spans="1:22" ht="15" thickTop="1" thickBot="1" x14ac:dyDescent="0.2">
      <c r="A4" s="3"/>
      <c r="C4" s="1373" t="s">
        <v>4562</v>
      </c>
      <c r="D4" s="1374">
        <v>73.5</v>
      </c>
      <c r="E4" s="1375">
        <v>46</v>
      </c>
      <c r="F4" s="1376">
        <v>65.400000000000006</v>
      </c>
      <c r="G4" s="1377" t="s">
        <v>4563</v>
      </c>
      <c r="H4" s="133"/>
      <c r="I4" s="128"/>
      <c r="J4" s="528"/>
      <c r="K4" s="3"/>
      <c r="M4" s="1373" t="s">
        <v>4562</v>
      </c>
      <c r="N4" s="1374">
        <v>70.2</v>
      </c>
      <c r="O4" s="1375">
        <v>42.2</v>
      </c>
      <c r="P4" s="1376">
        <v>22.5</v>
      </c>
      <c r="Q4" s="1377" t="s">
        <v>4563</v>
      </c>
      <c r="R4" s="133"/>
      <c r="S4" s="128"/>
      <c r="T4" s="528"/>
    </row>
    <row r="5" spans="1:22" ht="15" thickTop="1" thickBot="1" x14ac:dyDescent="0.2">
      <c r="A5" s="5" t="s">
        <v>4629</v>
      </c>
      <c r="B5" s="6" t="s">
        <v>4565</v>
      </c>
      <c r="C5" s="7" t="s">
        <v>4566</v>
      </c>
      <c r="D5" s="6" t="s">
        <v>4567</v>
      </c>
      <c r="E5" s="6" t="s">
        <v>4568</v>
      </c>
      <c r="F5" s="6" t="s">
        <v>4569</v>
      </c>
      <c r="G5" s="6" t="s">
        <v>4570</v>
      </c>
      <c r="H5" s="8" t="s">
        <v>4571</v>
      </c>
      <c r="I5" s="547" t="s">
        <v>6200</v>
      </c>
      <c r="J5" s="9" t="s">
        <v>6201</v>
      </c>
      <c r="K5" s="5" t="s">
        <v>4629</v>
      </c>
      <c r="L5" s="6" t="s">
        <v>4565</v>
      </c>
      <c r="M5" s="7" t="s">
        <v>4566</v>
      </c>
      <c r="N5" s="6" t="s">
        <v>4567</v>
      </c>
      <c r="O5" s="6" t="s">
        <v>4568</v>
      </c>
      <c r="P5" s="6" t="s">
        <v>4569</v>
      </c>
      <c r="Q5" s="6" t="s">
        <v>4570</v>
      </c>
      <c r="R5" s="8" t="s">
        <v>4571</v>
      </c>
      <c r="S5" s="547" t="s">
        <v>6200</v>
      </c>
      <c r="T5" s="9" t="s">
        <v>6201</v>
      </c>
    </row>
    <row r="6" spans="1:22" ht="17.25" thickTop="1" x14ac:dyDescent="0.15">
      <c r="A6" s="10" t="s">
        <v>6202</v>
      </c>
      <c r="B6" s="11" t="s">
        <v>4631</v>
      </c>
      <c r="C6" s="12" t="s">
        <v>4575</v>
      </c>
      <c r="D6" s="2669" cm="1" t="n">
        <f t="array" ref="D6">INDEX('4층_부하량'!C3:C3000,MATCH(1,("4-DaHall 1-PDU-02"='4층_부하량'!A3:A3000)*(1='4층_부하량'!B3:B3000),0))</f>
        <v>0.62</v>
      </c>
      <c r="E6" s="2669" cm="1" t="n">
        <f t="array" ref="E6">INDEX('4층_부하량'!D3:D3000,MATCH(1,("4-DaHall 1-PDU-02"='4층_부하량'!A3:A3000)*(1='4층_부하량'!B3:B3000),0))</f>
        <v>0.54</v>
      </c>
      <c r="F6" s="2669" cm="1" t="n">
        <f t="array" ref="F6">INDEX('4층_부하량'!E3:E3000,MATCH(1,("4-DaHall 1-PDU-02"='4층_부하량'!A3:A3000)*(1='4층_부하량'!B3:B3000),0))</f>
        <v>0.78</v>
      </c>
      <c r="G6" s="348"/>
      <c r="H6" s="13" t="s">
        <v>4964</v>
      </c>
      <c r="I6" s="878" t="s">
        <v>4577</v>
      </c>
      <c r="J6" s="14" t="s">
        <v>6203</v>
      </c>
      <c r="K6" s="10"/>
      <c r="L6" s="11" t="s">
        <v>4590</v>
      </c>
      <c r="M6" s="13" t="s">
        <v>4642</v>
      </c>
      <c r="N6" s="2669" cm="1" t="n">
        <f t="array" ref="N6">INDEX('4층_부하량'!C3:C3000,MATCH(1,("4-DaHall 1-PDU-04"='4층_부하량'!A3:A3000)*(1='4층_부하량'!B3:B3000),0))</f>
        <v>0.0</v>
      </c>
      <c r="O6" s="2669" cm="1" t="n">
        <f t="array" ref="O6">INDEX('4층_부하량'!D3:D3000,MATCH(1,("4-DaHall 1-PDU-04"='4층_부하량'!A3:A3000)*(1='4층_부하량'!B3:B3000),0))</f>
        <v>0.0</v>
      </c>
      <c r="P6" s="2669" cm="1" t="n">
        <f t="array" ref="P6">INDEX('4층_부하량'!E3:E3000,MATCH(1,("4-DaHall 1-PDU-04"='4층_부하량'!A3:A3000)*(1='4층_부하량'!B3:B3000),0))</f>
        <v>0.0</v>
      </c>
      <c r="Q6" s="310"/>
      <c r="R6" s="13" t="s">
        <v>4964</v>
      </c>
      <c r="S6" s="878" t="s">
        <v>4577</v>
      </c>
      <c r="T6" s="14"/>
    </row>
    <row r="7" spans="1:22" ht="16.5" x14ac:dyDescent="0.15">
      <c r="A7" s="266" t="s">
        <v>6204</v>
      </c>
      <c r="B7" s="17" t="s">
        <v>4631</v>
      </c>
      <c r="C7" s="18" t="s">
        <v>4575</v>
      </c>
      <c r="D7" s="2670" cm="1" t="n">
        <f t="array" ref="D7">INDEX('4층_부하량'!C3:C3000,MATCH(1,("4-DaHall 1-PDU-02"='4층_부하량'!A3:A3000)*(2='4층_부하량'!B3:B3000),0))</f>
        <v>34.8</v>
      </c>
      <c r="E7" s="19"/>
      <c r="F7" s="19"/>
      <c r="G7" s="19"/>
      <c r="H7" s="17" t="s">
        <v>6205</v>
      </c>
      <c r="I7" s="879" t="s">
        <v>4578</v>
      </c>
      <c r="J7" s="20" t="s">
        <v>6203</v>
      </c>
      <c r="K7" s="266" t="s">
        <v>6206</v>
      </c>
      <c r="L7" s="17" t="s">
        <v>4631</v>
      </c>
      <c r="M7" s="18" t="s">
        <v>4575</v>
      </c>
      <c r="N7" s="2670" cm="1" t="n">
        <f t="array" ref="N7">INDEX('4층_부하량'!C3:C3000,MATCH(1,("4-DaHall 1-PDU-04"='4층_부하량'!A3:A3000)*(2='4층_부하량'!B3:B3000),0))</f>
        <v>38.63</v>
      </c>
      <c r="O7" s="19"/>
      <c r="P7" s="19"/>
      <c r="Q7" s="311"/>
      <c r="R7" s="17" t="s">
        <v>6205</v>
      </c>
      <c r="S7" s="879" t="s">
        <v>4578</v>
      </c>
      <c r="T7" s="20" t="s">
        <v>6203</v>
      </c>
    </row>
    <row r="8" spans="1:22" ht="16.5" x14ac:dyDescent="0.15">
      <c r="A8" s="267" t="s">
        <v>6207</v>
      </c>
      <c r="B8" s="17" t="s">
        <v>4631</v>
      </c>
      <c r="C8" s="18" t="s">
        <v>4575</v>
      </c>
      <c r="D8" s="21"/>
      <c r="E8" s="2672" cm="1" t="n">
        <f t="array" ref="E8">INDEX('4층_부하량'!D3:D3000,MATCH(1,("4-DaHall 1-PDU-02"='4층_부하량'!A3:A3000)*(3='4층_부하량'!B3:B3000),0))</f>
        <v>32.08</v>
      </c>
      <c r="F8" s="21"/>
      <c r="G8" s="21"/>
      <c r="H8" s="17" t="s">
        <v>6205</v>
      </c>
      <c r="I8" s="879" t="s">
        <v>4638</v>
      </c>
      <c r="J8" s="20" t="s">
        <v>6203</v>
      </c>
      <c r="K8" s="268" t="s">
        <v>6208</v>
      </c>
      <c r="L8" s="17" t="s">
        <v>4631</v>
      </c>
      <c r="M8" s="18" t="s">
        <v>4575</v>
      </c>
      <c r="N8" s="21"/>
      <c r="O8" s="2672" cm="1" t="n">
        <f t="array" ref="O8">INDEX('4층_부하량'!D3:D3000,MATCH(1,("4-DaHall 1-PDU-04"='4층_부하량'!A3:A3000)*(3='4층_부하량'!B3:B3000),0))</f>
        <v>26.4</v>
      </c>
      <c r="P8" s="21"/>
      <c r="Q8" s="2695"/>
      <c r="R8" s="17" t="s">
        <v>6205</v>
      </c>
      <c r="S8" s="879" t="s">
        <v>4638</v>
      </c>
      <c r="T8" s="20" t="s">
        <v>6203</v>
      </c>
    </row>
    <row r="9" spans="1:22" ht="16.5" x14ac:dyDescent="0.15">
      <c r="A9" s="267" t="s">
        <v>6209</v>
      </c>
      <c r="B9" s="17" t="s">
        <v>4631</v>
      </c>
      <c r="C9" s="18" t="s">
        <v>4575</v>
      </c>
      <c r="D9" s="21"/>
      <c r="E9" s="21"/>
      <c r="F9" s="2672" cm="1" t="n">
        <f t="array" ref="F9">INDEX('4층_부하량'!E3:E3000,MATCH(1,("4-DaHall 1-PDU-02"='4층_부하량'!A3:A3000)*(4='4층_부하량'!B3:B3000),0))</f>
        <v>30.36</v>
      </c>
      <c r="G9" s="21"/>
      <c r="H9" s="17" t="s">
        <v>6205</v>
      </c>
      <c r="I9" s="879" t="s">
        <v>4583</v>
      </c>
      <c r="J9" s="20" t="s">
        <v>6203</v>
      </c>
      <c r="K9" s="268" t="s">
        <v>6210</v>
      </c>
      <c r="L9" s="17" t="s">
        <v>4590</v>
      </c>
      <c r="M9" s="17" t="s">
        <v>4642</v>
      </c>
      <c r="N9" s="21"/>
      <c r="O9" s="21"/>
      <c r="P9" s="2672" cm="1" t="n">
        <f t="array" ref="P9">INDEX('4층_부하량'!E3:E3000,MATCH(1,("4-DaHall 1-PDU-04"='4층_부하량'!A3:A3000)*(4='4층_부하량'!B3:B3000),0))</f>
        <v>0.0</v>
      </c>
      <c r="Q9" s="2695"/>
      <c r="R9" s="17" t="s">
        <v>6205</v>
      </c>
      <c r="S9" s="879" t="s">
        <v>4583</v>
      </c>
      <c r="T9" s="20" t="s">
        <v>6203</v>
      </c>
    </row>
    <row r="10" spans="1:22" ht="16.5" x14ac:dyDescent="0.15">
      <c r="A10" s="267" t="s">
        <v>6211</v>
      </c>
      <c r="B10" s="23" t="s">
        <v>4631</v>
      </c>
      <c r="C10" s="24" t="s">
        <v>4575</v>
      </c>
      <c r="D10" s="2673" cm="1" t="n">
        <f t="array" ref="D10">INDEX('4층_부하량'!C3:C3000,MATCH(1,("4-DaHall 1-PDU-02"='4층_부하량'!A3:A3000)*(5='4층_부하량'!B3:B3000),0))</f>
        <v>40.4</v>
      </c>
      <c r="E10" s="25"/>
      <c r="F10" s="25"/>
      <c r="G10" s="25"/>
      <c r="H10" s="23" t="s">
        <v>6205</v>
      </c>
      <c r="I10" s="879" t="s">
        <v>4641</v>
      </c>
      <c r="J10" s="26" t="s">
        <v>6203</v>
      </c>
      <c r="K10" s="268" t="s">
        <v>6212</v>
      </c>
      <c r="L10" s="23" t="s">
        <v>4631</v>
      </c>
      <c r="M10" s="24" t="s">
        <v>4575</v>
      </c>
      <c r="N10" s="2673" cm="1" t="n">
        <f t="array" ref="N10">INDEX('4층_부하량'!C3:C3000,MATCH(1,("4-DaHall 1-PDU-04"='4층_부하량'!A3:A3000)*(5='4층_부하량'!B3:B3000),0))</f>
        <v>9.47</v>
      </c>
      <c r="O10" s="25"/>
      <c r="P10" s="25"/>
      <c r="Q10" s="2696"/>
      <c r="R10" s="23" t="s">
        <v>6205</v>
      </c>
      <c r="S10" s="879" t="s">
        <v>4641</v>
      </c>
      <c r="T10" s="26" t="s">
        <v>5832</v>
      </c>
    </row>
    <row r="11" spans="1:22" ht="16.5" x14ac:dyDescent="0.15">
      <c r="A11" s="268" t="s">
        <v>6213</v>
      </c>
      <c r="B11" s="17" t="s">
        <v>4631</v>
      </c>
      <c r="C11" s="18" t="s">
        <v>4575</v>
      </c>
      <c r="D11" s="21"/>
      <c r="E11" s="2672" cm="1" t="n">
        <f t="array" ref="E11">INDEX('4층_부하량'!D3:D3000,MATCH(1,("4-DaHall 1-PDU-02"='4층_부하량'!A3:A3000)*(6='4층_부하량'!B3:B3000),0))</f>
        <v>12.15</v>
      </c>
      <c r="F11" s="21"/>
      <c r="G11" s="21"/>
      <c r="H11" s="17" t="s">
        <v>6205</v>
      </c>
      <c r="I11" s="879" t="s">
        <v>4588</v>
      </c>
      <c r="J11" s="20" t="s">
        <v>5832</v>
      </c>
      <c r="K11" s="268" t="s">
        <v>6214</v>
      </c>
      <c r="L11" s="17" t="s">
        <v>4631</v>
      </c>
      <c r="M11" s="18" t="s">
        <v>4575</v>
      </c>
      <c r="N11" s="21"/>
      <c r="O11" s="2672" cm="1" t="n">
        <f t="array" ref="O11">INDEX('4층_부하량'!D3:D3000,MATCH(1,("4-DaHall 1-PDU-04"='4층_부하량'!A3:A3000)*(6='4층_부하량'!B3:B3000),0))</f>
        <v>14.21</v>
      </c>
      <c r="P11" s="21"/>
      <c r="Q11" s="2695"/>
      <c r="R11" s="17" t="s">
        <v>6205</v>
      </c>
      <c r="S11" s="879" t="s">
        <v>4588</v>
      </c>
      <c r="T11" s="20" t="s">
        <v>5832</v>
      </c>
    </row>
    <row r="12" spans="1:22" ht="16.5" x14ac:dyDescent="0.15">
      <c r="A12" s="269" t="s">
        <v>6215</v>
      </c>
      <c r="B12" s="23" t="s">
        <v>4631</v>
      </c>
      <c r="C12" s="24" t="s">
        <v>4575</v>
      </c>
      <c r="D12" s="25"/>
      <c r="E12" s="25"/>
      <c r="F12" s="2673" cm="1" t="n">
        <f t="array" ref="F12">INDEX('4층_부하량'!E3:E3000,MATCH(1,("4-DaHall 1-PDU-02"='4층_부하량'!A3:A3000)*(7='4층_부하량'!B3:B3000),0))</f>
        <v>28.37</v>
      </c>
      <c r="G12" s="25"/>
      <c r="H12" s="23" t="s">
        <v>6205</v>
      </c>
      <c r="I12" s="879" t="s">
        <v>4645</v>
      </c>
      <c r="J12" s="26" t="s">
        <v>5832</v>
      </c>
      <c r="K12" s="268" t="s">
        <v>6216</v>
      </c>
      <c r="L12" s="23" t="s">
        <v>4631</v>
      </c>
      <c r="M12" s="24" t="s">
        <v>4575</v>
      </c>
      <c r="N12" s="25"/>
      <c r="O12" s="25"/>
      <c r="P12" s="2673" cm="1" t="n">
        <f t="array" ref="P12">INDEX('4층_부하량'!E3:E3000,MATCH(1,("4-DaHall 1-PDU-04"='4층_부하량'!A3:A3000)*(7='4층_부하량'!B3:B3000),0))</f>
        <v>21.53</v>
      </c>
      <c r="Q12" s="2696"/>
      <c r="R12" s="23" t="s">
        <v>6205</v>
      </c>
      <c r="S12" s="879" t="s">
        <v>4645</v>
      </c>
      <c r="T12" s="26" t="s">
        <v>5832</v>
      </c>
    </row>
    <row r="13" spans="1:22" ht="16.5" x14ac:dyDescent="0.15">
      <c r="A13" s="22"/>
      <c r="B13" s="17" t="s">
        <v>4590</v>
      </c>
      <c r="C13" s="17" t="s">
        <v>4642</v>
      </c>
      <c r="D13" s="2672" cm="1" t="n">
        <f t="array" ref="D13">INDEX('4층_부하량'!C3:C3000,MATCH(1,("4-DaHall 1-PDU-02"='4층_부하량'!A3:A3000)*(8='4층_부하량'!B3:B3000),0))</f>
        <v>0.0</v>
      </c>
      <c r="E13" s="21"/>
      <c r="F13" s="21"/>
      <c r="G13" s="21"/>
      <c r="H13" s="17" t="s">
        <v>6205</v>
      </c>
      <c r="I13" s="879" t="s">
        <v>4593</v>
      </c>
      <c r="J13" s="27"/>
      <c r="K13" s="268" t="s">
        <v>6217</v>
      </c>
      <c r="L13" s="23" t="s">
        <v>4631</v>
      </c>
      <c r="M13" s="24" t="s">
        <v>4575</v>
      </c>
      <c r="N13" s="2672" cm="1" t="n">
        <f t="array" ref="N13">INDEX('4층_부하량'!C3:C3000,MATCH(1,("4-DaHall 1-PDU-04"='4층_부하량'!A3:A3000)*(8='4층_부하량'!B3:B3000),0))</f>
        <v>21.3</v>
      </c>
      <c r="O13" s="21"/>
      <c r="P13" s="21"/>
      <c r="Q13" s="2695"/>
      <c r="R13" s="17" t="s">
        <v>6205</v>
      </c>
      <c r="S13" s="879" t="s">
        <v>4593</v>
      </c>
      <c r="T13" s="20" t="s">
        <v>5832</v>
      </c>
    </row>
    <row r="14" spans="1:22" ht="14.25" thickBot="1" x14ac:dyDescent="0.2">
      <c r="A14" s="28"/>
      <c r="B14" s="29" t="s">
        <v>4590</v>
      </c>
      <c r="C14" s="29" t="s">
        <v>4642</v>
      </c>
      <c r="D14" s="30"/>
      <c r="E14" s="2674" cm="1" t="n">
        <f t="array" ref="E14">INDEX('4층_부하량'!D3:D3000,MATCH(1,("4-DaHall 1-PDU-02"='4층_부하량'!A3:A3000)*(9='4층_부하량'!B3:B3000),0))</f>
        <v>0.0</v>
      </c>
      <c r="F14" s="30"/>
      <c r="G14" s="30"/>
      <c r="H14" s="29" t="s">
        <v>6205</v>
      </c>
      <c r="I14" s="880" t="s">
        <v>4648</v>
      </c>
      <c r="J14" s="31"/>
      <c r="K14" s="28"/>
      <c r="L14" s="29" t="s">
        <v>4590</v>
      </c>
      <c r="M14" s="29" t="s">
        <v>4642</v>
      </c>
      <c r="N14" s="30"/>
      <c r="O14" s="2674" cm="1" t="n">
        <f t="array" ref="O14">INDEX('4층_부하량'!D3:D3000,MATCH(1,("4-DaHall 1-PDU-04"='4층_부하량'!A3:A3000)*(9='4층_부하량'!B3:B3000),0))</f>
        <v>0.0</v>
      </c>
      <c r="P14" s="30"/>
      <c r="Q14" s="2697"/>
      <c r="R14" s="29" t="s">
        <v>6205</v>
      </c>
      <c r="S14" s="880" t="s">
        <v>4648</v>
      </c>
      <c r="T14" s="31"/>
    </row>
    <row r="15" spans="1:22" ht="18" thickTop="1" thickBot="1" x14ac:dyDescent="0.2">
      <c r="C15" s="32" t="s">
        <v>5645</v>
      </c>
      <c r="D15" s="33" t="n">
        <f>SUM(D6:D14)</f>
        <v>75.82</v>
      </c>
      <c r="E15" s="33" t="n">
        <f>SUM(E6:E14)</f>
        <v>44.769999999999996</v>
      </c>
      <c r="F15" s="33" t="n">
        <f>SUM(F6:F14)</f>
        <v>59.510000000000005</v>
      </c>
      <c r="M15" s="32" t="s">
        <v>5645</v>
      </c>
      <c r="N15" s="33" t="n">
        <f>SUM(N6:N14)</f>
        <v>69.4</v>
      </c>
      <c r="O15" s="33" t="n">
        <f>SUM(O6:O14)</f>
        <v>40.61</v>
      </c>
      <c r="P15" s="33" t="n">
        <f>SUM(P6:P14)</f>
        <v>21.53</v>
      </c>
    </row>
    <row r="16" spans="1:22" ht="20.25" thickTop="1" thickBot="1" x14ac:dyDescent="0.2">
      <c r="A16" s="2" t="s">
        <v>6935</v>
      </c>
      <c r="D16" s="3661" t="s">
        <v>6196</v>
      </c>
      <c r="E16" s="3667"/>
      <c r="F16" s="124"/>
      <c r="G16" s="3660" t="s">
        <v>6219</v>
      </c>
      <c r="H16" s="3660"/>
      <c r="I16" s="3660"/>
      <c r="K16" s="642" t="s">
        <v>6936</v>
      </c>
      <c r="N16" s="3661" t="s">
        <v>6196</v>
      </c>
      <c r="O16" s="3667"/>
      <c r="P16" s="124"/>
      <c r="Q16" s="3660" t="s">
        <v>6221</v>
      </c>
      <c r="R16" s="3660"/>
      <c r="S16" s="3660"/>
    </row>
    <row r="17" spans="1:20" ht="15" thickTop="1" thickBot="1" x14ac:dyDescent="0.2">
      <c r="A17" s="3"/>
      <c r="C17" s="1373" t="s">
        <v>4562</v>
      </c>
      <c r="D17" s="1374">
        <v>67</v>
      </c>
      <c r="E17" s="1375">
        <v>32.4</v>
      </c>
      <c r="F17" s="1376">
        <v>27</v>
      </c>
      <c r="G17" s="1377" t="s">
        <v>4563</v>
      </c>
      <c r="H17" s="133"/>
      <c r="I17" s="128"/>
      <c r="J17" s="528"/>
      <c r="K17" s="3"/>
      <c r="M17" s="1373" t="s">
        <v>4562</v>
      </c>
      <c r="N17" s="1374">
        <v>44.8</v>
      </c>
      <c r="O17" s="1375">
        <v>68.400000000000006</v>
      </c>
      <c r="P17" s="1376">
        <v>18</v>
      </c>
      <c r="Q17" s="1377" t="s">
        <v>4563</v>
      </c>
      <c r="R17" s="133"/>
      <c r="S17" s="128"/>
      <c r="T17" s="528"/>
    </row>
    <row r="18" spans="1:20" ht="15" thickTop="1" thickBot="1" x14ac:dyDescent="0.2">
      <c r="A18" s="5" t="s">
        <v>4629</v>
      </c>
      <c r="B18" s="6" t="s">
        <v>4565</v>
      </c>
      <c r="C18" s="7" t="s">
        <v>4566</v>
      </c>
      <c r="D18" s="6" t="s">
        <v>4567</v>
      </c>
      <c r="E18" s="6" t="s">
        <v>4568</v>
      </c>
      <c r="F18" s="6" t="s">
        <v>4569</v>
      </c>
      <c r="G18" s="6" t="s">
        <v>4570</v>
      </c>
      <c r="H18" s="8" t="s">
        <v>4571</v>
      </c>
      <c r="I18" s="547" t="s">
        <v>6200</v>
      </c>
      <c r="J18" s="9" t="s">
        <v>6201</v>
      </c>
      <c r="K18" s="5" t="s">
        <v>4629</v>
      </c>
      <c r="L18" s="6" t="s">
        <v>4565</v>
      </c>
      <c r="M18" s="7" t="s">
        <v>4566</v>
      </c>
      <c r="N18" s="6" t="s">
        <v>4567</v>
      </c>
      <c r="O18" s="6" t="s">
        <v>4568</v>
      </c>
      <c r="P18" s="6" t="s">
        <v>4569</v>
      </c>
      <c r="Q18" s="6" t="s">
        <v>4570</v>
      </c>
      <c r="R18" s="8" t="s">
        <v>4571</v>
      </c>
      <c r="S18" s="547" t="s">
        <v>6200</v>
      </c>
      <c r="T18" s="9" t="s">
        <v>6201</v>
      </c>
    </row>
    <row r="19" spans="1:20" ht="17.25" thickTop="1" x14ac:dyDescent="0.15">
      <c r="A19" s="272" t="s">
        <v>6222</v>
      </c>
      <c r="B19" s="11" t="s">
        <v>4631</v>
      </c>
      <c r="C19" s="12" t="s">
        <v>4575</v>
      </c>
      <c r="D19" s="2669" cm="1" t="n">
        <f t="array" ref="D19">INDEX('4층_부하량'!C3:C3000,MATCH(1,("4-DaHall 1-PDU-06"='4층_부하량'!A3:A3000)*(1='4층_부하량'!B3:B3000),0))</f>
        <v>9.83</v>
      </c>
      <c r="E19" s="15"/>
      <c r="F19" s="15"/>
      <c r="G19" s="15"/>
      <c r="H19" s="13" t="s">
        <v>6205</v>
      </c>
      <c r="I19" s="878" t="s">
        <v>4577</v>
      </c>
      <c r="J19" s="14" t="s">
        <v>5832</v>
      </c>
      <c r="K19" s="646" t="s">
        <v>6223</v>
      </c>
      <c r="L19" s="11" t="s">
        <v>4631</v>
      </c>
      <c r="M19" s="12" t="s">
        <v>4575</v>
      </c>
      <c r="N19" s="2669" cm="1" t="n">
        <f t="array" ref="N19">INDEX('4층_부하량'!C3:C3000,MATCH(1,("4-DaHall 1-PDU-08"='4층_부하량'!A3:A3000)*(1='4층_부하량'!B3:B3000),0))</f>
        <v>22.18</v>
      </c>
      <c r="O19" s="15"/>
      <c r="P19" s="15"/>
      <c r="Q19" s="310"/>
      <c r="R19" s="13" t="s">
        <v>6205</v>
      </c>
      <c r="S19" s="878" t="s">
        <v>4577</v>
      </c>
      <c r="T19" s="643" t="s">
        <v>6224</v>
      </c>
    </row>
    <row r="20" spans="1:20" ht="16.5" x14ac:dyDescent="0.15">
      <c r="A20" s="266" t="s">
        <v>6225</v>
      </c>
      <c r="B20" s="17" t="s">
        <v>4631</v>
      </c>
      <c r="C20" s="18" t="s">
        <v>4575</v>
      </c>
      <c r="D20" s="19"/>
      <c r="E20" s="2670" cm="1" t="n">
        <f t="array" ref="E20">INDEX('4층_부하량'!D3:D3000,MATCH(1,("4-DaHall 1-PDU-06"='4층_부하량'!A3:A3000)*(2='4층_부하량'!B3:B3000),0))</f>
        <v>0.0</v>
      </c>
      <c r="F20" s="19"/>
      <c r="G20" s="19"/>
      <c r="H20" s="17" t="s">
        <v>6205</v>
      </c>
      <c r="I20" s="879" t="s">
        <v>4578</v>
      </c>
      <c r="J20" s="20" t="s">
        <v>5832</v>
      </c>
      <c r="K20" s="266" t="s">
        <v>6226</v>
      </c>
      <c r="L20" s="17" t="s">
        <v>4631</v>
      </c>
      <c r="M20" s="18" t="s">
        <v>4575</v>
      </c>
      <c r="N20" s="19"/>
      <c r="O20" s="2670" cm="1" t="n">
        <f t="array" ref="O20">INDEX('4층_부하량'!D3:D3000,MATCH(1,("4-DaHall 1-PDU-08"='4층_부하량'!A3:A3000)*(2='4층_부하량'!B3:B3000),0))</f>
        <v>32.62</v>
      </c>
      <c r="P20" s="19"/>
      <c r="Q20" s="311"/>
      <c r="R20" s="17" t="s">
        <v>6205</v>
      </c>
      <c r="S20" s="879" t="s">
        <v>4578</v>
      </c>
      <c r="T20" s="649" t="s">
        <v>6227</v>
      </c>
    </row>
    <row r="21" spans="1:20" ht="16.5" x14ac:dyDescent="0.15">
      <c r="A21" s="267" t="s">
        <v>6228</v>
      </c>
      <c r="B21" s="17" t="s">
        <v>4631</v>
      </c>
      <c r="C21" s="18" t="s">
        <v>4575</v>
      </c>
      <c r="D21" s="21"/>
      <c r="E21" s="21"/>
      <c r="F21" s="2672" cm="1" t="n">
        <f t="array" ref="F21">INDEX('4층_부하량'!E3:E3000,MATCH(1,("4-DaHall 1-PDU-06"='4층_부하량'!A3:A3000)*(3='4층_부하량'!B3:B3000),0))</f>
        <v>7.8100000000000005</v>
      </c>
      <c r="G21" s="21"/>
      <c r="H21" s="17" t="s">
        <v>6205</v>
      </c>
      <c r="I21" s="879" t="s">
        <v>4638</v>
      </c>
      <c r="J21" s="20" t="s">
        <v>5832</v>
      </c>
      <c r="K21" s="647" t="s">
        <v>6229</v>
      </c>
      <c r="L21" s="17" t="s">
        <v>4631</v>
      </c>
      <c r="M21" s="18" t="s">
        <v>4575</v>
      </c>
      <c r="N21" s="21"/>
      <c r="O21" s="21"/>
      <c r="P21" s="2672" cm="1" t="n">
        <f t="array" ref="P21">INDEX('4층_부하량'!E3:E3000,MATCH(1,("4-DaHall 1-PDU-08"='4층_부하량'!A3:A3000)*(3='4층_부하량'!B3:B3000),0))</f>
        <v>5.29</v>
      </c>
      <c r="Q21" s="2695"/>
      <c r="R21" s="17" t="s">
        <v>6205</v>
      </c>
      <c r="S21" s="879" t="s">
        <v>4638</v>
      </c>
      <c r="T21" s="645" t="s">
        <v>6230</v>
      </c>
    </row>
    <row r="22" spans="1:20" ht="16.5" x14ac:dyDescent="0.15">
      <c r="A22" s="267" t="s">
        <v>6231</v>
      </c>
      <c r="B22" s="17" t="s">
        <v>4631</v>
      </c>
      <c r="C22" s="18" t="s">
        <v>4575</v>
      </c>
      <c r="D22" s="2672" cm="1" t="n">
        <f t="array" ref="D22">INDEX('4층_부하량'!C3:C3000,MATCH(1,("4-DaHall 1-PDU-06"='4층_부하량'!A3:A3000)*(4='4층_부하량'!B3:B3000),0))</f>
        <v>6.86</v>
      </c>
      <c r="E22" s="21"/>
      <c r="F22" s="21"/>
      <c r="G22" s="21"/>
      <c r="H22" s="17" t="s">
        <v>6205</v>
      </c>
      <c r="I22" s="879" t="s">
        <v>4583</v>
      </c>
      <c r="J22" s="20" t="s">
        <v>5832</v>
      </c>
      <c r="K22" s="267" t="s">
        <v>6232</v>
      </c>
      <c r="L22" s="17" t="s">
        <v>4631</v>
      </c>
      <c r="M22" s="18" t="s">
        <v>4575</v>
      </c>
      <c r="N22" s="2672" cm="1" t="n">
        <f t="array" ref="N22">INDEX('4층_부하량'!C3:C3000,MATCH(1,("4-DaHall 1-PDU-08"='4층_부하량'!A3:A3000)*(4='4층_부하량'!B3:B3000),0))</f>
        <v>9.06</v>
      </c>
      <c r="O22" s="21"/>
      <c r="P22" s="21"/>
      <c r="Q22" s="2695"/>
      <c r="R22" s="17" t="s">
        <v>6205</v>
      </c>
      <c r="S22" s="879" t="s">
        <v>4583</v>
      </c>
      <c r="T22" s="649" t="s">
        <v>6227</v>
      </c>
    </row>
    <row r="23" spans="1:20" ht="16.5" x14ac:dyDescent="0.15">
      <c r="A23" s="267" t="s">
        <v>6233</v>
      </c>
      <c r="B23" s="23" t="s">
        <v>4631</v>
      </c>
      <c r="C23" s="18" t="s">
        <v>4575</v>
      </c>
      <c r="D23" s="25"/>
      <c r="E23" s="2672" cm="1" t="n">
        <f t="array" ref="E23">INDEX('4층_부하량'!D3:D3000,MATCH(1,("4-DaHall 1-PDU-06"='4층_부하량'!A3:A3000)*(5='4층_부하량'!B3:B3000),0))</f>
        <v>0.0</v>
      </c>
      <c r="F23" s="25"/>
      <c r="G23" s="25"/>
      <c r="H23" s="23" t="s">
        <v>6205</v>
      </c>
      <c r="I23" s="879" t="s">
        <v>4641</v>
      </c>
      <c r="J23" s="26" t="s">
        <v>5832</v>
      </c>
      <c r="K23" s="647" t="s">
        <v>6234</v>
      </c>
      <c r="L23" s="23" t="s">
        <v>4631</v>
      </c>
      <c r="M23" s="24" t="s">
        <v>4575</v>
      </c>
      <c r="N23" s="25"/>
      <c r="O23" s="2672" cm="1" t="n">
        <f t="array" ref="O23">INDEX('4층_부하량'!D3:D3000,MATCH(1,("4-DaHall 1-PDU-08"='4층_부하량'!A3:A3000)*(5='4층_부하량'!B3:B3000),0))</f>
        <v>7.32</v>
      </c>
      <c r="P23" s="25"/>
      <c r="Q23" s="2696"/>
      <c r="R23" s="23" t="s">
        <v>6205</v>
      </c>
      <c r="S23" s="879" t="s">
        <v>4641</v>
      </c>
      <c r="T23" s="644" t="s">
        <v>6230</v>
      </c>
    </row>
    <row r="24" spans="1:20" ht="16.5" x14ac:dyDescent="0.15">
      <c r="A24" s="267" t="s">
        <v>6235</v>
      </c>
      <c r="B24" s="17" t="s">
        <v>4631</v>
      </c>
      <c r="C24" s="18" t="s">
        <v>4575</v>
      </c>
      <c r="D24" s="21"/>
      <c r="E24" s="21"/>
      <c r="F24" s="2672" cm="1" t="n">
        <f t="array" ref="F24">INDEX('4층_부하량'!E3:E3000,MATCH(1,("4-DaHall 1-PDU-06"='4층_부하량'!A3:A3000)*(6='4층_부하량'!B3:B3000),0))</f>
        <v>0.0</v>
      </c>
      <c r="G24" s="21"/>
      <c r="H24" s="17" t="s">
        <v>6205</v>
      </c>
      <c r="I24" s="879" t="s">
        <v>4588</v>
      </c>
      <c r="J24" s="20" t="s">
        <v>5832</v>
      </c>
      <c r="K24" s="267" t="s">
        <v>6236</v>
      </c>
      <c r="L24" s="17" t="s">
        <v>4631</v>
      </c>
      <c r="M24" s="18" t="s">
        <v>4575</v>
      </c>
      <c r="N24" s="21"/>
      <c r="O24" s="21"/>
      <c r="P24" s="2672" cm="1" t="n">
        <f t="array" ref="P24">INDEX('4층_부하량'!E3:E3000,MATCH(1,("4-DaHall 1-PDU-08"='4층_부하량'!A3:A3000)*(6='4층_부하량'!B3:B3000),0))</f>
        <v>11.08</v>
      </c>
      <c r="Q24" s="2695"/>
      <c r="R24" s="17" t="s">
        <v>6205</v>
      </c>
      <c r="S24" s="879" t="s">
        <v>4588</v>
      </c>
      <c r="T24" s="649" t="s">
        <v>6227</v>
      </c>
    </row>
    <row r="25" spans="1:20" ht="16.5" x14ac:dyDescent="0.15">
      <c r="A25" s="266" t="s">
        <v>6237</v>
      </c>
      <c r="B25" s="23" t="s">
        <v>4631</v>
      </c>
      <c r="C25" s="24" t="s">
        <v>4575</v>
      </c>
      <c r="D25" s="2673" cm="1" t="n">
        <f t="array" ref="D25">INDEX('4층_부하량'!C3:C3000,MATCH(1,("4-DaHall 1-PDU-06"='4층_부하량'!A3:A3000)*(7='4층_부하량'!B3:B3000),0))</f>
        <v>8.09</v>
      </c>
      <c r="E25" s="25"/>
      <c r="F25" s="25"/>
      <c r="G25" s="25"/>
      <c r="H25" s="23" t="s">
        <v>6205</v>
      </c>
      <c r="I25" s="879" t="s">
        <v>4645</v>
      </c>
      <c r="J25" s="26" t="s">
        <v>5832</v>
      </c>
      <c r="K25" s="648" t="s">
        <v>6238</v>
      </c>
      <c r="L25" s="23" t="s">
        <v>4631</v>
      </c>
      <c r="M25" s="24" t="s">
        <v>4575</v>
      </c>
      <c r="N25" s="2673" cm="1" t="n">
        <f t="array" ref="N25">INDEX('4층_부하량'!C3:C3000,MATCH(1,("4-DaHall 1-PDU-08"='4층_부하량'!A3:A3000)*(7='4층_부하량'!B3:B3000),0))</f>
        <v>12.98</v>
      </c>
      <c r="O25" s="25"/>
      <c r="P25" s="25"/>
      <c r="Q25" s="2696"/>
      <c r="R25" s="23" t="s">
        <v>6205</v>
      </c>
      <c r="S25" s="879" t="s">
        <v>4645</v>
      </c>
      <c r="T25" s="644" t="s">
        <v>6230</v>
      </c>
    </row>
    <row r="26" spans="1:20" ht="16.5" x14ac:dyDescent="0.15">
      <c r="A26" s="267" t="s">
        <v>6239</v>
      </c>
      <c r="B26" s="23" t="s">
        <v>4631</v>
      </c>
      <c r="C26" s="24" t="s">
        <v>4575</v>
      </c>
      <c r="D26" s="21"/>
      <c r="E26" s="2672" cm="1" t="n">
        <f t="array" ref="E26">INDEX('4층_부하량'!D3:D3000,MATCH(1,("4-DaHall 1-PDU-06"='4층_부하량'!A3:A3000)*(8='4층_부하량'!B3:B3000),0))</f>
        <v>13.5</v>
      </c>
      <c r="F26" s="21"/>
      <c r="G26" s="21"/>
      <c r="H26" s="17" t="s">
        <v>6205</v>
      </c>
      <c r="I26" s="879" t="s">
        <v>4593</v>
      </c>
      <c r="J26" s="20" t="s">
        <v>5832</v>
      </c>
      <c r="K26" s="267" t="s">
        <v>6240</v>
      </c>
      <c r="L26" s="23" t="s">
        <v>4631</v>
      </c>
      <c r="M26" s="24" t="s">
        <v>4575</v>
      </c>
      <c r="N26" s="21"/>
      <c r="O26" s="2672" cm="1" t="n">
        <f t="array" ref="O26">INDEX('4층_부하량'!D3:D3000,MATCH(1,("4-DaHall 1-PDU-08"='4층_부하량'!A3:A3000)*(8='4층_부하량'!B3:B3000),0))</f>
        <v>23.81</v>
      </c>
      <c r="P26" s="21"/>
      <c r="Q26" s="2695"/>
      <c r="R26" s="17" t="s">
        <v>6205</v>
      </c>
      <c r="S26" s="879" t="s">
        <v>4593</v>
      </c>
      <c r="T26" s="649" t="s">
        <v>6227</v>
      </c>
    </row>
    <row r="27" spans="1:20" ht="16.5" x14ac:dyDescent="0.15">
      <c r="A27" s="267" t="s">
        <v>6241</v>
      </c>
      <c r="B27" s="23" t="s">
        <v>4631</v>
      </c>
      <c r="C27" s="17" t="s">
        <v>4642</v>
      </c>
      <c r="D27" s="21"/>
      <c r="E27" s="21"/>
      <c r="F27" s="2672" cm="1" t="n">
        <f t="array" ref="F27">INDEX('4층_부하량'!E3:E3000,MATCH(1,("4-DaHall 1-PDU-06"='4층_부하량'!A3:A3000)*(9='4층_부하량'!B3:B3000),0))</f>
        <v>0.0</v>
      </c>
      <c r="G27" s="21"/>
      <c r="H27" s="17" t="s">
        <v>6205</v>
      </c>
      <c r="I27" s="879" t="s">
        <v>4648</v>
      </c>
      <c r="J27" s="20" t="s">
        <v>5832</v>
      </c>
      <c r="K27" s="267" t="s">
        <v>6242</v>
      </c>
      <c r="L27" s="23" t="s">
        <v>4631</v>
      </c>
      <c r="M27" s="24" t="s">
        <v>4575</v>
      </c>
      <c r="N27" s="21"/>
      <c r="O27" s="21"/>
      <c r="P27" s="2672" cm="1" t="n">
        <f t="array" ref="P27">INDEX('4층_부하량'!E3:E3000,MATCH(1,("4-DaHall 1-PDU-08"='4층_부하량'!A3:A3000)*(9='4층_부하량'!B3:B3000),0))</f>
        <v>0.0</v>
      </c>
      <c r="Q27" s="2695"/>
      <c r="R27" s="17" t="s">
        <v>6205</v>
      </c>
      <c r="S27" s="879" t="s">
        <v>4648</v>
      </c>
      <c r="T27" s="651" t="s">
        <v>6243</v>
      </c>
    </row>
    <row r="28" spans="1:20" ht="16.5" x14ac:dyDescent="0.15">
      <c r="A28" s="267" t="s">
        <v>6244</v>
      </c>
      <c r="B28" s="23" t="s">
        <v>4631</v>
      </c>
      <c r="C28" s="24" t="s">
        <v>4652</v>
      </c>
      <c r="D28" s="2672" cm="1" t="n">
        <f t="array" ref="D28">INDEX('4층_부하량'!C3:C3000,MATCH(1,("4-DaHall 1-PDU-06"='4층_부하량'!A3:A3000)*(10='4층_부하량'!B3:B3000),0))</f>
        <v>36.52</v>
      </c>
      <c r="E28" s="21"/>
      <c r="F28" s="21"/>
      <c r="G28" s="21"/>
      <c r="H28" s="17" t="s">
        <v>6205</v>
      </c>
      <c r="I28" s="879" t="s">
        <v>4596</v>
      </c>
      <c r="J28" s="20" t="s">
        <v>5832</v>
      </c>
      <c r="K28" s="267" t="s">
        <v>6245</v>
      </c>
      <c r="L28" s="23" t="s">
        <v>4631</v>
      </c>
      <c r="M28" s="24" t="s">
        <v>4575</v>
      </c>
      <c r="N28" s="2672" cm="1" t="n">
        <f t="array" ref="N28">INDEX('4층_부하량'!C3:C3000,MATCH(1,("4-DaHall 1-PDU-08"='4층_부하량'!A3:A3000)*(10='4층_부하량'!B3:B3000),0))</f>
        <v>0.0</v>
      </c>
      <c r="O28" s="21"/>
      <c r="P28" s="21"/>
      <c r="Q28" s="2695"/>
      <c r="R28" s="17" t="s">
        <v>6205</v>
      </c>
      <c r="S28" s="879" t="s">
        <v>4596</v>
      </c>
      <c r="T28" s="650" t="s">
        <v>6246</v>
      </c>
    </row>
    <row r="29" spans="1:20" x14ac:dyDescent="0.15">
      <c r="A29" s="22"/>
      <c r="B29" s="17" t="s">
        <v>4590</v>
      </c>
      <c r="C29" s="17" t="s">
        <v>4642</v>
      </c>
      <c r="D29" s="21"/>
      <c r="E29" s="2672" cm="1" t="n">
        <f t="array" ref="E29">INDEX('4층_부하량'!D3:D3000,MATCH(1,("4-DaHall 1-PDU-06"='4층_부하량'!A3:A3000)*(11='4층_부하량'!B3:B3000),0))</f>
        <v>0.0</v>
      </c>
      <c r="F29" s="21"/>
      <c r="G29" s="21"/>
      <c r="H29" s="17" t="s">
        <v>6205</v>
      </c>
      <c r="I29" s="879" t="s">
        <v>4653</v>
      </c>
      <c r="J29" s="27"/>
      <c r="K29" s="22"/>
      <c r="L29" s="17" t="s">
        <v>4590</v>
      </c>
      <c r="M29" s="17" t="s">
        <v>4642</v>
      </c>
      <c r="N29" s="21"/>
      <c r="O29" s="2672" cm="1" t="n">
        <f t="array" ref="O29">INDEX('4층_부하량'!D3:D3000,MATCH(1,("4-DaHall 1-PDU-08"='4층_부하량'!A3:A3000)*(11='4층_부하량'!B3:B3000),0))</f>
        <v>0.0</v>
      </c>
      <c r="P29" s="21"/>
      <c r="Q29" s="2695"/>
      <c r="R29" s="17" t="s">
        <v>6205</v>
      </c>
      <c r="S29" s="879" t="s">
        <v>4653</v>
      </c>
      <c r="T29" s="27"/>
    </row>
    <row r="30" spans="1:20" ht="14.25" thickBot="1" x14ac:dyDescent="0.2">
      <c r="A30" s="34"/>
      <c r="B30" s="35" t="s">
        <v>4590</v>
      </c>
      <c r="C30" s="35" t="s">
        <v>4642</v>
      </c>
      <c r="D30" s="36"/>
      <c r="E30" s="36"/>
      <c r="F30" s="2671" cm="1" t="n">
        <f t="array" ref="F30">INDEX('4층_부하량'!E3:E3000,MATCH(1,("4-DaHall 1-PDU-06"='4층_부하량'!A3:A3000)*(12='4층_부하량'!B3:B3000),0))</f>
        <v>0.0</v>
      </c>
      <c r="G30" s="36"/>
      <c r="H30" s="35" t="s">
        <v>6205</v>
      </c>
      <c r="I30" s="551" t="s">
        <v>4876</v>
      </c>
      <c r="J30" s="37"/>
      <c r="K30" s="34"/>
      <c r="L30" s="35" t="s">
        <v>4590</v>
      </c>
      <c r="M30" s="35" t="s">
        <v>4642</v>
      </c>
      <c r="N30" s="36"/>
      <c r="O30" s="36"/>
      <c r="P30" s="2671" cm="1" t="n">
        <f t="array" ref="P30">INDEX('4층_부하량'!E3:E3000,MATCH(1,("4-DaHall 1-PDU-08"='4층_부하량'!A3:A3000)*(12='4층_부하량'!B3:B3000),0))</f>
        <v>0.0</v>
      </c>
      <c r="Q30" s="316"/>
      <c r="R30" s="35" t="s">
        <v>6205</v>
      </c>
      <c r="S30" s="551" t="s">
        <v>4876</v>
      </c>
      <c r="T30" s="37"/>
    </row>
    <row r="31" spans="1:20" ht="18" thickTop="1" thickBot="1" x14ac:dyDescent="0.2">
      <c r="C31" s="32" t="s">
        <v>5645</v>
      </c>
      <c r="D31" s="33" t="n">
        <f>SUM(D19:D30)</f>
        <v>61.300000000000004</v>
      </c>
      <c r="E31" s="33" t="n">
        <f>SUM(E19:E30)</f>
        <v>13.5</v>
      </c>
      <c r="F31" s="33" t="n">
        <f>SUM(F19:F30)</f>
        <v>7.8100000000000005</v>
      </c>
      <c r="M31" s="32" t="s">
        <v>5645</v>
      </c>
      <c r="N31" s="33" t="n">
        <f>SUM(N19:N30)</f>
        <v>44.22</v>
      </c>
      <c r="O31" s="33" t="n">
        <f>SUM(O19:O30)</f>
        <v>63.75</v>
      </c>
      <c r="P31" s="33" t="n">
        <f>SUM(P19:P30)</f>
        <v>16.37</v>
      </c>
    </row>
    <row r="32" spans="1:20" ht="20.25" thickTop="1" thickBot="1" x14ac:dyDescent="0.2">
      <c r="A32" s="2" t="s">
        <v>6937</v>
      </c>
      <c r="D32" s="3661" t="s">
        <v>6196</v>
      </c>
      <c r="E32" s="3667"/>
      <c r="F32" s="124"/>
      <c r="G32" s="3660" t="s">
        <v>6248</v>
      </c>
      <c r="H32" s="3660"/>
      <c r="I32" s="3660"/>
      <c r="K32" s="2" t="s">
        <v>6938</v>
      </c>
      <c r="N32" s="3661" t="s">
        <v>6196</v>
      </c>
      <c r="O32" s="3667"/>
      <c r="P32" s="124"/>
      <c r="Q32" s="3660" t="s">
        <v>6250</v>
      </c>
      <c r="R32" s="3660"/>
      <c r="S32" s="3660"/>
    </row>
    <row r="33" spans="1:20" ht="15" thickTop="1" thickBot="1" x14ac:dyDescent="0.2">
      <c r="A33" s="3"/>
      <c r="C33" s="1373" t="s">
        <v>4562</v>
      </c>
      <c r="D33" s="1374">
        <v>46.5</v>
      </c>
      <c r="E33" s="1375">
        <v>43.9</v>
      </c>
      <c r="F33" s="1376">
        <v>43.5</v>
      </c>
      <c r="G33" s="1377" t="s">
        <v>4563</v>
      </c>
      <c r="H33" s="133"/>
      <c r="I33" s="128"/>
      <c r="J33" s="528"/>
      <c r="K33" s="3"/>
      <c r="M33" s="1373" t="s">
        <v>4562</v>
      </c>
      <c r="N33" s="1374">
        <v>77.599999999999994</v>
      </c>
      <c r="O33" s="1375">
        <v>59.1</v>
      </c>
      <c r="P33" s="1376">
        <v>50.5</v>
      </c>
      <c r="Q33" s="1377" t="s">
        <v>4563</v>
      </c>
      <c r="R33" s="133"/>
      <c r="S33" s="128"/>
      <c r="T33" s="528"/>
    </row>
    <row r="34" spans="1:20" ht="15" thickTop="1" thickBot="1" x14ac:dyDescent="0.2">
      <c r="A34" s="5" t="s">
        <v>4629</v>
      </c>
      <c r="B34" s="6" t="s">
        <v>4565</v>
      </c>
      <c r="C34" s="7" t="s">
        <v>4566</v>
      </c>
      <c r="D34" s="6" t="s">
        <v>4567</v>
      </c>
      <c r="E34" s="6" t="s">
        <v>4568</v>
      </c>
      <c r="F34" s="6" t="s">
        <v>4569</v>
      </c>
      <c r="G34" s="6" t="s">
        <v>4570</v>
      </c>
      <c r="H34" s="8" t="s">
        <v>4571</v>
      </c>
      <c r="I34" s="547" t="s">
        <v>6200</v>
      </c>
      <c r="J34" s="9" t="s">
        <v>6201</v>
      </c>
      <c r="K34" s="5" t="s">
        <v>4629</v>
      </c>
      <c r="L34" s="6" t="s">
        <v>4565</v>
      </c>
      <c r="M34" s="7" t="s">
        <v>4566</v>
      </c>
      <c r="N34" s="6" t="s">
        <v>4567</v>
      </c>
      <c r="O34" s="6" t="s">
        <v>4568</v>
      </c>
      <c r="P34" s="6" t="s">
        <v>4569</v>
      </c>
      <c r="Q34" s="6" t="s">
        <v>4570</v>
      </c>
      <c r="R34" s="8" t="s">
        <v>4571</v>
      </c>
      <c r="S34" s="547" t="s">
        <v>6200</v>
      </c>
      <c r="T34" s="9" t="s">
        <v>6201</v>
      </c>
    </row>
    <row r="35" spans="1:20" ht="17.25" thickTop="1" x14ac:dyDescent="0.15">
      <c r="A35" s="272" t="s">
        <v>6251</v>
      </c>
      <c r="B35" s="11" t="s">
        <v>4631</v>
      </c>
      <c r="C35" s="12" t="s">
        <v>4723</v>
      </c>
      <c r="D35" s="2669" cm="1" t="n">
        <f t="array" ref="D35">INDEX('4층_부하량'!C3:C3000,MATCH(1,("4-DaHall 1-PDU-10"='4층_부하량'!A3:A3000)*(1='4층_부하량'!B3:B3000),0))</f>
        <v>0.0</v>
      </c>
      <c r="E35" s="2669" cm="1" t="n">
        <f t="array" ref="E35">INDEX('4층_부하량'!D3:D3000,MATCH(1,("4-DaHall 1-PDU-10"='4층_부하량'!A3:A3000)*(1='4층_부하량'!B3:B3000),0))</f>
        <v>0.0</v>
      </c>
      <c r="F35" s="2669" cm="1" t="n">
        <f t="array" ref="F35">INDEX('4층_부하량'!E3:E3000,MATCH(1,("4-DaHall 1-PDU-10"='4층_부하량'!A3:A3000)*(1='4층_부하량'!B3:B3000),0))</f>
        <v>0.0</v>
      </c>
      <c r="G35" s="15"/>
      <c r="H35" s="13" t="s">
        <v>6252</v>
      </c>
      <c r="I35" s="878" t="s">
        <v>4577</v>
      </c>
      <c r="J35" s="14"/>
      <c r="K35" s="10" t="s">
        <v>6253</v>
      </c>
      <c r="L35" s="11" t="s">
        <v>4631</v>
      </c>
      <c r="M35" s="12" t="s">
        <v>4575</v>
      </c>
      <c r="N35" s="2669" cm="1" t="n">
        <f t="array" ref="N35">INDEX('4층_부하량'!C3:C3000,MATCH(1,("4-DaHall 1-PDU-01"='4층_부하량'!A3:A3000)*(1='4층_부하량'!B3:B3000),0))</f>
        <v>1.13</v>
      </c>
      <c r="O35" s="2669" cm="1" t="n">
        <f t="array" ref="O35">INDEX('4층_부하량'!D3:D3000,MATCH(1,("4-DaHall 1-PDU-01"='4층_부하량'!A3:A3000)*(1='4층_부하량'!B3:B3000),0))</f>
        <v>0.89</v>
      </c>
      <c r="P35" s="2669" cm="1" t="n">
        <f t="array" ref="P35">INDEX('4층_부하량'!E3:E3000,MATCH(1,("4-DaHall 1-PDU-01"='4층_부하량'!A3:A3000)*(1='4층_부하량'!B3:B3000),0))</f>
        <v>1.33</v>
      </c>
      <c r="Q35" s="310"/>
      <c r="R35" s="13" t="s">
        <v>4964</v>
      </c>
      <c r="S35" s="878" t="s">
        <v>4577</v>
      </c>
      <c r="T35" s="14" t="s">
        <v>6203</v>
      </c>
    </row>
    <row r="36" spans="1:20" ht="16.5" x14ac:dyDescent="0.15">
      <c r="A36" s="16" t="s">
        <v>6254</v>
      </c>
      <c r="B36" s="17" t="s">
        <v>4631</v>
      </c>
      <c r="C36" s="18" t="s">
        <v>4575</v>
      </c>
      <c r="D36" s="2670" cm="1" t="n">
        <f t="array" ref="D36">INDEX('4층_부하량'!C3:C3000,MATCH(1,("4-DaHall 1-PDU-10"='4층_부하량'!A3:A3000)*(2='4층_부하량'!B3:B3000),0))</f>
        <v>28.97</v>
      </c>
      <c r="E36" s="2670" cm="1" t="n">
        <f t="array" ref="E36">INDEX('4층_부하량'!D3:D3000,MATCH(1,("4-DaHall 1-PDU-10"='4층_부하량'!A3:A3000)*(2='4층_부하량'!B3:B3000),0))</f>
        <v>26.42</v>
      </c>
      <c r="F36" s="2670" cm="1" t="n">
        <f t="array" ref="F36">INDEX('4층_부하량'!E3:E3000,MATCH(1,("4-DaHall 1-PDU-10"='4층_부하량'!A3:A3000)*(2='4층_부하량'!B3:B3000),0))</f>
        <v>27.99</v>
      </c>
      <c r="G36" s="349"/>
      <c r="H36" s="17" t="s">
        <v>6252</v>
      </c>
      <c r="I36" s="879" t="s">
        <v>4578</v>
      </c>
      <c r="J36" s="20" t="s">
        <v>6255</v>
      </c>
      <c r="K36" s="266" t="s">
        <v>6256</v>
      </c>
      <c r="L36" s="17" t="s">
        <v>4631</v>
      </c>
      <c r="M36" s="18" t="s">
        <v>4575</v>
      </c>
      <c r="N36" s="2670" cm="1" t="n">
        <f t="array" ref="N36">INDEX('4층_부하량'!C3:C3000,MATCH(1,("4-DaHall 1-PDU-01"='4층_부하량'!A3:A3000)*(2='4층_부하량'!B3:B3000),0))</f>
        <v>37.09</v>
      </c>
      <c r="O36" s="19"/>
      <c r="P36" s="19"/>
      <c r="Q36" s="311"/>
      <c r="R36" s="17" t="s">
        <v>6205</v>
      </c>
      <c r="S36" s="879" t="s">
        <v>4578</v>
      </c>
      <c r="T36" s="20" t="s">
        <v>6203</v>
      </c>
    </row>
    <row r="37" spans="1:20" ht="17.25" thickBot="1" x14ac:dyDescent="0.2">
      <c r="A37" s="16" t="s">
        <v>6257</v>
      </c>
      <c r="B37" s="35" t="s">
        <v>4631</v>
      </c>
      <c r="C37" s="39" t="s">
        <v>4575</v>
      </c>
      <c r="D37" s="2671" cm="1" t="n">
        <f t="array" ref="D37">INDEX('4층_부하량'!C3:C3000,MATCH(1,("4-DaHall 1-PDU-10"='4층_부하량'!A3:A3000)*(3='4층_부하량'!B3:B3000),0))</f>
        <v>2.95</v>
      </c>
      <c r="E37" s="2671" cm="1" t="n">
        <f t="array" ref="E37">INDEX('4층_부하량'!D3:D3000,MATCH(1,("4-DaHall 1-PDU-10"='4층_부하량'!A3:A3000)*(3='4층_부하량'!B3:B3000),0))</f>
        <v>2.66</v>
      </c>
      <c r="F37" s="2671" cm="1" t="n">
        <f t="array" ref="F37">INDEX('4층_부하량'!E3:E3000,MATCH(1,("4-DaHall 1-PDU-10"='4층_부하량'!A3:A3000)*(3='4층_부하량'!B3:B3000),0))</f>
        <v>3.22</v>
      </c>
      <c r="G37" s="351"/>
      <c r="H37" s="35" t="s">
        <v>6252</v>
      </c>
      <c r="I37" s="551" t="s">
        <v>4582</v>
      </c>
      <c r="J37" s="40" t="s">
        <v>6255</v>
      </c>
      <c r="K37" s="267" t="s">
        <v>6258</v>
      </c>
      <c r="L37" s="17" t="s">
        <v>4631</v>
      </c>
      <c r="M37" s="18" t="s">
        <v>4575</v>
      </c>
      <c r="N37" s="21"/>
      <c r="O37" s="2672" cm="1" t="n">
        <f t="array" ref="O37">INDEX('4층_부하량'!D3:D3000,MATCH(1,("4-DaHall 1-PDU-01"='4층_부하량'!A3:A3000)*(3='4층_부하량'!B3:B3000),0))</f>
        <v>33.54</v>
      </c>
      <c r="P37" s="21"/>
      <c r="Q37" s="2695"/>
      <c r="R37" s="17" t="s">
        <v>6205</v>
      </c>
      <c r="S37" s="879" t="s">
        <v>4638</v>
      </c>
      <c r="T37" s="20" t="s">
        <v>6203</v>
      </c>
    </row>
    <row r="38" spans="1:20" ht="17.25" thickTop="1" x14ac:dyDescent="0.15">
      <c r="A38" s="41"/>
      <c r="B38" s="42"/>
      <c r="C38" s="32" t="s">
        <v>5645</v>
      </c>
      <c r="D38" s="1173" t="n">
        <f>SUM(D35:D37)</f>
        <v>31.919999999999998</v>
      </c>
      <c r="E38" s="1173" t="n">
        <f t="shared" ref="E38:G38" si="0">SUM(E35:E37)</f>
        <v>29.080000000000002</v>
      </c>
      <c r="F38" s="1173" t="n">
        <f t="shared" si="0"/>
        <v>31.209999999999997</v>
      </c>
      <c r="G38" s="1173" t="n">
        <f t="shared" si="0"/>
        <v>0.0</v>
      </c>
      <c r="H38" s="42"/>
      <c r="I38" s="872"/>
      <c r="J38" s="44"/>
      <c r="K38" s="267" t="s">
        <v>6259</v>
      </c>
      <c r="L38" s="17" t="s">
        <v>4631</v>
      </c>
      <c r="M38" s="18" t="s">
        <v>4575</v>
      </c>
      <c r="N38" s="21"/>
      <c r="O38" s="21"/>
      <c r="P38" s="2672" cm="1" t="n">
        <f t="array" ref="P38">INDEX('4층_부하량'!E3:E3000,MATCH(1,("4-DaHall 1-PDU-01"='4층_부하량'!A3:A3000)*(4='4층_부하량'!B3:B3000),0))</f>
        <v>31.18</v>
      </c>
      <c r="Q38" s="2695"/>
      <c r="R38" s="17" t="s">
        <v>6205</v>
      </c>
      <c r="S38" s="879" t="s">
        <v>4583</v>
      </c>
      <c r="T38" s="20" t="s">
        <v>6203</v>
      </c>
    </row>
    <row r="39" spans="1:20" ht="16.5" x14ac:dyDescent="0.15">
      <c r="A39" s="45"/>
      <c r="B39" s="23"/>
      <c r="C39" s="24"/>
      <c r="D39" s="25"/>
      <c r="E39" s="25"/>
      <c r="F39" s="25"/>
      <c r="G39" s="25"/>
      <c r="H39" s="23"/>
      <c r="I39" s="555"/>
      <c r="J39" s="46"/>
      <c r="K39" s="267" t="s">
        <v>6260</v>
      </c>
      <c r="L39" s="23" t="s">
        <v>4631</v>
      </c>
      <c r="M39" s="24" t="s">
        <v>4575</v>
      </c>
      <c r="N39" s="2673" cm="1" t="n">
        <f t="array" ref="N39">INDEX('4층_부하량'!C3:C3000,MATCH(1,("4-DaHall 1-PDU-01"='4층_부하량'!A3:A3000)*(5='4층_부하량'!B3:B3000),0))</f>
        <v>40.91</v>
      </c>
      <c r="O39" s="25"/>
      <c r="P39" s="25"/>
      <c r="Q39" s="2696"/>
      <c r="R39" s="23" t="s">
        <v>6205</v>
      </c>
      <c r="S39" s="879" t="s">
        <v>4641</v>
      </c>
      <c r="T39" s="26" t="s">
        <v>6203</v>
      </c>
    </row>
    <row r="40" spans="1:20" ht="16.5" x14ac:dyDescent="0.15">
      <c r="A40" s="45"/>
      <c r="B40" s="17"/>
      <c r="C40" s="18"/>
      <c r="D40" s="21"/>
      <c r="E40" s="21"/>
      <c r="F40" s="21"/>
      <c r="G40" s="21"/>
      <c r="H40" s="17"/>
      <c r="I40" s="549"/>
      <c r="J40" s="27"/>
      <c r="K40" s="268" t="s">
        <v>6261</v>
      </c>
      <c r="L40" s="17" t="s">
        <v>4631</v>
      </c>
      <c r="M40" s="18" t="s">
        <v>4575</v>
      </c>
      <c r="N40" s="21"/>
      <c r="O40" s="2672" cm="1" t="n">
        <f t="array" ref="O40">INDEX('4층_부하량'!D3:D3000,MATCH(1,("4-DaHall 1-PDU-01"='4층_부하량'!A3:A3000)*(6='4층_부하량'!B3:B3000),0))</f>
        <v>22.9</v>
      </c>
      <c r="P40" s="21"/>
      <c r="Q40" s="2695"/>
      <c r="R40" s="17" t="s">
        <v>6205</v>
      </c>
      <c r="S40" s="879" t="s">
        <v>4588</v>
      </c>
      <c r="T40" s="20" t="s">
        <v>5832</v>
      </c>
    </row>
    <row r="41" spans="1:20" ht="16.5" x14ac:dyDescent="0.15">
      <c r="A41" s="47"/>
      <c r="B41" s="23"/>
      <c r="C41" s="24"/>
      <c r="D41" s="25"/>
      <c r="E41" s="25"/>
      <c r="F41" s="25"/>
      <c r="G41" s="25"/>
      <c r="H41" s="23"/>
      <c r="I41" s="555"/>
      <c r="J41" s="46"/>
      <c r="K41" s="269" t="s">
        <v>6262</v>
      </c>
      <c r="L41" s="23" t="s">
        <v>4631</v>
      </c>
      <c r="M41" s="24" t="s">
        <v>4575</v>
      </c>
      <c r="N41" s="25"/>
      <c r="O41" s="25"/>
      <c r="P41" s="2673" cm="1" t="n">
        <f t="array" ref="P41">INDEX('4층_부하량'!E3:E3000,MATCH(1,("4-DaHall 1-PDU-01"='4층_부하량'!A3:A3000)*(7='4층_부하량'!B3:B3000),0))</f>
        <v>12.44</v>
      </c>
      <c r="Q41" s="2696"/>
      <c r="R41" s="23" t="s">
        <v>6205</v>
      </c>
      <c r="S41" s="879" t="s">
        <v>4645</v>
      </c>
      <c r="T41" s="26" t="s">
        <v>5832</v>
      </c>
    </row>
    <row r="42" spans="1:20" ht="16.5" x14ac:dyDescent="0.15">
      <c r="A42" s="45"/>
      <c r="B42" s="23"/>
      <c r="C42" s="24"/>
      <c r="D42" s="21"/>
      <c r="E42" s="21"/>
      <c r="F42" s="21"/>
      <c r="G42" s="21"/>
      <c r="H42" s="17"/>
      <c r="I42" s="549"/>
      <c r="J42" s="27"/>
      <c r="K42" s="22"/>
      <c r="L42" s="17" t="s">
        <v>4590</v>
      </c>
      <c r="M42" s="17" t="s">
        <v>4642</v>
      </c>
      <c r="N42" s="2672" cm="1" t="n">
        <f t="array" ref="N42">INDEX('4층_부하량'!C3:C3000,MATCH(1,("4-DaHall 1-PDU-01"='4층_부하량'!A3:A3000)*(8='4층_부하량'!B3:B3000),0))</f>
        <v>0.0</v>
      </c>
      <c r="O42" s="21"/>
      <c r="P42" s="21"/>
      <c r="Q42" s="2695"/>
      <c r="R42" s="17" t="s">
        <v>6205</v>
      </c>
      <c r="S42" s="879" t="s">
        <v>4593</v>
      </c>
      <c r="T42" s="20"/>
    </row>
    <row r="43" spans="1:20" ht="17.25" thickBot="1" x14ac:dyDescent="0.2">
      <c r="A43" s="47"/>
      <c r="B43" s="271"/>
      <c r="C43" s="24"/>
      <c r="D43" s="25"/>
      <c r="E43" s="25"/>
      <c r="F43" s="25"/>
      <c r="G43" s="25"/>
      <c r="H43" s="23"/>
      <c r="I43" s="555"/>
      <c r="J43" s="46"/>
      <c r="K43" s="2323"/>
      <c r="L43" s="35" t="s">
        <v>4590</v>
      </c>
      <c r="M43" s="35" t="s">
        <v>4642</v>
      </c>
      <c r="N43" s="30"/>
      <c r="O43" s="2671" cm="1" t="n">
        <f t="array" ref="O43">INDEX('4층_부하량'!D3:D3000,MATCH(1,("4-DaHall 1-PDU-01"='4층_부하량'!A3:A3000)*(9='4층_부하량'!B3:B3000),0))</f>
        <v>0.0</v>
      </c>
      <c r="P43" s="30"/>
      <c r="Q43" s="2697"/>
      <c r="R43" s="29" t="s">
        <v>6205</v>
      </c>
      <c r="S43" s="556" t="s">
        <v>4595</v>
      </c>
      <c r="T43" s="31"/>
    </row>
    <row r="44" spans="1:20" ht="18" thickTop="1" thickBot="1" x14ac:dyDescent="0.2">
      <c r="M44" s="32" t="s">
        <v>5645</v>
      </c>
      <c r="N44" s="33" t="n">
        <f>SUM(N35:N43)</f>
        <v>79.13</v>
      </c>
      <c r="O44" s="33" t="n">
        <f>SUM(O35:O43)</f>
        <v>57.33</v>
      </c>
      <c r="P44" s="33" t="n">
        <f>SUM(P35:P43)</f>
        <v>44.949999999999996</v>
      </c>
    </row>
    <row r="45" spans="1:20" ht="20.25" thickTop="1" thickBot="1" x14ac:dyDescent="0.2">
      <c r="A45" s="2" t="s">
        <v>6939</v>
      </c>
      <c r="D45" s="3661" t="s">
        <v>4715</v>
      </c>
      <c r="E45" s="3667"/>
      <c r="F45" s="124"/>
      <c r="G45" s="3660" t="s">
        <v>6264</v>
      </c>
      <c r="H45" s="3660"/>
      <c r="I45" s="3660"/>
      <c r="K45" s="2" t="s">
        <v>6940</v>
      </c>
      <c r="N45" s="3661" t="s">
        <v>4715</v>
      </c>
      <c r="O45" s="3667"/>
      <c r="P45" s="124"/>
      <c r="Q45" s="3660" t="s">
        <v>6266</v>
      </c>
      <c r="R45" s="3660"/>
      <c r="S45" s="3660"/>
    </row>
    <row r="46" spans="1:20" ht="15" thickTop="1" thickBot="1" x14ac:dyDescent="0.2">
      <c r="A46" s="3"/>
      <c r="C46" s="1373" t="s">
        <v>4562</v>
      </c>
      <c r="D46" s="1374">
        <v>57.4</v>
      </c>
      <c r="E46" s="1375">
        <v>38.799999999999997</v>
      </c>
      <c r="F46" s="1376">
        <v>25.4</v>
      </c>
      <c r="G46" s="1377" t="s">
        <v>4563</v>
      </c>
      <c r="H46" s="133"/>
      <c r="I46" s="128"/>
      <c r="J46" s="528"/>
      <c r="K46" s="3"/>
      <c r="M46" s="1373" t="s">
        <v>4562</v>
      </c>
      <c r="N46" s="1374">
        <v>59.5</v>
      </c>
      <c r="O46" s="1375">
        <v>27.6</v>
      </c>
      <c r="P46" s="1376">
        <v>25.2</v>
      </c>
      <c r="Q46" s="1377" t="s">
        <v>4563</v>
      </c>
      <c r="R46" s="133"/>
      <c r="S46" s="128"/>
      <c r="T46" s="528"/>
    </row>
    <row r="47" spans="1:20" ht="15" thickTop="1" thickBot="1" x14ac:dyDescent="0.2">
      <c r="A47" s="5" t="s">
        <v>4629</v>
      </c>
      <c r="B47" s="6" t="s">
        <v>4565</v>
      </c>
      <c r="C47" s="7" t="s">
        <v>4566</v>
      </c>
      <c r="D47" s="6" t="s">
        <v>4567</v>
      </c>
      <c r="E47" s="6" t="s">
        <v>4568</v>
      </c>
      <c r="F47" s="6" t="s">
        <v>4569</v>
      </c>
      <c r="G47" s="6" t="s">
        <v>4570</v>
      </c>
      <c r="H47" s="8" t="s">
        <v>4571</v>
      </c>
      <c r="I47" s="547" t="s">
        <v>6200</v>
      </c>
      <c r="J47" s="9" t="s">
        <v>6201</v>
      </c>
      <c r="K47" s="5" t="s">
        <v>4629</v>
      </c>
      <c r="L47" s="6" t="s">
        <v>4565</v>
      </c>
      <c r="M47" s="7" t="s">
        <v>4566</v>
      </c>
      <c r="N47" s="6" t="s">
        <v>4567</v>
      </c>
      <c r="O47" s="6" t="s">
        <v>4568</v>
      </c>
      <c r="P47" s="6" t="s">
        <v>4569</v>
      </c>
      <c r="Q47" s="6" t="s">
        <v>4570</v>
      </c>
      <c r="R47" s="8" t="s">
        <v>4571</v>
      </c>
      <c r="S47" s="547" t="s">
        <v>6200</v>
      </c>
      <c r="T47" s="9" t="s">
        <v>6201</v>
      </c>
    </row>
    <row r="48" spans="1:20" ht="17.25" thickTop="1" x14ac:dyDescent="0.15">
      <c r="A48" s="10"/>
      <c r="B48" s="11" t="s">
        <v>4590</v>
      </c>
      <c r="C48" s="13" t="s">
        <v>4642</v>
      </c>
      <c r="D48" s="2669" cm="1" t="n">
        <f t="array" ref="D48">INDEX('4층_부하량'!C3:C3000,MATCH(1,("4-DaHall 1-PDU-03"='4층_부하량'!A3:A3000)*(1='4층_부하량'!B3:B3000),0))</f>
        <v>0.0</v>
      </c>
      <c r="E48" s="2669" cm="1" t="n">
        <f t="array" ref="E48">INDEX('4층_부하량'!D3:D3000,MATCH(1,("4-DaHall 1-PDU-03"='4층_부하량'!A3:A3000)*(1='4층_부하량'!B3:B3000),0))</f>
        <v>0.0</v>
      </c>
      <c r="F48" s="2669" cm="1" t="n">
        <f t="array" ref="F48">INDEX('4층_부하량'!E3:E3000,MATCH(1,("4-DaHall 1-PDU-03"='4층_부하량'!A3:A3000)*(1='4층_부하량'!B3:B3000),0))</f>
        <v>0.0</v>
      </c>
      <c r="G48" s="15"/>
      <c r="H48" s="13" t="s">
        <v>4964</v>
      </c>
      <c r="I48" s="878" t="s">
        <v>4577</v>
      </c>
      <c r="J48" s="14"/>
      <c r="K48" s="272" t="s">
        <v>6267</v>
      </c>
      <c r="L48" s="11" t="s">
        <v>4631</v>
      </c>
      <c r="M48" s="12" t="s">
        <v>4575</v>
      </c>
      <c r="N48" s="2669" cm="1" t="n">
        <f t="array" ref="N48">INDEX('4층_부하량'!C3:C3000,MATCH(1,("4-DaHall 1-PDU-05"='4층_부하량'!A3:A3000)*(1='4층_부하량'!B3:B3000),0))</f>
        <v>8.38</v>
      </c>
      <c r="O48" s="15"/>
      <c r="P48" s="15"/>
      <c r="Q48" s="15"/>
      <c r="R48" s="13" t="s">
        <v>6205</v>
      </c>
      <c r="S48" s="878" t="s">
        <v>4577</v>
      </c>
      <c r="T48" s="14" t="s">
        <v>5832</v>
      </c>
    </row>
    <row r="49" spans="1:20" ht="16.5" x14ac:dyDescent="0.15">
      <c r="A49" s="266" t="s">
        <v>6268</v>
      </c>
      <c r="B49" s="17" t="s">
        <v>4631</v>
      </c>
      <c r="C49" s="18" t="s">
        <v>4575</v>
      </c>
      <c r="D49" s="2670" cm="1" t="n">
        <f t="array" ref="D49">INDEX('4층_부하량'!C3:C3000,MATCH(1,("4-DaHall 1-PDU-03"='4층_부하량'!A3:A3000)*(2='4층_부하량'!B3:B3000),0))</f>
        <v>31.81</v>
      </c>
      <c r="E49" s="19"/>
      <c r="F49" s="19"/>
      <c r="G49" s="19"/>
      <c r="H49" s="17" t="s">
        <v>6205</v>
      </c>
      <c r="I49" s="879" t="s">
        <v>4578</v>
      </c>
      <c r="J49" s="20" t="s">
        <v>6203</v>
      </c>
      <c r="K49" s="266" t="s">
        <v>6269</v>
      </c>
      <c r="L49" s="17" t="s">
        <v>4631</v>
      </c>
      <c r="M49" s="18" t="s">
        <v>4575</v>
      </c>
      <c r="N49" s="19"/>
      <c r="O49" s="2670" cm="1" t="n">
        <f t="array" ref="O49">INDEX('4층_부하량'!D3:D3000,MATCH(1,("4-DaHall 1-PDU-05"='4층_부하량'!A3:A3000)*(2='4층_부하량'!B3:B3000),0))</f>
        <v>0.0</v>
      </c>
      <c r="P49" s="19"/>
      <c r="Q49" s="19"/>
      <c r="R49" s="17" t="s">
        <v>6205</v>
      </c>
      <c r="S49" s="879" t="s">
        <v>4578</v>
      </c>
      <c r="T49" s="20" t="s">
        <v>5832</v>
      </c>
    </row>
    <row r="50" spans="1:20" ht="16.5" x14ac:dyDescent="0.15">
      <c r="A50" s="268" t="s">
        <v>6270</v>
      </c>
      <c r="B50" s="17" t="s">
        <v>4631</v>
      </c>
      <c r="C50" s="18" t="s">
        <v>4575</v>
      </c>
      <c r="D50" s="21"/>
      <c r="E50" s="2672" cm="1" t="n">
        <f t="array" ref="E50">INDEX('4층_부하량'!D3:D3000,MATCH(1,("4-DaHall 1-PDU-03"='4층_부하량'!A3:A3000)*(3='4층_부하량'!B3:B3000),0))</f>
        <v>26.71</v>
      </c>
      <c r="F50" s="21"/>
      <c r="G50" s="21"/>
      <c r="H50" s="17" t="s">
        <v>6205</v>
      </c>
      <c r="I50" s="879" t="s">
        <v>4638</v>
      </c>
      <c r="J50" s="20" t="s">
        <v>6203</v>
      </c>
      <c r="K50" s="267" t="s">
        <v>6271</v>
      </c>
      <c r="L50" s="17" t="s">
        <v>4631</v>
      </c>
      <c r="M50" s="18" t="s">
        <v>4575</v>
      </c>
      <c r="N50" s="21"/>
      <c r="O50" s="21"/>
      <c r="P50" s="2672" cm="1" t="n">
        <f t="array" ref="P50">INDEX('4층_부하량'!E3:E3000,MATCH(1,("4-DaHall 1-PDU-05"='4층_부하량'!A3:A3000)*(3='4층_부하량'!B3:B3000),0))</f>
        <v>6.39</v>
      </c>
      <c r="Q50" s="21"/>
      <c r="R50" s="17" t="s">
        <v>6205</v>
      </c>
      <c r="S50" s="879" t="s">
        <v>4638</v>
      </c>
      <c r="T50" s="20" t="s">
        <v>5832</v>
      </c>
    </row>
    <row r="51" spans="1:20" ht="16.5" x14ac:dyDescent="0.15">
      <c r="A51" s="268" t="s">
        <v>6272</v>
      </c>
      <c r="B51" s="17" t="s">
        <v>4590</v>
      </c>
      <c r="C51" s="17" t="s">
        <v>4642</v>
      </c>
      <c r="D51" s="21"/>
      <c r="E51" s="21"/>
      <c r="F51" s="2672" cm="1" t="n">
        <f t="array" ref="F51">INDEX('4층_부하량'!E3:E3000,MATCH(1,("4-DaHall 1-PDU-03"='4층_부하량'!A3:A3000)*(4='4층_부하량'!B3:B3000),0))</f>
        <v>0.0</v>
      </c>
      <c r="G51" s="21"/>
      <c r="H51" s="17" t="s">
        <v>6205</v>
      </c>
      <c r="I51" s="879" t="s">
        <v>4583</v>
      </c>
      <c r="J51" s="20" t="s">
        <v>6203</v>
      </c>
      <c r="K51" s="267" t="s">
        <v>6273</v>
      </c>
      <c r="L51" s="17" t="s">
        <v>4631</v>
      </c>
      <c r="M51" s="18" t="s">
        <v>4575</v>
      </c>
      <c r="N51" s="2672" cm="1" t="n">
        <f t="array" ref="N51">INDEX('4층_부하량'!C3:C3000,MATCH(1,("4-DaHall 1-PDU-05"='4층_부하량'!A3:A3000)*(4='4층_부하량'!B3:B3000),0))</f>
        <v>7.15</v>
      </c>
      <c r="O51" s="21"/>
      <c r="P51" s="21"/>
      <c r="Q51" s="21"/>
      <c r="R51" s="17" t="s">
        <v>6205</v>
      </c>
      <c r="S51" s="879" t="s">
        <v>4583</v>
      </c>
      <c r="T51" s="20" t="s">
        <v>5832</v>
      </c>
    </row>
    <row r="52" spans="1:20" ht="16.5" x14ac:dyDescent="0.15">
      <c r="A52" s="268" t="s">
        <v>6274</v>
      </c>
      <c r="B52" s="23" t="s">
        <v>4631</v>
      </c>
      <c r="C52" s="24" t="s">
        <v>4575</v>
      </c>
      <c r="D52" s="2673" cm="1" t="n">
        <f t="array" ref="D52">INDEX('4층_부하량'!C3:C3000,MATCH(1,("4-DaHall 1-PDU-03"='4층_부하량'!A3:A3000)*(5='4층_부하량'!B3:B3000),0))</f>
        <v>6.14</v>
      </c>
      <c r="E52" s="25"/>
      <c r="F52" s="25"/>
      <c r="G52" s="25"/>
      <c r="H52" s="23" t="s">
        <v>6205</v>
      </c>
      <c r="I52" s="879" t="s">
        <v>4641</v>
      </c>
      <c r="J52" s="26" t="s">
        <v>5832</v>
      </c>
      <c r="K52" s="267" t="s">
        <v>6275</v>
      </c>
      <c r="L52" s="23" t="s">
        <v>4631</v>
      </c>
      <c r="M52" s="18" t="s">
        <v>4575</v>
      </c>
      <c r="N52" s="25"/>
      <c r="O52" s="2672" cm="1" t="n">
        <f t="array" ref="O52">INDEX('4층_부하량'!D3:D3000,MATCH(1,("4-DaHall 1-PDU-05"='4층_부하량'!A3:A3000)*(5='4층_부하량'!B3:B3000),0))</f>
        <v>0.0</v>
      </c>
      <c r="P52" s="25"/>
      <c r="Q52" s="25"/>
      <c r="R52" s="23" t="s">
        <v>6205</v>
      </c>
      <c r="S52" s="879" t="s">
        <v>4641</v>
      </c>
      <c r="T52" s="26" t="s">
        <v>5832</v>
      </c>
    </row>
    <row r="53" spans="1:20" ht="16.5" x14ac:dyDescent="0.15">
      <c r="A53" s="268" t="s">
        <v>6276</v>
      </c>
      <c r="B53" s="17" t="s">
        <v>4631</v>
      </c>
      <c r="C53" s="18" t="s">
        <v>4575</v>
      </c>
      <c r="D53" s="21"/>
      <c r="E53" s="2672" cm="1" t="n">
        <f t="array" ref="E53">INDEX('4층_부하량'!D3:D3000,MATCH(1,("4-DaHall 1-PDU-03"='4층_부하량'!A3:A3000)*(6='4층_부하량'!B3:B3000),0))</f>
        <v>10.15</v>
      </c>
      <c r="F53" s="21"/>
      <c r="G53" s="21"/>
      <c r="H53" s="17" t="s">
        <v>6205</v>
      </c>
      <c r="I53" s="879" t="s">
        <v>4588</v>
      </c>
      <c r="J53" s="20" t="s">
        <v>5832</v>
      </c>
      <c r="K53" s="267" t="s">
        <v>6277</v>
      </c>
      <c r="L53" s="17" t="s">
        <v>4631</v>
      </c>
      <c r="M53" s="18" t="s">
        <v>4575</v>
      </c>
      <c r="N53" s="21"/>
      <c r="O53" s="21"/>
      <c r="P53" s="2672" cm="1" t="n">
        <f t="array" ref="P53">INDEX('4층_부하량'!E3:E3000,MATCH(1,("4-DaHall 1-PDU-05"='4층_부하량'!A3:A3000)*(6='4층_부하량'!B3:B3000),0))</f>
        <v>12.68</v>
      </c>
      <c r="Q53" s="21"/>
      <c r="R53" s="17" t="s">
        <v>6205</v>
      </c>
      <c r="S53" s="879" t="s">
        <v>4588</v>
      </c>
      <c r="T53" s="20" t="s">
        <v>5832</v>
      </c>
    </row>
    <row r="54" spans="1:20" ht="16.5" x14ac:dyDescent="0.15">
      <c r="A54" s="268" t="s">
        <v>6278</v>
      </c>
      <c r="B54" s="23" t="s">
        <v>4631</v>
      </c>
      <c r="C54" s="24" t="s">
        <v>4575</v>
      </c>
      <c r="D54" s="25"/>
      <c r="E54" s="25"/>
      <c r="F54" s="2673" cm="1" t="n">
        <f t="array" ref="F54">INDEX('4층_부하량'!E3:E3000,MATCH(1,("4-DaHall 1-PDU-03"='4층_부하량'!A3:A3000)*(7='4층_부하량'!B3:B3000),0))</f>
        <v>16.11</v>
      </c>
      <c r="G54" s="25"/>
      <c r="H54" s="23" t="s">
        <v>6205</v>
      </c>
      <c r="I54" s="879" t="s">
        <v>4645</v>
      </c>
      <c r="J54" s="26" t="s">
        <v>5832</v>
      </c>
      <c r="K54" s="266" t="s">
        <v>6279</v>
      </c>
      <c r="L54" s="23" t="s">
        <v>4631</v>
      </c>
      <c r="M54" s="24" t="s">
        <v>4575</v>
      </c>
      <c r="N54" s="2673" cm="1" t="n">
        <f t="array" ref="N54">INDEX('4층_부하량'!C3:C3000,MATCH(1,("4-DaHall 1-PDU-05"='4층_부하량'!A3:A3000)*(7='4층_부하량'!B3:B3000),0))</f>
        <v>6.06</v>
      </c>
      <c r="O54" s="25"/>
      <c r="P54" s="25"/>
      <c r="Q54" s="25"/>
      <c r="R54" s="23" t="s">
        <v>6205</v>
      </c>
      <c r="S54" s="879" t="s">
        <v>4645</v>
      </c>
      <c r="T54" s="26" t="s">
        <v>5832</v>
      </c>
    </row>
    <row r="55" spans="1:20" ht="16.5" x14ac:dyDescent="0.15">
      <c r="A55" s="268" t="s">
        <v>6280</v>
      </c>
      <c r="B55" s="17" t="s">
        <v>4631</v>
      </c>
      <c r="C55" s="18" t="s">
        <v>4575</v>
      </c>
      <c r="D55" s="2672" cm="1" t="n">
        <f t="array" ref="D55">INDEX('4층_부하량'!C3:C3000,MATCH(1,("4-DaHall 1-PDU-03"='4층_부하량'!A3:A3000)*(8='4층_부하량'!B3:B3000),0))</f>
        <v>17.56</v>
      </c>
      <c r="E55" s="21"/>
      <c r="F55" s="21"/>
      <c r="G55" s="21"/>
      <c r="H55" s="17" t="s">
        <v>6205</v>
      </c>
      <c r="I55" s="879" t="s">
        <v>4593</v>
      </c>
      <c r="J55" s="20" t="s">
        <v>5832</v>
      </c>
      <c r="K55" s="267" t="s">
        <v>6281</v>
      </c>
      <c r="L55" s="23" t="s">
        <v>4631</v>
      </c>
      <c r="M55" s="24" t="s">
        <v>4575</v>
      </c>
      <c r="N55" s="21"/>
      <c r="O55" s="2672" cm="1" t="n">
        <f t="array" ref="O55">INDEX('4층_부하량'!D3:D3000,MATCH(1,("4-DaHall 1-PDU-05"='4층_부하량'!A3:A3000)*(8='4층_부하량'!B3:B3000),0))</f>
        <v>10.2</v>
      </c>
      <c r="P55" s="21"/>
      <c r="Q55" s="21"/>
      <c r="R55" s="17" t="s">
        <v>6205</v>
      </c>
      <c r="S55" s="879" t="s">
        <v>4593</v>
      </c>
      <c r="T55" s="20" t="s">
        <v>5832</v>
      </c>
    </row>
    <row r="56" spans="1:20" ht="14.25" thickBot="1" x14ac:dyDescent="0.2">
      <c r="A56" s="28"/>
      <c r="B56" s="29" t="s">
        <v>4590</v>
      </c>
      <c r="C56" s="29" t="s">
        <v>4642</v>
      </c>
      <c r="D56" s="30"/>
      <c r="E56" s="2674" cm="1" t="n">
        <f t="array" ref="E56">INDEX('4층_부하량'!D3:D3000,MATCH(1,("4-DaHall 1-PDU-03"='4층_부하량'!A3:A3000)*(9='4층_부하량'!B3:B3000),0))</f>
        <v>0.0</v>
      </c>
      <c r="F56" s="30"/>
      <c r="G56" s="30"/>
      <c r="H56" s="29" t="s">
        <v>6205</v>
      </c>
      <c r="I56" s="556" t="s">
        <v>4595</v>
      </c>
      <c r="J56" s="31"/>
      <c r="K56" s="267" t="s">
        <v>6282</v>
      </c>
      <c r="L56" s="23" t="s">
        <v>4631</v>
      </c>
      <c r="M56" s="17" t="s">
        <v>4642</v>
      </c>
      <c r="N56" s="21"/>
      <c r="O56" s="21"/>
      <c r="P56" s="2672" cm="1" t="n">
        <f t="array" ref="P56">INDEX('4층_부하량'!E3:E3000,MATCH(1,("4-DaHall 1-PDU-05"='4층_부하량'!A3:A3000)*(9='4층_부하량'!B3:B3000),0))</f>
        <v>0.0</v>
      </c>
      <c r="Q56" s="21"/>
      <c r="R56" s="17" t="s">
        <v>6205</v>
      </c>
      <c r="S56" s="879" t="s">
        <v>4648</v>
      </c>
      <c r="T56" s="20" t="s">
        <v>5832</v>
      </c>
    </row>
    <row r="57" spans="1:20" ht="17.25" thickTop="1" x14ac:dyDescent="0.15">
      <c r="C57" s="32" t="s">
        <v>5645</v>
      </c>
      <c r="D57" s="33" t="n">
        <f>SUM(D48:D56)</f>
        <v>55.50999999999999</v>
      </c>
      <c r="E57" s="33" t="n">
        <f>SUM(E48:E56)</f>
        <v>36.86</v>
      </c>
      <c r="F57" s="33" t="n">
        <f>SUM(F48:F56)</f>
        <v>16.11</v>
      </c>
      <c r="K57" s="267" t="s">
        <v>6283</v>
      </c>
      <c r="L57" s="23" t="s">
        <v>4631</v>
      </c>
      <c r="M57" s="24" t="s">
        <v>4575</v>
      </c>
      <c r="N57" s="2672" cm="1" t="n">
        <f t="array" ref="N57">INDEX('4층_부하량'!C3:C3000,MATCH(1,("4-DaHall 1-PDU-05"='4층_부하량'!A3:A3000)*(10='4층_부하량'!B3:B3000),0))</f>
        <v>31.56</v>
      </c>
      <c r="O57" s="21"/>
      <c r="P57" s="21"/>
      <c r="Q57" s="21"/>
      <c r="R57" s="17" t="s">
        <v>6205</v>
      </c>
      <c r="S57" s="879" t="s">
        <v>4596</v>
      </c>
      <c r="T57" s="20" t="s">
        <v>5832</v>
      </c>
    </row>
    <row r="58" spans="1:20" x14ac:dyDescent="0.15">
      <c r="K58" s="22"/>
      <c r="L58" s="17" t="s">
        <v>4590</v>
      </c>
      <c r="M58" s="17" t="s">
        <v>4642</v>
      </c>
      <c r="N58" s="21"/>
      <c r="O58" s="2672" cm="1" t="n">
        <f t="array" ref="O58">INDEX('4층_부하량'!D3:D3000,MATCH(1,("4-DaHall 1-PDU-05"='4층_부하량'!A3:A3000)*(11='4층_부하량'!B3:B3000),0))</f>
        <v>0.0</v>
      </c>
      <c r="P58" s="21"/>
      <c r="Q58" s="21"/>
      <c r="R58" s="17" t="s">
        <v>6205</v>
      </c>
      <c r="S58" s="879" t="s">
        <v>4653</v>
      </c>
      <c r="T58" s="20"/>
    </row>
    <row r="59" spans="1:20" ht="14.25" thickBot="1" x14ac:dyDescent="0.2">
      <c r="K59" s="34"/>
      <c r="L59" s="35" t="s">
        <v>4590</v>
      </c>
      <c r="M59" s="35" t="s">
        <v>4642</v>
      </c>
      <c r="N59" s="36"/>
      <c r="O59" s="36"/>
      <c r="P59" s="2671" cm="1" t="n">
        <f t="array" ref="P59">INDEX('4층_부하량'!E3:E3000,MATCH(1,("4-DaHall 1-PDU-05"='4층_부하량'!A3:A3000)*(12='4층_부하량'!B3:B3000),0))</f>
        <v>0.0</v>
      </c>
      <c r="Q59" s="36"/>
      <c r="R59" s="35" t="s">
        <v>6205</v>
      </c>
      <c r="S59" s="551" t="s">
        <v>4876</v>
      </c>
      <c r="T59" s="37"/>
    </row>
    <row r="60" spans="1:20" ht="18" thickTop="1" thickBot="1" x14ac:dyDescent="0.2">
      <c r="M60" s="32" t="s">
        <v>5645</v>
      </c>
      <c r="N60" s="33" t="n">
        <f>SUM(N48:N59)</f>
        <v>53.15</v>
      </c>
      <c r="O60" s="33" t="n">
        <f>SUM(O48:O59)</f>
        <v>10.2</v>
      </c>
      <c r="P60" s="33" t="n">
        <f>SUM(P48:P59)</f>
        <v>19.07</v>
      </c>
    </row>
    <row r="61" spans="1:20" ht="20.25" thickTop="1" thickBot="1" x14ac:dyDescent="0.2">
      <c r="A61" s="642" t="s">
        <v>6941</v>
      </c>
      <c r="D61" s="3661" t="s">
        <v>4715</v>
      </c>
      <c r="E61" s="3667"/>
      <c r="F61" s="124"/>
      <c r="G61" s="3660" t="s">
        <v>6285</v>
      </c>
      <c r="H61" s="3660"/>
      <c r="I61" s="3660"/>
      <c r="K61" s="2" t="s">
        <v>6942</v>
      </c>
      <c r="N61" s="3661" t="s">
        <v>4715</v>
      </c>
      <c r="O61" s="3667"/>
      <c r="P61" s="124"/>
      <c r="Q61" s="3660" t="s">
        <v>6287</v>
      </c>
      <c r="R61" s="3660"/>
      <c r="S61" s="3660"/>
    </row>
    <row r="62" spans="1:20" ht="15" customHeight="1" thickTop="1" thickBot="1" x14ac:dyDescent="0.2">
      <c r="A62" s="3"/>
      <c r="C62" s="1373" t="s">
        <v>4562</v>
      </c>
      <c r="D62" s="1374">
        <v>44.7</v>
      </c>
      <c r="E62" s="1375">
        <v>76.7</v>
      </c>
      <c r="F62" s="1376">
        <v>22</v>
      </c>
      <c r="G62" s="1377" t="s">
        <v>4563</v>
      </c>
      <c r="H62" s="133"/>
      <c r="I62" s="128"/>
      <c r="J62" s="528"/>
      <c r="K62" s="3"/>
      <c r="M62" s="1373" t="s">
        <v>4562</v>
      </c>
      <c r="N62" s="1374">
        <v>0</v>
      </c>
      <c r="O62" s="1375">
        <v>0</v>
      </c>
      <c r="P62" s="1376">
        <v>0</v>
      </c>
      <c r="Q62" s="1377" t="s">
        <v>4563</v>
      </c>
      <c r="R62" s="133"/>
      <c r="S62" s="128"/>
      <c r="T62" s="528"/>
    </row>
    <row r="63" spans="1:20" ht="15" thickTop="1" thickBot="1" x14ac:dyDescent="0.2">
      <c r="A63" s="5" t="s">
        <v>4629</v>
      </c>
      <c r="B63" s="6" t="s">
        <v>4565</v>
      </c>
      <c r="C63" s="7" t="s">
        <v>4566</v>
      </c>
      <c r="D63" s="6" t="s">
        <v>4567</v>
      </c>
      <c r="E63" s="6" t="s">
        <v>4568</v>
      </c>
      <c r="F63" s="6" t="s">
        <v>4569</v>
      </c>
      <c r="G63" s="6" t="s">
        <v>4570</v>
      </c>
      <c r="H63" s="8" t="s">
        <v>4571</v>
      </c>
      <c r="I63" s="547" t="s">
        <v>6200</v>
      </c>
      <c r="J63" s="9" t="s">
        <v>6201</v>
      </c>
      <c r="K63" s="5" t="s">
        <v>4629</v>
      </c>
      <c r="L63" s="6" t="s">
        <v>4565</v>
      </c>
      <c r="M63" s="7" t="s">
        <v>4566</v>
      </c>
      <c r="N63" s="6" t="s">
        <v>4567</v>
      </c>
      <c r="O63" s="6" t="s">
        <v>4568</v>
      </c>
      <c r="P63" s="6" t="s">
        <v>4569</v>
      </c>
      <c r="Q63" s="6" t="s">
        <v>4570</v>
      </c>
      <c r="R63" s="8" t="s">
        <v>4571</v>
      </c>
      <c r="S63" s="547" t="s">
        <v>6288</v>
      </c>
      <c r="T63" s="9" t="s">
        <v>6201</v>
      </c>
    </row>
    <row r="64" spans="1:20" ht="18" thickTop="1" thickBot="1" x14ac:dyDescent="0.2">
      <c r="A64" s="272" t="s">
        <v>6289</v>
      </c>
      <c r="B64" s="11" t="s">
        <v>4631</v>
      </c>
      <c r="C64" s="304" t="s">
        <v>4575</v>
      </c>
      <c r="D64" s="2669" cm="1" t="n">
        <f t="array" ref="D64">INDEX('4층_부하량'!C3:C3000,MATCH(1,("4-DaHall 1-PDU-07"='4층_부하량'!A3:A3000)*(1='4층_부하량'!B3:B3000),0))</f>
        <v>19.95</v>
      </c>
      <c r="E64" s="15"/>
      <c r="F64" s="15"/>
      <c r="G64" s="15"/>
      <c r="H64" s="13" t="s">
        <v>6205</v>
      </c>
      <c r="I64" s="878" t="s">
        <v>4577</v>
      </c>
      <c r="J64" s="644" t="s">
        <v>6230</v>
      </c>
      <c r="K64" s="272" t="s">
        <v>6290</v>
      </c>
      <c r="L64" s="11" t="s">
        <v>565</v>
      </c>
      <c r="M64" s="304" t="s">
        <v>4723</v>
      </c>
      <c r="N64" s="2669" cm="1" t="n">
        <f t="array" ref="N64">INDEX('4층_부하량'!C3:C3000,MATCH(1,("4-DaHall 1-PDU-09"='4층_부하량'!A3:A3000)*(1='4층_부하량'!B3:B3000),0))</f>
        <v>0.0</v>
      </c>
      <c r="O64" s="2669" cm="1" t="n">
        <f t="array" ref="O64">INDEX('4층_부하량'!D3:D3000,MATCH(1,("4-DaHall 1-PDU-09"='4층_부하량'!A3:A3000)*(1='4층_부하량'!B3:B3000),0))</f>
        <v>0.0</v>
      </c>
      <c r="P64" s="2669" cm="1" t="n">
        <f t="array" ref="P64">INDEX('4층_부하량'!E3:E3000,MATCH(1,("4-DaHall 1-PDU-09"='4층_부하량'!A3:A3000)*(1='4층_부하량'!B3:B3000),0))</f>
        <v>0.0</v>
      </c>
      <c r="Q64" s="15"/>
      <c r="R64" s="13" t="s">
        <v>6252</v>
      </c>
      <c r="S64" s="552" t="s">
        <v>4633</v>
      </c>
      <c r="T64" s="14"/>
    </row>
    <row r="65" spans="1:20" ht="18" thickTop="1" thickBot="1" x14ac:dyDescent="0.2">
      <c r="A65" s="266" t="s">
        <v>6291</v>
      </c>
      <c r="B65" s="17" t="s">
        <v>4631</v>
      </c>
      <c r="C65" s="305" t="s">
        <v>4575</v>
      </c>
      <c r="D65" s="19"/>
      <c r="E65" s="2670" cm="1" t="n">
        <f t="array" ref="E65">INDEX('4층_부하량'!D3:D3000,MATCH(1,("4-DaHall 1-PDU-07"='4층_부하량'!A3:A3000)*(2='4층_부하량'!B3:B3000),0))</f>
        <v>32.86</v>
      </c>
      <c r="F65" s="19"/>
      <c r="G65" s="19"/>
      <c r="H65" s="17" t="s">
        <v>6205</v>
      </c>
      <c r="I65" s="879" t="s">
        <v>4578</v>
      </c>
      <c r="J65" s="649" t="s">
        <v>6227</v>
      </c>
      <c r="K65" s="16"/>
      <c r="L65" s="17" t="s">
        <v>4590</v>
      </c>
      <c r="M65" s="17" t="s">
        <v>4591</v>
      </c>
      <c r="N65" s="2669" cm="1" t="n">
        <f t="array" ref="N65">INDEX('4층_부하량'!C3:C3000,MATCH(1,("4-DaHall 1-PDU-09"='4층_부하량'!A3:A3000)*(2='4층_부하량'!B3:B3000),0))</f>
        <v>0.0</v>
      </c>
      <c r="O65" s="2669" cm="1" t="n">
        <f t="array" ref="O65">INDEX('4층_부하량'!D3:D3000,MATCH(1,("4-DaHall 1-PDU-09"='4층_부하량'!A3:A3000)*(2='4층_부하량'!B3:B3000),0))</f>
        <v>0.0</v>
      </c>
      <c r="P65" s="2669" cm="1" t="n">
        <f t="array" ref="P65">INDEX('4층_부하량'!E3:E3000,MATCH(1,("4-DaHall 1-PDU-09"='4층_부하량'!A3:A3000)*(2='4층_부하량'!B3:B3000),0))</f>
        <v>0.0</v>
      </c>
      <c r="Q65" s="19"/>
      <c r="R65" s="17" t="s">
        <v>6252</v>
      </c>
      <c r="S65" s="549" t="s">
        <v>4578</v>
      </c>
      <c r="T65" s="20"/>
    </row>
    <row r="66" spans="1:20" ht="18" thickTop="1" thickBot="1" x14ac:dyDescent="0.2">
      <c r="A66" s="267" t="s">
        <v>6292</v>
      </c>
      <c r="B66" s="17" t="s">
        <v>4631</v>
      </c>
      <c r="C66" s="305" t="s">
        <v>4575</v>
      </c>
      <c r="D66" s="21"/>
      <c r="E66" s="21"/>
      <c r="F66" s="2672" cm="1" t="n">
        <f t="array" ref="F66">INDEX('4층_부하량'!E3:E3000,MATCH(1,("4-DaHall 1-PDU-07"='4층_부하량'!A3:A3000)*(3='4층_부하량'!B3:B3000),0))</f>
        <v>5.2</v>
      </c>
      <c r="G66" s="21"/>
      <c r="H66" s="17" t="s">
        <v>6205</v>
      </c>
      <c r="I66" s="879" t="s">
        <v>4638</v>
      </c>
      <c r="J66" s="644" t="s">
        <v>6230</v>
      </c>
      <c r="K66" s="38"/>
      <c r="L66" s="35" t="s">
        <v>4590</v>
      </c>
      <c r="M66" s="35" t="s">
        <v>4591</v>
      </c>
      <c r="N66" s="2669" cm="1" t="n">
        <f t="array" ref="N66">INDEX('4층_부하량'!C3:C3000,MATCH(1,("4-DaHall 1-PDU-09"='4층_부하량'!A3:A3000)*(3='4층_부하량'!B3:B3000),0))</f>
        <v>0.0</v>
      </c>
      <c r="O66" s="2669" cm="1" t="n">
        <f t="array" ref="O66">INDEX('4층_부하량'!D3:D3000,MATCH(1,("4-DaHall 1-PDU-09"='4층_부하량'!A3:A3000)*(3='4층_부하량'!B3:B3000),0))</f>
        <v>0.0</v>
      </c>
      <c r="P66" s="2669" cm="1" t="n">
        <f t="array" ref="P66">INDEX('4층_부하량'!E3:E3000,MATCH(1,("4-DaHall 1-PDU-09"='4층_부하량'!A3:A3000)*(3='4층_부하량'!B3:B3000),0))</f>
        <v>0.0</v>
      </c>
      <c r="Q66" s="36"/>
      <c r="R66" s="35" t="s">
        <v>6252</v>
      </c>
      <c r="S66" s="551" t="s">
        <v>4638</v>
      </c>
      <c r="T66" s="37"/>
    </row>
    <row r="67" spans="1:20" ht="17.25" thickTop="1" x14ac:dyDescent="0.15">
      <c r="A67" s="267" t="s">
        <v>6293</v>
      </c>
      <c r="B67" s="17" t="s">
        <v>4631</v>
      </c>
      <c r="C67" s="305" t="s">
        <v>4575</v>
      </c>
      <c r="D67" s="2672" cm="1" t="n">
        <f t="array" ref="D67">INDEX('4층_부하량'!C3:C3000,MATCH(1,("4-DaHall 1-PDU-07"='4층_부하량'!A3:A3000)*(4='4층_부하량'!B3:B3000),0))</f>
        <v>10.17</v>
      </c>
      <c r="E67" s="21"/>
      <c r="F67" s="21"/>
      <c r="G67" s="21"/>
      <c r="H67" s="17" t="s">
        <v>6205</v>
      </c>
      <c r="I67" s="879" t="s">
        <v>4583</v>
      </c>
      <c r="J67" s="649" t="s">
        <v>6227</v>
      </c>
      <c r="K67" s="48"/>
      <c r="L67" s="42"/>
      <c r="M67" s="32" t="s">
        <v>6294</v>
      </c>
      <c r="N67" s="43" t="n">
        <f>SUM(N64:N66)</f>
        <v>0.0</v>
      </c>
      <c r="O67" s="43" t="n">
        <f t="shared" ref="O67:P67" si="1">SUM(O64:O66)</f>
        <v>0.0</v>
      </c>
      <c r="P67" s="43" t="n">
        <f t="shared" si="1"/>
        <v>0.0</v>
      </c>
      <c r="Q67" s="43"/>
      <c r="R67" s="42"/>
      <c r="S67" s="872"/>
      <c r="T67" s="49"/>
    </row>
    <row r="68" spans="1:20" ht="19.5" thickBot="1" x14ac:dyDescent="0.2">
      <c r="A68" s="267" t="s">
        <v>6295</v>
      </c>
      <c r="B68" s="23" t="s">
        <v>4631</v>
      </c>
      <c r="C68" s="306" t="s">
        <v>4575</v>
      </c>
      <c r="D68" s="25"/>
      <c r="E68" s="2673" cm="1" t="n">
        <f t="array" ref="E68">INDEX('4층_부하량'!D3:D3000,MATCH(1,("4-DaHall 1-PDU-07"='4층_부하량'!A3:A3000)*(5='4층_부하량'!B3:B3000),0))</f>
        <v>5.88</v>
      </c>
      <c r="F68" s="25"/>
      <c r="G68" s="25"/>
      <c r="H68" s="23" t="s">
        <v>6205</v>
      </c>
      <c r="I68" s="879" t="s">
        <v>4641</v>
      </c>
      <c r="J68" s="644" t="s">
        <v>6230</v>
      </c>
      <c r="K68" s="2" t="s">
        <v>6296</v>
      </c>
    </row>
    <row r="69" spans="1:20" ht="18" thickTop="1" thickBot="1" x14ac:dyDescent="0.2">
      <c r="A69" s="267" t="s">
        <v>6297</v>
      </c>
      <c r="B69" s="17" t="s">
        <v>4631</v>
      </c>
      <c r="C69" s="305" t="s">
        <v>4575</v>
      </c>
      <c r="D69" s="21"/>
      <c r="E69" s="21"/>
      <c r="F69" s="2672" cm="1" t="n">
        <f t="array" ref="F69">INDEX('4층_부하량'!E3:E3000,MATCH(1,("4-DaHall 1-PDU-07"='4층_부하량'!A3:A3000)*(6='4층_부하량'!B3:B3000),0))</f>
        <v>14.26</v>
      </c>
      <c r="G69" s="21"/>
      <c r="H69" s="17" t="s">
        <v>6205</v>
      </c>
      <c r="I69" s="879" t="s">
        <v>4588</v>
      </c>
      <c r="J69" s="649" t="s">
        <v>6227</v>
      </c>
      <c r="K69" s="5" t="s">
        <v>4629</v>
      </c>
      <c r="L69" s="6" t="s">
        <v>4565</v>
      </c>
      <c r="M69" s="7" t="s">
        <v>4566</v>
      </c>
      <c r="N69" s="6" t="s">
        <v>4567</v>
      </c>
      <c r="O69" s="6" t="s">
        <v>4568</v>
      </c>
      <c r="P69" s="6" t="s">
        <v>4569</v>
      </c>
      <c r="Q69" s="6" t="s">
        <v>4570</v>
      </c>
      <c r="R69" s="8" t="s">
        <v>4571</v>
      </c>
      <c r="S69" s="547" t="s">
        <v>6288</v>
      </c>
      <c r="T69" s="9" t="s">
        <v>6201</v>
      </c>
    </row>
    <row r="70" spans="1:20" ht="17.25" thickTop="1" x14ac:dyDescent="0.15">
      <c r="A70" s="266" t="s">
        <v>6298</v>
      </c>
      <c r="B70" s="23" t="s">
        <v>4631</v>
      </c>
      <c r="C70" s="306" t="s">
        <v>4575</v>
      </c>
      <c r="D70" s="2673" cm="1" t="n">
        <f t="array" ref="D70">INDEX('4층_부하량'!C3:C3000,MATCH(1,("4-DaHall 1-PDU-07"='4층_부하량'!A3:A3000)*(7='4층_부하량'!B3:B3000),0))</f>
        <v>13.74</v>
      </c>
      <c r="E70" s="25"/>
      <c r="F70" s="25"/>
      <c r="G70" s="25"/>
      <c r="H70" s="23" t="s">
        <v>6205</v>
      </c>
      <c r="I70" s="879" t="s">
        <v>4645</v>
      </c>
      <c r="J70" s="644" t="s">
        <v>6230</v>
      </c>
      <c r="K70" s="272" t="s">
        <v>6299</v>
      </c>
      <c r="L70" s="11" t="s">
        <v>565</v>
      </c>
      <c r="M70" s="304" t="s">
        <v>4723</v>
      </c>
      <c r="N70" s="15"/>
      <c r="O70" s="15"/>
      <c r="P70" s="15"/>
      <c r="Q70" s="15"/>
      <c r="R70" s="13" t="s">
        <v>6300</v>
      </c>
      <c r="S70" s="552" t="s">
        <v>4592</v>
      </c>
      <c r="T70" s="14"/>
    </row>
    <row r="71" spans="1:20" ht="17.25" thickBot="1" x14ac:dyDescent="0.2">
      <c r="A71" s="267" t="s">
        <v>6301</v>
      </c>
      <c r="B71" s="23" t="s">
        <v>4631</v>
      </c>
      <c r="C71" s="306" t="s">
        <v>4575</v>
      </c>
      <c r="D71" s="21"/>
      <c r="E71" s="2672" cm="1" t="n">
        <f t="array" ref="E71">INDEX('4층_부하량'!D3:D3000,MATCH(1,("4-DaHall 1-PDU-07"='4층_부하량'!A3:A3000)*(8='4층_부하량'!B3:B3000),0))</f>
        <v>30.44</v>
      </c>
      <c r="F71" s="21"/>
      <c r="G71" s="21"/>
      <c r="H71" s="17" t="s">
        <v>6205</v>
      </c>
      <c r="I71" s="879" t="s">
        <v>4593</v>
      </c>
      <c r="J71" s="649" t="s">
        <v>6227</v>
      </c>
      <c r="K71" s="16"/>
      <c r="L71" s="17"/>
      <c r="M71" s="17"/>
      <c r="N71" s="19"/>
      <c r="O71" s="19"/>
      <c r="P71" s="19"/>
      <c r="Q71" s="19"/>
      <c r="R71" s="17"/>
      <c r="S71" s="549"/>
      <c r="T71" s="20"/>
    </row>
    <row r="72" spans="1:20" ht="18" thickTop="1" thickBot="1" x14ac:dyDescent="0.2">
      <c r="A72" s="267" t="s">
        <v>6302</v>
      </c>
      <c r="B72" s="23" t="s">
        <v>4631</v>
      </c>
      <c r="C72" s="306" t="s">
        <v>4575</v>
      </c>
      <c r="D72" s="21"/>
      <c r="E72" s="21"/>
      <c r="F72" s="2672" cm="1" t="n">
        <f t="array" ref="F72">INDEX('4층_부하량'!E3:E3000,MATCH(1,("4-DaHall 1-PDU-07"='4층_부하량'!A3:A3000)*(9='4층_부하량'!B3:B3000),0))</f>
        <v>0.0</v>
      </c>
      <c r="G72" s="21"/>
      <c r="H72" s="17" t="s">
        <v>6205</v>
      </c>
      <c r="I72" s="879" t="s">
        <v>4648</v>
      </c>
      <c r="J72" s="651" t="s">
        <v>6243</v>
      </c>
      <c r="K72" s="5" t="s">
        <v>4629</v>
      </c>
      <c r="L72" s="6" t="s">
        <v>4565</v>
      </c>
      <c r="M72" s="7" t="s">
        <v>4566</v>
      </c>
      <c r="N72" s="6" t="s">
        <v>4567</v>
      </c>
      <c r="O72" s="6" t="s">
        <v>4568</v>
      </c>
      <c r="P72" s="6" t="s">
        <v>4569</v>
      </c>
      <c r="Q72" s="6" t="s">
        <v>4570</v>
      </c>
      <c r="R72" s="8" t="s">
        <v>4571</v>
      </c>
      <c r="S72" s="547" t="s">
        <v>6288</v>
      </c>
      <c r="T72" s="9" t="s">
        <v>6201</v>
      </c>
    </row>
    <row r="73" spans="1:20" ht="17.25" thickTop="1" x14ac:dyDescent="0.15">
      <c r="A73" s="267" t="s">
        <v>6303</v>
      </c>
      <c r="B73" s="23" t="s">
        <v>4631</v>
      </c>
      <c r="C73" s="306" t="s">
        <v>4575</v>
      </c>
      <c r="D73" s="2672" cm="1" t="n">
        <f t="array" ref="D73">INDEX('4층_부하량'!C3:C3000,MATCH(1,("4-DaHall 1-PDU-07"='4층_부하량'!A3:A3000)*(10='4층_부하량'!B3:B3000),0))</f>
        <v>0.0</v>
      </c>
      <c r="E73" s="21"/>
      <c r="F73" s="21"/>
      <c r="G73" s="21"/>
      <c r="H73" s="17" t="s">
        <v>6205</v>
      </c>
      <c r="I73" s="879" t="s">
        <v>4596</v>
      </c>
      <c r="J73" s="650" t="s">
        <v>6246</v>
      </c>
      <c r="K73" s="272" t="s">
        <v>6304</v>
      </c>
      <c r="L73" s="11" t="s">
        <v>565</v>
      </c>
      <c r="M73" s="304" t="s">
        <v>4723</v>
      </c>
      <c r="N73" s="15"/>
      <c r="O73" s="15"/>
      <c r="P73" s="15"/>
      <c r="Q73" s="15"/>
      <c r="R73" s="13" t="s">
        <v>6300</v>
      </c>
      <c r="S73" s="552" t="s">
        <v>4592</v>
      </c>
      <c r="T73" s="14"/>
    </row>
    <row r="74" spans="1:20" x14ac:dyDescent="0.15">
      <c r="A74" s="22"/>
      <c r="B74" s="17" t="s">
        <v>4590</v>
      </c>
      <c r="C74" s="17" t="s">
        <v>4642</v>
      </c>
      <c r="D74" s="21"/>
      <c r="E74" s="2672" cm="1" t="n">
        <f t="array" ref="E74">INDEX('4층_부하량'!D3:D3000,MATCH(1,("4-DaHall 1-PDU-07"='4층_부하량'!A3:A3000)*(11='4층_부하량'!B3:B3000),0))</f>
        <v>0.0</v>
      </c>
      <c r="F74" s="21"/>
      <c r="G74" s="21"/>
      <c r="H74" s="17" t="s">
        <v>6205</v>
      </c>
      <c r="I74" s="879" t="s">
        <v>4653</v>
      </c>
      <c r="J74" s="27"/>
      <c r="K74" s="16"/>
      <c r="L74" s="17"/>
      <c r="M74" s="17"/>
      <c r="N74" s="19"/>
      <c r="O74" s="19"/>
      <c r="P74" s="19"/>
      <c r="Q74" s="19"/>
      <c r="R74" s="17"/>
      <c r="S74" s="549"/>
      <c r="T74" s="20"/>
    </row>
    <row r="75" spans="1:20" ht="14.25" thickBot="1" x14ac:dyDescent="0.2">
      <c r="A75" s="34"/>
      <c r="B75" s="35" t="s">
        <v>4590</v>
      </c>
      <c r="C75" s="35" t="s">
        <v>4642</v>
      </c>
      <c r="D75" s="36"/>
      <c r="E75" s="36"/>
      <c r="F75" s="2671" cm="1" t="n">
        <f t="array" ref="F75">INDEX('4층_부하량'!E3:E3000,MATCH(1,("4-DaHall 1-PDU-07"='4층_부하량'!A3:A3000)*(12='4층_부하량'!B3:B3000),0))</f>
        <v>0.0</v>
      </c>
      <c r="G75" s="36"/>
      <c r="H75" s="35" t="s">
        <v>6205</v>
      </c>
      <c r="I75" s="551" t="s">
        <v>4876</v>
      </c>
      <c r="J75" s="37"/>
      <c r="K75" s="38"/>
      <c r="L75" s="35"/>
      <c r="M75" s="35"/>
      <c r="N75" s="36"/>
      <c r="O75" s="36"/>
      <c r="P75" s="36"/>
      <c r="Q75" s="36"/>
      <c r="R75" s="35"/>
      <c r="S75" s="551"/>
      <c r="T75" s="37"/>
    </row>
    <row r="76" spans="1:20" ht="17.25" thickTop="1" x14ac:dyDescent="0.15">
      <c r="C76" s="32" t="s">
        <v>5645</v>
      </c>
      <c r="D76" s="33" t="n">
        <f>SUM(D64:D75)</f>
        <v>43.86</v>
      </c>
      <c r="E76" s="33" t="n">
        <f>SUM(E64:E75)</f>
        <v>69.18</v>
      </c>
      <c r="F76" s="33" t="n">
        <f>SUM(F64:F75)</f>
        <v>19.46</v>
      </c>
    </row>
    <row r="78" spans="1:20" x14ac:dyDescent="0.15">
      <c r="E78" t="s">
        <v>4969</v>
      </c>
      <c r="F78" t="s">
        <v>6305</v>
      </c>
    </row>
    <row r="79" spans="1:20" x14ac:dyDescent="0.15">
      <c r="A79" t="s">
        <v>6306</v>
      </c>
      <c r="B79" s="50" t="s">
        <v>4649</v>
      </c>
      <c r="C79" s="50" t="s">
        <v>4649</v>
      </c>
      <c r="D79" s="50"/>
      <c r="E79" s="33" t="n">
        <f>SUM(N64:P64,D35:F35,E71,F69,D67,E65,O26,P24,N22,O20,D70,E68,F66,D64,N25,O23,P21,N19,N57,O55,N54,P53,O52,N51,P50,O49,N48,D55,F54,E53,D52,P41,O40,D28,E26,D25,F24,E23,D22,F21,E20,D19,N13,P12,O11,N10,F12,E11,N70:P70,N73:P73, F72,P27)</f>
        <v>614.1999999999998</v>
      </c>
      <c r="F79" s="51" t="n">
        <f>E79/$E$83</f>
        <v>0.60015634160641</v>
      </c>
    </row>
    <row r="80" spans="1:20" x14ac:dyDescent="0.15">
      <c r="B80" s="50" t="s">
        <v>6307</v>
      </c>
      <c r="C80" s="50" t="s">
        <v>6308</v>
      </c>
      <c r="D80" s="50"/>
      <c r="E80" s="33" t="n">
        <f>SUM(D73,N28)</f>
        <v>0.0</v>
      </c>
      <c r="F80" s="51" t="n">
        <f>E80/$E$83</f>
        <v>0.0</v>
      </c>
      <c r="N80" s="33"/>
    </row>
    <row r="81" spans="1:21" x14ac:dyDescent="0.15">
      <c r="B81" s="50" t="s">
        <v>4666</v>
      </c>
      <c r="C81" s="50" t="s">
        <v>6308</v>
      </c>
      <c r="D81" s="50"/>
      <c r="E81" s="33"/>
      <c r="F81" s="51"/>
    </row>
    <row r="82" spans="1:21" x14ac:dyDescent="0.15">
      <c r="B82" s="50" t="s">
        <v>6307</v>
      </c>
      <c r="C82" s="50" t="s">
        <v>6309</v>
      </c>
      <c r="D82" s="50"/>
      <c r="E82" s="33" t="n">
        <f>SUM(F51,E50,D49,N39,P38,O37,N36,N35:P35,P9,O8,N7,D10,F9,E8,D7,D6:F6)</f>
        <v>409.2</v>
      </c>
      <c r="F82" s="51" t="n">
        <f>E82/$E$83</f>
        <v>0.39984365839359004</v>
      </c>
    </row>
    <row r="83" spans="1:21" x14ac:dyDescent="0.15">
      <c r="A83" t="s">
        <v>6310</v>
      </c>
      <c r="B83" s="50"/>
      <c r="C83" s="50"/>
      <c r="E83" s="33" t="n">
        <f>SUM(E79:E82)</f>
        <v>1023.3999999999999</v>
      </c>
      <c r="F83" s="52" t="n">
        <f>SUM(F79:F82)</f>
        <v>1.0</v>
      </c>
    </row>
    <row r="84" spans="1:21" ht="14.25" thickBot="1" x14ac:dyDescent="0.2"/>
    <row r="85" spans="1:21" ht="20.25" thickTop="1" thickBot="1" x14ac:dyDescent="0.2">
      <c r="A85" s="2" t="s">
        <v>6311</v>
      </c>
      <c r="D85" s="53"/>
      <c r="E85" s="53"/>
      <c r="F85" s="53"/>
      <c r="G85" s="53"/>
      <c r="H85" s="124"/>
      <c r="I85" s="124"/>
      <c r="J85" s="3661" t="s">
        <v>6312</v>
      </c>
      <c r="K85" s="3667"/>
      <c r="L85" s="124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2">
      <c r="A86" s="3"/>
      <c r="C86" s="124"/>
      <c r="D86" s="124"/>
      <c r="E86" s="124"/>
      <c r="G86" s="54"/>
      <c r="H86" s="4"/>
      <c r="I86" s="4"/>
      <c r="K86" s="56"/>
      <c r="L86" s="1373" t="s">
        <v>4562</v>
      </c>
      <c r="M86" s="1374">
        <v>24.1</v>
      </c>
      <c r="N86" s="1375">
        <v>22</v>
      </c>
      <c r="O86" s="1376">
        <v>21.9</v>
      </c>
      <c r="P86" s="1377" t="s">
        <v>4563</v>
      </c>
      <c r="Q86" s="133"/>
      <c r="R86" s="128"/>
      <c r="S86" s="133"/>
      <c r="T86" s="128"/>
      <c r="U86" s="528"/>
    </row>
    <row r="87" spans="1:21" ht="15" thickTop="1" thickBot="1" x14ac:dyDescent="0.2">
      <c r="A87" s="5" t="s">
        <v>4629</v>
      </c>
      <c r="B87" s="6" t="s">
        <v>4565</v>
      </c>
      <c r="C87" s="7" t="s">
        <v>4566</v>
      </c>
      <c r="D87" s="6" t="s">
        <v>4567</v>
      </c>
      <c r="E87" s="6" t="s">
        <v>4568</v>
      </c>
      <c r="F87" s="6" t="s">
        <v>4569</v>
      </c>
      <c r="G87" s="6" t="s">
        <v>4570</v>
      </c>
      <c r="H87" s="8" t="s">
        <v>4571</v>
      </c>
      <c r="I87" s="547"/>
      <c r="J87" s="58" t="s">
        <v>4572</v>
      </c>
      <c r="K87" s="59" t="s">
        <v>4629</v>
      </c>
      <c r="L87" s="8" t="s">
        <v>4571</v>
      </c>
      <c r="M87" s="6" t="s">
        <v>4567</v>
      </c>
      <c r="N87" s="6" t="s">
        <v>4568</v>
      </c>
      <c r="O87" s="6" t="s">
        <v>4569</v>
      </c>
      <c r="P87" s="6" t="s">
        <v>4570</v>
      </c>
      <c r="Q87" s="6" t="s">
        <v>4565</v>
      </c>
      <c r="R87" s="7" t="s">
        <v>4566</v>
      </c>
      <c r="S87" s="876"/>
      <c r="T87" s="60" t="s">
        <v>5037</v>
      </c>
    </row>
    <row r="88" spans="1:21" ht="17.25" thickTop="1" x14ac:dyDescent="0.15">
      <c r="A88" s="123" t="s">
        <v>6313</v>
      </c>
      <c r="B88" s="17" t="s">
        <v>4631</v>
      </c>
      <c r="C88" s="18" t="s">
        <v>4575</v>
      </c>
      <c r="D88" s="2669"/>
      <c r="E88" s="2669"/>
      <c r="F88" s="2669"/>
      <c r="G88" s="310"/>
      <c r="H88" s="312" t="s">
        <v>5893</v>
      </c>
      <c r="I88" s="873"/>
      <c r="J88" s="302"/>
      <c r="K88" s="319" t="s">
        <v>6314</v>
      </c>
      <c r="L88" s="313" t="s">
        <v>5893</v>
      </c>
      <c r="M88" s="2669"/>
      <c r="N88" s="2669"/>
      <c r="O88" s="2669"/>
      <c r="P88" s="310"/>
      <c r="Q88" s="17" t="s">
        <v>4631</v>
      </c>
      <c r="R88" s="18" t="s">
        <v>4575</v>
      </c>
      <c r="S88" s="877"/>
      <c r="T88" s="98"/>
    </row>
    <row r="89" spans="1:21" ht="16.5" x14ac:dyDescent="0.15">
      <c r="A89" s="107" t="s">
        <v>6315</v>
      </c>
      <c r="B89" s="17" t="s">
        <v>4631</v>
      </c>
      <c r="C89" s="18" t="s">
        <v>4575</v>
      </c>
      <c r="D89" s="2670"/>
      <c r="E89" s="2670"/>
      <c r="F89" s="2670"/>
      <c r="G89" s="311">
        <v>0</v>
      </c>
      <c r="H89" s="314" t="s">
        <v>5898</v>
      </c>
      <c r="I89" s="874"/>
      <c r="J89" s="303"/>
      <c r="K89" s="323"/>
      <c r="L89" s="314" t="s">
        <v>5893</v>
      </c>
      <c r="M89" s="2670"/>
      <c r="N89" s="2670"/>
      <c r="O89" s="2670"/>
      <c r="P89" s="315"/>
      <c r="Q89" s="67" t="s">
        <v>4590</v>
      </c>
      <c r="R89" s="17" t="s">
        <v>4642</v>
      </c>
      <c r="S89" s="550"/>
      <c r="T89" s="68"/>
    </row>
    <row r="90" spans="1:21" ht="18" customHeight="1" thickBot="1" x14ac:dyDescent="0.2">
      <c r="A90" s="109" t="s">
        <v>6316</v>
      </c>
      <c r="B90" s="35" t="s">
        <v>4631</v>
      </c>
      <c r="C90" s="39" t="s">
        <v>4575</v>
      </c>
      <c r="D90" s="2671"/>
      <c r="E90" s="2671"/>
      <c r="F90" s="2671"/>
      <c r="G90" s="316">
        <v>0.1</v>
      </c>
      <c r="H90" s="317" t="s">
        <v>5893</v>
      </c>
      <c r="I90" s="875"/>
      <c r="J90" s="318"/>
      <c r="K90" s="320"/>
      <c r="L90" s="317" t="s">
        <v>5893</v>
      </c>
      <c r="M90" s="2671"/>
      <c r="N90" s="2671"/>
      <c r="O90" s="2671"/>
      <c r="P90" s="316"/>
      <c r="Q90" s="35" t="s">
        <v>4590</v>
      </c>
      <c r="R90" s="35" t="s">
        <v>4642</v>
      </c>
      <c r="S90" s="551"/>
      <c r="T90" s="79"/>
    </row>
    <row r="91" spans="1:21" ht="14.25" thickTop="1" x14ac:dyDescent="0.15">
      <c r="L91" s="80" t="s">
        <v>5645</v>
      </c>
      <c r="M91" s="33" t="n">
        <f>SUM(D88:D90,M88:M90)</f>
        <v>0.0</v>
      </c>
      <c r="N91" s="33" t="n">
        <f>SUM(E88:E90,N88:N90)</f>
        <v>0.0</v>
      </c>
      <c r="O91" s="33" t="n">
        <f>SUM(F88:F90,O88:O90)</f>
        <v>0.0</v>
      </c>
    </row>
    <row r="107" ht="16.5" customHeight="1" x14ac:dyDescent="0.1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1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3.5" x14ac:dyDescent="0.15"/>
  <cols>
    <col min="1" max="1" customWidth="true" width="18.33203125" collapsed="false"/>
    <col min="2" max="3" customWidth="true" width="6.77734375" collapsed="false"/>
    <col min="4" max="7" customWidth="true" width="8.109375" collapsed="false"/>
    <col min="8" max="8" bestFit="true" customWidth="true" width="8.21875" collapsed="false"/>
    <col min="9" max="9" bestFit="true" customWidth="true" width="8.0" collapsed="false"/>
    <col min="10" max="10" customWidth="true" width="10.33203125" collapsed="false"/>
    <col min="11" max="11" customWidth="true" width="18.33203125" collapsed="false"/>
    <col min="12" max="12" customWidth="true" width="8.33203125" collapsed="false"/>
    <col min="13" max="13" customWidth="true" width="6.77734375" collapsed="false"/>
    <col min="14" max="17" customWidth="true" width="8.109375" collapsed="false"/>
    <col min="18" max="18" bestFit="true" customWidth="true" width="8.21875" collapsed="false"/>
    <col min="19" max="19" bestFit="true" customWidth="true" width="8.0" collapsed="false"/>
    <col min="20" max="20" customWidth="true" width="10.33203125" collapsed="false"/>
  </cols>
  <sheetData>
    <row r="1" spans="1:22" x14ac:dyDescent="0.15">
      <c r="A1" s="2694" t="s">
        <v>9602</v>
      </c>
    </row>
    <row r="2" spans="1:22" ht="14.25" thickBot="1" x14ac:dyDescent="0.2">
      <c r="V2" s="2147"/>
    </row>
    <row r="3" spans="1:22" ht="20.25" thickTop="1" thickBot="1" x14ac:dyDescent="0.2">
      <c r="A3" s="2" t="s">
        <v>6933</v>
      </c>
      <c r="D3" s="3661" t="s">
        <v>6196</v>
      </c>
      <c r="E3" s="3667"/>
      <c r="F3" s="124"/>
      <c r="G3" s="3660" t="s">
        <v>6197</v>
      </c>
      <c r="H3" s="3660"/>
      <c r="I3" s="3660"/>
      <c r="K3" s="2" t="s">
        <v>6934</v>
      </c>
      <c r="N3" s="3661" t="s">
        <v>6196</v>
      </c>
      <c r="O3" s="3667"/>
      <c r="P3" s="124"/>
      <c r="Q3" s="3660" t="s">
        <v>6199</v>
      </c>
      <c r="R3" s="3660"/>
      <c r="S3" s="3660"/>
    </row>
    <row r="4" spans="1:22" ht="15" thickTop="1" thickBot="1" x14ac:dyDescent="0.2">
      <c r="A4" s="3"/>
      <c r="C4" s="1373" t="s">
        <v>4562</v>
      </c>
      <c r="D4" s="1374">
        <v>73.5</v>
      </c>
      <c r="E4" s="1375">
        <v>46</v>
      </c>
      <c r="F4" s="1376">
        <v>65.400000000000006</v>
      </c>
      <c r="G4" s="1377" t="s">
        <v>4563</v>
      </c>
      <c r="H4" s="133"/>
      <c r="I4" s="128"/>
      <c r="J4" s="528"/>
      <c r="K4" s="3"/>
      <c r="M4" s="1373" t="s">
        <v>4562</v>
      </c>
      <c r="N4" s="1374">
        <v>70.2</v>
      </c>
      <c r="O4" s="1375">
        <v>42.2</v>
      </c>
      <c r="P4" s="1376">
        <v>22.5</v>
      </c>
      <c r="Q4" s="1377" t="s">
        <v>4563</v>
      </c>
      <c r="R4" s="133"/>
      <c r="S4" s="128"/>
      <c r="T4" s="528"/>
    </row>
    <row r="5" spans="1:22" ht="15" thickTop="1" thickBot="1" x14ac:dyDescent="0.2">
      <c r="A5" s="5" t="s">
        <v>4629</v>
      </c>
      <c r="B5" s="6" t="s">
        <v>4565</v>
      </c>
      <c r="C5" s="7" t="s">
        <v>4566</v>
      </c>
      <c r="D5" s="6" t="s">
        <v>4567</v>
      </c>
      <c r="E5" s="6" t="s">
        <v>4568</v>
      </c>
      <c r="F5" s="6" t="s">
        <v>4569</v>
      </c>
      <c r="G5" s="6" t="s">
        <v>4570</v>
      </c>
      <c r="H5" s="8" t="s">
        <v>4571</v>
      </c>
      <c r="I5" s="547" t="s">
        <v>6200</v>
      </c>
      <c r="J5" s="9" t="s">
        <v>6201</v>
      </c>
      <c r="K5" s="5" t="s">
        <v>4629</v>
      </c>
      <c r="L5" s="6" t="s">
        <v>4565</v>
      </c>
      <c r="M5" s="7" t="s">
        <v>4566</v>
      </c>
      <c r="N5" s="6" t="s">
        <v>4567</v>
      </c>
      <c r="O5" s="6" t="s">
        <v>4568</v>
      </c>
      <c r="P5" s="6" t="s">
        <v>4569</v>
      </c>
      <c r="Q5" s="6" t="s">
        <v>4570</v>
      </c>
      <c r="R5" s="8" t="s">
        <v>4571</v>
      </c>
      <c r="S5" s="547" t="s">
        <v>6200</v>
      </c>
      <c r="T5" s="9" t="s">
        <v>6201</v>
      </c>
    </row>
    <row r="6" spans="1:22" ht="17.25" thickTop="1" x14ac:dyDescent="0.15">
      <c r="A6" s="10" t="s">
        <v>6202</v>
      </c>
      <c r="B6" s="11" t="s">
        <v>4631</v>
      </c>
      <c r="C6" s="12" t="s">
        <v>4575</v>
      </c>
      <c r="D6" s="2669" cm="1" t="n">
        <f t="array" ref="D6">INDEX('4층_부하량'!F3:F3000,MATCH(1,("4-DaHall 1-PDU-02"='4층_부하량'!A3:A3000)*(1='4층_부하량'!B3:B3000),0))</f>
        <v>1.04</v>
      </c>
      <c r="E6" s="2669" cm="1" t="n">
        <f t="array" ref="E6">INDEX('4층_부하량'!G3:G3000,MATCH(1,("4-DaHall 1-PDU-02"='4층_부하량'!A3:A3000)*(1='4층_부하량'!B3:B3000),0))</f>
        <v>0.78</v>
      </c>
      <c r="F6" s="2669" cm="1" t="n">
        <f t="array" ref="F6">INDEX('4층_부하량'!H3:H3000,MATCH(1,("4-DaHall 1-PDU-02"='4층_부하량'!A3:A3000)*(1='4층_부하량'!B3:B3000),0))</f>
        <v>1.19</v>
      </c>
      <c r="G6" s="348"/>
      <c r="H6" s="13" t="s">
        <v>4964</v>
      </c>
      <c r="I6" s="878" t="s">
        <v>4577</v>
      </c>
      <c r="J6" s="14" t="s">
        <v>6203</v>
      </c>
      <c r="K6" s="10"/>
      <c r="L6" s="11" t="s">
        <v>4590</v>
      </c>
      <c r="M6" s="13" t="s">
        <v>4642</v>
      </c>
      <c r="N6" s="2669" cm="1" t="n">
        <f t="array" ref="N6">INDEX('4층_부하량'!F3:F3000,MATCH(1,("4-DaHall 1-PDU-04"='4층_부하량'!A3:A3000)*(1='4층_부하량'!B3:B3000),0))</f>
        <v>0.0</v>
      </c>
      <c r="O6" s="2669" cm="1" t="n">
        <f t="array" ref="O6">INDEX('4층_부하량'!G3:G3000,MATCH(1,("4-DaHall 1-PDU-04"='4층_부하량'!A3:A3000)*(1='4층_부하량'!B3:B3000),0))</f>
        <v>0.0</v>
      </c>
      <c r="P6" s="2669" cm="1" t="n">
        <f t="array" ref="P6">INDEX('4층_부하량'!H3:H3000,MATCH(1,("4-DaHall 1-PDU-04"='4층_부하량'!A3:A3000)*(1='4층_부하량'!B3:B3000),0))</f>
        <v>0.0</v>
      </c>
      <c r="Q6" s="310"/>
      <c r="R6" s="13" t="s">
        <v>4964</v>
      </c>
      <c r="S6" s="878" t="s">
        <v>4577</v>
      </c>
      <c r="T6" s="14"/>
    </row>
    <row r="7" spans="1:22" ht="16.5" x14ac:dyDescent="0.15">
      <c r="A7" s="266" t="s">
        <v>6204</v>
      </c>
      <c r="B7" s="17" t="s">
        <v>4631</v>
      </c>
      <c r="C7" s="18" t="s">
        <v>4575</v>
      </c>
      <c r="D7" s="2670" cm="1" t="n">
        <f t="array" ref="D7">INDEX('4층_부하량'!F3:F3000,MATCH(1,("4-DaHall 1-PDU-02"='4층_부하량'!A3:A3000)*(2='4층_부하량'!B3:B3000),0))</f>
        <v>35.48</v>
      </c>
      <c r="E7" s="19"/>
      <c r="F7" s="19"/>
      <c r="G7" s="19"/>
      <c r="H7" s="17" t="s">
        <v>6205</v>
      </c>
      <c r="I7" s="879" t="s">
        <v>4578</v>
      </c>
      <c r="J7" s="20" t="s">
        <v>6203</v>
      </c>
      <c r="K7" s="266" t="s">
        <v>6206</v>
      </c>
      <c r="L7" s="17" t="s">
        <v>4631</v>
      </c>
      <c r="M7" s="18" t="s">
        <v>4575</v>
      </c>
      <c r="N7" s="2670" cm="1" t="n">
        <f t="array" ref="N7">INDEX('4층_부하량'!F3:F3000,MATCH(1,("4-DaHall 1-PDU-04"='4층_부하량'!A3:A3000)*(2='4층_부하량'!B3:B3000),0))</f>
        <v>40.17</v>
      </c>
      <c r="O7" s="19"/>
      <c r="P7" s="19"/>
      <c r="Q7" s="311"/>
      <c r="R7" s="17" t="s">
        <v>6205</v>
      </c>
      <c r="S7" s="879" t="s">
        <v>4578</v>
      </c>
      <c r="T7" s="20" t="s">
        <v>6203</v>
      </c>
    </row>
    <row r="8" spans="1:22" ht="16.5" x14ac:dyDescent="0.15">
      <c r="A8" s="267" t="s">
        <v>6207</v>
      </c>
      <c r="B8" s="17" t="s">
        <v>4631</v>
      </c>
      <c r="C8" s="18" t="s">
        <v>4575</v>
      </c>
      <c r="D8" s="21"/>
      <c r="E8" s="2672" cm="1" t="n">
        <f t="array" ref="E8">INDEX('4층_부하량'!G3:G3000,MATCH(1,("4-DaHall 1-PDU-02"='4층_부하량'!A3:A3000)*(3='4층_부하량'!B3:B3000),0))</f>
        <v>33.16</v>
      </c>
      <c r="F8" s="21"/>
      <c r="G8" s="21"/>
      <c r="H8" s="17" t="s">
        <v>6205</v>
      </c>
      <c r="I8" s="879" t="s">
        <v>4638</v>
      </c>
      <c r="J8" s="20" t="s">
        <v>6203</v>
      </c>
      <c r="K8" s="268" t="s">
        <v>6208</v>
      </c>
      <c r="L8" s="17" t="s">
        <v>4631</v>
      </c>
      <c r="M8" s="18" t="s">
        <v>4575</v>
      </c>
      <c r="N8" s="21"/>
      <c r="O8" s="2672" cm="1" t="n">
        <f t="array" ref="O8">INDEX('4층_부하량'!G3:G3000,MATCH(1,("4-DaHall 1-PDU-04"='4층_부하량'!A3:A3000)*(3='4층_부하량'!B3:B3000),0))</f>
        <v>31.32</v>
      </c>
      <c r="P8" s="21"/>
      <c r="Q8" s="2695"/>
      <c r="R8" s="17" t="s">
        <v>6205</v>
      </c>
      <c r="S8" s="879" t="s">
        <v>4638</v>
      </c>
      <c r="T8" s="20" t="s">
        <v>6203</v>
      </c>
    </row>
    <row r="9" spans="1:22" ht="16.5" x14ac:dyDescent="0.15">
      <c r="A9" s="267" t="s">
        <v>6209</v>
      </c>
      <c r="B9" s="17" t="s">
        <v>4631</v>
      </c>
      <c r="C9" s="18" t="s">
        <v>4575</v>
      </c>
      <c r="D9" s="21"/>
      <c r="E9" s="21"/>
      <c r="F9" s="2672" cm="1" t="n">
        <f t="array" ref="F9">INDEX('4층_부하량'!H3:H3000,MATCH(1,("4-DaHall 1-PDU-02"='4층_부하량'!A3:A3000)*(4='4층_부하량'!B3:B3000),0))</f>
        <v>36.38</v>
      </c>
      <c r="G9" s="21"/>
      <c r="H9" s="17" t="s">
        <v>6205</v>
      </c>
      <c r="I9" s="879" t="s">
        <v>4583</v>
      </c>
      <c r="J9" s="20" t="s">
        <v>6203</v>
      </c>
      <c r="K9" s="268" t="s">
        <v>6210</v>
      </c>
      <c r="L9" s="17" t="s">
        <v>4590</v>
      </c>
      <c r="M9" s="17" t="s">
        <v>4642</v>
      </c>
      <c r="N9" s="21"/>
      <c r="O9" s="21"/>
      <c r="P9" s="2672" cm="1" t="n">
        <f t="array" ref="P9">INDEX('4층_부하량'!H3:H3000,MATCH(1,("4-DaHall 1-PDU-04"='4층_부하량'!A3:A3000)*(4='4층_부하량'!B3:B3000),0))</f>
        <v>0.0</v>
      </c>
      <c r="Q9" s="2695"/>
      <c r="R9" s="17" t="s">
        <v>6205</v>
      </c>
      <c r="S9" s="879" t="s">
        <v>4583</v>
      </c>
      <c r="T9" s="20" t="s">
        <v>6203</v>
      </c>
    </row>
    <row r="10" spans="1:22" ht="16.5" x14ac:dyDescent="0.15">
      <c r="A10" s="267" t="s">
        <v>6211</v>
      </c>
      <c r="B10" s="23" t="s">
        <v>4631</v>
      </c>
      <c r="C10" s="24" t="s">
        <v>4575</v>
      </c>
      <c r="D10" s="2673" cm="1" t="n">
        <f t="array" ref="D10">INDEX('4층_부하량'!F3:F3000,MATCH(1,("4-DaHall 1-PDU-02"='4층_부하량'!A3:A3000)*(5='4층_부하량'!B3:B3000),0))</f>
        <v>42.16</v>
      </c>
      <c r="E10" s="25"/>
      <c r="F10" s="25"/>
      <c r="G10" s="25"/>
      <c r="H10" s="23" t="s">
        <v>6205</v>
      </c>
      <c r="I10" s="879" t="s">
        <v>4641</v>
      </c>
      <c r="J10" s="26" t="s">
        <v>6203</v>
      </c>
      <c r="K10" s="268" t="s">
        <v>6212</v>
      </c>
      <c r="L10" s="23" t="s">
        <v>4631</v>
      </c>
      <c r="M10" s="24" t="s">
        <v>4575</v>
      </c>
      <c r="N10" s="2673" cm="1" t="n">
        <f t="array" ref="N10">INDEX('4층_부하량'!F3:F3000,MATCH(1,("4-DaHall 1-PDU-04"='4층_부하량'!A3:A3000)*(5='4층_부하량'!B3:B3000),0))</f>
        <v>9.99</v>
      </c>
      <c r="O10" s="25"/>
      <c r="P10" s="25"/>
      <c r="Q10" s="2696"/>
      <c r="R10" s="23" t="s">
        <v>6205</v>
      </c>
      <c r="S10" s="879" t="s">
        <v>4641</v>
      </c>
      <c r="T10" s="26" t="s">
        <v>5832</v>
      </c>
    </row>
    <row r="11" spans="1:22" ht="16.5" x14ac:dyDescent="0.15">
      <c r="A11" s="268" t="s">
        <v>6213</v>
      </c>
      <c r="B11" s="17" t="s">
        <v>4631</v>
      </c>
      <c r="C11" s="18" t="s">
        <v>4575</v>
      </c>
      <c r="D11" s="21"/>
      <c r="E11" s="2672" cm="1" t="n">
        <f t="array" ref="E11">INDEX('4층_부하량'!G3:G3000,MATCH(1,("4-DaHall 1-PDU-02"='4층_부하량'!A3:A3000)*(6='4층_부하량'!B3:B3000),0))</f>
        <v>12.63</v>
      </c>
      <c r="F11" s="21"/>
      <c r="G11" s="21"/>
      <c r="H11" s="17" t="s">
        <v>6205</v>
      </c>
      <c r="I11" s="879" t="s">
        <v>4588</v>
      </c>
      <c r="J11" s="20" t="s">
        <v>5832</v>
      </c>
      <c r="K11" s="268" t="s">
        <v>6214</v>
      </c>
      <c r="L11" s="17" t="s">
        <v>4631</v>
      </c>
      <c r="M11" s="18" t="s">
        <v>4575</v>
      </c>
      <c r="N11" s="21"/>
      <c r="O11" s="2672" cm="1" t="n">
        <f t="array" ref="O11">INDEX('4층_부하량'!G3:G3000,MATCH(1,("4-DaHall 1-PDU-04"='4층_부하량'!A3:A3000)*(6='4층_부하량'!B3:B3000),0))</f>
        <v>15.47</v>
      </c>
      <c r="P11" s="21"/>
      <c r="Q11" s="2695"/>
      <c r="R11" s="17" t="s">
        <v>6205</v>
      </c>
      <c r="S11" s="879" t="s">
        <v>4588</v>
      </c>
      <c r="T11" s="20" t="s">
        <v>5832</v>
      </c>
    </row>
    <row r="12" spans="1:22" ht="16.5" x14ac:dyDescent="0.15">
      <c r="A12" s="269" t="s">
        <v>6215</v>
      </c>
      <c r="B12" s="23" t="s">
        <v>4631</v>
      </c>
      <c r="C12" s="24" t="s">
        <v>4575</v>
      </c>
      <c r="D12" s="25"/>
      <c r="E12" s="25"/>
      <c r="F12" s="2673" cm="1" t="n">
        <f t="array" ref="F12">INDEX('4층_부하량'!H3:H3000,MATCH(1,("4-DaHall 1-PDU-02"='4층_부하량'!A3:A3000)*(7='4층_부하량'!B3:B3000),0))</f>
        <v>29.89</v>
      </c>
      <c r="G12" s="25"/>
      <c r="H12" s="23" t="s">
        <v>6205</v>
      </c>
      <c r="I12" s="879" t="s">
        <v>4645</v>
      </c>
      <c r="J12" s="26" t="s">
        <v>5832</v>
      </c>
      <c r="K12" s="268" t="s">
        <v>6216</v>
      </c>
      <c r="L12" s="23" t="s">
        <v>4631</v>
      </c>
      <c r="M12" s="24" t="s">
        <v>4575</v>
      </c>
      <c r="N12" s="25"/>
      <c r="O12" s="25"/>
      <c r="P12" s="2673" cm="1" t="n">
        <f t="array" ref="P12">INDEX('4층_부하량'!H3:H3000,MATCH(1,("4-DaHall 1-PDU-04"='4층_부하량'!A3:A3000)*(7='4층_부하량'!B3:B3000),0))</f>
        <v>25.82</v>
      </c>
      <c r="Q12" s="2696"/>
      <c r="R12" s="23" t="s">
        <v>6205</v>
      </c>
      <c r="S12" s="879" t="s">
        <v>4645</v>
      </c>
      <c r="T12" s="26" t="s">
        <v>5832</v>
      </c>
    </row>
    <row r="13" spans="1:22" ht="16.5" x14ac:dyDescent="0.15">
      <c r="A13" s="22"/>
      <c r="B13" s="17" t="s">
        <v>4590</v>
      </c>
      <c r="C13" s="17" t="s">
        <v>4642</v>
      </c>
      <c r="D13" s="2672" cm="1" t="n">
        <f t="array" ref="D13">INDEX('4층_부하량'!F3:F3000,MATCH(1,("4-DaHall 1-PDU-02"='4층_부하량'!A3:A3000)*(8='4층_부하량'!B3:B3000),0))</f>
        <v>0.0</v>
      </c>
      <c r="E13" s="21"/>
      <c r="F13" s="21"/>
      <c r="G13" s="21"/>
      <c r="H13" s="17" t="s">
        <v>6205</v>
      </c>
      <c r="I13" s="879" t="s">
        <v>4593</v>
      </c>
      <c r="J13" s="27"/>
      <c r="K13" s="268" t="s">
        <v>6217</v>
      </c>
      <c r="L13" s="23" t="s">
        <v>4631</v>
      </c>
      <c r="M13" s="24" t="s">
        <v>4575</v>
      </c>
      <c r="N13" s="2672" cm="1" t="n">
        <f t="array" ref="N13">INDEX('4층_부하량'!F3:F3000,MATCH(1,("4-DaHall 1-PDU-04"='4층_부하량'!A3:A3000)*(8='4층_부하량'!B3:B3000),0))</f>
        <v>23.67</v>
      </c>
      <c r="O13" s="21"/>
      <c r="P13" s="21"/>
      <c r="Q13" s="2695"/>
      <c r="R13" s="17" t="s">
        <v>6205</v>
      </c>
      <c r="S13" s="879" t="s">
        <v>4593</v>
      </c>
      <c r="T13" s="20" t="s">
        <v>5832</v>
      </c>
    </row>
    <row r="14" spans="1:22" ht="14.25" thickBot="1" x14ac:dyDescent="0.2">
      <c r="A14" s="28"/>
      <c r="B14" s="29" t="s">
        <v>4590</v>
      </c>
      <c r="C14" s="29" t="s">
        <v>4642</v>
      </c>
      <c r="D14" s="30"/>
      <c r="E14" s="2674" cm="1" t="n">
        <f t="array" ref="E14">INDEX('4층_부하량'!G3:G3000,MATCH(1,("4-DaHall 1-PDU-02"='4층_부하량'!A3:A3000)*(9='4층_부하량'!B3:B3000),0))</f>
        <v>0.0</v>
      </c>
      <c r="F14" s="30"/>
      <c r="G14" s="30"/>
      <c r="H14" s="29" t="s">
        <v>6205</v>
      </c>
      <c r="I14" s="880" t="s">
        <v>4648</v>
      </c>
      <c r="J14" s="31"/>
      <c r="K14" s="28"/>
      <c r="L14" s="29" t="s">
        <v>4590</v>
      </c>
      <c r="M14" s="29" t="s">
        <v>4642</v>
      </c>
      <c r="N14" s="30"/>
      <c r="O14" s="2674" cm="1" t="n">
        <f t="array" ref="O14">INDEX('4층_부하량'!G3:G3000,MATCH(1,("4-DaHall 1-PDU-04"='4층_부하량'!A3:A3000)*(9='4층_부하량'!B3:B3000),0))</f>
        <v>0.0</v>
      </c>
      <c r="P14" s="30"/>
      <c r="Q14" s="2697"/>
      <c r="R14" s="29" t="s">
        <v>6205</v>
      </c>
      <c r="S14" s="880" t="s">
        <v>4648</v>
      </c>
      <c r="T14" s="31"/>
    </row>
    <row r="15" spans="1:22" ht="18" thickTop="1" thickBot="1" x14ac:dyDescent="0.2">
      <c r="C15" s="32" t="s">
        <v>5645</v>
      </c>
      <c r="D15" s="33" t="n">
        <f>SUM(D6:D14)</f>
        <v>78.67999999999999</v>
      </c>
      <c r="E15" s="33" t="n">
        <f>SUM(E6:E14)</f>
        <v>46.57</v>
      </c>
      <c r="F15" s="33" t="n">
        <f>SUM(F6:F14)</f>
        <v>67.46000000000001</v>
      </c>
      <c r="M15" s="32" t="s">
        <v>5645</v>
      </c>
      <c r="N15" s="33" t="n">
        <f>SUM(N6:N14)</f>
        <v>73.83000000000001</v>
      </c>
      <c r="O15" s="33" t="n">
        <f>SUM(O6:O14)</f>
        <v>46.79</v>
      </c>
      <c r="P15" s="33" t="n">
        <f>SUM(P6:P14)</f>
        <v>25.82</v>
      </c>
    </row>
    <row r="16" spans="1:22" ht="20.25" thickTop="1" thickBot="1" x14ac:dyDescent="0.2">
      <c r="A16" s="2" t="s">
        <v>6935</v>
      </c>
      <c r="D16" s="3661" t="s">
        <v>6196</v>
      </c>
      <c r="E16" s="3667"/>
      <c r="F16" s="124"/>
      <c r="G16" s="3660" t="s">
        <v>6219</v>
      </c>
      <c r="H16" s="3660"/>
      <c r="I16" s="3660"/>
      <c r="K16" s="642" t="s">
        <v>6936</v>
      </c>
      <c r="N16" s="3661" t="s">
        <v>6196</v>
      </c>
      <c r="O16" s="3667"/>
      <c r="P16" s="124"/>
      <c r="Q16" s="3660" t="s">
        <v>6221</v>
      </c>
      <c r="R16" s="3660"/>
      <c r="S16" s="3660"/>
    </row>
    <row r="17" spans="1:20" ht="15" thickTop="1" thickBot="1" x14ac:dyDescent="0.2">
      <c r="A17" s="3"/>
      <c r="C17" s="1373" t="s">
        <v>4562</v>
      </c>
      <c r="D17" s="1374">
        <v>67</v>
      </c>
      <c r="E17" s="1375">
        <v>32.4</v>
      </c>
      <c r="F17" s="1376">
        <v>27</v>
      </c>
      <c r="G17" s="1377" t="s">
        <v>4563</v>
      </c>
      <c r="H17" s="133"/>
      <c r="I17" s="128"/>
      <c r="J17" s="528"/>
      <c r="K17" s="3"/>
      <c r="M17" s="1373" t="s">
        <v>4562</v>
      </c>
      <c r="N17" s="1374">
        <v>44.8</v>
      </c>
      <c r="O17" s="1375">
        <v>68.400000000000006</v>
      </c>
      <c r="P17" s="1376">
        <v>18</v>
      </c>
      <c r="Q17" s="1377" t="s">
        <v>4563</v>
      </c>
      <c r="R17" s="133"/>
      <c r="S17" s="128"/>
      <c r="T17" s="528"/>
    </row>
    <row r="18" spans="1:20" ht="15" thickTop="1" thickBot="1" x14ac:dyDescent="0.2">
      <c r="A18" s="5" t="s">
        <v>4629</v>
      </c>
      <c r="B18" s="6" t="s">
        <v>4565</v>
      </c>
      <c r="C18" s="7" t="s">
        <v>4566</v>
      </c>
      <c r="D18" s="6" t="s">
        <v>4567</v>
      </c>
      <c r="E18" s="6" t="s">
        <v>4568</v>
      </c>
      <c r="F18" s="6" t="s">
        <v>4569</v>
      </c>
      <c r="G18" s="6" t="s">
        <v>4570</v>
      </c>
      <c r="H18" s="8" t="s">
        <v>4571</v>
      </c>
      <c r="I18" s="547" t="s">
        <v>6200</v>
      </c>
      <c r="J18" s="9" t="s">
        <v>6201</v>
      </c>
      <c r="K18" s="5" t="s">
        <v>4629</v>
      </c>
      <c r="L18" s="6" t="s">
        <v>4565</v>
      </c>
      <c r="M18" s="7" t="s">
        <v>4566</v>
      </c>
      <c r="N18" s="6" t="s">
        <v>4567</v>
      </c>
      <c r="O18" s="6" t="s">
        <v>4568</v>
      </c>
      <c r="P18" s="6" t="s">
        <v>4569</v>
      </c>
      <c r="Q18" s="6" t="s">
        <v>4570</v>
      </c>
      <c r="R18" s="8" t="s">
        <v>4571</v>
      </c>
      <c r="S18" s="547" t="s">
        <v>6200</v>
      </c>
      <c r="T18" s="9" t="s">
        <v>6201</v>
      </c>
    </row>
    <row r="19" spans="1:20" ht="17.25" thickTop="1" x14ac:dyDescent="0.15">
      <c r="A19" s="272" t="s">
        <v>6222</v>
      </c>
      <c r="B19" s="11" t="s">
        <v>4631</v>
      </c>
      <c r="C19" s="12" t="s">
        <v>4575</v>
      </c>
      <c r="D19" s="2669" cm="1" t="n">
        <f t="array" ref="D19">INDEX('4층_부하량'!F3:F3000,MATCH(1,("4-DaHall 1-PDU-06"='4층_부하량'!A3:A3000)*(1='4층_부하량'!B3:B3000),0))</f>
        <v>11.61</v>
      </c>
      <c r="E19" s="15"/>
      <c r="F19" s="15"/>
      <c r="G19" s="15"/>
      <c r="H19" s="13" t="s">
        <v>6205</v>
      </c>
      <c r="I19" s="878" t="s">
        <v>4577</v>
      </c>
      <c r="J19" s="14" t="s">
        <v>5832</v>
      </c>
      <c r="K19" s="646" t="s">
        <v>6223</v>
      </c>
      <c r="L19" s="11" t="s">
        <v>4631</v>
      </c>
      <c r="M19" s="12" t="s">
        <v>4575</v>
      </c>
      <c r="N19" s="2669" cm="1" t="n">
        <f t="array" ref="N19">INDEX('4층_부하량'!F3:F3000,MATCH(1,("4-DaHall 1-PDU-08"='4층_부하량'!A3:A3000)*(1='4층_부하량'!B3:B3000),0))</f>
        <v>24.58</v>
      </c>
      <c r="O19" s="15"/>
      <c r="P19" s="15"/>
      <c r="Q19" s="310"/>
      <c r="R19" s="13" t="s">
        <v>6205</v>
      </c>
      <c r="S19" s="878" t="s">
        <v>4577</v>
      </c>
      <c r="T19" s="643" t="s">
        <v>6224</v>
      </c>
    </row>
    <row r="20" spans="1:20" ht="16.5" x14ac:dyDescent="0.15">
      <c r="A20" s="266" t="s">
        <v>6225</v>
      </c>
      <c r="B20" s="17" t="s">
        <v>4631</v>
      </c>
      <c r="C20" s="18" t="s">
        <v>4575</v>
      </c>
      <c r="D20" s="19"/>
      <c r="E20" s="2670" cm="1" t="n">
        <f t="array" ref="E20">INDEX('4층_부하량'!G3:G3000,MATCH(1,("4-DaHall 1-PDU-06"='4층_부하량'!A3:A3000)*(2='4층_부하량'!B3:B3000),0))</f>
        <v>0.0</v>
      </c>
      <c r="F20" s="19"/>
      <c r="G20" s="19"/>
      <c r="H20" s="17" t="s">
        <v>6205</v>
      </c>
      <c r="I20" s="879" t="s">
        <v>4578</v>
      </c>
      <c r="J20" s="20" t="s">
        <v>5832</v>
      </c>
      <c r="K20" s="266" t="s">
        <v>6226</v>
      </c>
      <c r="L20" s="17" t="s">
        <v>4631</v>
      </c>
      <c r="M20" s="18" t="s">
        <v>4575</v>
      </c>
      <c r="N20" s="19"/>
      <c r="O20" s="2670" cm="1" t="n">
        <f t="array" ref="O20">INDEX('4층_부하량'!G3:G3000,MATCH(1,("4-DaHall 1-PDU-08"='4층_부하량'!A3:A3000)*(2='4층_부하량'!B3:B3000),0))</f>
        <v>35.23</v>
      </c>
      <c r="P20" s="19"/>
      <c r="Q20" s="311"/>
      <c r="R20" s="17" t="s">
        <v>6205</v>
      </c>
      <c r="S20" s="879" t="s">
        <v>4578</v>
      </c>
      <c r="T20" s="649" t="s">
        <v>6227</v>
      </c>
    </row>
    <row r="21" spans="1:20" ht="16.5" x14ac:dyDescent="0.15">
      <c r="A21" s="267" t="s">
        <v>6228</v>
      </c>
      <c r="B21" s="17" t="s">
        <v>4631</v>
      </c>
      <c r="C21" s="18" t="s">
        <v>4575</v>
      </c>
      <c r="D21" s="21"/>
      <c r="E21" s="21"/>
      <c r="F21" s="2672" cm="1" t="n">
        <f t="array" ref="F21">INDEX('4층_부하량'!H3:H3000,MATCH(1,("4-DaHall 1-PDU-06"='4층_부하량'!A3:A3000)*(3='4층_부하량'!B3:B3000),0))</f>
        <v>9.17</v>
      </c>
      <c r="G21" s="21"/>
      <c r="H21" s="17" t="s">
        <v>6205</v>
      </c>
      <c r="I21" s="879" t="s">
        <v>4638</v>
      </c>
      <c r="J21" s="20" t="s">
        <v>5832</v>
      </c>
      <c r="K21" s="647" t="s">
        <v>6229</v>
      </c>
      <c r="L21" s="17" t="s">
        <v>4631</v>
      </c>
      <c r="M21" s="18" t="s">
        <v>4575</v>
      </c>
      <c r="N21" s="21"/>
      <c r="O21" s="21"/>
      <c r="P21" s="2672" cm="1" t="n">
        <f t="array" ref="P21">INDEX('4층_부하량'!H3:H3000,MATCH(1,("4-DaHall 1-PDU-08"='4층_부하량'!A3:A3000)*(3='4층_부하량'!B3:B3000),0))</f>
        <v>5.63</v>
      </c>
      <c r="Q21" s="2695"/>
      <c r="R21" s="17" t="s">
        <v>6205</v>
      </c>
      <c r="S21" s="879" t="s">
        <v>4638</v>
      </c>
      <c r="T21" s="645" t="s">
        <v>6230</v>
      </c>
    </row>
    <row r="22" spans="1:20" ht="16.5" x14ac:dyDescent="0.15">
      <c r="A22" s="267" t="s">
        <v>6231</v>
      </c>
      <c r="B22" s="17" t="s">
        <v>4631</v>
      </c>
      <c r="C22" s="18" t="s">
        <v>4575</v>
      </c>
      <c r="D22" s="2672" cm="1" t="n">
        <f t="array" ref="D22">INDEX('4층_부하량'!F3:F3000,MATCH(1,("4-DaHall 1-PDU-06"='4층_부하량'!A3:A3000)*(4='4층_부하량'!B3:B3000),0))</f>
        <v>7.5600000000000005</v>
      </c>
      <c r="E22" s="21"/>
      <c r="F22" s="21"/>
      <c r="G22" s="21"/>
      <c r="H22" s="17" t="s">
        <v>6205</v>
      </c>
      <c r="I22" s="879" t="s">
        <v>4583</v>
      </c>
      <c r="J22" s="20" t="s">
        <v>5832</v>
      </c>
      <c r="K22" s="267" t="s">
        <v>6232</v>
      </c>
      <c r="L22" s="17" t="s">
        <v>4631</v>
      </c>
      <c r="M22" s="18" t="s">
        <v>4575</v>
      </c>
      <c r="N22" s="2672" cm="1" t="n">
        <f t="array" ref="N22">INDEX('4층_부하량'!F3:F3000,MATCH(1,("4-DaHall 1-PDU-08"='4층_부하량'!A3:A3000)*(4='4층_부하량'!B3:B3000),0))</f>
        <v>9.95</v>
      </c>
      <c r="O22" s="21"/>
      <c r="P22" s="21"/>
      <c r="Q22" s="2695"/>
      <c r="R22" s="17" t="s">
        <v>6205</v>
      </c>
      <c r="S22" s="879" t="s">
        <v>4583</v>
      </c>
      <c r="T22" s="649" t="s">
        <v>6227</v>
      </c>
    </row>
    <row r="23" spans="1:20" ht="16.5" x14ac:dyDescent="0.15">
      <c r="A23" s="267" t="s">
        <v>6233</v>
      </c>
      <c r="B23" s="23" t="s">
        <v>4631</v>
      </c>
      <c r="C23" s="18" t="s">
        <v>4575</v>
      </c>
      <c r="D23" s="25"/>
      <c r="E23" s="2672" cm="1" t="n">
        <f t="array" ref="E23">INDEX('4층_부하량'!G3:G3000,MATCH(1,("4-DaHall 1-PDU-06"='4층_부하량'!A3:A3000)*(5='4층_부하량'!B3:B3000),0))</f>
        <v>0.0</v>
      </c>
      <c r="F23" s="25"/>
      <c r="G23" s="25"/>
      <c r="H23" s="23" t="s">
        <v>6205</v>
      </c>
      <c r="I23" s="879" t="s">
        <v>4641</v>
      </c>
      <c r="J23" s="26" t="s">
        <v>5832</v>
      </c>
      <c r="K23" s="647" t="s">
        <v>6234</v>
      </c>
      <c r="L23" s="23" t="s">
        <v>4631</v>
      </c>
      <c r="M23" s="24" t="s">
        <v>4575</v>
      </c>
      <c r="N23" s="25"/>
      <c r="O23" s="2672" cm="1" t="n">
        <f t="array" ref="O23">INDEX('4층_부하량'!G3:G3000,MATCH(1,("4-DaHall 1-PDU-08"='4층_부하량'!A3:A3000)*(5='4층_부하량'!B3:B3000),0))</f>
        <v>7.95</v>
      </c>
      <c r="P23" s="25"/>
      <c r="Q23" s="2696"/>
      <c r="R23" s="23" t="s">
        <v>6205</v>
      </c>
      <c r="S23" s="879" t="s">
        <v>4641</v>
      </c>
      <c r="T23" s="644" t="s">
        <v>6230</v>
      </c>
    </row>
    <row r="24" spans="1:20" ht="16.5" x14ac:dyDescent="0.15">
      <c r="A24" s="267" t="s">
        <v>6235</v>
      </c>
      <c r="B24" s="17" t="s">
        <v>4631</v>
      </c>
      <c r="C24" s="18" t="s">
        <v>4575</v>
      </c>
      <c r="D24" s="21"/>
      <c r="E24" s="21"/>
      <c r="F24" s="2672" cm="1" t="n">
        <f t="array" ref="F24">INDEX('4층_부하량'!H3:H3000,MATCH(1,("4-DaHall 1-PDU-06"='4층_부하량'!A3:A3000)*(6='4층_부하량'!B3:B3000),0))</f>
        <v>0.0</v>
      </c>
      <c r="G24" s="21"/>
      <c r="H24" s="17" t="s">
        <v>6205</v>
      </c>
      <c r="I24" s="879" t="s">
        <v>4588</v>
      </c>
      <c r="J24" s="20" t="s">
        <v>5832</v>
      </c>
      <c r="K24" s="267" t="s">
        <v>6236</v>
      </c>
      <c r="L24" s="17" t="s">
        <v>4631</v>
      </c>
      <c r="M24" s="18" t="s">
        <v>4575</v>
      </c>
      <c r="N24" s="21"/>
      <c r="O24" s="21"/>
      <c r="P24" s="2672" cm="1" t="n">
        <f t="array" ref="P24">INDEX('4층_부하량'!H3:H3000,MATCH(1,("4-DaHall 1-PDU-08"='4층_부하량'!A3:A3000)*(6='4층_부하량'!B3:B3000),0))</f>
        <v>13.64</v>
      </c>
      <c r="Q24" s="2695"/>
      <c r="R24" s="17" t="s">
        <v>6205</v>
      </c>
      <c r="S24" s="879" t="s">
        <v>4588</v>
      </c>
      <c r="T24" s="649" t="s">
        <v>6227</v>
      </c>
    </row>
    <row r="25" spans="1:20" ht="16.5" x14ac:dyDescent="0.15">
      <c r="A25" s="266" t="s">
        <v>6237</v>
      </c>
      <c r="B25" s="23" t="s">
        <v>4631</v>
      </c>
      <c r="C25" s="24" t="s">
        <v>4575</v>
      </c>
      <c r="D25" s="2673" cm="1" t="n">
        <f t="array" ref="D25">INDEX('4층_부하량'!F3:F3000,MATCH(1,("4-DaHall 1-PDU-06"='4층_부하량'!A3:A3000)*(7='4층_부하량'!B3:B3000),0))</f>
        <v>9.74</v>
      </c>
      <c r="E25" s="25"/>
      <c r="F25" s="25"/>
      <c r="G25" s="25"/>
      <c r="H25" s="23" t="s">
        <v>6205</v>
      </c>
      <c r="I25" s="879" t="s">
        <v>4645</v>
      </c>
      <c r="J25" s="26" t="s">
        <v>5832</v>
      </c>
      <c r="K25" s="648" t="s">
        <v>6238</v>
      </c>
      <c r="L25" s="23" t="s">
        <v>4631</v>
      </c>
      <c r="M25" s="24" t="s">
        <v>4575</v>
      </c>
      <c r="N25" s="2673" cm="1" t="n">
        <f t="array" ref="N25">INDEX('4층_부하량'!F3:F3000,MATCH(1,("4-DaHall 1-PDU-08"='4층_부하량'!A3:A3000)*(7='4층_부하량'!B3:B3000),0))</f>
        <v>13.16</v>
      </c>
      <c r="O25" s="25"/>
      <c r="P25" s="25"/>
      <c r="Q25" s="2696"/>
      <c r="R25" s="23" t="s">
        <v>6205</v>
      </c>
      <c r="S25" s="879" t="s">
        <v>4645</v>
      </c>
      <c r="T25" s="644" t="s">
        <v>6230</v>
      </c>
    </row>
    <row r="26" spans="1:20" ht="16.5" x14ac:dyDescent="0.15">
      <c r="A26" s="267" t="s">
        <v>6239</v>
      </c>
      <c r="B26" s="23" t="s">
        <v>4631</v>
      </c>
      <c r="C26" s="24" t="s">
        <v>4575</v>
      </c>
      <c r="D26" s="21"/>
      <c r="E26" s="2672" cm="1" t="n">
        <f t="array" ref="E26">INDEX('4층_부하량'!G3:G3000,MATCH(1,("4-DaHall 1-PDU-06"='4층_부하량'!A3:A3000)*(8='4층_부하량'!B3:B3000),0))</f>
        <v>15.4</v>
      </c>
      <c r="F26" s="21"/>
      <c r="G26" s="21"/>
      <c r="H26" s="17" t="s">
        <v>6205</v>
      </c>
      <c r="I26" s="879" t="s">
        <v>4593</v>
      </c>
      <c r="J26" s="20" t="s">
        <v>5832</v>
      </c>
      <c r="K26" s="267" t="s">
        <v>6240</v>
      </c>
      <c r="L26" s="23" t="s">
        <v>4631</v>
      </c>
      <c r="M26" s="24" t="s">
        <v>4575</v>
      </c>
      <c r="N26" s="21"/>
      <c r="O26" s="2672" cm="1" t="n">
        <f t="array" ref="O26">INDEX('4층_부하량'!G3:G3000,MATCH(1,("4-DaHall 1-PDU-08"='4층_부하량'!A3:A3000)*(8='4층_부하량'!B3:B3000),0))</f>
        <v>34.73</v>
      </c>
      <c r="P26" s="21"/>
      <c r="Q26" s="2695"/>
      <c r="R26" s="17" t="s">
        <v>6205</v>
      </c>
      <c r="S26" s="879" t="s">
        <v>4593</v>
      </c>
      <c r="T26" s="649" t="s">
        <v>6227</v>
      </c>
    </row>
    <row r="27" spans="1:20" ht="16.5" x14ac:dyDescent="0.15">
      <c r="A27" s="267" t="s">
        <v>6241</v>
      </c>
      <c r="B27" s="23" t="s">
        <v>4631</v>
      </c>
      <c r="C27" s="17" t="s">
        <v>4642</v>
      </c>
      <c r="D27" s="21"/>
      <c r="E27" s="21"/>
      <c r="F27" s="2672" cm="1" t="n">
        <f t="array" ref="F27">INDEX('4층_부하량'!H3:H3000,MATCH(1,("4-DaHall 1-PDU-06"='4층_부하량'!A3:A3000)*(9='4층_부하량'!B3:B3000),0))</f>
        <v>0.0</v>
      </c>
      <c r="G27" s="21"/>
      <c r="H27" s="17" t="s">
        <v>6205</v>
      </c>
      <c r="I27" s="879" t="s">
        <v>4648</v>
      </c>
      <c r="J27" s="20" t="s">
        <v>5832</v>
      </c>
      <c r="K27" s="267" t="s">
        <v>6242</v>
      </c>
      <c r="L27" s="23" t="s">
        <v>4631</v>
      </c>
      <c r="M27" s="24" t="s">
        <v>4575</v>
      </c>
      <c r="N27" s="21"/>
      <c r="O27" s="21"/>
      <c r="P27" s="2672" cm="1" t="n">
        <f t="array" ref="P27">INDEX('4층_부하량'!H3:H3000,MATCH(1,("4-DaHall 1-PDU-08"='4층_부하량'!A3:A3000)*(9='4층_부하량'!B3:B3000),0))</f>
        <v>0.0</v>
      </c>
      <c r="Q27" s="2695"/>
      <c r="R27" s="17" t="s">
        <v>6205</v>
      </c>
      <c r="S27" s="879" t="s">
        <v>4648</v>
      </c>
      <c r="T27" s="651" t="s">
        <v>6243</v>
      </c>
    </row>
    <row r="28" spans="1:20" ht="16.5" x14ac:dyDescent="0.15">
      <c r="A28" s="267" t="s">
        <v>6244</v>
      </c>
      <c r="B28" s="23" t="s">
        <v>4631</v>
      </c>
      <c r="C28" s="24" t="s">
        <v>4652</v>
      </c>
      <c r="D28" s="2672" cm="1" t="n">
        <f t="array" ref="D28">INDEX('4층_부하량'!F3:F3000,MATCH(1,("4-DaHall 1-PDU-06"='4층_부하량'!A3:A3000)*(10='4층_부하량'!B3:B3000),0))</f>
        <v>41.48</v>
      </c>
      <c r="E28" s="21"/>
      <c r="F28" s="21"/>
      <c r="G28" s="21"/>
      <c r="H28" s="17" t="s">
        <v>6205</v>
      </c>
      <c r="I28" s="879" t="s">
        <v>4596</v>
      </c>
      <c r="J28" s="20" t="s">
        <v>5832</v>
      </c>
      <c r="K28" s="267" t="s">
        <v>6245</v>
      </c>
      <c r="L28" s="23" t="s">
        <v>4631</v>
      </c>
      <c r="M28" s="24" t="s">
        <v>4575</v>
      </c>
      <c r="N28" s="2672" cm="1" t="n">
        <f t="array" ref="N28">INDEX('4층_부하량'!F3:F3000,MATCH(1,("4-DaHall 1-PDU-08"='4층_부하량'!A3:A3000)*(10='4층_부하량'!B3:B3000),0))</f>
        <v>0.0</v>
      </c>
      <c r="O28" s="21"/>
      <c r="P28" s="21"/>
      <c r="Q28" s="2695"/>
      <c r="R28" s="17" t="s">
        <v>6205</v>
      </c>
      <c r="S28" s="879" t="s">
        <v>4596</v>
      </c>
      <c r="T28" s="650" t="s">
        <v>6246</v>
      </c>
    </row>
    <row r="29" spans="1:20" x14ac:dyDescent="0.15">
      <c r="A29" s="22"/>
      <c r="B29" s="17" t="s">
        <v>4590</v>
      </c>
      <c r="C29" s="17" t="s">
        <v>4642</v>
      </c>
      <c r="D29" s="21"/>
      <c r="E29" s="2672" cm="1" t="n">
        <f t="array" ref="E29">INDEX('4층_부하량'!G3:G3000,MATCH(1,("4-DaHall 1-PDU-06"='4층_부하량'!A3:A3000)*(11='4층_부하량'!B3:B3000),0))</f>
        <v>0.0</v>
      </c>
      <c r="F29" s="21"/>
      <c r="G29" s="21"/>
      <c r="H29" s="17" t="s">
        <v>6205</v>
      </c>
      <c r="I29" s="879" t="s">
        <v>4653</v>
      </c>
      <c r="J29" s="27"/>
      <c r="K29" s="22"/>
      <c r="L29" s="17" t="s">
        <v>4590</v>
      </c>
      <c r="M29" s="17" t="s">
        <v>4642</v>
      </c>
      <c r="N29" s="21"/>
      <c r="O29" s="2672" cm="1" t="n">
        <f t="array" ref="O29">INDEX('4층_부하량'!G3:G3000,MATCH(1,("4-DaHall 1-PDU-08"='4층_부하량'!A3:A3000)*(11='4층_부하량'!B3:B3000),0))</f>
        <v>0.0</v>
      </c>
      <c r="P29" s="21"/>
      <c r="Q29" s="2695"/>
      <c r="R29" s="17" t="s">
        <v>6205</v>
      </c>
      <c r="S29" s="879" t="s">
        <v>4653</v>
      </c>
      <c r="T29" s="27"/>
    </row>
    <row r="30" spans="1:20" ht="14.25" thickBot="1" x14ac:dyDescent="0.2">
      <c r="A30" s="34"/>
      <c r="B30" s="35" t="s">
        <v>4590</v>
      </c>
      <c r="C30" s="35" t="s">
        <v>4642</v>
      </c>
      <c r="D30" s="36"/>
      <c r="E30" s="36"/>
      <c r="F30" s="2671" cm="1" t="n">
        <f t="array" ref="F30">INDEX('4층_부하량'!H3:H3000,MATCH(1,("4-DaHall 1-PDU-06"='4층_부하량'!A3:A3000)*(12='4층_부하량'!B3:B3000),0))</f>
        <v>0.0</v>
      </c>
      <c r="G30" s="36"/>
      <c r="H30" s="35" t="s">
        <v>6205</v>
      </c>
      <c r="I30" s="551" t="s">
        <v>4876</v>
      </c>
      <c r="J30" s="37"/>
      <c r="K30" s="34"/>
      <c r="L30" s="35" t="s">
        <v>4590</v>
      </c>
      <c r="M30" s="35" t="s">
        <v>4642</v>
      </c>
      <c r="N30" s="36"/>
      <c r="O30" s="36"/>
      <c r="P30" s="2671" cm="1" t="n">
        <f t="array" ref="P30">INDEX('4층_부하량'!H3:H3000,MATCH(1,("4-DaHall 1-PDU-08"='4층_부하량'!A3:A3000)*(12='4층_부하량'!B3:B3000),0))</f>
        <v>0.0</v>
      </c>
      <c r="Q30" s="316"/>
      <c r="R30" s="35" t="s">
        <v>6205</v>
      </c>
      <c r="S30" s="551" t="s">
        <v>4876</v>
      </c>
      <c r="T30" s="37"/>
    </row>
    <row r="31" spans="1:20" ht="18" thickTop="1" thickBot="1" x14ac:dyDescent="0.2">
      <c r="C31" s="32" t="s">
        <v>5645</v>
      </c>
      <c r="D31" s="33" t="n">
        <f>SUM(D19:D30)</f>
        <v>70.39</v>
      </c>
      <c r="E31" s="33" t="n">
        <f>SUM(E19:E30)</f>
        <v>15.4</v>
      </c>
      <c r="F31" s="33" t="n">
        <f>SUM(F19:F30)</f>
        <v>9.17</v>
      </c>
      <c r="M31" s="32" t="s">
        <v>5645</v>
      </c>
      <c r="N31" s="33" t="n">
        <f>SUM(N19:N30)</f>
        <v>47.69</v>
      </c>
      <c r="O31" s="33" t="n">
        <f>SUM(O19:O30)</f>
        <v>77.91</v>
      </c>
      <c r="P31" s="33" t="n">
        <f>SUM(P19:P30)</f>
        <v>19.27</v>
      </c>
    </row>
    <row r="32" spans="1:20" ht="20.25" thickTop="1" thickBot="1" x14ac:dyDescent="0.2">
      <c r="A32" s="2" t="s">
        <v>6937</v>
      </c>
      <c r="D32" s="3661" t="s">
        <v>6196</v>
      </c>
      <c r="E32" s="3667"/>
      <c r="F32" s="124"/>
      <c r="G32" s="3660" t="s">
        <v>6248</v>
      </c>
      <c r="H32" s="3660"/>
      <c r="I32" s="3660"/>
      <c r="K32" s="2" t="s">
        <v>6938</v>
      </c>
      <c r="N32" s="3661" t="s">
        <v>6196</v>
      </c>
      <c r="O32" s="3667"/>
      <c r="P32" s="124"/>
      <c r="Q32" s="3660" t="s">
        <v>6250</v>
      </c>
      <c r="R32" s="3660"/>
      <c r="S32" s="3660"/>
    </row>
    <row r="33" spans="1:20" ht="15" thickTop="1" thickBot="1" x14ac:dyDescent="0.2">
      <c r="A33" s="3"/>
      <c r="C33" s="1373" t="s">
        <v>4562</v>
      </c>
      <c r="D33" s="1374">
        <v>46.5</v>
      </c>
      <c r="E33" s="1375">
        <v>43.9</v>
      </c>
      <c r="F33" s="1376">
        <v>43.5</v>
      </c>
      <c r="G33" s="1377" t="s">
        <v>4563</v>
      </c>
      <c r="H33" s="133"/>
      <c r="I33" s="128"/>
      <c r="J33" s="528"/>
      <c r="K33" s="3"/>
      <c r="M33" s="1373" t="s">
        <v>4562</v>
      </c>
      <c r="N33" s="1374">
        <v>77.599999999999994</v>
      </c>
      <c r="O33" s="1375">
        <v>59.1</v>
      </c>
      <c r="P33" s="1376">
        <v>50.5</v>
      </c>
      <c r="Q33" s="1377" t="s">
        <v>4563</v>
      </c>
      <c r="R33" s="133"/>
      <c r="S33" s="128"/>
      <c r="T33" s="528"/>
    </row>
    <row r="34" spans="1:20" ht="15" thickTop="1" thickBot="1" x14ac:dyDescent="0.2">
      <c r="A34" s="5" t="s">
        <v>4629</v>
      </c>
      <c r="B34" s="6" t="s">
        <v>4565</v>
      </c>
      <c r="C34" s="7" t="s">
        <v>4566</v>
      </c>
      <c r="D34" s="6" t="s">
        <v>4567</v>
      </c>
      <c r="E34" s="6" t="s">
        <v>4568</v>
      </c>
      <c r="F34" s="6" t="s">
        <v>4569</v>
      </c>
      <c r="G34" s="6" t="s">
        <v>4570</v>
      </c>
      <c r="H34" s="8" t="s">
        <v>4571</v>
      </c>
      <c r="I34" s="547" t="s">
        <v>6200</v>
      </c>
      <c r="J34" s="9" t="s">
        <v>6201</v>
      </c>
      <c r="K34" s="5" t="s">
        <v>4629</v>
      </c>
      <c r="L34" s="6" t="s">
        <v>4565</v>
      </c>
      <c r="M34" s="7" t="s">
        <v>4566</v>
      </c>
      <c r="N34" s="6" t="s">
        <v>4567</v>
      </c>
      <c r="O34" s="6" t="s">
        <v>4568</v>
      </c>
      <c r="P34" s="6" t="s">
        <v>4569</v>
      </c>
      <c r="Q34" s="6" t="s">
        <v>4570</v>
      </c>
      <c r="R34" s="8" t="s">
        <v>4571</v>
      </c>
      <c r="S34" s="547" t="s">
        <v>6200</v>
      </c>
      <c r="T34" s="9" t="s">
        <v>6201</v>
      </c>
    </row>
    <row r="35" spans="1:20" ht="17.25" thickTop="1" x14ac:dyDescent="0.15">
      <c r="A35" s="272" t="s">
        <v>6251</v>
      </c>
      <c r="B35" s="11" t="s">
        <v>4631</v>
      </c>
      <c r="C35" s="12" t="s">
        <v>4723</v>
      </c>
      <c r="D35" s="2669" cm="1" t="n">
        <f t="array" ref="D35">INDEX('4층_부하량'!F3:F3000,MATCH(1,("4-DaHall 1-PDU-10"='4층_부하량'!A3:A3000)*(1='4층_부하량'!B3:B3000),0))</f>
        <v>0.0</v>
      </c>
      <c r="E35" s="2669" cm="1" t="n">
        <f t="array" ref="E35">INDEX('4층_부하량'!G3:G3000,MATCH(1,("4-DaHall 1-PDU-10"='4층_부하량'!A3:A3000)*(1='4층_부하량'!B3:B3000),0))</f>
        <v>0.0</v>
      </c>
      <c r="F35" s="2669" cm="1" t="n">
        <f t="array" ref="F35">INDEX('4층_부하량'!H3:H3000,MATCH(1,("4-DaHall 1-PDU-10"='4층_부하량'!A3:A3000)*(1='4층_부하량'!B3:B3000),0))</f>
        <v>0.0</v>
      </c>
      <c r="G35" s="15"/>
      <c r="H35" s="13" t="s">
        <v>6252</v>
      </c>
      <c r="I35" s="878" t="s">
        <v>4577</v>
      </c>
      <c r="J35" s="14"/>
      <c r="K35" s="10" t="s">
        <v>6253</v>
      </c>
      <c r="L35" s="11" t="s">
        <v>4631</v>
      </c>
      <c r="M35" s="12" t="s">
        <v>4575</v>
      </c>
      <c r="N35" s="2669" cm="1" t="n">
        <f t="array" ref="N35">INDEX('4층_부하량'!F3:F3000,MATCH(1,("4-DaHall 1-PDU-01"='4층_부하량'!A3:A3000)*(1='4층_부하량'!B3:B3000),0))</f>
        <v>1.47</v>
      </c>
      <c r="O35" s="2669" cm="1" t="n">
        <f t="array" ref="O35">INDEX('4층_부하량'!G3:G3000,MATCH(1,("4-DaHall 1-PDU-01"='4층_부하량'!A3:A3000)*(1='4층_부하량'!B3:B3000),0))</f>
        <v>1.19</v>
      </c>
      <c r="P35" s="2669" cm="1" t="n">
        <f t="array" ref="P35">INDEX('4층_부하량'!H3:H3000,MATCH(1,("4-DaHall 1-PDU-01"='4층_부하량'!A3:A3000)*(1='4층_부하량'!B3:B3000),0))</f>
        <v>1.65</v>
      </c>
      <c r="Q35" s="310"/>
      <c r="R35" s="13" t="s">
        <v>4964</v>
      </c>
      <c r="S35" s="878" t="s">
        <v>4577</v>
      </c>
      <c r="T35" s="14" t="s">
        <v>6203</v>
      </c>
    </row>
    <row r="36" spans="1:20" ht="16.5" x14ac:dyDescent="0.15">
      <c r="A36" s="16" t="s">
        <v>6254</v>
      </c>
      <c r="B36" s="17" t="s">
        <v>4631</v>
      </c>
      <c r="C36" s="18" t="s">
        <v>4575</v>
      </c>
      <c r="D36" s="2670" cm="1" t="n">
        <f t="array" ref="D36">INDEX('4층_부하량'!F3:F3000,MATCH(1,("4-DaHall 1-PDU-10"='4층_부하량'!A3:A3000)*(2='4층_부하량'!B3:B3000),0))</f>
        <v>32.43</v>
      </c>
      <c r="E36" s="2670" cm="1" t="n">
        <f t="array" ref="E36">INDEX('4층_부하량'!G3:G3000,MATCH(1,("4-DaHall 1-PDU-10"='4층_부하량'!A3:A3000)*(2='4층_부하량'!B3:B3000),0))</f>
        <v>29.91</v>
      </c>
      <c r="F36" s="2670" cm="1" t="n">
        <f t="array" ref="F36">INDEX('4층_부하량'!H3:H3000,MATCH(1,("4-DaHall 1-PDU-10"='4층_부하량'!A3:A3000)*(2='4층_부하량'!B3:B3000),0))</f>
        <v>31.28</v>
      </c>
      <c r="G36" s="349"/>
      <c r="H36" s="17" t="s">
        <v>6252</v>
      </c>
      <c r="I36" s="879" t="s">
        <v>4578</v>
      </c>
      <c r="J36" s="20" t="s">
        <v>6255</v>
      </c>
      <c r="K36" s="266" t="s">
        <v>6256</v>
      </c>
      <c r="L36" s="17" t="s">
        <v>4631</v>
      </c>
      <c r="M36" s="18" t="s">
        <v>4575</v>
      </c>
      <c r="N36" s="2670" cm="1" t="n">
        <f t="array" ref="N36">INDEX('4층_부하량'!F3:F3000,MATCH(1,("4-DaHall 1-PDU-01"='4층_부하량'!A3:A3000)*(2='4층_부하량'!B3:B3000),0))</f>
        <v>37.9</v>
      </c>
      <c r="O36" s="19"/>
      <c r="P36" s="19"/>
      <c r="Q36" s="311"/>
      <c r="R36" s="17" t="s">
        <v>6205</v>
      </c>
      <c r="S36" s="879" t="s">
        <v>4578</v>
      </c>
      <c r="T36" s="20" t="s">
        <v>6203</v>
      </c>
    </row>
    <row r="37" spans="1:20" ht="17.25" thickBot="1" x14ac:dyDescent="0.2">
      <c r="A37" s="16" t="s">
        <v>6257</v>
      </c>
      <c r="B37" s="35" t="s">
        <v>4631</v>
      </c>
      <c r="C37" s="39" t="s">
        <v>4575</v>
      </c>
      <c r="D37" s="2671" cm="1" t="n">
        <f t="array" ref="D37">INDEX('4층_부하량'!F3:F3000,MATCH(1,("4-DaHall 1-PDU-10"='4층_부하량'!A3:A3000)*(3='4층_부하량'!B3:B3000),0))</f>
        <v>27.88</v>
      </c>
      <c r="E37" s="2671" cm="1" t="n">
        <f t="array" ref="E37">INDEX('4층_부하량'!G3:G3000,MATCH(1,("4-DaHall 1-PDU-10"='4층_부하량'!A3:A3000)*(3='4층_부하량'!B3:B3000),0))</f>
        <v>27.19</v>
      </c>
      <c r="F37" s="2671" cm="1" t="n">
        <f t="array" ref="F37">INDEX('4층_부하량'!H3:H3000,MATCH(1,("4-DaHall 1-PDU-10"='4층_부하량'!A3:A3000)*(3='4층_부하량'!B3:B3000),0))</f>
        <v>26.8</v>
      </c>
      <c r="G37" s="351"/>
      <c r="H37" s="35" t="s">
        <v>6252</v>
      </c>
      <c r="I37" s="551" t="s">
        <v>4582</v>
      </c>
      <c r="J37" s="40" t="s">
        <v>6255</v>
      </c>
      <c r="K37" s="267" t="s">
        <v>6258</v>
      </c>
      <c r="L37" s="17" t="s">
        <v>4631</v>
      </c>
      <c r="M37" s="18" t="s">
        <v>4575</v>
      </c>
      <c r="N37" s="21"/>
      <c r="O37" s="2672" cm="1" t="n">
        <f t="array" ref="O37">INDEX('4층_부하량'!G3:G3000,MATCH(1,("4-DaHall 1-PDU-01"='4층_부하량'!A3:A3000)*(3='4층_부하량'!B3:B3000),0))</f>
        <v>34.95</v>
      </c>
      <c r="P37" s="21"/>
      <c r="Q37" s="2695"/>
      <c r="R37" s="17" t="s">
        <v>6205</v>
      </c>
      <c r="S37" s="879" t="s">
        <v>4638</v>
      </c>
      <c r="T37" s="20" t="s">
        <v>6203</v>
      </c>
    </row>
    <row r="38" spans="1:20" ht="17.25" thickTop="1" x14ac:dyDescent="0.15">
      <c r="A38" s="41"/>
      <c r="B38" s="42"/>
      <c r="C38" s="32" t="s">
        <v>5645</v>
      </c>
      <c r="D38" s="1173" t="n">
        <f>SUM(D35:D37)</f>
        <v>60.31</v>
      </c>
      <c r="E38" s="1173" t="n">
        <f t="shared" ref="E38:G38" si="0">SUM(E35:E37)</f>
        <v>57.1</v>
      </c>
      <c r="F38" s="1173" t="n">
        <f t="shared" si="0"/>
        <v>58.08</v>
      </c>
      <c r="G38" s="1173" t="n">
        <f t="shared" si="0"/>
        <v>0.0</v>
      </c>
      <c r="H38" s="42"/>
      <c r="I38" s="872"/>
      <c r="J38" s="44"/>
      <c r="K38" s="267" t="s">
        <v>6259</v>
      </c>
      <c r="L38" s="17" t="s">
        <v>4631</v>
      </c>
      <c r="M38" s="18" t="s">
        <v>4575</v>
      </c>
      <c r="N38" s="21"/>
      <c r="O38" s="21"/>
      <c r="P38" s="2672" cm="1" t="n">
        <f t="array" ref="P38">INDEX('4층_부하량'!H3:H3000,MATCH(1,("4-DaHall 1-PDU-01"='4층_부하량'!A3:A3000)*(4='4층_부하량'!B3:B3000),0))</f>
        <v>37.59</v>
      </c>
      <c r="Q38" s="2695"/>
      <c r="R38" s="17" t="s">
        <v>6205</v>
      </c>
      <c r="S38" s="879" t="s">
        <v>4583</v>
      </c>
      <c r="T38" s="20" t="s">
        <v>6203</v>
      </c>
    </row>
    <row r="39" spans="1:20" ht="16.5" x14ac:dyDescent="0.15">
      <c r="A39" s="45"/>
      <c r="B39" s="23"/>
      <c r="C39" s="24"/>
      <c r="D39" s="25"/>
      <c r="E39" s="25"/>
      <c r="F39" s="25"/>
      <c r="G39" s="25"/>
      <c r="H39" s="23"/>
      <c r="I39" s="555"/>
      <c r="J39" s="46"/>
      <c r="K39" s="267" t="s">
        <v>6260</v>
      </c>
      <c r="L39" s="23" t="s">
        <v>4631</v>
      </c>
      <c r="M39" s="24" t="s">
        <v>4575</v>
      </c>
      <c r="N39" s="2673" cm="1" t="n">
        <f t="array" ref="N39">INDEX('4층_부하량'!F3:F3000,MATCH(1,("4-DaHall 1-PDU-01"='4층_부하량'!A3:A3000)*(5='4층_부하량'!B3:B3000),0))</f>
        <v>42.43</v>
      </c>
      <c r="O39" s="25"/>
      <c r="P39" s="25"/>
      <c r="Q39" s="2696"/>
      <c r="R39" s="23" t="s">
        <v>6205</v>
      </c>
      <c r="S39" s="879" t="s">
        <v>4641</v>
      </c>
      <c r="T39" s="26" t="s">
        <v>6203</v>
      </c>
    </row>
    <row r="40" spans="1:20" ht="16.5" x14ac:dyDescent="0.15">
      <c r="A40" s="45"/>
      <c r="B40" s="17"/>
      <c r="C40" s="18"/>
      <c r="D40" s="21"/>
      <c r="E40" s="21"/>
      <c r="F40" s="21"/>
      <c r="G40" s="21"/>
      <c r="H40" s="17"/>
      <c r="I40" s="549"/>
      <c r="J40" s="27"/>
      <c r="K40" s="268" t="s">
        <v>6261</v>
      </c>
      <c r="L40" s="17" t="s">
        <v>4631</v>
      </c>
      <c r="M40" s="18" t="s">
        <v>4575</v>
      </c>
      <c r="N40" s="21"/>
      <c r="O40" s="2672" cm="1" t="n">
        <f t="array" ref="O40">INDEX('4층_부하량'!G3:G3000,MATCH(1,("4-DaHall 1-PDU-01"='4층_부하량'!A3:A3000)*(6='4층_부하량'!B3:B3000),0))</f>
        <v>24.59</v>
      </c>
      <c r="P40" s="21"/>
      <c r="Q40" s="2695"/>
      <c r="R40" s="17" t="s">
        <v>6205</v>
      </c>
      <c r="S40" s="879" t="s">
        <v>4588</v>
      </c>
      <c r="T40" s="20" t="s">
        <v>5832</v>
      </c>
    </row>
    <row r="41" spans="1:20" ht="16.5" x14ac:dyDescent="0.15">
      <c r="A41" s="47"/>
      <c r="B41" s="23"/>
      <c r="C41" s="24"/>
      <c r="D41" s="25"/>
      <c r="E41" s="25"/>
      <c r="F41" s="25"/>
      <c r="G41" s="25"/>
      <c r="H41" s="23"/>
      <c r="I41" s="555"/>
      <c r="J41" s="46"/>
      <c r="K41" s="269" t="s">
        <v>6262</v>
      </c>
      <c r="L41" s="23" t="s">
        <v>4631</v>
      </c>
      <c r="M41" s="24" t="s">
        <v>4575</v>
      </c>
      <c r="N41" s="25"/>
      <c r="O41" s="25"/>
      <c r="P41" s="2673" cm="1" t="n">
        <f t="array" ref="P41">INDEX('4층_부하량'!H3:H3000,MATCH(1,("4-DaHall 1-PDU-01"='4층_부하량'!A3:A3000)*(7='4층_부하량'!B3:B3000),0))</f>
        <v>12.96</v>
      </c>
      <c r="Q41" s="2696"/>
      <c r="R41" s="23" t="s">
        <v>6205</v>
      </c>
      <c r="S41" s="879" t="s">
        <v>4645</v>
      </c>
      <c r="T41" s="26" t="s">
        <v>5832</v>
      </c>
    </row>
    <row r="42" spans="1:20" ht="16.5" x14ac:dyDescent="0.15">
      <c r="A42" s="45"/>
      <c r="B42" s="23"/>
      <c r="C42" s="24"/>
      <c r="D42" s="21"/>
      <c r="E42" s="21"/>
      <c r="F42" s="21"/>
      <c r="G42" s="21"/>
      <c r="H42" s="17"/>
      <c r="I42" s="549"/>
      <c r="J42" s="27"/>
      <c r="K42" s="22"/>
      <c r="L42" s="17" t="s">
        <v>4590</v>
      </c>
      <c r="M42" s="17" t="s">
        <v>4642</v>
      </c>
      <c r="N42" s="2672" cm="1" t="n">
        <f t="array" ref="N42">INDEX('4층_부하량'!F3:F3000,MATCH(1,("4-DaHall 1-PDU-01"='4층_부하량'!A3:A3000)*(8='4층_부하량'!B3:B3000),0))</f>
        <v>0.0</v>
      </c>
      <c r="O42" s="21"/>
      <c r="P42" s="21"/>
      <c r="Q42" s="2695"/>
      <c r="R42" s="17" t="s">
        <v>6205</v>
      </c>
      <c r="S42" s="879" t="s">
        <v>4593</v>
      </c>
      <c r="T42" s="20"/>
    </row>
    <row r="43" spans="1:20" ht="17.25" thickBot="1" x14ac:dyDescent="0.2">
      <c r="A43" s="47"/>
      <c r="B43" s="271"/>
      <c r="C43" s="24"/>
      <c r="D43" s="25"/>
      <c r="E43" s="25"/>
      <c r="F43" s="25"/>
      <c r="G43" s="25"/>
      <c r="H43" s="23"/>
      <c r="I43" s="555"/>
      <c r="J43" s="46"/>
      <c r="K43" s="2323"/>
      <c r="L43" s="35" t="s">
        <v>4590</v>
      </c>
      <c r="M43" s="35" t="s">
        <v>4642</v>
      </c>
      <c r="N43" s="30"/>
      <c r="O43" s="2671" cm="1" t="n">
        <f t="array" ref="O43">INDEX('4층_부하량'!G3:G3000,MATCH(1,("4-DaHall 1-PDU-01"='4층_부하량'!A3:A3000)*(9='4층_부하량'!B3:B3000),0))</f>
        <v>0.0</v>
      </c>
      <c r="P43" s="30"/>
      <c r="Q43" s="2697"/>
      <c r="R43" s="29" t="s">
        <v>6205</v>
      </c>
      <c r="S43" s="556" t="s">
        <v>4595</v>
      </c>
      <c r="T43" s="31"/>
    </row>
    <row r="44" spans="1:20" ht="18" thickTop="1" thickBot="1" x14ac:dyDescent="0.2">
      <c r="M44" s="32" t="s">
        <v>5645</v>
      </c>
      <c r="N44" s="33" t="n">
        <f>SUM(N35:N43)</f>
        <v>81.8</v>
      </c>
      <c r="O44" s="33" t="n">
        <f>SUM(O35:O43)</f>
        <v>60.730000000000004</v>
      </c>
      <c r="P44" s="33" t="n">
        <f>SUM(P35:P43)</f>
        <v>52.2</v>
      </c>
    </row>
    <row r="45" spans="1:20" ht="20.25" thickTop="1" thickBot="1" x14ac:dyDescent="0.2">
      <c r="A45" s="2" t="s">
        <v>6939</v>
      </c>
      <c r="D45" s="3661" t="s">
        <v>4715</v>
      </c>
      <c r="E45" s="3667"/>
      <c r="F45" s="124"/>
      <c r="G45" s="3660" t="s">
        <v>6264</v>
      </c>
      <c r="H45" s="3660"/>
      <c r="I45" s="3660"/>
      <c r="K45" s="2" t="s">
        <v>6940</v>
      </c>
      <c r="N45" s="3661" t="s">
        <v>4715</v>
      </c>
      <c r="O45" s="3667"/>
      <c r="P45" s="124"/>
      <c r="Q45" s="3660" t="s">
        <v>6266</v>
      </c>
      <c r="R45" s="3660"/>
      <c r="S45" s="3660"/>
    </row>
    <row r="46" spans="1:20" ht="15" thickTop="1" thickBot="1" x14ac:dyDescent="0.2">
      <c r="A46" s="3"/>
      <c r="C46" s="1373" t="s">
        <v>4562</v>
      </c>
      <c r="D46" s="1374">
        <v>57.4</v>
      </c>
      <c r="E46" s="1375">
        <v>38.799999999999997</v>
      </c>
      <c r="F46" s="1376">
        <v>25.4</v>
      </c>
      <c r="G46" s="1377" t="s">
        <v>4563</v>
      </c>
      <c r="H46" s="133"/>
      <c r="I46" s="128"/>
      <c r="J46" s="528"/>
      <c r="K46" s="3"/>
      <c r="M46" s="1373" t="s">
        <v>4562</v>
      </c>
      <c r="N46" s="1374">
        <v>59.5</v>
      </c>
      <c r="O46" s="1375">
        <v>27.6</v>
      </c>
      <c r="P46" s="1376">
        <v>25.2</v>
      </c>
      <c r="Q46" s="1377" t="s">
        <v>4563</v>
      </c>
      <c r="R46" s="133"/>
      <c r="S46" s="128"/>
      <c r="T46" s="528"/>
    </row>
    <row r="47" spans="1:20" ht="15" thickTop="1" thickBot="1" x14ac:dyDescent="0.2">
      <c r="A47" s="5" t="s">
        <v>4629</v>
      </c>
      <c r="B47" s="6" t="s">
        <v>4565</v>
      </c>
      <c r="C47" s="7" t="s">
        <v>4566</v>
      </c>
      <c r="D47" s="6" t="s">
        <v>4567</v>
      </c>
      <c r="E47" s="6" t="s">
        <v>4568</v>
      </c>
      <c r="F47" s="6" t="s">
        <v>4569</v>
      </c>
      <c r="G47" s="6" t="s">
        <v>4570</v>
      </c>
      <c r="H47" s="8" t="s">
        <v>4571</v>
      </c>
      <c r="I47" s="547" t="s">
        <v>6200</v>
      </c>
      <c r="J47" s="9" t="s">
        <v>6201</v>
      </c>
      <c r="K47" s="5" t="s">
        <v>4629</v>
      </c>
      <c r="L47" s="6" t="s">
        <v>4565</v>
      </c>
      <c r="M47" s="7" t="s">
        <v>4566</v>
      </c>
      <c r="N47" s="6" t="s">
        <v>4567</v>
      </c>
      <c r="O47" s="6" t="s">
        <v>4568</v>
      </c>
      <c r="P47" s="6" t="s">
        <v>4569</v>
      </c>
      <c r="Q47" s="6" t="s">
        <v>4570</v>
      </c>
      <c r="R47" s="8" t="s">
        <v>4571</v>
      </c>
      <c r="S47" s="547" t="s">
        <v>6200</v>
      </c>
      <c r="T47" s="9" t="s">
        <v>6201</v>
      </c>
    </row>
    <row r="48" spans="1:20" ht="17.25" thickTop="1" x14ac:dyDescent="0.15">
      <c r="A48" s="10"/>
      <c r="B48" s="11" t="s">
        <v>4590</v>
      </c>
      <c r="C48" s="13" t="s">
        <v>4642</v>
      </c>
      <c r="D48" s="2669" cm="1" t="n">
        <f t="array" ref="D48">INDEX('4층_부하량'!F3:F3000,MATCH(1,("4-DaHall 1-PDU-03"='4층_부하량'!A3:A3000)*(1='4층_부하량'!B3:B3000),0))</f>
        <v>0.0</v>
      </c>
      <c r="E48" s="2669" cm="1" t="n">
        <f t="array" ref="E48">INDEX('4층_부하량'!G3:G3000,MATCH(1,("4-DaHall 1-PDU-03"='4층_부하량'!A3:A3000)*(1='4층_부하량'!B3:B3000),0))</f>
        <v>0.0</v>
      </c>
      <c r="F48" s="2669" cm="1" t="n">
        <f t="array" ref="F48">INDEX('4층_부하량'!H3:H3000,MATCH(1,("4-DaHall 1-PDU-03"='4층_부하량'!A3:A3000)*(1='4층_부하량'!B3:B3000),0))</f>
        <v>0.0</v>
      </c>
      <c r="G48" s="15"/>
      <c r="H48" s="13" t="s">
        <v>4964</v>
      </c>
      <c r="I48" s="878" t="s">
        <v>4577</v>
      </c>
      <c r="J48" s="14"/>
      <c r="K48" s="272" t="s">
        <v>6267</v>
      </c>
      <c r="L48" s="11" t="s">
        <v>4631</v>
      </c>
      <c r="M48" s="12" t="s">
        <v>4575</v>
      </c>
      <c r="N48" s="2669" cm="1" t="n">
        <f t="array" ref="N48">INDEX('4층_부하량'!F3:F3000,MATCH(1,("4-DaHall 1-PDU-05"='4층_부하량'!A3:A3000)*(1='4층_부하량'!B3:B3000),0))</f>
        <v>9.72</v>
      </c>
      <c r="O48" s="15"/>
      <c r="P48" s="15"/>
      <c r="Q48" s="15"/>
      <c r="R48" s="13" t="s">
        <v>6205</v>
      </c>
      <c r="S48" s="878" t="s">
        <v>4577</v>
      </c>
      <c r="T48" s="14" t="s">
        <v>5832</v>
      </c>
    </row>
    <row r="49" spans="1:20" ht="16.5" x14ac:dyDescent="0.15">
      <c r="A49" s="266" t="s">
        <v>6268</v>
      </c>
      <c r="B49" s="17" t="s">
        <v>4631</v>
      </c>
      <c r="C49" s="18" t="s">
        <v>4575</v>
      </c>
      <c r="D49" s="2670" cm="1" t="n">
        <f t="array" ref="D49">INDEX('4층_부하량'!F3:F3000,MATCH(1,("4-DaHall 1-PDU-03"='4층_부하량'!A3:A3000)*(2='4층_부하량'!B3:B3000),0))</f>
        <v>33.51</v>
      </c>
      <c r="E49" s="19"/>
      <c r="F49" s="19"/>
      <c r="G49" s="19"/>
      <c r="H49" s="17" t="s">
        <v>6205</v>
      </c>
      <c r="I49" s="879" t="s">
        <v>4578</v>
      </c>
      <c r="J49" s="20" t="s">
        <v>6203</v>
      </c>
      <c r="K49" s="266" t="s">
        <v>6269</v>
      </c>
      <c r="L49" s="17" t="s">
        <v>4631</v>
      </c>
      <c r="M49" s="18" t="s">
        <v>4575</v>
      </c>
      <c r="N49" s="19"/>
      <c r="O49" s="2670" cm="1" t="n">
        <f t="array" ref="O49">INDEX('4층_부하량'!G3:G3000,MATCH(1,("4-DaHall 1-PDU-05"='4층_부하량'!A3:A3000)*(2='4층_부하량'!B3:B3000),0))</f>
        <v>0.0</v>
      </c>
      <c r="P49" s="19"/>
      <c r="Q49" s="19"/>
      <c r="R49" s="17" t="s">
        <v>6205</v>
      </c>
      <c r="S49" s="879" t="s">
        <v>4578</v>
      </c>
      <c r="T49" s="20" t="s">
        <v>5832</v>
      </c>
    </row>
    <row r="50" spans="1:20" ht="16.5" x14ac:dyDescent="0.15">
      <c r="A50" s="268" t="s">
        <v>6270</v>
      </c>
      <c r="B50" s="17" t="s">
        <v>4631</v>
      </c>
      <c r="C50" s="18" t="s">
        <v>4575</v>
      </c>
      <c r="D50" s="21"/>
      <c r="E50" s="2672" cm="1" t="n">
        <f t="array" ref="E50">INDEX('4층_부하량'!G3:G3000,MATCH(1,("4-DaHall 1-PDU-03"='4층_부하량'!A3:A3000)*(3='4층_부하량'!B3:B3000),0))</f>
        <v>30.46</v>
      </c>
      <c r="F50" s="21"/>
      <c r="G50" s="21"/>
      <c r="H50" s="17" t="s">
        <v>6205</v>
      </c>
      <c r="I50" s="879" t="s">
        <v>4638</v>
      </c>
      <c r="J50" s="20" t="s">
        <v>6203</v>
      </c>
      <c r="K50" s="267" t="s">
        <v>6271</v>
      </c>
      <c r="L50" s="17" t="s">
        <v>4631</v>
      </c>
      <c r="M50" s="18" t="s">
        <v>4575</v>
      </c>
      <c r="N50" s="21"/>
      <c r="O50" s="21"/>
      <c r="P50" s="2672" cm="1" t="n">
        <f t="array" ref="P50">INDEX('4층_부하량'!H3:H3000,MATCH(1,("4-DaHall 1-PDU-05"='4층_부하량'!A3:A3000)*(3='4층_부하량'!B3:B3000),0))</f>
        <v>7.8</v>
      </c>
      <c r="Q50" s="21"/>
      <c r="R50" s="17" t="s">
        <v>6205</v>
      </c>
      <c r="S50" s="879" t="s">
        <v>4638</v>
      </c>
      <c r="T50" s="20" t="s">
        <v>5832</v>
      </c>
    </row>
    <row r="51" spans="1:20" ht="16.5" x14ac:dyDescent="0.15">
      <c r="A51" s="268" t="s">
        <v>6272</v>
      </c>
      <c r="B51" s="17" t="s">
        <v>4590</v>
      </c>
      <c r="C51" s="17" t="s">
        <v>4642</v>
      </c>
      <c r="D51" s="21"/>
      <c r="E51" s="21"/>
      <c r="F51" s="2672" cm="1" t="n">
        <f t="array" ref="F51">INDEX('4층_부하량'!H3:H3000,MATCH(1,("4-DaHall 1-PDU-03"='4층_부하량'!A3:A3000)*(4='4층_부하량'!B3:B3000),0))</f>
        <v>0.0</v>
      </c>
      <c r="G51" s="21"/>
      <c r="H51" s="17" t="s">
        <v>6205</v>
      </c>
      <c r="I51" s="879" t="s">
        <v>4583</v>
      </c>
      <c r="J51" s="20" t="s">
        <v>6203</v>
      </c>
      <c r="K51" s="267" t="s">
        <v>6273</v>
      </c>
      <c r="L51" s="17" t="s">
        <v>4631</v>
      </c>
      <c r="M51" s="18" t="s">
        <v>4575</v>
      </c>
      <c r="N51" s="2672" cm="1" t="n">
        <f t="array" ref="N51">INDEX('4층_부하량'!F3:F3000,MATCH(1,("4-DaHall 1-PDU-05"='4층_부하량'!A3:A3000)*(4='4층_부하량'!B3:B3000),0))</f>
        <v>7.54</v>
      </c>
      <c r="O51" s="21"/>
      <c r="P51" s="21"/>
      <c r="Q51" s="21"/>
      <c r="R51" s="17" t="s">
        <v>6205</v>
      </c>
      <c r="S51" s="879" t="s">
        <v>4583</v>
      </c>
      <c r="T51" s="20" t="s">
        <v>5832</v>
      </c>
    </row>
    <row r="52" spans="1:20" ht="16.5" x14ac:dyDescent="0.15">
      <c r="A52" s="268" t="s">
        <v>6274</v>
      </c>
      <c r="B52" s="23" t="s">
        <v>4631</v>
      </c>
      <c r="C52" s="24" t="s">
        <v>4575</v>
      </c>
      <c r="D52" s="2673" cm="1" t="n">
        <f t="array" ref="D52">INDEX('4층_부하량'!F3:F3000,MATCH(1,("4-DaHall 1-PDU-03"='4층_부하량'!A3:A3000)*(5='4층_부하량'!B3:B3000),0))</f>
        <v>6.62</v>
      </c>
      <c r="E52" s="25"/>
      <c r="F52" s="25"/>
      <c r="G52" s="25"/>
      <c r="H52" s="23" t="s">
        <v>6205</v>
      </c>
      <c r="I52" s="879" t="s">
        <v>4641</v>
      </c>
      <c r="J52" s="26" t="s">
        <v>5832</v>
      </c>
      <c r="K52" s="267" t="s">
        <v>6275</v>
      </c>
      <c r="L52" s="23" t="s">
        <v>4631</v>
      </c>
      <c r="M52" s="18" t="s">
        <v>4575</v>
      </c>
      <c r="N52" s="25"/>
      <c r="O52" s="2672" cm="1" t="n">
        <f t="array" ref="O52">INDEX('4층_부하량'!G3:G3000,MATCH(1,("4-DaHall 1-PDU-05"='4층_부하량'!A3:A3000)*(5='4층_부하량'!B3:B3000),0))</f>
        <v>0.0</v>
      </c>
      <c r="P52" s="25"/>
      <c r="Q52" s="25"/>
      <c r="R52" s="23" t="s">
        <v>6205</v>
      </c>
      <c r="S52" s="879" t="s">
        <v>4641</v>
      </c>
      <c r="T52" s="26" t="s">
        <v>5832</v>
      </c>
    </row>
    <row r="53" spans="1:20" ht="16.5" x14ac:dyDescent="0.15">
      <c r="A53" s="268" t="s">
        <v>6276</v>
      </c>
      <c r="B53" s="17" t="s">
        <v>4631</v>
      </c>
      <c r="C53" s="18" t="s">
        <v>4575</v>
      </c>
      <c r="D53" s="21"/>
      <c r="E53" s="2672" cm="1" t="n">
        <f t="array" ref="E53">INDEX('4층_부하량'!G3:G3000,MATCH(1,("4-DaHall 1-PDU-03"='4층_부하량'!A3:A3000)*(6='4층_부하량'!B3:B3000),0))</f>
        <v>10.92</v>
      </c>
      <c r="F53" s="21"/>
      <c r="G53" s="21"/>
      <c r="H53" s="17" t="s">
        <v>6205</v>
      </c>
      <c r="I53" s="879" t="s">
        <v>4588</v>
      </c>
      <c r="J53" s="20" t="s">
        <v>5832</v>
      </c>
      <c r="K53" s="267" t="s">
        <v>6277</v>
      </c>
      <c r="L53" s="17" t="s">
        <v>4631</v>
      </c>
      <c r="M53" s="18" t="s">
        <v>4575</v>
      </c>
      <c r="N53" s="21"/>
      <c r="O53" s="21"/>
      <c r="P53" s="2672" cm="1" t="n">
        <f t="array" ref="P53">INDEX('4층_부하량'!H3:H3000,MATCH(1,("4-DaHall 1-PDU-05"='4층_부하량'!A3:A3000)*(6='4층_부하량'!B3:B3000),0))</f>
        <v>13.18</v>
      </c>
      <c r="Q53" s="21"/>
      <c r="R53" s="17" t="s">
        <v>6205</v>
      </c>
      <c r="S53" s="879" t="s">
        <v>4588</v>
      </c>
      <c r="T53" s="20" t="s">
        <v>5832</v>
      </c>
    </row>
    <row r="54" spans="1:20" ht="16.5" x14ac:dyDescent="0.15">
      <c r="A54" s="268" t="s">
        <v>6278</v>
      </c>
      <c r="B54" s="23" t="s">
        <v>4631</v>
      </c>
      <c r="C54" s="24" t="s">
        <v>4575</v>
      </c>
      <c r="D54" s="25"/>
      <c r="E54" s="25"/>
      <c r="F54" s="2673" cm="1" t="n">
        <f t="array" ref="F54">INDEX('4층_부하량'!H3:H3000,MATCH(1,("4-DaHall 1-PDU-03"='4층_부하량'!A3:A3000)*(7='4층_부하량'!B3:B3000),0))</f>
        <v>29.63</v>
      </c>
      <c r="G54" s="25"/>
      <c r="H54" s="23" t="s">
        <v>6205</v>
      </c>
      <c r="I54" s="879" t="s">
        <v>4645</v>
      </c>
      <c r="J54" s="26" t="s">
        <v>5832</v>
      </c>
      <c r="K54" s="266" t="s">
        <v>6279</v>
      </c>
      <c r="L54" s="23" t="s">
        <v>4631</v>
      </c>
      <c r="M54" s="24" t="s">
        <v>4575</v>
      </c>
      <c r="N54" s="2673" cm="1" t="n">
        <f t="array" ref="N54">INDEX('4층_부하량'!F3:F3000,MATCH(1,("4-DaHall 1-PDU-05"='4층_부하량'!A3:A3000)*(7='4층_부하량'!B3:B3000),0))</f>
        <v>7.61</v>
      </c>
      <c r="O54" s="25"/>
      <c r="P54" s="25"/>
      <c r="Q54" s="25"/>
      <c r="R54" s="23" t="s">
        <v>6205</v>
      </c>
      <c r="S54" s="879" t="s">
        <v>4645</v>
      </c>
      <c r="T54" s="26" t="s">
        <v>5832</v>
      </c>
    </row>
    <row r="55" spans="1:20" ht="16.5" x14ac:dyDescent="0.15">
      <c r="A55" s="268" t="s">
        <v>6280</v>
      </c>
      <c r="B55" s="17" t="s">
        <v>4631</v>
      </c>
      <c r="C55" s="18" t="s">
        <v>4575</v>
      </c>
      <c r="D55" s="2672" cm="1" t="n">
        <f t="array" ref="D55">INDEX('4층_부하량'!F3:F3000,MATCH(1,("4-DaHall 1-PDU-03"='4층_부하량'!A3:A3000)*(8='4층_부하량'!B3:B3000),0))</f>
        <v>19.89</v>
      </c>
      <c r="E55" s="21"/>
      <c r="F55" s="21"/>
      <c r="G55" s="21"/>
      <c r="H55" s="17" t="s">
        <v>6205</v>
      </c>
      <c r="I55" s="879" t="s">
        <v>4593</v>
      </c>
      <c r="J55" s="20" t="s">
        <v>5832</v>
      </c>
      <c r="K55" s="267" t="s">
        <v>6281</v>
      </c>
      <c r="L55" s="23" t="s">
        <v>4631</v>
      </c>
      <c r="M55" s="24" t="s">
        <v>4575</v>
      </c>
      <c r="N55" s="21"/>
      <c r="O55" s="2672" cm="1" t="n">
        <f t="array" ref="O55">INDEX('4층_부하량'!G3:G3000,MATCH(1,("4-DaHall 1-PDU-05"='4층_부하량'!A3:A3000)*(8='4층_부하량'!B3:B3000),0))</f>
        <v>13.85</v>
      </c>
      <c r="P55" s="21"/>
      <c r="Q55" s="21"/>
      <c r="R55" s="17" t="s">
        <v>6205</v>
      </c>
      <c r="S55" s="879" t="s">
        <v>4593</v>
      </c>
      <c r="T55" s="20" t="s">
        <v>5832</v>
      </c>
    </row>
    <row r="56" spans="1:20" ht="14.25" thickBot="1" x14ac:dyDescent="0.2">
      <c r="A56" s="28"/>
      <c r="B56" s="29" t="s">
        <v>4590</v>
      </c>
      <c r="C56" s="29" t="s">
        <v>4642</v>
      </c>
      <c r="D56" s="30"/>
      <c r="E56" s="2674" cm="1" t="n">
        <f t="array" ref="E56">INDEX('4층_부하량'!G3:G3000,MATCH(1,("4-DaHall 1-PDU-03"='4층_부하량'!A3:A3000)*(9='4층_부하량'!B3:B3000),0))</f>
        <v>0.0</v>
      </c>
      <c r="F56" s="30"/>
      <c r="G56" s="30"/>
      <c r="H56" s="29" t="s">
        <v>6205</v>
      </c>
      <c r="I56" s="556" t="s">
        <v>4595</v>
      </c>
      <c r="J56" s="31"/>
      <c r="K56" s="267" t="s">
        <v>6282</v>
      </c>
      <c r="L56" s="23" t="s">
        <v>4631</v>
      </c>
      <c r="M56" s="17" t="s">
        <v>4642</v>
      </c>
      <c r="N56" s="21"/>
      <c r="O56" s="21"/>
      <c r="P56" s="2672" cm="1" t="n">
        <f t="array" ref="P56">INDEX('4층_부하량'!H3:H3000,MATCH(1,("4-DaHall 1-PDU-05"='4층_부하량'!A3:A3000)*(9='4층_부하량'!B3:B3000),0))</f>
        <v>0.0</v>
      </c>
      <c r="Q56" s="21"/>
      <c r="R56" s="17" t="s">
        <v>6205</v>
      </c>
      <c r="S56" s="879" t="s">
        <v>4648</v>
      </c>
      <c r="T56" s="20" t="s">
        <v>5832</v>
      </c>
    </row>
    <row r="57" spans="1:20" ht="17.25" thickTop="1" x14ac:dyDescent="0.15">
      <c r="C57" s="32" t="s">
        <v>5645</v>
      </c>
      <c r="D57" s="33" t="n">
        <f>SUM(D48:D56)</f>
        <v>60.019999999999996</v>
      </c>
      <c r="E57" s="33" t="n">
        <f>SUM(E48:E56)</f>
        <v>41.38</v>
      </c>
      <c r="F57" s="33" t="n">
        <f>SUM(F48:F56)</f>
        <v>29.63</v>
      </c>
      <c r="K57" s="267" t="s">
        <v>6283</v>
      </c>
      <c r="L57" s="23" t="s">
        <v>4631</v>
      </c>
      <c r="M57" s="24" t="s">
        <v>4575</v>
      </c>
      <c r="N57" s="2672" cm="1" t="n">
        <f t="array" ref="N57">INDEX('4층_부하량'!F3:F3000,MATCH(1,("4-DaHall 1-PDU-05"='4층_부하량'!A3:A3000)*(10='4층_부하량'!B3:B3000),0))</f>
        <v>37.17</v>
      </c>
      <c r="O57" s="21"/>
      <c r="P57" s="21"/>
      <c r="Q57" s="21"/>
      <c r="R57" s="17" t="s">
        <v>6205</v>
      </c>
      <c r="S57" s="879" t="s">
        <v>4596</v>
      </c>
      <c r="T57" s="20" t="s">
        <v>5832</v>
      </c>
    </row>
    <row r="58" spans="1:20" x14ac:dyDescent="0.15">
      <c r="K58" s="22"/>
      <c r="L58" s="17" t="s">
        <v>4590</v>
      </c>
      <c r="M58" s="17" t="s">
        <v>4642</v>
      </c>
      <c r="N58" s="21"/>
      <c r="O58" s="2672" cm="1" t="n">
        <f t="array" ref="O58">INDEX('4층_부하량'!G3:G3000,MATCH(1,("4-DaHall 1-PDU-05"='4층_부하량'!A3:A3000)*(11='4층_부하량'!B3:B3000),0))</f>
        <v>0.0</v>
      </c>
      <c r="P58" s="21"/>
      <c r="Q58" s="21"/>
      <c r="R58" s="17" t="s">
        <v>6205</v>
      </c>
      <c r="S58" s="879" t="s">
        <v>4653</v>
      </c>
      <c r="T58" s="20"/>
    </row>
    <row r="59" spans="1:20" ht="14.25" thickBot="1" x14ac:dyDescent="0.2">
      <c r="K59" s="34"/>
      <c r="L59" s="35" t="s">
        <v>4590</v>
      </c>
      <c r="M59" s="35" t="s">
        <v>4642</v>
      </c>
      <c r="N59" s="36"/>
      <c r="O59" s="36"/>
      <c r="P59" s="2671" cm="1" t="n">
        <f t="array" ref="P59">INDEX('4층_부하량'!H3:H3000,MATCH(1,("4-DaHall 1-PDU-05"='4층_부하량'!A3:A3000)*(12='4층_부하량'!B3:B3000),0))</f>
        <v>0.0</v>
      </c>
      <c r="Q59" s="36"/>
      <c r="R59" s="35" t="s">
        <v>6205</v>
      </c>
      <c r="S59" s="551" t="s">
        <v>4876</v>
      </c>
      <c r="T59" s="37"/>
    </row>
    <row r="60" spans="1:20" ht="18" thickTop="1" thickBot="1" x14ac:dyDescent="0.2">
      <c r="M60" s="32" t="s">
        <v>5645</v>
      </c>
      <c r="N60" s="33" t="n">
        <f>SUM(N48:N59)</f>
        <v>62.040000000000006</v>
      </c>
      <c r="O60" s="33" t="n">
        <f>SUM(O48:O59)</f>
        <v>13.85</v>
      </c>
      <c r="P60" s="33" t="n">
        <f>SUM(P48:P59)</f>
        <v>20.98</v>
      </c>
    </row>
    <row r="61" spans="1:20" ht="20.25" thickTop="1" thickBot="1" x14ac:dyDescent="0.2">
      <c r="A61" s="642" t="s">
        <v>6941</v>
      </c>
      <c r="D61" s="3661" t="s">
        <v>4715</v>
      </c>
      <c r="E61" s="3667"/>
      <c r="F61" s="124"/>
      <c r="G61" s="3660" t="s">
        <v>6285</v>
      </c>
      <c r="H61" s="3660"/>
      <c r="I61" s="3660"/>
      <c r="K61" s="2" t="s">
        <v>6942</v>
      </c>
      <c r="N61" s="3661" t="s">
        <v>4715</v>
      </c>
      <c r="O61" s="3667"/>
      <c r="P61" s="124"/>
      <c r="Q61" s="3660" t="s">
        <v>6287</v>
      </c>
      <c r="R61" s="3660"/>
      <c r="S61" s="3660"/>
    </row>
    <row r="62" spans="1:20" ht="15" customHeight="1" thickTop="1" thickBot="1" x14ac:dyDescent="0.2">
      <c r="A62" s="3"/>
      <c r="C62" s="1373" t="s">
        <v>4562</v>
      </c>
      <c r="D62" s="1374">
        <v>44.7</v>
      </c>
      <c r="E62" s="1375">
        <v>76.7</v>
      </c>
      <c r="F62" s="1376">
        <v>22</v>
      </c>
      <c r="G62" s="1377" t="s">
        <v>4563</v>
      </c>
      <c r="H62" s="133"/>
      <c r="I62" s="128"/>
      <c r="J62" s="528"/>
      <c r="K62" s="3"/>
      <c r="M62" s="1373" t="s">
        <v>4562</v>
      </c>
      <c r="N62" s="1374">
        <v>0</v>
      </c>
      <c r="O62" s="1375">
        <v>0</v>
      </c>
      <c r="P62" s="1376">
        <v>0</v>
      </c>
      <c r="Q62" s="1377" t="s">
        <v>4563</v>
      </c>
      <c r="R62" s="133"/>
      <c r="S62" s="128"/>
      <c r="T62" s="528"/>
    </row>
    <row r="63" spans="1:20" ht="15" thickTop="1" thickBot="1" x14ac:dyDescent="0.2">
      <c r="A63" s="5" t="s">
        <v>4629</v>
      </c>
      <c r="B63" s="6" t="s">
        <v>4565</v>
      </c>
      <c r="C63" s="7" t="s">
        <v>4566</v>
      </c>
      <c r="D63" s="6" t="s">
        <v>4567</v>
      </c>
      <c r="E63" s="6" t="s">
        <v>4568</v>
      </c>
      <c r="F63" s="6" t="s">
        <v>4569</v>
      </c>
      <c r="G63" s="6" t="s">
        <v>4570</v>
      </c>
      <c r="H63" s="8" t="s">
        <v>4571</v>
      </c>
      <c r="I63" s="547" t="s">
        <v>6200</v>
      </c>
      <c r="J63" s="9" t="s">
        <v>6201</v>
      </c>
      <c r="K63" s="5" t="s">
        <v>4629</v>
      </c>
      <c r="L63" s="6" t="s">
        <v>4565</v>
      </c>
      <c r="M63" s="7" t="s">
        <v>4566</v>
      </c>
      <c r="N63" s="6" t="s">
        <v>4567</v>
      </c>
      <c r="O63" s="6" t="s">
        <v>4568</v>
      </c>
      <c r="P63" s="6" t="s">
        <v>4569</v>
      </c>
      <c r="Q63" s="6" t="s">
        <v>4570</v>
      </c>
      <c r="R63" s="8" t="s">
        <v>4571</v>
      </c>
      <c r="S63" s="547" t="s">
        <v>6288</v>
      </c>
      <c r="T63" s="9" t="s">
        <v>6201</v>
      </c>
    </row>
    <row r="64" spans="1:20" ht="18" thickTop="1" thickBot="1" x14ac:dyDescent="0.2">
      <c r="A64" s="272" t="s">
        <v>6289</v>
      </c>
      <c r="B64" s="11" t="s">
        <v>4631</v>
      </c>
      <c r="C64" s="304" t="s">
        <v>4575</v>
      </c>
      <c r="D64" s="2669" cm="1" t="n">
        <f t="array" ref="D64">INDEX('4층_부하량'!F3:F3000,MATCH(1,("4-DaHall 1-PDU-07"='4층_부하량'!A3:A3000)*(1='4층_부하량'!B3:B3000),0))</f>
        <v>21.93</v>
      </c>
      <c r="E64" s="15"/>
      <c r="F64" s="15"/>
      <c r="G64" s="15"/>
      <c r="H64" s="13" t="s">
        <v>6205</v>
      </c>
      <c r="I64" s="878" t="s">
        <v>4577</v>
      </c>
      <c r="J64" s="644" t="s">
        <v>6230</v>
      </c>
      <c r="K64" s="272" t="s">
        <v>6290</v>
      </c>
      <c r="L64" s="11" t="s">
        <v>565</v>
      </c>
      <c r="M64" s="304" t="s">
        <v>4723</v>
      </c>
      <c r="N64" s="2669" cm="1" t="n">
        <f t="array" ref="N64">INDEX('4층_부하량'!F3:F3000,MATCH(1,("4-DaHall 1-PDU-09"='4층_부하량'!A3:A3000)*(1='4층_부하량'!B3:B3000),0))</f>
        <v>0.0</v>
      </c>
      <c r="O64" s="2669" cm="1" t="n">
        <f t="array" ref="O64">INDEX('4층_부하량'!G3:G3000,MATCH(1,("4-DaHall 1-PDU-09"='4층_부하량'!A3:A3000)*(1='4층_부하량'!B3:B3000),0))</f>
        <v>0.0</v>
      </c>
      <c r="P64" s="2669" cm="1" t="n">
        <f t="array" ref="P64">INDEX('4층_부하량'!H3:H3000,MATCH(1,("4-DaHall 1-PDU-09"='4층_부하량'!A3:A3000)*(1='4층_부하량'!B3:B3000),0))</f>
        <v>0.0</v>
      </c>
      <c r="Q64" s="15"/>
      <c r="R64" s="13" t="s">
        <v>6252</v>
      </c>
      <c r="S64" s="552" t="s">
        <v>4633</v>
      </c>
      <c r="T64" s="14"/>
    </row>
    <row r="65" spans="1:20" ht="18" thickTop="1" thickBot="1" x14ac:dyDescent="0.2">
      <c r="A65" s="266" t="s">
        <v>6291</v>
      </c>
      <c r="B65" s="17" t="s">
        <v>4631</v>
      </c>
      <c r="C65" s="305" t="s">
        <v>4575</v>
      </c>
      <c r="D65" s="19"/>
      <c r="E65" s="2670" cm="1" t="n">
        <f t="array" ref="E65">INDEX('4층_부하량'!G3:G3000,MATCH(1,("4-DaHall 1-PDU-07"='4층_부하량'!A3:A3000)*(2='4층_부하량'!B3:B3000),0))</f>
        <v>35.56</v>
      </c>
      <c r="F65" s="19"/>
      <c r="G65" s="19"/>
      <c r="H65" s="17" t="s">
        <v>6205</v>
      </c>
      <c r="I65" s="879" t="s">
        <v>4578</v>
      </c>
      <c r="J65" s="649" t="s">
        <v>6227</v>
      </c>
      <c r="K65" s="16"/>
      <c r="L65" s="17" t="s">
        <v>4590</v>
      </c>
      <c r="M65" s="17" t="s">
        <v>4591</v>
      </c>
      <c r="N65" s="2669" cm="1" t="n">
        <f t="array" ref="N65">INDEX('4층_부하량'!F3:F3000,MATCH(1,("4-DaHall 1-PDU-09"='4층_부하량'!A3:A3000)*(2='4층_부하량'!B3:B3000),0))</f>
        <v>0.0</v>
      </c>
      <c r="O65" s="2669" cm="1" t="n">
        <f t="array" ref="O65">INDEX('4층_부하량'!G3:G3000,MATCH(1,("4-DaHall 1-PDU-09"='4층_부하량'!A3:A3000)*(2='4층_부하량'!B3:B3000),0))</f>
        <v>0.0</v>
      </c>
      <c r="P65" s="2669" cm="1" t="n">
        <f t="array" ref="P65">INDEX('4층_부하량'!H3:H3000,MATCH(1,("4-DaHall 1-PDU-09"='4층_부하량'!A3:A3000)*(2='4층_부하량'!B3:B3000),0))</f>
        <v>0.0</v>
      </c>
      <c r="Q65" s="19"/>
      <c r="R65" s="17" t="s">
        <v>6252</v>
      </c>
      <c r="S65" s="549" t="s">
        <v>4578</v>
      </c>
      <c r="T65" s="20"/>
    </row>
    <row r="66" spans="1:20" ht="18" thickTop="1" thickBot="1" x14ac:dyDescent="0.2">
      <c r="A66" s="267" t="s">
        <v>6292</v>
      </c>
      <c r="B66" s="17" t="s">
        <v>4631</v>
      </c>
      <c r="C66" s="305" t="s">
        <v>4575</v>
      </c>
      <c r="D66" s="21"/>
      <c r="E66" s="21"/>
      <c r="F66" s="2672" cm="1" t="n">
        <f t="array" ref="F66">INDEX('4층_부하량'!H3:H3000,MATCH(1,("4-DaHall 1-PDU-07"='4층_부하량'!A3:A3000)*(3='4층_부하량'!B3:B3000),0))</f>
        <v>5.5600000000000005</v>
      </c>
      <c r="G66" s="21"/>
      <c r="H66" s="17" t="s">
        <v>6205</v>
      </c>
      <c r="I66" s="879" t="s">
        <v>4638</v>
      </c>
      <c r="J66" s="644" t="s">
        <v>6230</v>
      </c>
      <c r="K66" s="38"/>
      <c r="L66" s="35" t="s">
        <v>4590</v>
      </c>
      <c r="M66" s="35" t="s">
        <v>4591</v>
      </c>
      <c r="N66" s="2669" cm="1" t="n">
        <f t="array" ref="N66">INDEX('4층_부하량'!F3:F3000,MATCH(1,("4-DaHall 1-PDU-09"='4층_부하량'!A3:A3000)*(3='4층_부하량'!B3:B3000),0))</f>
        <v>0.0</v>
      </c>
      <c r="O66" s="2669" cm="1" t="n">
        <f t="array" ref="O66">INDEX('4층_부하량'!G3:G3000,MATCH(1,("4-DaHall 1-PDU-09"='4층_부하량'!A3:A3000)*(3='4층_부하량'!B3:B3000),0))</f>
        <v>0.0</v>
      </c>
      <c r="P66" s="2669" cm="1" t="n">
        <f t="array" ref="P66">INDEX('4층_부하량'!H3:H3000,MATCH(1,("4-DaHall 1-PDU-09"='4층_부하량'!A3:A3000)*(3='4층_부하량'!B3:B3000),0))</f>
        <v>0.0</v>
      </c>
      <c r="Q66" s="36"/>
      <c r="R66" s="35" t="s">
        <v>6252</v>
      </c>
      <c r="S66" s="551" t="s">
        <v>4638</v>
      </c>
      <c r="T66" s="37"/>
    </row>
    <row r="67" spans="1:20" ht="17.25" thickTop="1" x14ac:dyDescent="0.15">
      <c r="A67" s="267" t="s">
        <v>6293</v>
      </c>
      <c r="B67" s="17" t="s">
        <v>4631</v>
      </c>
      <c r="C67" s="305" t="s">
        <v>4575</v>
      </c>
      <c r="D67" s="2672" cm="1" t="n">
        <f t="array" ref="D67">INDEX('4층_부하량'!F3:F3000,MATCH(1,("4-DaHall 1-PDU-07"='4층_부하량'!A3:A3000)*(4='4층_부하량'!B3:B3000),0))</f>
        <v>10.88</v>
      </c>
      <c r="E67" s="21"/>
      <c r="F67" s="21"/>
      <c r="G67" s="21"/>
      <c r="H67" s="17" t="s">
        <v>6205</v>
      </c>
      <c r="I67" s="879" t="s">
        <v>4583</v>
      </c>
      <c r="J67" s="649" t="s">
        <v>6227</v>
      </c>
      <c r="K67" s="48"/>
      <c r="L67" s="42"/>
      <c r="M67" s="32" t="s">
        <v>6294</v>
      </c>
      <c r="N67" s="43" t="n">
        <f>SUM(N64:N66)</f>
        <v>0.0</v>
      </c>
      <c r="O67" s="43" t="n">
        <f t="shared" ref="O67:P67" si="1">SUM(O64:O66)</f>
        <v>0.0</v>
      </c>
      <c r="P67" s="43" t="n">
        <f t="shared" si="1"/>
        <v>0.0</v>
      </c>
      <c r="Q67" s="43"/>
      <c r="R67" s="42"/>
      <c r="S67" s="872"/>
      <c r="T67" s="49"/>
    </row>
    <row r="68" spans="1:20" ht="19.5" thickBot="1" x14ac:dyDescent="0.2">
      <c r="A68" s="267" t="s">
        <v>6295</v>
      </c>
      <c r="B68" s="23" t="s">
        <v>4631</v>
      </c>
      <c r="C68" s="306" t="s">
        <v>4575</v>
      </c>
      <c r="D68" s="25"/>
      <c r="E68" s="2673" cm="1" t="n">
        <f t="array" ref="E68">INDEX('4층_부하량'!G3:G3000,MATCH(1,("4-DaHall 1-PDU-07"='4층_부하량'!A3:A3000)*(5='4층_부하량'!B3:B3000),0))</f>
        <v>6.47</v>
      </c>
      <c r="F68" s="25"/>
      <c r="G68" s="25"/>
      <c r="H68" s="23" t="s">
        <v>6205</v>
      </c>
      <c r="I68" s="879" t="s">
        <v>4641</v>
      </c>
      <c r="J68" s="644" t="s">
        <v>6230</v>
      </c>
      <c r="K68" s="2" t="s">
        <v>6296</v>
      </c>
    </row>
    <row r="69" spans="1:20" ht="18" thickTop="1" thickBot="1" x14ac:dyDescent="0.2">
      <c r="A69" s="267" t="s">
        <v>6297</v>
      </c>
      <c r="B69" s="17" t="s">
        <v>4631</v>
      </c>
      <c r="C69" s="305" t="s">
        <v>4575</v>
      </c>
      <c r="D69" s="21"/>
      <c r="E69" s="21"/>
      <c r="F69" s="2672" cm="1" t="n">
        <f t="array" ref="F69">INDEX('4층_부하량'!H3:H3000,MATCH(1,("4-DaHall 1-PDU-07"='4층_부하량'!A3:A3000)*(6='4층_부하량'!B3:B3000),0))</f>
        <v>17.09</v>
      </c>
      <c r="G69" s="21"/>
      <c r="H69" s="17" t="s">
        <v>6205</v>
      </c>
      <c r="I69" s="879" t="s">
        <v>4588</v>
      </c>
      <c r="J69" s="649" t="s">
        <v>6227</v>
      </c>
      <c r="K69" s="5" t="s">
        <v>4629</v>
      </c>
      <c r="L69" s="6" t="s">
        <v>4565</v>
      </c>
      <c r="M69" s="7" t="s">
        <v>4566</v>
      </c>
      <c r="N69" s="6" t="s">
        <v>4567</v>
      </c>
      <c r="O69" s="6" t="s">
        <v>4568</v>
      </c>
      <c r="P69" s="6" t="s">
        <v>4569</v>
      </c>
      <c r="Q69" s="6" t="s">
        <v>4570</v>
      </c>
      <c r="R69" s="8" t="s">
        <v>4571</v>
      </c>
      <c r="S69" s="547" t="s">
        <v>6288</v>
      </c>
      <c r="T69" s="9" t="s">
        <v>6201</v>
      </c>
    </row>
    <row r="70" spans="1:20" ht="17.25" thickTop="1" x14ac:dyDescent="0.15">
      <c r="A70" s="266" t="s">
        <v>6298</v>
      </c>
      <c r="B70" s="23" t="s">
        <v>4631</v>
      </c>
      <c r="C70" s="306" t="s">
        <v>4575</v>
      </c>
      <c r="D70" s="2673" cm="1" t="n">
        <f t="array" ref="D70">INDEX('4층_부하량'!F3:F3000,MATCH(1,("4-DaHall 1-PDU-07"='4층_부하량'!A3:A3000)*(7='4층_부하량'!B3:B3000),0))</f>
        <v>13.97</v>
      </c>
      <c r="E70" s="25"/>
      <c r="F70" s="25"/>
      <c r="G70" s="25"/>
      <c r="H70" s="23" t="s">
        <v>6205</v>
      </c>
      <c r="I70" s="879" t="s">
        <v>4645</v>
      </c>
      <c r="J70" s="644" t="s">
        <v>6230</v>
      </c>
      <c r="K70" s="272" t="s">
        <v>6299</v>
      </c>
      <c r="L70" s="11" t="s">
        <v>565</v>
      </c>
      <c r="M70" s="304" t="s">
        <v>4723</v>
      </c>
      <c r="N70" s="15"/>
      <c r="O70" s="15"/>
      <c r="P70" s="15"/>
      <c r="Q70" s="15"/>
      <c r="R70" s="13" t="s">
        <v>6300</v>
      </c>
      <c r="S70" s="552" t="s">
        <v>4592</v>
      </c>
      <c r="T70" s="14"/>
    </row>
    <row r="71" spans="1:20" ht="17.25" thickBot="1" x14ac:dyDescent="0.2">
      <c r="A71" s="267" t="s">
        <v>6301</v>
      </c>
      <c r="B71" s="23" t="s">
        <v>4631</v>
      </c>
      <c r="C71" s="306" t="s">
        <v>4575</v>
      </c>
      <c r="D71" s="21"/>
      <c r="E71" s="2672" cm="1" t="n">
        <f t="array" ref="E71">INDEX('4층_부하량'!G3:G3000,MATCH(1,("4-DaHall 1-PDU-07"='4층_부하량'!A3:A3000)*(8='4층_부하량'!B3:B3000),0))</f>
        <v>37.85</v>
      </c>
      <c r="F71" s="21"/>
      <c r="G71" s="21"/>
      <c r="H71" s="17" t="s">
        <v>6205</v>
      </c>
      <c r="I71" s="879" t="s">
        <v>4593</v>
      </c>
      <c r="J71" s="649" t="s">
        <v>6227</v>
      </c>
      <c r="K71" s="16"/>
      <c r="L71" s="17"/>
      <c r="M71" s="17"/>
      <c r="N71" s="19"/>
      <c r="O71" s="19"/>
      <c r="P71" s="19"/>
      <c r="Q71" s="19"/>
      <c r="R71" s="17"/>
      <c r="S71" s="549"/>
      <c r="T71" s="20"/>
    </row>
    <row r="72" spans="1:20" ht="18" thickTop="1" thickBot="1" x14ac:dyDescent="0.2">
      <c r="A72" s="267" t="s">
        <v>6302</v>
      </c>
      <c r="B72" s="23" t="s">
        <v>4631</v>
      </c>
      <c r="C72" s="306" t="s">
        <v>4575</v>
      </c>
      <c r="D72" s="21"/>
      <c r="E72" s="21"/>
      <c r="F72" s="2672" cm="1" t="n">
        <f t="array" ref="F72">INDEX('4층_부하량'!H3:H3000,MATCH(1,("4-DaHall 1-PDU-07"='4층_부하량'!A3:A3000)*(9='4층_부하량'!B3:B3000),0))</f>
        <v>0.0</v>
      </c>
      <c r="G72" s="21"/>
      <c r="H72" s="17" t="s">
        <v>6205</v>
      </c>
      <c r="I72" s="879" t="s">
        <v>4648</v>
      </c>
      <c r="J72" s="651" t="s">
        <v>6243</v>
      </c>
      <c r="K72" s="5" t="s">
        <v>4629</v>
      </c>
      <c r="L72" s="6" t="s">
        <v>4565</v>
      </c>
      <c r="M72" s="7" t="s">
        <v>4566</v>
      </c>
      <c r="N72" s="6" t="s">
        <v>4567</v>
      </c>
      <c r="O72" s="6" t="s">
        <v>4568</v>
      </c>
      <c r="P72" s="6" t="s">
        <v>4569</v>
      </c>
      <c r="Q72" s="6" t="s">
        <v>4570</v>
      </c>
      <c r="R72" s="8" t="s">
        <v>4571</v>
      </c>
      <c r="S72" s="547" t="s">
        <v>6288</v>
      </c>
      <c r="T72" s="9" t="s">
        <v>6201</v>
      </c>
    </row>
    <row r="73" spans="1:20" ht="17.25" thickTop="1" x14ac:dyDescent="0.15">
      <c r="A73" s="267" t="s">
        <v>6303</v>
      </c>
      <c r="B73" s="23" t="s">
        <v>4631</v>
      </c>
      <c r="C73" s="306" t="s">
        <v>4575</v>
      </c>
      <c r="D73" s="2672" cm="1" t="n">
        <f t="array" ref="D73">INDEX('4층_부하량'!F3:F3000,MATCH(1,("4-DaHall 1-PDU-07"='4층_부하량'!A3:A3000)*(10='4층_부하량'!B3:B3000),0))</f>
        <v>0.0</v>
      </c>
      <c r="E73" s="21"/>
      <c r="F73" s="21"/>
      <c r="G73" s="21"/>
      <c r="H73" s="17" t="s">
        <v>6205</v>
      </c>
      <c r="I73" s="879" t="s">
        <v>4596</v>
      </c>
      <c r="J73" s="650" t="s">
        <v>6246</v>
      </c>
      <c r="K73" s="272" t="s">
        <v>6304</v>
      </c>
      <c r="L73" s="11" t="s">
        <v>565</v>
      </c>
      <c r="M73" s="304" t="s">
        <v>4723</v>
      </c>
      <c r="N73" s="15"/>
      <c r="O73" s="15"/>
      <c r="P73" s="15"/>
      <c r="Q73" s="15"/>
      <c r="R73" s="13" t="s">
        <v>6300</v>
      </c>
      <c r="S73" s="552" t="s">
        <v>4592</v>
      </c>
      <c r="T73" s="14"/>
    </row>
    <row r="74" spans="1:20" x14ac:dyDescent="0.15">
      <c r="A74" s="22"/>
      <c r="B74" s="17" t="s">
        <v>4590</v>
      </c>
      <c r="C74" s="17" t="s">
        <v>4642</v>
      </c>
      <c r="D74" s="21"/>
      <c r="E74" s="2672" cm="1" t="n">
        <f t="array" ref="E74">INDEX('4층_부하량'!G3:G3000,MATCH(1,("4-DaHall 1-PDU-07"='4층_부하량'!A3:A3000)*(11='4층_부하량'!B3:B3000),0))</f>
        <v>0.0</v>
      </c>
      <c r="F74" s="21"/>
      <c r="G74" s="21"/>
      <c r="H74" s="17" t="s">
        <v>6205</v>
      </c>
      <c r="I74" s="879" t="s">
        <v>4653</v>
      </c>
      <c r="J74" s="27"/>
      <c r="K74" s="16"/>
      <c r="L74" s="17"/>
      <c r="M74" s="17"/>
      <c r="N74" s="19"/>
      <c r="O74" s="19"/>
      <c r="P74" s="19"/>
      <c r="Q74" s="19"/>
      <c r="R74" s="17"/>
      <c r="S74" s="549"/>
      <c r="T74" s="20"/>
    </row>
    <row r="75" spans="1:20" ht="14.25" thickBot="1" x14ac:dyDescent="0.2">
      <c r="A75" s="34"/>
      <c r="B75" s="35" t="s">
        <v>4590</v>
      </c>
      <c r="C75" s="35" t="s">
        <v>4642</v>
      </c>
      <c r="D75" s="36"/>
      <c r="E75" s="36"/>
      <c r="F75" s="2671" cm="1" t="n">
        <f t="array" ref="F75">INDEX('4층_부하량'!H3:H3000,MATCH(1,("4-DaHall 1-PDU-07"='4층_부하량'!A3:A3000)*(12='4층_부하량'!B3:B3000),0))</f>
        <v>0.0</v>
      </c>
      <c r="G75" s="36"/>
      <c r="H75" s="35" t="s">
        <v>6205</v>
      </c>
      <c r="I75" s="551" t="s">
        <v>4876</v>
      </c>
      <c r="J75" s="37"/>
      <c r="K75" s="38"/>
      <c r="L75" s="35"/>
      <c r="M75" s="35"/>
      <c r="N75" s="36"/>
      <c r="O75" s="36"/>
      <c r="P75" s="36"/>
      <c r="Q75" s="36"/>
      <c r="R75" s="35"/>
      <c r="S75" s="551"/>
      <c r="T75" s="37"/>
    </row>
    <row r="76" spans="1:20" ht="17.25" thickTop="1" x14ac:dyDescent="0.15">
      <c r="C76" s="32" t="s">
        <v>5645</v>
      </c>
      <c r="D76" s="33" t="n">
        <f>SUM(D64:D75)</f>
        <v>46.78</v>
      </c>
      <c r="E76" s="33" t="n">
        <f>SUM(E64:E75)</f>
        <v>79.88</v>
      </c>
      <c r="F76" s="33" t="n">
        <f>SUM(F64:F75)</f>
        <v>22.65</v>
      </c>
    </row>
    <row r="78" spans="1:20" x14ac:dyDescent="0.15">
      <c r="E78" t="s">
        <v>4969</v>
      </c>
      <c r="F78" t="s">
        <v>6305</v>
      </c>
    </row>
    <row r="79" spans="1:20" x14ac:dyDescent="0.15">
      <c r="A79" t="s">
        <v>6306</v>
      </c>
      <c r="B79" s="50" t="s">
        <v>4649</v>
      </c>
      <c r="C79" s="50" t="s">
        <v>4649</v>
      </c>
      <c r="D79" s="50"/>
      <c r="E79" s="33" t="n">
        <f>SUM(N64:P64,D35:F35,E71,F69,D67,E65,O26,P24,N22,O20,D70,E68,F66,D64,N25,O23,P21,N19,N57,O55,N54,P53,O52,N51,P50,O49,N48,D55,F54,E53,D52,P41,O40,D28,E26,D25,F24,E23,D22,F21,E20,D19,N13,P12,O11,N10,F12,E11,N70:P70,N73:P73, F72,P27)</f>
        <v>708.0899999999999</v>
      </c>
      <c r="F79" s="51" t="n">
        <f>E79/$E$83</f>
        <v>0.6152382441872589</v>
      </c>
    </row>
    <row r="80" spans="1:20" x14ac:dyDescent="0.15">
      <c r="B80" s="50" t="s">
        <v>6307</v>
      </c>
      <c r="C80" s="50" t="s">
        <v>6308</v>
      </c>
      <c r="D80" s="50"/>
      <c r="E80" s="33" t="n">
        <f>SUM(D73,N28)</f>
        <v>0.0</v>
      </c>
      <c r="F80" s="51" t="n">
        <f>E80/$E$83</f>
        <v>0.0</v>
      </c>
      <c r="N80" s="33"/>
    </row>
    <row r="81" spans="1:21" x14ac:dyDescent="0.15">
      <c r="B81" s="50" t="s">
        <v>4666</v>
      </c>
      <c r="C81" s="50" t="s">
        <v>6308</v>
      </c>
      <c r="D81" s="50"/>
      <c r="E81" s="33"/>
      <c r="F81" s="51"/>
    </row>
    <row r="82" spans="1:21" x14ac:dyDescent="0.15">
      <c r="B82" s="50" t="s">
        <v>6307</v>
      </c>
      <c r="C82" s="50" t="s">
        <v>6309</v>
      </c>
      <c r="D82" s="50"/>
      <c r="E82" s="33" t="n">
        <f>SUM(F51,E50,D49,N39,P38,O37,N36,N35:P35,P9,O8,N7,D10,F9,E8,D7,D6:F6)</f>
        <v>442.8299999999999</v>
      </c>
      <c r="F82" s="51" t="n">
        <f>E82/$E$83</f>
        <v>0.3847617558127411</v>
      </c>
    </row>
    <row r="83" spans="1:21" x14ac:dyDescent="0.15">
      <c r="A83" t="s">
        <v>6310</v>
      </c>
      <c r="B83" s="50"/>
      <c r="C83" s="50"/>
      <c r="E83" s="33" t="n">
        <f>SUM(E79:E82)</f>
        <v>1150.9199999999998</v>
      </c>
      <c r="F83" s="52" t="n">
        <f>SUM(F79:F82)</f>
        <v>1.0</v>
      </c>
    </row>
    <row r="84" spans="1:21" ht="14.25" thickBot="1" x14ac:dyDescent="0.2"/>
    <row r="85" spans="1:21" ht="20.25" thickTop="1" thickBot="1" x14ac:dyDescent="0.2">
      <c r="A85" s="2" t="s">
        <v>6311</v>
      </c>
      <c r="D85" s="53"/>
      <c r="E85" s="53"/>
      <c r="F85" s="53"/>
      <c r="G85" s="53"/>
      <c r="H85" s="124"/>
      <c r="I85" s="124"/>
      <c r="J85" s="3661" t="s">
        <v>6312</v>
      </c>
      <c r="K85" s="3667"/>
      <c r="L85" s="124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2">
      <c r="A86" s="3"/>
      <c r="C86" s="124"/>
      <c r="D86" s="124"/>
      <c r="E86" s="124"/>
      <c r="G86" s="54"/>
      <c r="H86" s="4"/>
      <c r="I86" s="4"/>
      <c r="K86" s="56"/>
      <c r="L86" s="1373" t="s">
        <v>4562</v>
      </c>
      <c r="M86" s="1374">
        <v>24.1</v>
      </c>
      <c r="N86" s="1375">
        <v>22</v>
      </c>
      <c r="O86" s="1376">
        <v>21.9</v>
      </c>
      <c r="P86" s="1377" t="s">
        <v>4563</v>
      </c>
      <c r="Q86" s="133"/>
      <c r="R86" s="128"/>
      <c r="S86" s="133"/>
      <c r="T86" s="128"/>
      <c r="U86" s="528"/>
    </row>
    <row r="87" spans="1:21" ht="15" thickTop="1" thickBot="1" x14ac:dyDescent="0.2">
      <c r="A87" s="5" t="s">
        <v>4629</v>
      </c>
      <c r="B87" s="6" t="s">
        <v>4565</v>
      </c>
      <c r="C87" s="7" t="s">
        <v>4566</v>
      </c>
      <c r="D87" s="6" t="s">
        <v>4567</v>
      </c>
      <c r="E87" s="6" t="s">
        <v>4568</v>
      </c>
      <c r="F87" s="6" t="s">
        <v>4569</v>
      </c>
      <c r="G87" s="6" t="s">
        <v>4570</v>
      </c>
      <c r="H87" s="8" t="s">
        <v>4571</v>
      </c>
      <c r="I87" s="547"/>
      <c r="J87" s="58" t="s">
        <v>4572</v>
      </c>
      <c r="K87" s="59" t="s">
        <v>4629</v>
      </c>
      <c r="L87" s="8" t="s">
        <v>4571</v>
      </c>
      <c r="M87" s="6" t="s">
        <v>4567</v>
      </c>
      <c r="N87" s="6" t="s">
        <v>4568</v>
      </c>
      <c r="O87" s="6" t="s">
        <v>4569</v>
      </c>
      <c r="P87" s="6" t="s">
        <v>4570</v>
      </c>
      <c r="Q87" s="6" t="s">
        <v>4565</v>
      </c>
      <c r="R87" s="7" t="s">
        <v>4566</v>
      </c>
      <c r="S87" s="876"/>
      <c r="T87" s="60" t="s">
        <v>5037</v>
      </c>
    </row>
    <row r="88" spans="1:21" ht="17.25" thickTop="1" x14ac:dyDescent="0.15">
      <c r="A88" s="123" t="s">
        <v>6313</v>
      </c>
      <c r="B88" s="17" t="s">
        <v>4631</v>
      </c>
      <c r="C88" s="18" t="s">
        <v>4575</v>
      </c>
      <c r="D88" s="2669"/>
      <c r="E88" s="2669"/>
      <c r="F88" s="2669"/>
      <c r="G88" s="310"/>
      <c r="H88" s="312" t="s">
        <v>5893</v>
      </c>
      <c r="I88" s="873"/>
      <c r="J88" s="302"/>
      <c r="K88" s="319" t="s">
        <v>6314</v>
      </c>
      <c r="L88" s="313" t="s">
        <v>5893</v>
      </c>
      <c r="M88" s="2669"/>
      <c r="N88" s="2669"/>
      <c r="O88" s="2669"/>
      <c r="P88" s="310"/>
      <c r="Q88" s="17" t="s">
        <v>4631</v>
      </c>
      <c r="R88" s="18" t="s">
        <v>4575</v>
      </c>
      <c r="S88" s="877"/>
      <c r="T88" s="98"/>
    </row>
    <row r="89" spans="1:21" ht="16.5" x14ac:dyDescent="0.15">
      <c r="A89" s="107" t="s">
        <v>6315</v>
      </c>
      <c r="B89" s="17" t="s">
        <v>4631</v>
      </c>
      <c r="C89" s="18" t="s">
        <v>4575</v>
      </c>
      <c r="D89" s="2670"/>
      <c r="E89" s="2670"/>
      <c r="F89" s="2670"/>
      <c r="G89" s="311">
        <v>0</v>
      </c>
      <c r="H89" s="314" t="s">
        <v>5898</v>
      </c>
      <c r="I89" s="874"/>
      <c r="J89" s="303"/>
      <c r="K89" s="323"/>
      <c r="L89" s="314" t="s">
        <v>5893</v>
      </c>
      <c r="M89" s="2670"/>
      <c r="N89" s="2670"/>
      <c r="O89" s="2670"/>
      <c r="P89" s="315"/>
      <c r="Q89" s="67" t="s">
        <v>4590</v>
      </c>
      <c r="R89" s="17" t="s">
        <v>4642</v>
      </c>
      <c r="S89" s="550"/>
      <c r="T89" s="68"/>
    </row>
    <row r="90" spans="1:21" ht="18" customHeight="1" thickBot="1" x14ac:dyDescent="0.2">
      <c r="A90" s="109" t="s">
        <v>6316</v>
      </c>
      <c r="B90" s="35" t="s">
        <v>4631</v>
      </c>
      <c r="C90" s="39" t="s">
        <v>4575</v>
      </c>
      <c r="D90" s="2671"/>
      <c r="E90" s="2671"/>
      <c r="F90" s="2671"/>
      <c r="G90" s="316">
        <v>0.1</v>
      </c>
      <c r="H90" s="317" t="s">
        <v>5893</v>
      </c>
      <c r="I90" s="875"/>
      <c r="J90" s="318"/>
      <c r="K90" s="320"/>
      <c r="L90" s="317" t="s">
        <v>5893</v>
      </c>
      <c r="M90" s="2671"/>
      <c r="N90" s="2671"/>
      <c r="O90" s="2671"/>
      <c r="P90" s="316"/>
      <c r="Q90" s="35" t="s">
        <v>4590</v>
      </c>
      <c r="R90" s="35" t="s">
        <v>4642</v>
      </c>
      <c r="S90" s="551"/>
      <c r="T90" s="79"/>
    </row>
    <row r="91" spans="1:21" ht="14.25" thickTop="1" x14ac:dyDescent="0.15">
      <c r="L91" s="80" t="s">
        <v>5645</v>
      </c>
      <c r="M91" s="33" t="n">
        <f>SUM(D88:D90,M88:M90)</f>
        <v>0.0</v>
      </c>
      <c r="N91" s="33" t="n">
        <f>SUM(E88:E90,N88:N90)</f>
        <v>0.0</v>
      </c>
      <c r="O91" s="33" t="n">
        <f>SUM(F88:F90,O88:O90)</f>
        <v>0.0</v>
      </c>
    </row>
    <row r="107" ht="16.5" customHeight="1" x14ac:dyDescent="0.1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1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3.5" x14ac:dyDescent="0.15"/>
  <cols>
    <col min="1" max="1" customWidth="true" width="18.33203125" collapsed="false"/>
    <col min="2" max="3" customWidth="true" width="6.77734375" collapsed="false"/>
    <col min="4" max="7" customWidth="true" width="8.109375" collapsed="false"/>
    <col min="8" max="8" bestFit="true" customWidth="true" width="8.21875" collapsed="false"/>
    <col min="9" max="9" bestFit="true" customWidth="true" width="8.0" collapsed="false"/>
    <col min="10" max="10" customWidth="true" width="10.33203125" collapsed="false"/>
    <col min="11" max="11" customWidth="true" width="18.33203125" collapsed="false"/>
    <col min="12" max="12" customWidth="true" width="8.33203125" collapsed="false"/>
    <col min="13" max="13" customWidth="true" width="6.77734375" collapsed="false"/>
    <col min="14" max="17" customWidth="true" width="8.109375" collapsed="false"/>
    <col min="18" max="18" bestFit="true" customWidth="true" width="8.21875" collapsed="false"/>
    <col min="19" max="19" bestFit="true" customWidth="true" width="8.0" collapsed="false"/>
    <col min="20" max="20" customWidth="true" width="10.33203125" collapsed="false"/>
  </cols>
  <sheetData>
    <row r="1" spans="1:22" x14ac:dyDescent="0.15">
      <c r="A1" s="2694" t="s">
        <v>9602</v>
      </c>
    </row>
    <row r="2" spans="1:22" ht="14.25" thickBot="1" x14ac:dyDescent="0.2">
      <c r="V2" s="2147"/>
    </row>
    <row r="3" spans="1:22" ht="20.25" thickTop="1" thickBot="1" x14ac:dyDescent="0.2">
      <c r="A3" s="2" t="s">
        <v>6933</v>
      </c>
      <c r="D3" s="3661" t="s">
        <v>6196</v>
      </c>
      <c r="E3" s="3667"/>
      <c r="F3" s="124"/>
      <c r="G3" s="3660" t="s">
        <v>6197</v>
      </c>
      <c r="H3" s="3660"/>
      <c r="I3" s="3660"/>
      <c r="K3" s="2" t="s">
        <v>6934</v>
      </c>
      <c r="N3" s="3661" t="s">
        <v>6196</v>
      </c>
      <c r="O3" s="3667"/>
      <c r="P3" s="124"/>
      <c r="Q3" s="3660" t="s">
        <v>6199</v>
      </c>
      <c r="R3" s="3660"/>
      <c r="S3" s="3660"/>
    </row>
    <row r="4" spans="1:22" ht="15" thickTop="1" thickBot="1" x14ac:dyDescent="0.2">
      <c r="A4" s="3"/>
      <c r="C4" s="1373" t="s">
        <v>4562</v>
      </c>
      <c r="D4" s="1374">
        <v>73.5</v>
      </c>
      <c r="E4" s="1375">
        <v>46</v>
      </c>
      <c r="F4" s="1376">
        <v>65.400000000000006</v>
      </c>
      <c r="G4" s="1377" t="s">
        <v>4563</v>
      </c>
      <c r="H4" s="133"/>
      <c r="I4" s="128"/>
      <c r="J4" s="528"/>
      <c r="K4" s="3"/>
      <c r="M4" s="1373" t="s">
        <v>4562</v>
      </c>
      <c r="N4" s="1374">
        <v>70.2</v>
      </c>
      <c r="O4" s="1375">
        <v>42.2</v>
      </c>
      <c r="P4" s="1376">
        <v>22.5</v>
      </c>
      <c r="Q4" s="1377" t="s">
        <v>4563</v>
      </c>
      <c r="R4" s="133"/>
      <c r="S4" s="128"/>
      <c r="T4" s="528"/>
    </row>
    <row r="5" spans="1:22" ht="15" thickTop="1" thickBot="1" x14ac:dyDescent="0.2">
      <c r="A5" s="5" t="s">
        <v>4629</v>
      </c>
      <c r="B5" s="6" t="s">
        <v>4565</v>
      </c>
      <c r="C5" s="7" t="s">
        <v>4566</v>
      </c>
      <c r="D5" s="6" t="s">
        <v>4567</v>
      </c>
      <c r="E5" s="6" t="s">
        <v>4568</v>
      </c>
      <c r="F5" s="6" t="s">
        <v>4569</v>
      </c>
      <c r="G5" s="6" t="s">
        <v>4570</v>
      </c>
      <c r="H5" s="8" t="s">
        <v>4571</v>
      </c>
      <c r="I5" s="547" t="s">
        <v>6200</v>
      </c>
      <c r="J5" s="9" t="s">
        <v>6201</v>
      </c>
      <c r="K5" s="5" t="s">
        <v>4629</v>
      </c>
      <c r="L5" s="6" t="s">
        <v>4565</v>
      </c>
      <c r="M5" s="7" t="s">
        <v>4566</v>
      </c>
      <c r="N5" s="6" t="s">
        <v>4567</v>
      </c>
      <c r="O5" s="6" t="s">
        <v>4568</v>
      </c>
      <c r="P5" s="6" t="s">
        <v>4569</v>
      </c>
      <c r="Q5" s="6" t="s">
        <v>4570</v>
      </c>
      <c r="R5" s="8" t="s">
        <v>4571</v>
      </c>
      <c r="S5" s="547" t="s">
        <v>6200</v>
      </c>
      <c r="T5" s="9" t="s">
        <v>6201</v>
      </c>
    </row>
    <row r="6" spans="1:22" ht="17.25" thickTop="1" x14ac:dyDescent="0.15">
      <c r="A6" s="10" t="s">
        <v>6202</v>
      </c>
      <c r="B6" s="11" t="s">
        <v>4631</v>
      </c>
      <c r="C6" s="12" t="s">
        <v>4575</v>
      </c>
      <c r="D6" s="2669" cm="1" t="n">
        <f t="array" ref="D6">INDEX('4층_부하량'!I3:I3000,MATCH(1,("4-DaHall 1-PDU-02"='4층_부하량'!A3:A3000)*(1='4층_부하량'!B3:B3000),0))</f>
        <v>0.8830942252071847</v>
      </c>
      <c r="E6" s="2669" cm="1" t="n">
        <f t="array" ref="E6">INDEX('4층_부하량'!J3:J3000,MATCH(1,("4-DaHall 1-PDU-02"='4층_부하량'!A3:A3000)*(1='4층_부하량'!B3:B3000),0))</f>
        <v>0.699631240852251</v>
      </c>
      <c r="F6" s="2669" cm="1" t="n">
        <f t="array" ref="F6">INDEX('4층_부하량'!K3:K3000,MATCH(1,("4-DaHall 1-PDU-02"='4층_부하량'!A3:A3000)*(1='4층_부하량'!B3:B3000),0))</f>
        <v>1.0558780374879828</v>
      </c>
      <c r="G6" s="348"/>
      <c r="H6" s="13" t="s">
        <v>4964</v>
      </c>
      <c r="I6" s="878" t="s">
        <v>4577</v>
      </c>
      <c r="J6" s="14" t="s">
        <v>6203</v>
      </c>
      <c r="K6" s="10"/>
      <c r="L6" s="11" t="s">
        <v>4590</v>
      </c>
      <c r="M6" s="13" t="s">
        <v>4642</v>
      </c>
      <c r="N6" s="2669" cm="1">
        <f t="array" ref="N6">INDEX('4층_부하량'!I3:I3000,MATCH(1,("4-DaHall 1-PDU-04"='4층_부하량'!A3:A3000)*(1='4층_부하량'!B3:B3000),0))</f>
        <v>0</v>
      </c>
      <c r="O6" s="2669" cm="1">
        <f t="array" ref="O6">INDEX('4층_부하량'!J3:J3000,MATCH(1,("4-DaHall 1-PDU-04"='4층_부하량'!A3:A3000)*(1='4층_부하량'!B3:B3000),0))</f>
        <v>0</v>
      </c>
      <c r="P6" s="2669" cm="1">
        <f t="array" ref="P6">INDEX('4층_부하량'!K3:K3000,MATCH(1,("4-DaHall 1-PDU-04"='4층_부하량'!A3:A3000)*(1='4층_부하량'!B3:B3000),0))</f>
        <v>0</v>
      </c>
      <c r="Q6" s="310"/>
      <c r="R6" s="13" t="s">
        <v>4964</v>
      </c>
      <c r="S6" s="878" t="s">
        <v>4577</v>
      </c>
      <c r="T6" s="14"/>
    </row>
    <row r="7" spans="1:22" ht="16.5" x14ac:dyDescent="0.15">
      <c r="A7" s="266" t="s">
        <v>6204</v>
      </c>
      <c r="B7" s="17" t="s">
        <v>4631</v>
      </c>
      <c r="C7" s="18" t="s">
        <v>4575</v>
      </c>
      <c r="D7" s="2670" cm="1" t="n">
        <f t="array" ref="D7">INDEX('4층_부하량'!I3:I3000,MATCH(1,("4-DaHall 1-PDU-02"='4층_부하량'!A3:A3000)*(2='4층_부하량'!B3:B3000),0))</f>
        <v>35.2047630384329</v>
      </c>
      <c r="E7" s="19"/>
      <c r="F7" s="19"/>
      <c r="G7" s="19"/>
      <c r="H7" s="17" t="s">
        <v>6205</v>
      </c>
      <c r="I7" s="879" t="s">
        <v>4578</v>
      </c>
      <c r="J7" s="20" t="s">
        <v>6203</v>
      </c>
      <c r="K7" s="266" t="s">
        <v>6206</v>
      </c>
      <c r="L7" s="17" t="s">
        <v>4631</v>
      </c>
      <c r="M7" s="18" t="s">
        <v>4575</v>
      </c>
      <c r="N7" s="2670" cm="1" t="n">
        <f t="array" ref="N7">INDEX('4층_부하량'!I3:I3000,MATCH(1,("4-DaHall 1-PDU-04"='4층_부하량'!A3:A3000)*(2='4층_부하량'!B3:B3000),0))</f>
        <v>39.463491239311345</v>
      </c>
      <c r="O7" s="19"/>
      <c r="P7" s="19"/>
      <c r="Q7" s="311"/>
      <c r="R7" s="17" t="s">
        <v>6205</v>
      </c>
      <c r="S7" s="879" t="s">
        <v>4578</v>
      </c>
      <c r="T7" s="20" t="s">
        <v>6203</v>
      </c>
    </row>
    <row r="8" spans="1:22" ht="16.5" x14ac:dyDescent="0.15">
      <c r="A8" s="267" t="s">
        <v>6207</v>
      </c>
      <c r="B8" s="17" t="s">
        <v>4631</v>
      </c>
      <c r="C8" s="18" t="s">
        <v>4575</v>
      </c>
      <c r="D8" s="21"/>
      <c r="E8" s="2672" cm="1" t="n">
        <f t="array" ref="E8">INDEX('4층_부하량'!J3:J3000,MATCH(1,("4-DaHall 1-PDU-02"='4층_부하량'!A3:A3000)*(3='4층_부하량'!B3:B3000),0))</f>
        <v>32.49761489066368</v>
      </c>
      <c r="F8" s="21"/>
      <c r="G8" s="21"/>
      <c r="H8" s="17" t="s">
        <v>6205</v>
      </c>
      <c r="I8" s="879" t="s">
        <v>4638</v>
      </c>
      <c r="J8" s="20" t="s">
        <v>6203</v>
      </c>
      <c r="K8" s="268" t="s">
        <v>6208</v>
      </c>
      <c r="L8" s="17" t="s">
        <v>4631</v>
      </c>
      <c r="M8" s="18" t="s">
        <v>4575</v>
      </c>
      <c r="N8" s="21"/>
      <c r="O8" s="2672" cm="1" t="n">
        <f t="array" ref="O8">INDEX('4층_부하량'!J3:J3000,MATCH(1,("4-DaHall 1-PDU-04"='4층_부하량'!A3:A3000)*(3='4층_부하량'!B3:B3000),0))</f>
        <v>28.29476241724573</v>
      </c>
      <c r="P8" s="21"/>
      <c r="Q8" s="2695"/>
      <c r="R8" s="17" t="s">
        <v>6205</v>
      </c>
      <c r="S8" s="879" t="s">
        <v>4638</v>
      </c>
      <c r="T8" s="20" t="s">
        <v>6203</v>
      </c>
    </row>
    <row r="9" spans="1:22" ht="16.5" x14ac:dyDescent="0.15">
      <c r="A9" s="267" t="s">
        <v>6209</v>
      </c>
      <c r="B9" s="17" t="s">
        <v>4631</v>
      </c>
      <c r="C9" s="18" t="s">
        <v>4575</v>
      </c>
      <c r="D9" s="21"/>
      <c r="E9" s="21"/>
      <c r="F9" s="2672" cm="1" t="n">
        <f t="array" ref="F9">INDEX('4층_부하량'!K3:K3000,MATCH(1,("4-DaHall 1-PDU-02"='4층_부하량'!A3:A3000)*(4='4층_부하량'!B3:B3000),0))</f>
        <v>36.0017295548553</v>
      </c>
      <c r="G9" s="21"/>
      <c r="H9" s="17" t="s">
        <v>6205</v>
      </c>
      <c r="I9" s="879" t="s">
        <v>4583</v>
      </c>
      <c r="J9" s="20" t="s">
        <v>6203</v>
      </c>
      <c r="K9" s="268" t="s">
        <v>6210</v>
      </c>
      <c r="L9" s="17" t="s">
        <v>4590</v>
      </c>
      <c r="M9" s="17" t="s">
        <v>4642</v>
      </c>
      <c r="N9" s="21"/>
      <c r="O9" s="21"/>
      <c r="P9" s="2672" cm="1">
        <f t="array" ref="P9">INDEX('4층_부하량'!K3:K3000,MATCH(1,("4-DaHall 1-PDU-04"='4층_부하량'!A3:A3000)*(4='4층_부하량'!B3:B3000),0))</f>
        <v>0</v>
      </c>
      <c r="Q9" s="2695"/>
      <c r="R9" s="17" t="s">
        <v>6205</v>
      </c>
      <c r="S9" s="879" t="s">
        <v>4583</v>
      </c>
      <c r="T9" s="20" t="s">
        <v>6203</v>
      </c>
    </row>
    <row r="10" spans="1:22" ht="16.5" x14ac:dyDescent="0.15">
      <c r="A10" s="267" t="s">
        <v>6211</v>
      </c>
      <c r="B10" s="23" t="s">
        <v>4631</v>
      </c>
      <c r="C10" s="24" t="s">
        <v>4575</v>
      </c>
      <c r="D10" s="2673" cm="1" t="n">
        <f t="array" ref="D10">INDEX('4층_부하량'!I3:I3000,MATCH(1,("4-DaHall 1-PDU-02"='4층_부하량'!A3:A3000)*(5='4층_부하량'!B3:B3000),0))</f>
        <v>40.95616618905755</v>
      </c>
      <c r="E10" s="25"/>
      <c r="F10" s="25"/>
      <c r="G10" s="25"/>
      <c r="H10" s="23" t="s">
        <v>6205</v>
      </c>
      <c r="I10" s="879" t="s">
        <v>4641</v>
      </c>
      <c r="J10" s="26" t="s">
        <v>6203</v>
      </c>
      <c r="K10" s="268" t="s">
        <v>6212</v>
      </c>
      <c r="L10" s="23" t="s">
        <v>4631</v>
      </c>
      <c r="M10" s="24" t="s">
        <v>4575</v>
      </c>
      <c r="N10" s="2673" cm="1" t="n">
        <f t="array" ref="N10">INDEX('4층_부하량'!I3:I3000,MATCH(1,("4-DaHall 1-PDU-04"='4층_부하량'!A3:A3000)*(5='4층_부하량'!B3:B3000),0))</f>
        <v>9.638164960359088</v>
      </c>
      <c r="O10" s="25"/>
      <c r="P10" s="25"/>
      <c r="Q10" s="2696"/>
      <c r="R10" s="23" t="s">
        <v>6205</v>
      </c>
      <c r="S10" s="879" t="s">
        <v>4641</v>
      </c>
      <c r="T10" s="26" t="s">
        <v>5832</v>
      </c>
    </row>
    <row r="11" spans="1:22" ht="16.5" x14ac:dyDescent="0.15">
      <c r="A11" s="268" t="s">
        <v>6213</v>
      </c>
      <c r="B11" s="17" t="s">
        <v>4631</v>
      </c>
      <c r="C11" s="18" t="s">
        <v>4575</v>
      </c>
      <c r="D11" s="21"/>
      <c r="E11" s="2672" cm="1" t="n">
        <f t="array" ref="E11">INDEX('4층_부하량'!J3:J3000,MATCH(1,("4-DaHall 1-PDU-02"='4층_부하량'!A3:A3000)*(6='4층_부하량'!B3:B3000),0))</f>
        <v>12.319788629989153</v>
      </c>
      <c r="F11" s="21"/>
      <c r="G11" s="21"/>
      <c r="H11" s="17" t="s">
        <v>6205</v>
      </c>
      <c r="I11" s="879" t="s">
        <v>4588</v>
      </c>
      <c r="J11" s="20" t="s">
        <v>5832</v>
      </c>
      <c r="K11" s="268" t="s">
        <v>6214</v>
      </c>
      <c r="L11" s="17" t="s">
        <v>4631</v>
      </c>
      <c r="M11" s="18" t="s">
        <v>4575</v>
      </c>
      <c r="N11" s="21"/>
      <c r="O11" s="2672" cm="1" t="n">
        <f t="array" ref="O11">INDEX('4층_부하량'!J3:J3000,MATCH(1,("4-DaHall 1-PDU-04"='4층_부하량'!A3:A3000)*(6='4층_부하량'!B3:B3000),0))</f>
        <v>14.553166559694676</v>
      </c>
      <c r="P11" s="21"/>
      <c r="Q11" s="2695"/>
      <c r="R11" s="17" t="s">
        <v>6205</v>
      </c>
      <c r="S11" s="879" t="s">
        <v>4588</v>
      </c>
      <c r="T11" s="20" t="s">
        <v>5832</v>
      </c>
    </row>
    <row r="12" spans="1:22" ht="16.5" x14ac:dyDescent="0.15">
      <c r="A12" s="269" t="s">
        <v>6215</v>
      </c>
      <c r="B12" s="23" t="s">
        <v>4631</v>
      </c>
      <c r="C12" s="24" t="s">
        <v>4575</v>
      </c>
      <c r="D12" s="25"/>
      <c r="E12" s="25"/>
      <c r="F12" s="2673" cm="1" t="n">
        <f t="array" ref="F12">INDEX('4층_부하량'!K3:K3000,MATCH(1,("4-DaHall 1-PDU-02"='4층_부하량'!A3:A3000)*(7='4층_부하량'!B3:B3000),0))</f>
        <v>28.991037410787648</v>
      </c>
      <c r="G12" s="25"/>
      <c r="H12" s="23" t="s">
        <v>6205</v>
      </c>
      <c r="I12" s="879" t="s">
        <v>4645</v>
      </c>
      <c r="J12" s="26" t="s">
        <v>5832</v>
      </c>
      <c r="K12" s="268" t="s">
        <v>6216</v>
      </c>
      <c r="L12" s="23" t="s">
        <v>4631</v>
      </c>
      <c r="M12" s="24" t="s">
        <v>4575</v>
      </c>
      <c r="N12" s="25"/>
      <c r="O12" s="25"/>
      <c r="P12" s="2673" cm="1" t="n">
        <f t="array" ref="P12">INDEX('4층_부하량'!K3:K3000,MATCH(1,("4-DaHall 1-PDU-04"='4층_부하량'!A3:A3000)*(7='4층_부하량'!B3:B3000),0))</f>
        <v>22.223178083246335</v>
      </c>
      <c r="Q12" s="2696"/>
      <c r="R12" s="23" t="s">
        <v>6205</v>
      </c>
      <c r="S12" s="879" t="s">
        <v>4645</v>
      </c>
      <c r="T12" s="26" t="s">
        <v>5832</v>
      </c>
    </row>
    <row r="13" spans="1:22" ht="16.5" x14ac:dyDescent="0.15">
      <c r="A13" s="22"/>
      <c r="B13" s="17" t="s">
        <v>4590</v>
      </c>
      <c r="C13" s="17" t="s">
        <v>4642</v>
      </c>
      <c r="D13" s="2672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6205</v>
      </c>
      <c r="I13" s="879" t="s">
        <v>4593</v>
      </c>
      <c r="J13" s="27"/>
      <c r="K13" s="268" t="s">
        <v>6217</v>
      </c>
      <c r="L13" s="23" t="s">
        <v>4631</v>
      </c>
      <c r="M13" s="24" t="s">
        <v>4575</v>
      </c>
      <c r="N13" s="2672" cm="1" t="n">
        <f t="array" ref="N13">INDEX('4층_부하량'!I3:I3000,MATCH(1,("4-DaHall 1-PDU-04"='4층_부하량'!A3:A3000)*(8='4층_부하량'!B3:B3000),0))</f>
        <v>22.384243363755044</v>
      </c>
      <c r="O13" s="21"/>
      <c r="P13" s="21"/>
      <c r="Q13" s="2695"/>
      <c r="R13" s="17" t="s">
        <v>6205</v>
      </c>
      <c r="S13" s="879" t="s">
        <v>4593</v>
      </c>
      <c r="T13" s="20" t="s">
        <v>5832</v>
      </c>
    </row>
    <row r="14" spans="1:22" ht="14.25" thickBot="1" x14ac:dyDescent="0.2">
      <c r="A14" s="28"/>
      <c r="B14" s="29" t="s">
        <v>4590</v>
      </c>
      <c r="C14" s="29" t="s">
        <v>4642</v>
      </c>
      <c r="D14" s="30"/>
      <c r="E14" s="2674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6205</v>
      </c>
      <c r="I14" s="880" t="s">
        <v>4648</v>
      </c>
      <c r="J14" s="31"/>
      <c r="K14" s="28"/>
      <c r="L14" s="29" t="s">
        <v>4590</v>
      </c>
      <c r="M14" s="29" t="s">
        <v>4642</v>
      </c>
      <c r="N14" s="30"/>
      <c r="O14" s="2674" cm="1">
        <f t="array" ref="O14">INDEX('4층_부하량'!J3:J3000,MATCH(1,("4-DaHall 1-PDU-04"='4층_부하량'!A3:A3000)*(9='4층_부하량'!B3:B3000),0))</f>
        <v>0</v>
      </c>
      <c r="P14" s="30"/>
      <c r="Q14" s="2697"/>
      <c r="R14" s="29" t="s">
        <v>6205</v>
      </c>
      <c r="S14" s="880" t="s">
        <v>4648</v>
      </c>
      <c r="T14" s="31"/>
    </row>
    <row r="15" spans="1:22" ht="18" thickTop="1" thickBot="1" x14ac:dyDescent="0.2">
      <c r="C15" s="32" t="s">
        <v>5645</v>
      </c>
      <c r="D15" s="33" t="n">
        <f>SUM(D6:D14)</f>
        <v>77.04402345269764</v>
      </c>
      <c r="E15" s="33" t="n">
        <f>SUM(E6:E14)</f>
        <v>45.51703476150508</v>
      </c>
      <c r="F15" s="33" t="n">
        <f>SUM(F6:F14)</f>
        <v>66.04864500313093</v>
      </c>
      <c r="M15" s="32" t="s">
        <v>5645</v>
      </c>
      <c r="N15" s="33" t="n">
        <f>SUM(N6:N14)</f>
        <v>71.48589956342548</v>
      </c>
      <c r="O15" s="33" t="n">
        <f>SUM(O6:O14)</f>
        <v>42.84792897694041</v>
      </c>
      <c r="P15" s="33" t="n">
        <f>SUM(P6:P14)</f>
        <v>22.223178083246335</v>
      </c>
    </row>
    <row r="16" spans="1:22" ht="20.25" thickTop="1" thickBot="1" x14ac:dyDescent="0.2">
      <c r="A16" s="2" t="s">
        <v>6935</v>
      </c>
      <c r="D16" s="3661" t="s">
        <v>6196</v>
      </c>
      <c r="E16" s="3667"/>
      <c r="F16" s="124"/>
      <c r="G16" s="3660" t="s">
        <v>6219</v>
      </c>
      <c r="H16" s="3660"/>
      <c r="I16" s="3660"/>
      <c r="K16" s="642" t="s">
        <v>6936</v>
      </c>
      <c r="N16" s="3661" t="s">
        <v>6196</v>
      </c>
      <c r="O16" s="3667"/>
      <c r="P16" s="124"/>
      <c r="Q16" s="3660" t="s">
        <v>6221</v>
      </c>
      <c r="R16" s="3660"/>
      <c r="S16" s="3660"/>
    </row>
    <row r="17" spans="1:20" ht="15" thickTop="1" thickBot="1" x14ac:dyDescent="0.2">
      <c r="A17" s="3"/>
      <c r="C17" s="1373" t="s">
        <v>4562</v>
      </c>
      <c r="D17" s="1374">
        <v>67</v>
      </c>
      <c r="E17" s="1375">
        <v>32.4</v>
      </c>
      <c r="F17" s="1376">
        <v>27</v>
      </c>
      <c r="G17" s="1377" t="s">
        <v>4563</v>
      </c>
      <c r="H17" s="133"/>
      <c r="I17" s="128"/>
      <c r="J17" s="528"/>
      <c r="K17" s="3"/>
      <c r="M17" s="1373" t="s">
        <v>4562</v>
      </c>
      <c r="N17" s="1374">
        <v>44.8</v>
      </c>
      <c r="O17" s="1375">
        <v>68.400000000000006</v>
      </c>
      <c r="P17" s="1376">
        <v>18</v>
      </c>
      <c r="Q17" s="1377" t="s">
        <v>4563</v>
      </c>
      <c r="R17" s="133"/>
      <c r="S17" s="128"/>
      <c r="T17" s="528"/>
    </row>
    <row r="18" spans="1:20" ht="15" thickTop="1" thickBot="1" x14ac:dyDescent="0.2">
      <c r="A18" s="5" t="s">
        <v>4629</v>
      </c>
      <c r="B18" s="6" t="s">
        <v>4565</v>
      </c>
      <c r="C18" s="7" t="s">
        <v>4566</v>
      </c>
      <c r="D18" s="6" t="s">
        <v>4567</v>
      </c>
      <c r="E18" s="6" t="s">
        <v>4568</v>
      </c>
      <c r="F18" s="6" t="s">
        <v>4569</v>
      </c>
      <c r="G18" s="6" t="s">
        <v>4570</v>
      </c>
      <c r="H18" s="8" t="s">
        <v>4571</v>
      </c>
      <c r="I18" s="547" t="s">
        <v>6200</v>
      </c>
      <c r="J18" s="9" t="s">
        <v>6201</v>
      </c>
      <c r="K18" s="5" t="s">
        <v>4629</v>
      </c>
      <c r="L18" s="6" t="s">
        <v>4565</v>
      </c>
      <c r="M18" s="7" t="s">
        <v>4566</v>
      </c>
      <c r="N18" s="6" t="s">
        <v>4567</v>
      </c>
      <c r="O18" s="6" t="s">
        <v>4568</v>
      </c>
      <c r="P18" s="6" t="s">
        <v>4569</v>
      </c>
      <c r="Q18" s="6" t="s">
        <v>4570</v>
      </c>
      <c r="R18" s="8" t="s">
        <v>4571</v>
      </c>
      <c r="S18" s="547" t="s">
        <v>6200</v>
      </c>
      <c r="T18" s="9" t="s">
        <v>6201</v>
      </c>
    </row>
    <row r="19" spans="1:20" ht="17.25" thickTop="1" x14ac:dyDescent="0.15">
      <c r="A19" s="272" t="s">
        <v>6222</v>
      </c>
      <c r="B19" s="11" t="s">
        <v>4631</v>
      </c>
      <c r="C19" s="12" t="s">
        <v>4575</v>
      </c>
      <c r="D19" s="2669" cm="1" t="n">
        <f t="array" ref="D19">INDEX('4층_부하량'!I3:I3000,MATCH(1,("4-DaHall 1-PDU-06"='4층_부하량'!A3:A3000)*(1='4층_부하량'!B3:B3000),0))</f>
        <v>10.613822537069195</v>
      </c>
      <c r="E19" s="15"/>
      <c r="F19" s="15"/>
      <c r="G19" s="15"/>
      <c r="H19" s="13" t="s">
        <v>6205</v>
      </c>
      <c r="I19" s="878" t="s">
        <v>4577</v>
      </c>
      <c r="J19" s="14" t="s">
        <v>5832</v>
      </c>
      <c r="K19" s="646" t="s">
        <v>6223</v>
      </c>
      <c r="L19" s="11" t="s">
        <v>4631</v>
      </c>
      <c r="M19" s="12" t="s">
        <v>4575</v>
      </c>
      <c r="N19" s="2669" cm="1" t="n">
        <f t="array" ref="N19">INDEX('4층_부하량'!I3:I3000,MATCH(1,("4-DaHall 1-PDU-08"='4층_부하량'!A3:A3000)*(1='4층_부하량'!B3:B3000),0))</f>
        <v>22.660402651884617</v>
      </c>
      <c r="O19" s="15"/>
      <c r="P19" s="15"/>
      <c r="Q19" s="310"/>
      <c r="R19" s="13" t="s">
        <v>6205</v>
      </c>
      <c r="S19" s="878" t="s">
        <v>4577</v>
      </c>
      <c r="T19" s="643" t="s">
        <v>6224</v>
      </c>
    </row>
    <row r="20" spans="1:20" ht="16.5" x14ac:dyDescent="0.15">
      <c r="A20" s="266" t="s">
        <v>6225</v>
      </c>
      <c r="B20" s="17" t="s">
        <v>4631</v>
      </c>
      <c r="C20" s="18" t="s">
        <v>4575</v>
      </c>
      <c r="D20" s="19"/>
      <c r="E20" s="2670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6205</v>
      </c>
      <c r="I20" s="879" t="s">
        <v>4578</v>
      </c>
      <c r="J20" s="20" t="s">
        <v>5832</v>
      </c>
      <c r="K20" s="266" t="s">
        <v>6226</v>
      </c>
      <c r="L20" s="17" t="s">
        <v>4631</v>
      </c>
      <c r="M20" s="18" t="s">
        <v>4575</v>
      </c>
      <c r="N20" s="19"/>
      <c r="O20" s="2670" cm="1" t="n">
        <f t="array" ref="O20">INDEX('4층_부하량'!J3:J3000,MATCH(1,("4-DaHall 1-PDU-08"='4층_부하량'!A3:A3000)*(2='4층_부하량'!B3:B3000),0))</f>
        <v>33.27912483002352</v>
      </c>
      <c r="P20" s="19"/>
      <c r="Q20" s="311"/>
      <c r="R20" s="17" t="s">
        <v>6205</v>
      </c>
      <c r="S20" s="879" t="s">
        <v>4578</v>
      </c>
      <c r="T20" s="649" t="s">
        <v>6227</v>
      </c>
    </row>
    <row r="21" spans="1:20" ht="16.5" x14ac:dyDescent="0.15">
      <c r="A21" s="267" t="s">
        <v>6228</v>
      </c>
      <c r="B21" s="17" t="s">
        <v>4631</v>
      </c>
      <c r="C21" s="18" t="s">
        <v>4575</v>
      </c>
      <c r="D21" s="21"/>
      <c r="E21" s="21"/>
      <c r="F21" s="2672" cm="1" t="n">
        <f t="array" ref="F21">INDEX('4층_부하량'!K3:K3000,MATCH(1,("4-DaHall 1-PDU-06"='4층_부하량'!A3:A3000)*(3='4층_부하량'!B3:B3000),0))</f>
        <v>8.953378096946686</v>
      </c>
      <c r="G21" s="21"/>
      <c r="H21" s="17" t="s">
        <v>6205</v>
      </c>
      <c r="I21" s="879" t="s">
        <v>4638</v>
      </c>
      <c r="J21" s="20" t="s">
        <v>5832</v>
      </c>
      <c r="K21" s="647" t="s">
        <v>6229</v>
      </c>
      <c r="L21" s="17" t="s">
        <v>4631</v>
      </c>
      <c r="M21" s="18" t="s">
        <v>4575</v>
      </c>
      <c r="N21" s="21"/>
      <c r="O21" s="21"/>
      <c r="P21" s="2672" cm="1" t="n">
        <f t="array" ref="P21">INDEX('4층_부하량'!K3:K3000,MATCH(1,("4-DaHall 1-PDU-08"='4층_부하량'!A3:A3000)*(3='4층_부하량'!B3:B3000),0))</f>
        <v>5.402414315157449</v>
      </c>
      <c r="Q21" s="2695"/>
      <c r="R21" s="17" t="s">
        <v>6205</v>
      </c>
      <c r="S21" s="879" t="s">
        <v>4638</v>
      </c>
      <c r="T21" s="645" t="s">
        <v>6230</v>
      </c>
    </row>
    <row r="22" spans="1:20" ht="16.5" x14ac:dyDescent="0.15">
      <c r="A22" s="267" t="s">
        <v>6231</v>
      </c>
      <c r="B22" s="17" t="s">
        <v>4631</v>
      </c>
      <c r="C22" s="18" t="s">
        <v>4575</v>
      </c>
      <c r="D22" s="2672" cm="1" t="n">
        <f t="array" ref="D22">INDEX('4층_부하량'!I3:I3000,MATCH(1,("4-DaHall 1-PDU-06"='4층_부하량'!A3:A3000)*(4='4층_부하량'!B3:B3000),0))</f>
        <v>6.9283637505948</v>
      </c>
      <c r="E22" s="21"/>
      <c r="F22" s="21"/>
      <c r="G22" s="21"/>
      <c r="H22" s="17" t="s">
        <v>6205</v>
      </c>
      <c r="I22" s="879" t="s">
        <v>4583</v>
      </c>
      <c r="J22" s="20" t="s">
        <v>5832</v>
      </c>
      <c r="K22" s="267" t="s">
        <v>6232</v>
      </c>
      <c r="L22" s="17" t="s">
        <v>4631</v>
      </c>
      <c r="M22" s="18" t="s">
        <v>4575</v>
      </c>
      <c r="N22" s="2672" cm="1" t="n">
        <f t="array" ref="N22">INDEX('4층_부하량'!I3:I3000,MATCH(1,("4-DaHall 1-PDU-08"='4층_부하량'!A3:A3000)*(4='4층_부하량'!B3:B3000),0))</f>
        <v>9.47181509035067</v>
      </c>
      <c r="O22" s="21"/>
      <c r="P22" s="21"/>
      <c r="Q22" s="2695"/>
      <c r="R22" s="17" t="s">
        <v>6205</v>
      </c>
      <c r="S22" s="879" t="s">
        <v>4583</v>
      </c>
      <c r="T22" s="649" t="s">
        <v>6227</v>
      </c>
    </row>
    <row r="23" spans="1:20" ht="16.5" x14ac:dyDescent="0.15">
      <c r="A23" s="267" t="s">
        <v>6233</v>
      </c>
      <c r="B23" s="23" t="s">
        <v>4631</v>
      </c>
      <c r="C23" s="18" t="s">
        <v>4575</v>
      </c>
      <c r="D23" s="25"/>
      <c r="E23" s="2672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6205</v>
      </c>
      <c r="I23" s="879" t="s">
        <v>4641</v>
      </c>
      <c r="J23" s="26" t="s">
        <v>5832</v>
      </c>
      <c r="K23" s="647" t="s">
        <v>6234</v>
      </c>
      <c r="L23" s="23" t="s">
        <v>4631</v>
      </c>
      <c r="M23" s="24" t="s">
        <v>4575</v>
      </c>
      <c r="N23" s="25"/>
      <c r="O23" s="2672" cm="1" t="n">
        <f t="array" ref="O23">INDEX('4층_부하량'!J3:J3000,MATCH(1,("4-DaHall 1-PDU-08"='4층_부하량'!A3:A3000)*(5='4층_부하량'!B3:B3000),0))</f>
        <v>7.467902845422945</v>
      </c>
      <c r="P23" s="25"/>
      <c r="Q23" s="2696"/>
      <c r="R23" s="23" t="s">
        <v>6205</v>
      </c>
      <c r="S23" s="879" t="s">
        <v>4641</v>
      </c>
      <c r="T23" s="644" t="s">
        <v>6230</v>
      </c>
    </row>
    <row r="24" spans="1:20" ht="16.5" x14ac:dyDescent="0.15">
      <c r="A24" s="267" t="s">
        <v>6235</v>
      </c>
      <c r="B24" s="17" t="s">
        <v>4631</v>
      </c>
      <c r="C24" s="18" t="s">
        <v>4575</v>
      </c>
      <c r="D24" s="21"/>
      <c r="E24" s="21"/>
      <c r="F24" s="2672" cm="1">
        <f t="array" ref="F24">INDEX('4층_부하량'!K3:K3000,MATCH(1,("4-DaHall 1-PDU-06"='4층_부하량'!A3:A3000)*(6='4층_부하량'!B3:B3000),0))</f>
        <v>0</v>
      </c>
      <c r="G24" s="21"/>
      <c r="H24" s="17" t="s">
        <v>6205</v>
      </c>
      <c r="I24" s="879" t="s">
        <v>4588</v>
      </c>
      <c r="J24" s="20" t="s">
        <v>5832</v>
      </c>
      <c r="K24" s="267" t="s">
        <v>6236</v>
      </c>
      <c r="L24" s="17" t="s">
        <v>4631</v>
      </c>
      <c r="M24" s="18" t="s">
        <v>4575</v>
      </c>
      <c r="N24" s="21"/>
      <c r="O24" s="21"/>
      <c r="P24" s="2672" cm="1" t="n">
        <f t="array" ref="P24">INDEX('4층_부하량'!K3:K3000,MATCH(1,("4-DaHall 1-PDU-08"='4층_부하량'!A3:A3000)*(6='4층_부하량'!B3:B3000),0))</f>
        <v>12.23997051927883</v>
      </c>
      <c r="Q24" s="2695"/>
      <c r="R24" s="17" t="s">
        <v>6205</v>
      </c>
      <c r="S24" s="879" t="s">
        <v>4588</v>
      </c>
      <c r="T24" s="649" t="s">
        <v>6227</v>
      </c>
    </row>
    <row r="25" spans="1:20" ht="16.5" x14ac:dyDescent="0.15">
      <c r="A25" s="266" t="s">
        <v>6237</v>
      </c>
      <c r="B25" s="23" t="s">
        <v>4631</v>
      </c>
      <c r="C25" s="24" t="s">
        <v>4575</v>
      </c>
      <c r="D25" s="2673" cm="1" t="n">
        <f t="array" ref="D25">INDEX('4층_부하량'!I3:I3000,MATCH(1,("4-DaHall 1-PDU-06"='4층_부하량'!A3:A3000)*(7='4층_부하량'!B3:B3000),0))</f>
        <v>8.367361959854698</v>
      </c>
      <c r="E25" s="25"/>
      <c r="F25" s="25"/>
      <c r="G25" s="25"/>
      <c r="H25" s="23" t="s">
        <v>6205</v>
      </c>
      <c r="I25" s="879" t="s">
        <v>4645</v>
      </c>
      <c r="J25" s="26" t="s">
        <v>5832</v>
      </c>
      <c r="K25" s="648" t="s">
        <v>6238</v>
      </c>
      <c r="L25" s="23" t="s">
        <v>4631</v>
      </c>
      <c r="M25" s="24" t="s">
        <v>4575</v>
      </c>
      <c r="N25" s="2673" cm="1" t="n">
        <f t="array" ref="N25">INDEX('4층_부하량'!I3:I3000,MATCH(1,("4-DaHall 1-PDU-08"='4층_부하량'!A3:A3000)*(7='4층_부하량'!B3:B3000),0))</f>
        <v>13.052915323668921</v>
      </c>
      <c r="O25" s="25"/>
      <c r="P25" s="25"/>
      <c r="Q25" s="2696"/>
      <c r="R25" s="23" t="s">
        <v>6205</v>
      </c>
      <c r="S25" s="879" t="s">
        <v>4645</v>
      </c>
      <c r="T25" s="644" t="s">
        <v>6230</v>
      </c>
    </row>
    <row r="26" spans="1:20" ht="16.5" x14ac:dyDescent="0.15">
      <c r="A26" s="267" t="s">
        <v>6239</v>
      </c>
      <c r="B26" s="23" t="s">
        <v>4631</v>
      </c>
      <c r="C26" s="24" t="s">
        <v>4575</v>
      </c>
      <c r="D26" s="21"/>
      <c r="E26" s="2672" cm="1" t="n">
        <f t="array" ref="E26">INDEX('4층_부하량'!J3:J3000,MATCH(1,("4-DaHall 1-PDU-06"='4층_부하량'!A3:A3000)*(8='4층_부하량'!B3:B3000),0))</f>
        <v>14.098161535252437</v>
      </c>
      <c r="F26" s="21"/>
      <c r="G26" s="21"/>
      <c r="H26" s="17" t="s">
        <v>6205</v>
      </c>
      <c r="I26" s="879" t="s">
        <v>4593</v>
      </c>
      <c r="J26" s="20" t="s">
        <v>5832</v>
      </c>
      <c r="K26" s="267" t="s">
        <v>6240</v>
      </c>
      <c r="L26" s="23" t="s">
        <v>4631</v>
      </c>
      <c r="M26" s="24" t="s">
        <v>4575</v>
      </c>
      <c r="N26" s="21"/>
      <c r="O26" s="2672" cm="1" t="n">
        <f t="array" ref="O26">INDEX('4층_부하량'!J3:J3000,MATCH(1,("4-DaHall 1-PDU-08"='4층_부하량'!A3:A3000)*(8='4층_부하량'!B3:B3000),0))</f>
        <v>27.022251295741725</v>
      </c>
      <c r="P26" s="21"/>
      <c r="Q26" s="2695"/>
      <c r="R26" s="17" t="s">
        <v>6205</v>
      </c>
      <c r="S26" s="879" t="s">
        <v>4593</v>
      </c>
      <c r="T26" s="649" t="s">
        <v>6227</v>
      </c>
    </row>
    <row r="27" spans="1:20" ht="16.5" x14ac:dyDescent="0.15">
      <c r="A27" s="267" t="s">
        <v>6241</v>
      </c>
      <c r="B27" s="23" t="s">
        <v>4631</v>
      </c>
      <c r="C27" s="17" t="s">
        <v>4642</v>
      </c>
      <c r="D27" s="21"/>
      <c r="E27" s="21"/>
      <c r="F27" s="2672" cm="1">
        <f t="array" ref="F27">INDEX('4층_부하량'!K3:K3000,MATCH(1,("4-DaHall 1-PDU-06"='4층_부하량'!A3:A3000)*(9='4층_부하량'!B3:B3000),0))</f>
        <v>0</v>
      </c>
      <c r="G27" s="21"/>
      <c r="H27" s="17" t="s">
        <v>6205</v>
      </c>
      <c r="I27" s="879" t="s">
        <v>4648</v>
      </c>
      <c r="J27" s="20" t="s">
        <v>5832</v>
      </c>
      <c r="K27" s="267" t="s">
        <v>6242</v>
      </c>
      <c r="L27" s="23" t="s">
        <v>4631</v>
      </c>
      <c r="M27" s="24" t="s">
        <v>4575</v>
      </c>
      <c r="N27" s="21"/>
      <c r="O27" s="21"/>
      <c r="P27" s="2672" cm="1">
        <f t="array" ref="P27">INDEX('4층_부하량'!K3:K3000,MATCH(1,("4-DaHall 1-PDU-08"='4층_부하량'!A3:A3000)*(9='4층_부하량'!B3:B3000),0))</f>
        <v>0</v>
      </c>
      <c r="Q27" s="2695"/>
      <c r="R27" s="17" t="s">
        <v>6205</v>
      </c>
      <c r="S27" s="879" t="s">
        <v>4648</v>
      </c>
      <c r="T27" s="651" t="s">
        <v>6243</v>
      </c>
    </row>
    <row r="28" spans="1:20" ht="16.5" x14ac:dyDescent="0.15">
      <c r="A28" s="267" t="s">
        <v>6244</v>
      </c>
      <c r="B28" s="23" t="s">
        <v>4631</v>
      </c>
      <c r="C28" s="24" t="s">
        <v>4652</v>
      </c>
      <c r="D28" s="2672" cm="1" t="n">
        <f t="array" ref="D28">INDEX('4층_부하량'!I3:I3000,MATCH(1,("4-DaHall 1-PDU-06"='4층_부하량'!A3:A3000)*(10='4층_부하량'!B3:B3000),0))</f>
        <v>39.66610542395835</v>
      </c>
      <c r="E28" s="21"/>
      <c r="F28" s="21"/>
      <c r="G28" s="21"/>
      <c r="H28" s="17" t="s">
        <v>6205</v>
      </c>
      <c r="I28" s="879" t="s">
        <v>4596</v>
      </c>
      <c r="J28" s="20" t="s">
        <v>5832</v>
      </c>
      <c r="K28" s="267" t="s">
        <v>6245</v>
      </c>
      <c r="L28" s="23" t="s">
        <v>4631</v>
      </c>
      <c r="M28" s="24" t="s">
        <v>4575</v>
      </c>
      <c r="N28" s="2672" cm="1">
        <f t="array" ref="N28">INDEX('4층_부하량'!I3:I3000,MATCH(1,("4-DaHall 1-PDU-08"='4층_부하량'!A3:A3000)*(10='4층_부하량'!B3:B3000),0))</f>
        <v>0</v>
      </c>
      <c r="O28" s="21"/>
      <c r="P28" s="21"/>
      <c r="Q28" s="2695"/>
      <c r="R28" s="17" t="s">
        <v>6205</v>
      </c>
      <c r="S28" s="879" t="s">
        <v>4596</v>
      </c>
      <c r="T28" s="650" t="s">
        <v>6246</v>
      </c>
    </row>
    <row r="29" spans="1:20" x14ac:dyDescent="0.15">
      <c r="A29" s="22"/>
      <c r="B29" s="17" t="s">
        <v>4590</v>
      </c>
      <c r="C29" s="17" t="s">
        <v>4642</v>
      </c>
      <c r="D29" s="21"/>
      <c r="E29" s="2672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6205</v>
      </c>
      <c r="I29" s="879" t="s">
        <v>4653</v>
      </c>
      <c r="J29" s="27"/>
      <c r="K29" s="22"/>
      <c r="L29" s="17" t="s">
        <v>4590</v>
      </c>
      <c r="M29" s="17" t="s">
        <v>4642</v>
      </c>
      <c r="N29" s="21"/>
      <c r="O29" s="2672" cm="1">
        <f t="array" ref="O29">INDEX('4층_부하량'!J3:J3000,MATCH(1,("4-DaHall 1-PDU-08"='4층_부하량'!A3:A3000)*(11='4층_부하량'!B3:B3000),0))</f>
        <v>0</v>
      </c>
      <c r="P29" s="21"/>
      <c r="Q29" s="2695"/>
      <c r="R29" s="17" t="s">
        <v>6205</v>
      </c>
      <c r="S29" s="879" t="s">
        <v>4653</v>
      </c>
      <c r="T29" s="27"/>
    </row>
    <row r="30" spans="1:20" ht="14.25" thickBot="1" x14ac:dyDescent="0.2">
      <c r="A30" s="34"/>
      <c r="B30" s="35" t="s">
        <v>4590</v>
      </c>
      <c r="C30" s="35" t="s">
        <v>4642</v>
      </c>
      <c r="D30" s="36"/>
      <c r="E30" s="36"/>
      <c r="F30" s="2671" cm="1">
        <f t="array" ref="F30">INDEX('4층_부하량'!K3:K3000,MATCH(1,("4-DaHall 1-PDU-06"='4층_부하량'!A3:A3000)*(12='4층_부하량'!B3:B3000),0))</f>
        <v>0</v>
      </c>
      <c r="G30" s="36"/>
      <c r="H30" s="35" t="s">
        <v>6205</v>
      </c>
      <c r="I30" s="551" t="s">
        <v>4876</v>
      </c>
      <c r="J30" s="37"/>
      <c r="K30" s="34"/>
      <c r="L30" s="35" t="s">
        <v>4590</v>
      </c>
      <c r="M30" s="35" t="s">
        <v>4642</v>
      </c>
      <c r="N30" s="36"/>
      <c r="O30" s="36"/>
      <c r="P30" s="2671" cm="1">
        <f t="array" ref="P30">INDEX('4층_부하량'!K3:K3000,MATCH(1,("4-DaHall 1-PDU-08"='4층_부하량'!A3:A3000)*(12='4층_부하량'!B3:B3000),0))</f>
        <v>0</v>
      </c>
      <c r="Q30" s="316"/>
      <c r="R30" s="35" t="s">
        <v>6205</v>
      </c>
      <c r="S30" s="551" t="s">
        <v>4876</v>
      </c>
      <c r="T30" s="37"/>
    </row>
    <row r="31" spans="1:20" ht="18" thickTop="1" thickBot="1" x14ac:dyDescent="0.2">
      <c r="C31" s="32" t="s">
        <v>5645</v>
      </c>
      <c r="D31" s="33" t="n">
        <f>SUM(D19:D30)</f>
        <v>65.57565367147704</v>
      </c>
      <c r="E31" s="33" t="n">
        <f>SUM(E19:E30)</f>
        <v>14.098161535252437</v>
      </c>
      <c r="F31" s="33" t="n">
        <f>SUM(F19:F30)</f>
        <v>8.953378096946686</v>
      </c>
      <c r="M31" s="32" t="s">
        <v>5645</v>
      </c>
      <c r="N31" s="33" t="n">
        <f>SUM(N19:N30)</f>
        <v>45.1851330659042</v>
      </c>
      <c r="O31" s="33" t="n">
        <f>SUM(O19:O30)</f>
        <v>67.76927897118819</v>
      </c>
      <c r="P31" s="33" t="n">
        <f>SUM(P19:P30)</f>
        <v>17.642384834436278</v>
      </c>
    </row>
    <row r="32" spans="1:20" ht="20.25" thickTop="1" thickBot="1" x14ac:dyDescent="0.2">
      <c r="A32" s="2" t="s">
        <v>6937</v>
      </c>
      <c r="D32" s="3661" t="s">
        <v>6196</v>
      </c>
      <c r="E32" s="3667"/>
      <c r="F32" s="124"/>
      <c r="G32" s="3660" t="s">
        <v>6248</v>
      </c>
      <c r="H32" s="3660"/>
      <c r="I32" s="3660"/>
      <c r="K32" s="2" t="s">
        <v>6938</v>
      </c>
      <c r="N32" s="3661" t="s">
        <v>6196</v>
      </c>
      <c r="O32" s="3667"/>
      <c r="P32" s="124"/>
      <c r="Q32" s="3660" t="s">
        <v>6250</v>
      </c>
      <c r="R32" s="3660"/>
      <c r="S32" s="3660"/>
    </row>
    <row r="33" spans="1:20" ht="15" thickTop="1" thickBot="1" x14ac:dyDescent="0.2">
      <c r="A33" s="3"/>
      <c r="C33" s="1373" t="s">
        <v>4562</v>
      </c>
      <c r="D33" s="1374">
        <v>46.5</v>
      </c>
      <c r="E33" s="1375">
        <v>43.9</v>
      </c>
      <c r="F33" s="1376">
        <v>43.5</v>
      </c>
      <c r="G33" s="1377" t="s">
        <v>4563</v>
      </c>
      <c r="H33" s="133"/>
      <c r="I33" s="128"/>
      <c r="J33" s="528"/>
      <c r="K33" s="3"/>
      <c r="M33" s="1373" t="s">
        <v>4562</v>
      </c>
      <c r="N33" s="1374">
        <v>77.599999999999994</v>
      </c>
      <c r="O33" s="1375">
        <v>59.1</v>
      </c>
      <c r="P33" s="1376">
        <v>50.5</v>
      </c>
      <c r="Q33" s="1377" t="s">
        <v>4563</v>
      </c>
      <c r="R33" s="133"/>
      <c r="S33" s="128"/>
      <c r="T33" s="528"/>
    </row>
    <row r="34" spans="1:20" ht="15" thickTop="1" thickBot="1" x14ac:dyDescent="0.2">
      <c r="A34" s="5" t="s">
        <v>4629</v>
      </c>
      <c r="B34" s="6" t="s">
        <v>4565</v>
      </c>
      <c r="C34" s="7" t="s">
        <v>4566</v>
      </c>
      <c r="D34" s="6" t="s">
        <v>4567</v>
      </c>
      <c r="E34" s="6" t="s">
        <v>4568</v>
      </c>
      <c r="F34" s="6" t="s">
        <v>4569</v>
      </c>
      <c r="G34" s="6" t="s">
        <v>4570</v>
      </c>
      <c r="H34" s="8" t="s">
        <v>4571</v>
      </c>
      <c r="I34" s="547" t="s">
        <v>6200</v>
      </c>
      <c r="J34" s="9" t="s">
        <v>6201</v>
      </c>
      <c r="K34" s="5" t="s">
        <v>4629</v>
      </c>
      <c r="L34" s="6" t="s">
        <v>4565</v>
      </c>
      <c r="M34" s="7" t="s">
        <v>4566</v>
      </c>
      <c r="N34" s="6" t="s">
        <v>4567</v>
      </c>
      <c r="O34" s="6" t="s">
        <v>4568</v>
      </c>
      <c r="P34" s="6" t="s">
        <v>4569</v>
      </c>
      <c r="Q34" s="6" t="s">
        <v>4570</v>
      </c>
      <c r="R34" s="8" t="s">
        <v>4571</v>
      </c>
      <c r="S34" s="547" t="s">
        <v>6200</v>
      </c>
      <c r="T34" s="9" t="s">
        <v>6201</v>
      </c>
    </row>
    <row r="35" spans="1:20" ht="17.25" thickTop="1" x14ac:dyDescent="0.15">
      <c r="A35" s="272" t="s">
        <v>6251</v>
      </c>
      <c r="B35" s="11" t="s">
        <v>4631</v>
      </c>
      <c r="C35" s="12" t="s">
        <v>4723</v>
      </c>
      <c r="D35" s="2669" cm="1">
        <f t="array" ref="D35">INDEX('4층_부하량'!I3:I3000,MATCH(1,("4-DaHall 1-PDU-10"='4층_부하량'!A3:A3000)*(1='4층_부하량'!B3:B3000),0))</f>
        <v>0</v>
      </c>
      <c r="E35" s="2669" cm="1">
        <f t="array" ref="E35">INDEX('4층_부하량'!J3:J3000,MATCH(1,("4-DaHall 1-PDU-10"='4층_부하량'!A3:A3000)*(1='4층_부하량'!B3:B3000),0))</f>
        <v>0</v>
      </c>
      <c r="F35" s="2669" cm="1">
        <f t="array" ref="F35">INDEX('4층_부하량'!K3:K3000,MATCH(1,("4-DaHall 1-PDU-10"='4층_부하량'!A3:A3000)*(1='4층_부하량'!B3:B3000),0))</f>
        <v>0</v>
      </c>
      <c r="G35" s="15"/>
      <c r="H35" s="13" t="s">
        <v>6252</v>
      </c>
      <c r="I35" s="878" t="s">
        <v>4577</v>
      </c>
      <c r="J35" s="14"/>
      <c r="K35" s="10" t="s">
        <v>6253</v>
      </c>
      <c r="L35" s="11" t="s">
        <v>4631</v>
      </c>
      <c r="M35" s="12" t="s">
        <v>4575</v>
      </c>
      <c r="N35" s="2669" cm="1" t="n">
        <f t="array" ref="N35">INDEX('4층_부하량'!I3:I3000,MATCH(1,("4-DaHall 1-PDU-01"='4층_부하량'!A3:A3000)*(1='4층_부하량'!B3:B3000),0))</f>
        <v>1.2632564180482215</v>
      </c>
      <c r="O35" s="2669" cm="1" t="n">
        <f t="array" ref="O35">INDEX('4층_부하량'!J3:J3000,MATCH(1,("4-DaHall 1-PDU-01"='4층_부하량'!A3:A3000)*(1='4층_부하량'!B3:B3000),0))</f>
        <v>1.0082817775556974</v>
      </c>
      <c r="P35" s="2669" cm="1" t="n">
        <f t="array" ref="P35">INDEX('4층_부하량'!K3:K3000,MATCH(1,("4-DaHall 1-PDU-01"='4층_부하량'!A3:A3000)*(1='4층_부하량'!B3:B3000),0))</f>
        <v>1.4699586035302343</v>
      </c>
      <c r="Q35" s="310"/>
      <c r="R35" s="13" t="s">
        <v>4964</v>
      </c>
      <c r="S35" s="878" t="s">
        <v>4577</v>
      </c>
      <c r="T35" s="14" t="s">
        <v>6203</v>
      </c>
    </row>
    <row r="36" spans="1:20" ht="16.5" x14ac:dyDescent="0.15">
      <c r="A36" s="16" t="s">
        <v>6254</v>
      </c>
      <c r="B36" s="17" t="s">
        <v>4631</v>
      </c>
      <c r="C36" s="18" t="s">
        <v>4575</v>
      </c>
      <c r="D36" s="2670" cm="1" t="n">
        <f t="array" ref="D36">INDEX('4층_부하량'!I3:I3000,MATCH(1,("4-DaHall 1-PDU-10"='4층_부하량'!A3:A3000)*(2='4층_부하량'!B3:B3000),0))</f>
        <v>30.56363634132609</v>
      </c>
      <c r="E36" s="2670" cm="1" t="n">
        <f t="array" ref="E36">INDEX('4층_부하량'!J3:J3000,MATCH(1,("4-DaHall 1-PDU-10"='4층_부하량'!A3:A3000)*(2='4층_부하량'!B3:B3000),0))</f>
        <v>27.970544474208886</v>
      </c>
      <c r="F36" s="2670" cm="1" t="n">
        <f t="array" ref="F36">INDEX('4층_부하량'!K3:K3000,MATCH(1,("4-DaHall 1-PDU-10"='4층_부하량'!A3:A3000)*(2='4층_부하량'!B3:B3000),0))</f>
        <v>29.48575011268783</v>
      </c>
      <c r="G36" s="349"/>
      <c r="H36" s="17" t="s">
        <v>6252</v>
      </c>
      <c r="I36" s="879" t="s">
        <v>4578</v>
      </c>
      <c r="J36" s="20" t="s">
        <v>6255</v>
      </c>
      <c r="K36" s="266" t="s">
        <v>6256</v>
      </c>
      <c r="L36" s="17" t="s">
        <v>4631</v>
      </c>
      <c r="M36" s="18" t="s">
        <v>4575</v>
      </c>
      <c r="N36" s="2670" cm="1" t="n">
        <f t="array" ref="N36">INDEX('4층_부하량'!I3:I3000,MATCH(1,("4-DaHall 1-PDU-01"='4층_부하량'!A3:A3000)*(2='4층_부하량'!B3:B3000),0))</f>
        <v>37.49976082652535</v>
      </c>
      <c r="O36" s="19"/>
      <c r="P36" s="19"/>
      <c r="Q36" s="311"/>
      <c r="R36" s="17" t="s">
        <v>6205</v>
      </c>
      <c r="S36" s="879" t="s">
        <v>4578</v>
      </c>
      <c r="T36" s="20" t="s">
        <v>6203</v>
      </c>
    </row>
    <row r="37" spans="1:20" ht="17.25" thickBot="1" x14ac:dyDescent="0.2">
      <c r="A37" s="16" t="s">
        <v>6257</v>
      </c>
      <c r="B37" s="35" t="s">
        <v>4631</v>
      </c>
      <c r="C37" s="39" t="s">
        <v>4575</v>
      </c>
      <c r="D37" s="2671" cm="1" t="n">
        <f t="array" ref="D37">INDEX('4층_부하량'!I3:I3000,MATCH(1,("4-DaHall 1-PDU-10"='4층_부하량'!A3:A3000)*(3='4층_부하량'!B3:B3000),0))</f>
        <v>15.194301715356664</v>
      </c>
      <c r="E37" s="2671" cm="1" t="n">
        <f t="array" ref="E37">INDEX('4층_부하량'!J3:J3000,MATCH(1,("4-DaHall 1-PDU-10"='4층_부하량'!A3:A3000)*(3='4층_부하량'!B3:B3000),0))</f>
        <v>14.797817009504662</v>
      </c>
      <c r="F37" s="2671" cm="1" t="n">
        <f t="array" ref="F37">INDEX('4층_부하량'!K3:K3000,MATCH(1,("4-DaHall 1-PDU-10"='4층_부하량'!A3:A3000)*(3='4층_부하량'!B3:B3000),0))</f>
        <v>14.650281720568838</v>
      </c>
      <c r="G37" s="351"/>
      <c r="H37" s="35" t="s">
        <v>6252</v>
      </c>
      <c r="I37" s="551" t="s">
        <v>4582</v>
      </c>
      <c r="J37" s="40" t="s">
        <v>6255</v>
      </c>
      <c r="K37" s="267" t="s">
        <v>6258</v>
      </c>
      <c r="L37" s="17" t="s">
        <v>4631</v>
      </c>
      <c r="M37" s="18" t="s">
        <v>4575</v>
      </c>
      <c r="N37" s="21"/>
      <c r="O37" s="2672" cm="1" t="n">
        <f t="array" ref="O37">INDEX('4층_부하량'!J3:J3000,MATCH(1,("4-DaHall 1-PDU-01"='4층_부하량'!A3:A3000)*(3='4층_부하량'!B3:B3000),0))</f>
        <v>34.26775110123197</v>
      </c>
      <c r="P37" s="21"/>
      <c r="Q37" s="2695"/>
      <c r="R37" s="17" t="s">
        <v>6205</v>
      </c>
      <c r="S37" s="879" t="s">
        <v>4638</v>
      </c>
      <c r="T37" s="20" t="s">
        <v>6203</v>
      </c>
    </row>
    <row r="38" spans="1:20" ht="17.25" thickTop="1" x14ac:dyDescent="0.15">
      <c r="A38" s="41"/>
      <c r="B38" s="42"/>
      <c r="C38" s="32" t="s">
        <v>5645</v>
      </c>
      <c r="D38" s="1173" t="n">
        <f>SUM(D35:D37)</f>
        <v>45.757938056682754</v>
      </c>
      <c r="E38" s="1173" t="n">
        <f t="shared" ref="E38:G38" si="0">SUM(E35:E37)</f>
        <v>42.76836148371355</v>
      </c>
      <c r="F38" s="1173" t="n">
        <f t="shared" si="0"/>
        <v>44.136031833256666</v>
      </c>
      <c r="G38" s="1173" t="n">
        <f t="shared" si="0"/>
        <v>0.0</v>
      </c>
      <c r="H38" s="42"/>
      <c r="I38" s="872"/>
      <c r="J38" s="44"/>
      <c r="K38" s="267" t="s">
        <v>6259</v>
      </c>
      <c r="L38" s="17" t="s">
        <v>4631</v>
      </c>
      <c r="M38" s="18" t="s">
        <v>4575</v>
      </c>
      <c r="N38" s="21"/>
      <c r="O38" s="21"/>
      <c r="P38" s="2672" cm="1" t="n">
        <f t="array" ref="P38">INDEX('4층_부하량'!K3:K3000,MATCH(1,("4-DaHall 1-PDU-01"='4층_부하량'!A3:A3000)*(4='4층_부하량'!B3:B3000),0))</f>
        <v>37.26388247942437</v>
      </c>
      <c r="Q38" s="2695"/>
      <c r="R38" s="17" t="s">
        <v>6205</v>
      </c>
      <c r="S38" s="879" t="s">
        <v>4583</v>
      </c>
      <c r="T38" s="20" t="s">
        <v>6203</v>
      </c>
    </row>
    <row r="39" spans="1:20" ht="16.5" x14ac:dyDescent="0.15">
      <c r="A39" s="45"/>
      <c r="B39" s="23"/>
      <c r="C39" s="24"/>
      <c r="D39" s="25"/>
      <c r="E39" s="25"/>
      <c r="F39" s="25"/>
      <c r="G39" s="25"/>
      <c r="H39" s="23"/>
      <c r="I39" s="555"/>
      <c r="J39" s="46"/>
      <c r="K39" s="267" t="s">
        <v>6260</v>
      </c>
      <c r="L39" s="23" t="s">
        <v>4631</v>
      </c>
      <c r="M39" s="24" t="s">
        <v>4575</v>
      </c>
      <c r="N39" s="2673" cm="1" t="n">
        <f t="array" ref="N39">INDEX('4층_부하량'!I3:I3000,MATCH(1,("4-DaHall 1-PDU-01"='4층_부하량'!A3:A3000)*(5='4층_부하량'!B3:B3000),0))</f>
        <v>41.48036106218357</v>
      </c>
      <c r="O39" s="25"/>
      <c r="P39" s="25"/>
      <c r="Q39" s="2696"/>
      <c r="R39" s="23" t="s">
        <v>6205</v>
      </c>
      <c r="S39" s="879" t="s">
        <v>4641</v>
      </c>
      <c r="T39" s="26" t="s">
        <v>6203</v>
      </c>
    </row>
    <row r="40" spans="1:20" ht="16.5" x14ac:dyDescent="0.15">
      <c r="A40" s="45"/>
      <c r="B40" s="17"/>
      <c r="C40" s="18"/>
      <c r="D40" s="21"/>
      <c r="E40" s="21"/>
      <c r="F40" s="21"/>
      <c r="G40" s="21"/>
      <c r="H40" s="17"/>
      <c r="I40" s="549"/>
      <c r="J40" s="27"/>
      <c r="K40" s="268" t="s">
        <v>6261</v>
      </c>
      <c r="L40" s="17" t="s">
        <v>4631</v>
      </c>
      <c r="M40" s="18" t="s">
        <v>4575</v>
      </c>
      <c r="N40" s="21"/>
      <c r="O40" s="2672" cm="1" t="n">
        <f t="array" ref="O40">INDEX('4층_부하량'!J3:J3000,MATCH(1,("4-DaHall 1-PDU-01"='4층_부하량'!A3:A3000)*(6='4층_부하량'!B3:B3000),0))</f>
        <v>23.53446972982299</v>
      </c>
      <c r="P40" s="21"/>
      <c r="Q40" s="2695"/>
      <c r="R40" s="17" t="s">
        <v>6205</v>
      </c>
      <c r="S40" s="879" t="s">
        <v>4588</v>
      </c>
      <c r="T40" s="20" t="s">
        <v>5832</v>
      </c>
    </row>
    <row r="41" spans="1:20" ht="16.5" x14ac:dyDescent="0.15">
      <c r="A41" s="47"/>
      <c r="B41" s="23"/>
      <c r="C41" s="24"/>
      <c r="D41" s="25"/>
      <c r="E41" s="25"/>
      <c r="F41" s="25"/>
      <c r="G41" s="25"/>
      <c r="H41" s="23"/>
      <c r="I41" s="555"/>
      <c r="J41" s="46"/>
      <c r="K41" s="269" t="s">
        <v>6262</v>
      </c>
      <c r="L41" s="23" t="s">
        <v>4631</v>
      </c>
      <c r="M41" s="24" t="s">
        <v>4575</v>
      </c>
      <c r="N41" s="25"/>
      <c r="O41" s="25"/>
      <c r="P41" s="2673" cm="1" t="n">
        <f t="array" ref="P41">INDEX('4층_부하량'!K3:K3000,MATCH(1,("4-DaHall 1-PDU-01"='4층_부하량'!A3:A3000)*(7='4층_부하량'!B3:B3000),0))</f>
        <v>12.607986840012897</v>
      </c>
      <c r="Q41" s="2696"/>
      <c r="R41" s="23" t="s">
        <v>6205</v>
      </c>
      <c r="S41" s="879" t="s">
        <v>4645</v>
      </c>
      <c r="T41" s="26" t="s">
        <v>5832</v>
      </c>
    </row>
    <row r="42" spans="1:20" ht="16.5" x14ac:dyDescent="0.15">
      <c r="A42" s="45"/>
      <c r="B42" s="23"/>
      <c r="C42" s="24"/>
      <c r="D42" s="21"/>
      <c r="E42" s="21"/>
      <c r="F42" s="21"/>
      <c r="G42" s="21"/>
      <c r="H42" s="17"/>
      <c r="I42" s="549"/>
      <c r="J42" s="27"/>
      <c r="K42" s="22"/>
      <c r="L42" s="17" t="s">
        <v>4590</v>
      </c>
      <c r="M42" s="17" t="s">
        <v>4642</v>
      </c>
      <c r="N42" s="2672" cm="1">
        <f t="array" ref="N42">INDEX('4층_부하량'!I3:I3000,MATCH(1,("4-DaHall 1-PDU-01"='4층_부하량'!A3:A3000)*(8='4층_부하량'!B3:B3000),0))</f>
        <v>0</v>
      </c>
      <c r="O42" s="21"/>
      <c r="P42" s="21"/>
      <c r="Q42" s="2695"/>
      <c r="R42" s="17" t="s">
        <v>6205</v>
      </c>
      <c r="S42" s="879" t="s">
        <v>4593</v>
      </c>
      <c r="T42" s="20"/>
    </row>
    <row r="43" spans="1:20" ht="17.25" thickBot="1" x14ac:dyDescent="0.2">
      <c r="A43" s="47"/>
      <c r="B43" s="271"/>
      <c r="C43" s="24"/>
      <c r="D43" s="25"/>
      <c r="E43" s="25"/>
      <c r="F43" s="25"/>
      <c r="G43" s="25"/>
      <c r="H43" s="23"/>
      <c r="I43" s="555"/>
      <c r="J43" s="46"/>
      <c r="K43" s="2323"/>
      <c r="L43" s="35" t="s">
        <v>4590</v>
      </c>
      <c r="M43" s="35" t="s">
        <v>4642</v>
      </c>
      <c r="N43" s="30"/>
      <c r="O43" s="2671" cm="1">
        <f t="array" ref="O43">INDEX('4층_부하량'!J3:J3000,MATCH(1,("4-DaHall 1-PDU-01"='4층_부하량'!A3:A3000)*(9='4층_부하량'!B3:B3000),0))</f>
        <v>0</v>
      </c>
      <c r="P43" s="30"/>
      <c r="Q43" s="2697"/>
      <c r="R43" s="29" t="s">
        <v>6205</v>
      </c>
      <c r="S43" s="556" t="s">
        <v>4595</v>
      </c>
      <c r="T43" s="31"/>
    </row>
    <row r="44" spans="1:20" ht="18" thickTop="1" thickBot="1" x14ac:dyDescent="0.2">
      <c r="M44" s="32" t="s">
        <v>5645</v>
      </c>
      <c r="N44" s="33" t="n">
        <f>SUM(N35:N43)</f>
        <v>80.24337830675714</v>
      </c>
      <c r="O44" s="33" t="n">
        <f>SUM(O35:O43)</f>
        <v>58.81050260861066</v>
      </c>
      <c r="P44" s="33" t="n">
        <f>SUM(P35:P43)</f>
        <v>51.341827922967504</v>
      </c>
    </row>
    <row r="45" spans="1:20" ht="20.25" thickTop="1" thickBot="1" x14ac:dyDescent="0.2">
      <c r="A45" s="2" t="s">
        <v>6939</v>
      </c>
      <c r="D45" s="3661" t="s">
        <v>4715</v>
      </c>
      <c r="E45" s="3667"/>
      <c r="F45" s="124"/>
      <c r="G45" s="3660" t="s">
        <v>6264</v>
      </c>
      <c r="H45" s="3660"/>
      <c r="I45" s="3660"/>
      <c r="K45" s="2" t="s">
        <v>6940</v>
      </c>
      <c r="N45" s="3661" t="s">
        <v>4715</v>
      </c>
      <c r="O45" s="3667"/>
      <c r="P45" s="124"/>
      <c r="Q45" s="3660" t="s">
        <v>6266</v>
      </c>
      <c r="R45" s="3660"/>
      <c r="S45" s="3660"/>
    </row>
    <row r="46" spans="1:20" ht="15" thickTop="1" thickBot="1" x14ac:dyDescent="0.2">
      <c r="A46" s="3"/>
      <c r="C46" s="1373" t="s">
        <v>4562</v>
      </c>
      <c r="D46" s="1374">
        <v>57.4</v>
      </c>
      <c r="E46" s="1375">
        <v>38.799999999999997</v>
      </c>
      <c r="F46" s="1376">
        <v>25.4</v>
      </c>
      <c r="G46" s="1377" t="s">
        <v>4563</v>
      </c>
      <c r="H46" s="133"/>
      <c r="I46" s="128"/>
      <c r="J46" s="528"/>
      <c r="K46" s="3"/>
      <c r="M46" s="1373" t="s">
        <v>4562</v>
      </c>
      <c r="N46" s="1374">
        <v>59.5</v>
      </c>
      <c r="O46" s="1375">
        <v>27.6</v>
      </c>
      <c r="P46" s="1376">
        <v>25.2</v>
      </c>
      <c r="Q46" s="1377" t="s">
        <v>4563</v>
      </c>
      <c r="R46" s="133"/>
      <c r="S46" s="128"/>
      <c r="T46" s="528"/>
    </row>
    <row r="47" spans="1:20" ht="15" thickTop="1" thickBot="1" x14ac:dyDescent="0.2">
      <c r="A47" s="5" t="s">
        <v>4629</v>
      </c>
      <c r="B47" s="6" t="s">
        <v>4565</v>
      </c>
      <c r="C47" s="7" t="s">
        <v>4566</v>
      </c>
      <c r="D47" s="6" t="s">
        <v>4567</v>
      </c>
      <c r="E47" s="6" t="s">
        <v>4568</v>
      </c>
      <c r="F47" s="6" t="s">
        <v>4569</v>
      </c>
      <c r="G47" s="6" t="s">
        <v>4570</v>
      </c>
      <c r="H47" s="8" t="s">
        <v>4571</v>
      </c>
      <c r="I47" s="547" t="s">
        <v>6200</v>
      </c>
      <c r="J47" s="9" t="s">
        <v>6201</v>
      </c>
      <c r="K47" s="5" t="s">
        <v>4629</v>
      </c>
      <c r="L47" s="6" t="s">
        <v>4565</v>
      </c>
      <c r="M47" s="7" t="s">
        <v>4566</v>
      </c>
      <c r="N47" s="6" t="s">
        <v>4567</v>
      </c>
      <c r="O47" s="6" t="s">
        <v>4568</v>
      </c>
      <c r="P47" s="6" t="s">
        <v>4569</v>
      </c>
      <c r="Q47" s="6" t="s">
        <v>4570</v>
      </c>
      <c r="R47" s="8" t="s">
        <v>4571</v>
      </c>
      <c r="S47" s="547" t="s">
        <v>6200</v>
      </c>
      <c r="T47" s="9" t="s">
        <v>6201</v>
      </c>
    </row>
    <row r="48" spans="1:20" ht="17.25" thickTop="1" x14ac:dyDescent="0.15">
      <c r="A48" s="10"/>
      <c r="B48" s="11" t="s">
        <v>4590</v>
      </c>
      <c r="C48" s="13" t="s">
        <v>4642</v>
      </c>
      <c r="D48" s="2669" cm="1">
        <f t="array" ref="D48">INDEX('4층_부하량'!I3:I3000,MATCH(1,("4-DaHall 1-PDU-03"='4층_부하량'!A3:A3000)*(1='4층_부하량'!B3:B3000),0))</f>
        <v>0</v>
      </c>
      <c r="E48" s="2669" cm="1">
        <f t="array" ref="E48">INDEX('4층_부하량'!J3:J3000,MATCH(1,("4-DaHall 1-PDU-03"='4층_부하량'!A3:A3000)*(1='4층_부하량'!B3:B3000),0))</f>
        <v>0</v>
      </c>
      <c r="F48" s="2669" cm="1">
        <f t="array" ref="F48">INDEX('4층_부하량'!K3:K3000,MATCH(1,("4-DaHall 1-PDU-03"='4층_부하량'!A3:A3000)*(1='4층_부하량'!B3:B3000),0))</f>
        <v>0</v>
      </c>
      <c r="G48" s="15"/>
      <c r="H48" s="13" t="s">
        <v>4964</v>
      </c>
      <c r="I48" s="878" t="s">
        <v>4577</v>
      </c>
      <c r="J48" s="14"/>
      <c r="K48" s="272" t="s">
        <v>6267</v>
      </c>
      <c r="L48" s="11" t="s">
        <v>4631</v>
      </c>
      <c r="M48" s="12" t="s">
        <v>4575</v>
      </c>
      <c r="N48" s="2669" cm="1" t="n">
        <f t="array" ref="N48">INDEX('4층_부하량'!I3:I3000,MATCH(1,("4-DaHall 1-PDU-05"='4층_부하량'!A3:A3000)*(1='4층_부하량'!B3:B3000),0))</f>
        <v>8.969533410414511</v>
      </c>
      <c r="O48" s="15"/>
      <c r="P48" s="15"/>
      <c r="Q48" s="15"/>
      <c r="R48" s="13" t="s">
        <v>6205</v>
      </c>
      <c r="S48" s="878" t="s">
        <v>4577</v>
      </c>
      <c r="T48" s="14" t="s">
        <v>5832</v>
      </c>
    </row>
    <row r="49" spans="1:20" ht="16.5" x14ac:dyDescent="0.15">
      <c r="A49" s="266" t="s">
        <v>6268</v>
      </c>
      <c r="B49" s="17" t="s">
        <v>4631</v>
      </c>
      <c r="C49" s="18" t="s">
        <v>4575</v>
      </c>
      <c r="D49" s="2670" cm="1" t="n">
        <f t="array" ref="D49">INDEX('4층_부하량'!I3:I3000,MATCH(1,("4-DaHall 1-PDU-03"='4층_부하량'!A3:A3000)*(2='4층_부하량'!B3:B3000),0))</f>
        <v>32.219909277205446</v>
      </c>
      <c r="E49" s="19"/>
      <c r="F49" s="19"/>
      <c r="G49" s="19"/>
      <c r="H49" s="17" t="s">
        <v>6205</v>
      </c>
      <c r="I49" s="879" t="s">
        <v>4578</v>
      </c>
      <c r="J49" s="20" t="s">
        <v>6203</v>
      </c>
      <c r="K49" s="266" t="s">
        <v>6269</v>
      </c>
      <c r="L49" s="17" t="s">
        <v>4631</v>
      </c>
      <c r="M49" s="18" t="s">
        <v>4575</v>
      </c>
      <c r="N49" s="19"/>
      <c r="O49" s="2670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6205</v>
      </c>
      <c r="S49" s="879" t="s">
        <v>4578</v>
      </c>
      <c r="T49" s="20" t="s">
        <v>5832</v>
      </c>
    </row>
    <row r="50" spans="1:20" ht="16.5" x14ac:dyDescent="0.15">
      <c r="A50" s="268" t="s">
        <v>6270</v>
      </c>
      <c r="B50" s="17" t="s">
        <v>4631</v>
      </c>
      <c r="C50" s="18" t="s">
        <v>4575</v>
      </c>
      <c r="D50" s="21"/>
      <c r="E50" s="2672" cm="1" t="n">
        <f t="array" ref="E50">INDEX('4층_부하량'!J3:J3000,MATCH(1,("4-DaHall 1-PDU-03"='4층_부하량'!A3:A3000)*(3='4층_부하량'!B3:B3000),0))</f>
        <v>28.440765897993717</v>
      </c>
      <c r="F50" s="21"/>
      <c r="G50" s="21"/>
      <c r="H50" s="17" t="s">
        <v>6205</v>
      </c>
      <c r="I50" s="879" t="s">
        <v>4638</v>
      </c>
      <c r="J50" s="20" t="s">
        <v>6203</v>
      </c>
      <c r="K50" s="267" t="s">
        <v>6271</v>
      </c>
      <c r="L50" s="17" t="s">
        <v>4631</v>
      </c>
      <c r="M50" s="18" t="s">
        <v>4575</v>
      </c>
      <c r="N50" s="21"/>
      <c r="O50" s="21"/>
      <c r="P50" s="2672" cm="1" t="n">
        <f t="array" ref="P50">INDEX('4층_부하량'!K3:K3000,MATCH(1,("4-DaHall 1-PDU-05"='4층_부하량'!A3:A3000)*(3='4층_부하량'!B3:B3000),0))</f>
        <v>7.73548207438513</v>
      </c>
      <c r="Q50" s="21"/>
      <c r="R50" s="17" t="s">
        <v>6205</v>
      </c>
      <c r="S50" s="879" t="s">
        <v>4638</v>
      </c>
      <c r="T50" s="20" t="s">
        <v>5832</v>
      </c>
    </row>
    <row r="51" spans="1:20" ht="16.5" x14ac:dyDescent="0.15">
      <c r="A51" s="268" t="s">
        <v>6272</v>
      </c>
      <c r="B51" s="17" t="s">
        <v>4590</v>
      </c>
      <c r="C51" s="17" t="s">
        <v>4642</v>
      </c>
      <c r="D51" s="21"/>
      <c r="E51" s="21"/>
      <c r="F51" s="2672" cm="1">
        <f t="array" ref="F51">INDEX('4층_부하량'!K3:K3000,MATCH(1,("4-DaHall 1-PDU-03"='4층_부하량'!A3:A3000)*(4='4층_부하량'!B3:B3000),0))</f>
        <v>0</v>
      </c>
      <c r="G51" s="21"/>
      <c r="H51" s="17" t="s">
        <v>6205</v>
      </c>
      <c r="I51" s="879" t="s">
        <v>4583</v>
      </c>
      <c r="J51" s="20" t="s">
        <v>6203</v>
      </c>
      <c r="K51" s="267" t="s">
        <v>6273</v>
      </c>
      <c r="L51" s="17" t="s">
        <v>4631</v>
      </c>
      <c r="M51" s="18" t="s">
        <v>4575</v>
      </c>
      <c r="N51" s="2672" cm="1" t="n">
        <f t="array" ref="N51">INDEX('4층_부하량'!I3:I3000,MATCH(1,("4-DaHall 1-PDU-05"='4층_부하량'!A3:A3000)*(4='4층_부하량'!B3:B3000),0))</f>
        <v>7.2205490273228286</v>
      </c>
      <c r="O51" s="21"/>
      <c r="P51" s="21"/>
      <c r="Q51" s="21"/>
      <c r="R51" s="17" t="s">
        <v>6205</v>
      </c>
      <c r="S51" s="879" t="s">
        <v>4583</v>
      </c>
      <c r="T51" s="20" t="s">
        <v>5832</v>
      </c>
    </row>
    <row r="52" spans="1:20" ht="16.5" x14ac:dyDescent="0.15">
      <c r="A52" s="268" t="s">
        <v>6274</v>
      </c>
      <c r="B52" s="23" t="s">
        <v>4631</v>
      </c>
      <c r="C52" s="24" t="s">
        <v>4575</v>
      </c>
      <c r="D52" s="2673" cm="1" t="n">
        <f t="array" ref="D52">INDEX('4층_부하량'!I3:I3000,MATCH(1,("4-DaHall 1-PDU-03"='4층_부하량'!A3:A3000)*(5='4층_부하량'!B3:B3000),0))</f>
        <v>6.3017859818617135</v>
      </c>
      <c r="E52" s="25"/>
      <c r="F52" s="25"/>
      <c r="G52" s="25"/>
      <c r="H52" s="23" t="s">
        <v>6205</v>
      </c>
      <c r="I52" s="879" t="s">
        <v>4641</v>
      </c>
      <c r="J52" s="26" t="s">
        <v>5832</v>
      </c>
      <c r="K52" s="267" t="s">
        <v>6275</v>
      </c>
      <c r="L52" s="23" t="s">
        <v>4631</v>
      </c>
      <c r="M52" s="18" t="s">
        <v>4575</v>
      </c>
      <c r="N52" s="25"/>
      <c r="O52" s="2672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6205</v>
      </c>
      <c r="S52" s="879" t="s">
        <v>4641</v>
      </c>
      <c r="T52" s="26" t="s">
        <v>5832</v>
      </c>
    </row>
    <row r="53" spans="1:20" ht="16.5" x14ac:dyDescent="0.15">
      <c r="A53" s="268" t="s">
        <v>6276</v>
      </c>
      <c r="B53" s="17" t="s">
        <v>4631</v>
      </c>
      <c r="C53" s="18" t="s">
        <v>4575</v>
      </c>
      <c r="D53" s="21"/>
      <c r="E53" s="2672" cm="1" t="n">
        <f t="array" ref="E53">INDEX('4층_부하량'!J3:J3000,MATCH(1,("4-DaHall 1-PDU-03"='4층_부하량'!A3:A3000)*(6='4층_부하량'!B3:B3000),0))</f>
        <v>10.38416775774365</v>
      </c>
      <c r="F53" s="21"/>
      <c r="G53" s="21"/>
      <c r="H53" s="17" t="s">
        <v>6205</v>
      </c>
      <c r="I53" s="879" t="s">
        <v>4588</v>
      </c>
      <c r="J53" s="20" t="s">
        <v>5832</v>
      </c>
      <c r="K53" s="267" t="s">
        <v>6277</v>
      </c>
      <c r="L53" s="17" t="s">
        <v>4631</v>
      </c>
      <c r="M53" s="18" t="s">
        <v>4575</v>
      </c>
      <c r="N53" s="21"/>
      <c r="O53" s="21"/>
      <c r="P53" s="2672" cm="1" t="n">
        <f t="array" ref="P53">INDEX('4층_부하량'!K3:K3000,MATCH(1,("4-DaHall 1-PDU-05"='4층_부하량'!A3:A3000)*(6='4층_부하량'!B3:B3000),0))</f>
        <v>12.862828036043984</v>
      </c>
      <c r="Q53" s="21"/>
      <c r="R53" s="17" t="s">
        <v>6205</v>
      </c>
      <c r="S53" s="879" t="s">
        <v>4588</v>
      </c>
      <c r="T53" s="20" t="s">
        <v>5832</v>
      </c>
    </row>
    <row r="54" spans="1:20" ht="16.5" x14ac:dyDescent="0.15">
      <c r="A54" s="268" t="s">
        <v>6278</v>
      </c>
      <c r="B54" s="23" t="s">
        <v>4631</v>
      </c>
      <c r="C54" s="24" t="s">
        <v>4575</v>
      </c>
      <c r="D54" s="25"/>
      <c r="E54" s="25"/>
      <c r="F54" s="2673" cm="1" t="n">
        <f t="array" ref="F54">INDEX('4층_부하량'!K3:K3000,MATCH(1,("4-DaHall 1-PDU-03"='4층_부하량'!A3:A3000)*(7='4층_부하량'!B3:B3000),0))</f>
        <v>28.41611606039097</v>
      </c>
      <c r="G54" s="25"/>
      <c r="H54" s="23" t="s">
        <v>6205</v>
      </c>
      <c r="I54" s="879" t="s">
        <v>4645</v>
      </c>
      <c r="J54" s="26" t="s">
        <v>5832</v>
      </c>
      <c r="K54" s="266" t="s">
        <v>6279</v>
      </c>
      <c r="L54" s="23" t="s">
        <v>4631</v>
      </c>
      <c r="M54" s="24" t="s">
        <v>4575</v>
      </c>
      <c r="N54" s="2673" cm="1" t="n">
        <f t="array" ref="N54">INDEX('4층_부하량'!I3:I3000,MATCH(1,("4-DaHall 1-PDU-05"='4층_부하량'!A3:A3000)*(7='4층_부하량'!B3:B3000),0))</f>
        <v>6.508175819099416</v>
      </c>
      <c r="O54" s="25"/>
      <c r="P54" s="25"/>
      <c r="Q54" s="25"/>
      <c r="R54" s="23" t="s">
        <v>6205</v>
      </c>
      <c r="S54" s="879" t="s">
        <v>4645</v>
      </c>
      <c r="T54" s="26" t="s">
        <v>5832</v>
      </c>
    </row>
    <row r="55" spans="1:20" ht="16.5" x14ac:dyDescent="0.15">
      <c r="A55" s="268" t="s">
        <v>6280</v>
      </c>
      <c r="B55" s="17" t="s">
        <v>4631</v>
      </c>
      <c r="C55" s="18" t="s">
        <v>4575</v>
      </c>
      <c r="D55" s="2672" cm="1" t="n">
        <f t="array" ref="D55">INDEX('4층_부하량'!I3:I3000,MATCH(1,("4-DaHall 1-PDU-03"='4층_부하량'!A3:A3000)*(8='4층_부하량'!B3:B3000),0))</f>
        <v>18.509154394402284</v>
      </c>
      <c r="E55" s="21"/>
      <c r="F55" s="21"/>
      <c r="G55" s="21"/>
      <c r="H55" s="17" t="s">
        <v>6205</v>
      </c>
      <c r="I55" s="879" t="s">
        <v>4593</v>
      </c>
      <c r="J55" s="20" t="s">
        <v>5832</v>
      </c>
      <c r="K55" s="267" t="s">
        <v>6281</v>
      </c>
      <c r="L55" s="23" t="s">
        <v>4631</v>
      </c>
      <c r="M55" s="24" t="s">
        <v>4575</v>
      </c>
      <c r="N55" s="21"/>
      <c r="O55" s="2672" cm="1" t="n">
        <f t="array" ref="O55">INDEX('4층_부하량'!J3:J3000,MATCH(1,("4-DaHall 1-PDU-05"='4층_부하량'!A3:A3000)*(8='4층_부하량'!B3:B3000),0))</f>
        <v>11.833469597363862</v>
      </c>
      <c r="P55" s="21"/>
      <c r="Q55" s="21"/>
      <c r="R55" s="17" t="s">
        <v>6205</v>
      </c>
      <c r="S55" s="879" t="s">
        <v>4593</v>
      </c>
      <c r="T55" s="20" t="s">
        <v>5832</v>
      </c>
    </row>
    <row r="56" spans="1:20" ht="14.25" thickBot="1" x14ac:dyDescent="0.2">
      <c r="A56" s="28"/>
      <c r="B56" s="29" t="s">
        <v>4590</v>
      </c>
      <c r="C56" s="29" t="s">
        <v>4642</v>
      </c>
      <c r="D56" s="30"/>
      <c r="E56" s="2674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6205</v>
      </c>
      <c r="I56" s="556" t="s">
        <v>4595</v>
      </c>
      <c r="J56" s="31"/>
      <c r="K56" s="267" t="s">
        <v>6282</v>
      </c>
      <c r="L56" s="23" t="s">
        <v>4631</v>
      </c>
      <c r="M56" s="17" t="s">
        <v>4642</v>
      </c>
      <c r="N56" s="21"/>
      <c r="O56" s="21"/>
      <c r="P56" s="2672" cm="1">
        <f t="array" ref="P56">INDEX('4층_부하량'!K3:K3000,MATCH(1,("4-DaHall 1-PDU-05"='4층_부하량'!A3:A3000)*(9='4층_부하량'!B3:B3000),0))</f>
        <v>0</v>
      </c>
      <c r="Q56" s="21"/>
      <c r="R56" s="17" t="s">
        <v>6205</v>
      </c>
      <c r="S56" s="879" t="s">
        <v>4648</v>
      </c>
      <c r="T56" s="20" t="s">
        <v>5832</v>
      </c>
    </row>
    <row r="57" spans="1:20" ht="17.25" thickTop="1" x14ac:dyDescent="0.15">
      <c r="C57" s="32" t="s">
        <v>5645</v>
      </c>
      <c r="D57" s="33" t="n">
        <f>SUM(D48:D56)</f>
        <v>57.030849653469446</v>
      </c>
      <c r="E57" s="33" t="n">
        <f>SUM(E48:E56)</f>
        <v>38.82493365573737</v>
      </c>
      <c r="F57" s="33" t="n">
        <f>SUM(F48:F56)</f>
        <v>28.41611606039097</v>
      </c>
      <c r="K57" s="267" t="s">
        <v>6283</v>
      </c>
      <c r="L57" s="23" t="s">
        <v>4631</v>
      </c>
      <c r="M57" s="24" t="s">
        <v>4575</v>
      </c>
      <c r="N57" s="2672" cm="1" t="n">
        <f t="array" ref="N57">INDEX('4층_부하량'!I3:I3000,MATCH(1,("4-DaHall 1-PDU-05"='4층_부하량'!A3:A3000)*(10='4층_부하량'!B3:B3000),0))</f>
        <v>34.70273376286082</v>
      </c>
      <c r="O57" s="21"/>
      <c r="P57" s="21"/>
      <c r="Q57" s="21"/>
      <c r="R57" s="17" t="s">
        <v>6205</v>
      </c>
      <c r="S57" s="879" t="s">
        <v>4596</v>
      </c>
      <c r="T57" s="20" t="s">
        <v>5832</v>
      </c>
    </row>
    <row r="58" spans="1:20" x14ac:dyDescent="0.15">
      <c r="K58" s="22"/>
      <c r="L58" s="17" t="s">
        <v>4590</v>
      </c>
      <c r="M58" s="17" t="s">
        <v>4642</v>
      </c>
      <c r="N58" s="21"/>
      <c r="O58" s="2672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6205</v>
      </c>
      <c r="S58" s="879" t="s">
        <v>4653</v>
      </c>
      <c r="T58" s="20"/>
    </row>
    <row r="59" spans="1:20" ht="14.25" thickBot="1" x14ac:dyDescent="0.2">
      <c r="K59" s="34"/>
      <c r="L59" s="35" t="s">
        <v>4590</v>
      </c>
      <c r="M59" s="35" t="s">
        <v>4642</v>
      </c>
      <c r="N59" s="36"/>
      <c r="O59" s="36"/>
      <c r="P59" s="2671" cm="1">
        <f t="array" ref="P59">INDEX('4층_부하량'!K3:K3000,MATCH(1,("4-DaHall 1-PDU-05"='4층_부하량'!A3:A3000)*(12='4층_부하량'!B3:B3000),0))</f>
        <v>0</v>
      </c>
      <c r="Q59" s="36"/>
      <c r="R59" s="35" t="s">
        <v>6205</v>
      </c>
      <c r="S59" s="551" t="s">
        <v>4876</v>
      </c>
      <c r="T59" s="37"/>
    </row>
    <row r="60" spans="1:20" ht="18" thickTop="1" thickBot="1" x14ac:dyDescent="0.2">
      <c r="M60" s="32" t="s">
        <v>5645</v>
      </c>
      <c r="N60" s="33" t="n">
        <f>SUM(N48:N59)</f>
        <v>57.40099201969757</v>
      </c>
      <c r="O60" s="33" t="n">
        <f>SUM(O48:O59)</f>
        <v>11.833469597363862</v>
      </c>
      <c r="P60" s="33" t="n">
        <f>SUM(P48:P59)</f>
        <v>20.598310110429114</v>
      </c>
    </row>
    <row r="61" spans="1:20" ht="20.25" thickTop="1" thickBot="1" x14ac:dyDescent="0.2">
      <c r="A61" s="642" t="s">
        <v>6941</v>
      </c>
      <c r="D61" s="3661" t="s">
        <v>4715</v>
      </c>
      <c r="E61" s="3667"/>
      <c r="F61" s="124"/>
      <c r="G61" s="3660" t="s">
        <v>6285</v>
      </c>
      <c r="H61" s="3660"/>
      <c r="I61" s="3660"/>
      <c r="K61" s="2" t="s">
        <v>6942</v>
      </c>
      <c r="N61" s="3661" t="s">
        <v>4715</v>
      </c>
      <c r="O61" s="3667"/>
      <c r="P61" s="124"/>
      <c r="Q61" s="3660" t="s">
        <v>6287</v>
      </c>
      <c r="R61" s="3660"/>
      <c r="S61" s="3660"/>
    </row>
    <row r="62" spans="1:20" ht="15" customHeight="1" thickTop="1" thickBot="1" x14ac:dyDescent="0.2">
      <c r="A62" s="3"/>
      <c r="C62" s="1373" t="s">
        <v>4562</v>
      </c>
      <c r="D62" s="1374">
        <v>44.7</v>
      </c>
      <c r="E62" s="1375">
        <v>76.7</v>
      </c>
      <c r="F62" s="1376">
        <v>22</v>
      </c>
      <c r="G62" s="1377" t="s">
        <v>4563</v>
      </c>
      <c r="H62" s="133"/>
      <c r="I62" s="128"/>
      <c r="J62" s="528"/>
      <c r="K62" s="3"/>
      <c r="M62" s="1373" t="s">
        <v>4562</v>
      </c>
      <c r="N62" s="1374">
        <v>0</v>
      </c>
      <c r="O62" s="1375">
        <v>0</v>
      </c>
      <c r="P62" s="1376">
        <v>0</v>
      </c>
      <c r="Q62" s="1377" t="s">
        <v>4563</v>
      </c>
      <c r="R62" s="133"/>
      <c r="S62" s="128"/>
      <c r="T62" s="528"/>
    </row>
    <row r="63" spans="1:20" ht="15" thickTop="1" thickBot="1" x14ac:dyDescent="0.2">
      <c r="A63" s="5" t="s">
        <v>4629</v>
      </c>
      <c r="B63" s="6" t="s">
        <v>4565</v>
      </c>
      <c r="C63" s="7" t="s">
        <v>4566</v>
      </c>
      <c r="D63" s="6" t="s">
        <v>4567</v>
      </c>
      <c r="E63" s="6" t="s">
        <v>4568</v>
      </c>
      <c r="F63" s="6" t="s">
        <v>4569</v>
      </c>
      <c r="G63" s="6" t="s">
        <v>4570</v>
      </c>
      <c r="H63" s="8" t="s">
        <v>4571</v>
      </c>
      <c r="I63" s="547" t="s">
        <v>6200</v>
      </c>
      <c r="J63" s="9" t="s">
        <v>6201</v>
      </c>
      <c r="K63" s="5" t="s">
        <v>4629</v>
      </c>
      <c r="L63" s="6" t="s">
        <v>4565</v>
      </c>
      <c r="M63" s="7" t="s">
        <v>4566</v>
      </c>
      <c r="N63" s="6" t="s">
        <v>4567</v>
      </c>
      <c r="O63" s="6" t="s">
        <v>4568</v>
      </c>
      <c r="P63" s="6" t="s">
        <v>4569</v>
      </c>
      <c r="Q63" s="6" t="s">
        <v>4570</v>
      </c>
      <c r="R63" s="8" t="s">
        <v>4571</v>
      </c>
      <c r="S63" s="547" t="s">
        <v>6288</v>
      </c>
      <c r="T63" s="9" t="s">
        <v>6201</v>
      </c>
    </row>
    <row r="64" spans="1:20" ht="18" thickTop="1" thickBot="1" x14ac:dyDescent="0.2">
      <c r="A64" s="272" t="s">
        <v>6289</v>
      </c>
      <c r="B64" s="11" t="s">
        <v>4631</v>
      </c>
      <c r="C64" s="304" t="s">
        <v>4575</v>
      </c>
      <c r="D64" s="2669" cm="1" t="n">
        <f t="array" ref="D64">INDEX('4층_부하량'!I3:I3000,MATCH(1,("4-DaHall 1-PDU-07"='4층_부하량'!A3:A3000)*(1='4층_부하량'!B3:B3000),0))</f>
        <v>20.38381554439668</v>
      </c>
      <c r="E64" s="15"/>
      <c r="F64" s="15"/>
      <c r="G64" s="15"/>
      <c r="H64" s="13" t="s">
        <v>6205</v>
      </c>
      <c r="I64" s="878" t="s">
        <v>4577</v>
      </c>
      <c r="J64" s="644" t="s">
        <v>6230</v>
      </c>
      <c r="K64" s="272" t="s">
        <v>6290</v>
      </c>
      <c r="L64" s="11" t="s">
        <v>565</v>
      </c>
      <c r="M64" s="304" t="s">
        <v>4723</v>
      </c>
      <c r="N64" s="2669" cm="1">
        <f t="array" ref="N64">INDEX('4층_부하량'!I3:I3000,MATCH(1,("4-DaHall 1-PDU-09"='4층_부하량'!A3:A3000)*(1='4층_부하량'!B3:B3000),0))</f>
        <v>0</v>
      </c>
      <c r="O64" s="2669" cm="1">
        <f t="array" ref="O64">INDEX('4층_부하량'!J3:J3000,MATCH(1,("4-DaHall 1-PDU-09"='4층_부하량'!A3:A3000)*(1='4층_부하량'!B3:B3000),0))</f>
        <v>0</v>
      </c>
      <c r="P64" s="2669" cm="1">
        <f t="array" ref="P64">INDEX('4층_부하량'!K3:K3000,MATCH(1,("4-DaHall 1-PDU-09"='4층_부하량'!A3:A3000)*(1='4층_부하량'!B3:B3000),0))</f>
        <v>0</v>
      </c>
      <c r="Q64" s="15"/>
      <c r="R64" s="13" t="s">
        <v>6252</v>
      </c>
      <c r="S64" s="552" t="s">
        <v>4633</v>
      </c>
      <c r="T64" s="14"/>
    </row>
    <row r="65" spans="1:20" ht="18" thickTop="1" thickBot="1" x14ac:dyDescent="0.2">
      <c r="A65" s="266" t="s">
        <v>6291</v>
      </c>
      <c r="B65" s="17" t="s">
        <v>4631</v>
      </c>
      <c r="C65" s="305" t="s">
        <v>4575</v>
      </c>
      <c r="D65" s="19"/>
      <c r="E65" s="2670" cm="1" t="n">
        <f t="array" ref="E65">INDEX('4층_부하량'!J3:J3000,MATCH(1,("4-DaHall 1-PDU-07"='4층_부하량'!A3:A3000)*(2='4층_부하량'!B3:B3000),0))</f>
        <v>33.56346161897781</v>
      </c>
      <c r="F65" s="19"/>
      <c r="G65" s="19"/>
      <c r="H65" s="17" t="s">
        <v>6205</v>
      </c>
      <c r="I65" s="879" t="s">
        <v>4578</v>
      </c>
      <c r="J65" s="649" t="s">
        <v>6227</v>
      </c>
      <c r="K65" s="16"/>
      <c r="L65" s="17" t="s">
        <v>4590</v>
      </c>
      <c r="M65" s="17" t="s">
        <v>4591</v>
      </c>
      <c r="N65" s="2669" cm="1">
        <f t="array" ref="N65">INDEX('4층_부하량'!I3:I3000,MATCH(1,("4-DaHall 1-PDU-09"='4층_부하량'!A3:A3000)*(2='4층_부하량'!B3:B3000),0))</f>
        <v>0</v>
      </c>
      <c r="O65" s="2669" cm="1">
        <f t="array" ref="O65">INDEX('4층_부하량'!J3:J3000,MATCH(1,("4-DaHall 1-PDU-09"='4층_부하량'!A3:A3000)*(2='4층_부하량'!B3:B3000),0))</f>
        <v>0</v>
      </c>
      <c r="P65" s="2669" cm="1">
        <f t="array" ref="P65">INDEX('4층_부하량'!K3:K3000,MATCH(1,("4-DaHall 1-PDU-09"='4층_부하량'!A3:A3000)*(2='4층_부하량'!B3:B3000),0))</f>
        <v>0</v>
      </c>
      <c r="Q65" s="19"/>
      <c r="R65" s="17" t="s">
        <v>6252</v>
      </c>
      <c r="S65" s="549" t="s">
        <v>4578</v>
      </c>
      <c r="T65" s="20"/>
    </row>
    <row r="66" spans="1:20" ht="18" thickTop="1" thickBot="1" x14ac:dyDescent="0.2">
      <c r="A66" s="267" t="s">
        <v>6292</v>
      </c>
      <c r="B66" s="17" t="s">
        <v>4631</v>
      </c>
      <c r="C66" s="305" t="s">
        <v>4575</v>
      </c>
      <c r="D66" s="21"/>
      <c r="E66" s="21"/>
      <c r="F66" s="2672" cm="1" t="n">
        <f t="array" ref="F66">INDEX('4층_부하량'!K3:K3000,MATCH(1,("4-DaHall 1-PDU-07"='4층_부하량'!A3:A3000)*(3='4층_부하량'!B3:B3000),0))</f>
        <v>5.300606315537995</v>
      </c>
      <c r="G66" s="21"/>
      <c r="H66" s="17" t="s">
        <v>6205</v>
      </c>
      <c r="I66" s="879" t="s">
        <v>4638</v>
      </c>
      <c r="J66" s="644" t="s">
        <v>6230</v>
      </c>
      <c r="K66" s="38"/>
      <c r="L66" s="35" t="s">
        <v>4590</v>
      </c>
      <c r="M66" s="35" t="s">
        <v>4591</v>
      </c>
      <c r="N66" s="2669" cm="1">
        <f t="array" ref="N66">INDEX('4층_부하량'!I3:I3000,MATCH(1,("4-DaHall 1-PDU-09"='4층_부하량'!A3:A3000)*(3='4층_부하량'!B3:B3000),0))</f>
        <v>0</v>
      </c>
      <c r="O66" s="2669" cm="1">
        <f t="array" ref="O66">INDEX('4층_부하량'!J3:J3000,MATCH(1,("4-DaHall 1-PDU-09"='4층_부하량'!A3:A3000)*(3='4층_부하량'!B3:B3000),0))</f>
        <v>0</v>
      </c>
      <c r="P66" s="2669" cm="1">
        <f t="array" ref="P66">INDEX('4층_부하량'!K3:K3000,MATCH(1,("4-DaHall 1-PDU-09"='4층_부하량'!A3:A3000)*(3='4층_부하량'!B3:B3000),0))</f>
        <v>0</v>
      </c>
      <c r="Q66" s="36"/>
      <c r="R66" s="35" t="s">
        <v>6252</v>
      </c>
      <c r="S66" s="551" t="s">
        <v>4638</v>
      </c>
      <c r="T66" s="37"/>
    </row>
    <row r="67" spans="1:20" ht="17.25" thickTop="1" x14ac:dyDescent="0.15">
      <c r="A67" s="267" t="s">
        <v>6293</v>
      </c>
      <c r="B67" s="17" t="s">
        <v>4631</v>
      </c>
      <c r="C67" s="305" t="s">
        <v>4575</v>
      </c>
      <c r="D67" s="2672" cm="1" t="n">
        <f t="array" ref="D67">INDEX('4층_부하량'!I3:I3000,MATCH(1,("4-DaHall 1-PDU-07"='4층_부하량'!A3:A3000)*(4='4층_부하량'!B3:B3000),0))</f>
        <v>10.376700290826985</v>
      </c>
      <c r="E67" s="21"/>
      <c r="F67" s="21"/>
      <c r="G67" s="21"/>
      <c r="H67" s="17" t="s">
        <v>6205</v>
      </c>
      <c r="I67" s="879" t="s">
        <v>4583</v>
      </c>
      <c r="J67" s="649" t="s">
        <v>6227</v>
      </c>
      <c r="K67" s="48"/>
      <c r="L67" s="42"/>
      <c r="M67" s="32" t="s">
        <v>6294</v>
      </c>
      <c r="N67" s="43" t="n">
        <f>SUM(N64:N66)</f>
        <v>0.0</v>
      </c>
      <c r="O67" s="43" t="n">
        <f t="shared" ref="O67:P67" si="1">SUM(O64:O66)</f>
        <v>0.0</v>
      </c>
      <c r="P67" s="43" t="n">
        <f t="shared" si="1"/>
        <v>0.0</v>
      </c>
      <c r="Q67" s="43"/>
      <c r="R67" s="42"/>
      <c r="S67" s="872"/>
      <c r="T67" s="49"/>
    </row>
    <row r="68" spans="1:20" ht="19.5" thickBot="1" x14ac:dyDescent="0.2">
      <c r="A68" s="267" t="s">
        <v>6295</v>
      </c>
      <c r="B68" s="23" t="s">
        <v>4631</v>
      </c>
      <c r="C68" s="306" t="s">
        <v>4575</v>
      </c>
      <c r="D68" s="25"/>
      <c r="E68" s="2673" cm="1" t="n">
        <f t="array" ref="E68">INDEX('4층_부하량'!J3:J3000,MATCH(1,("4-DaHall 1-PDU-07"='4층_부하량'!A3:A3000)*(5='4층_부하량'!B3:B3000),0))</f>
        <v>6.01863954390584</v>
      </c>
      <c r="F68" s="25"/>
      <c r="G68" s="25"/>
      <c r="H68" s="23" t="s">
        <v>6205</v>
      </c>
      <c r="I68" s="879" t="s">
        <v>4641</v>
      </c>
      <c r="J68" s="644" t="s">
        <v>6230</v>
      </c>
      <c r="K68" s="2" t="s">
        <v>6296</v>
      </c>
    </row>
    <row r="69" spans="1:20" ht="18" thickTop="1" thickBot="1" x14ac:dyDescent="0.2">
      <c r="A69" s="267" t="s">
        <v>6297</v>
      </c>
      <c r="B69" s="17" t="s">
        <v>4631</v>
      </c>
      <c r="C69" s="305" t="s">
        <v>4575</v>
      </c>
      <c r="D69" s="21"/>
      <c r="E69" s="21"/>
      <c r="F69" s="2672" cm="1" t="n">
        <f t="array" ref="F69">INDEX('4층_부하량'!K3:K3000,MATCH(1,("4-DaHall 1-PDU-07"='4층_부하량'!A3:A3000)*(6='4층_부하량'!B3:B3000),0))</f>
        <v>15.678262666342668</v>
      </c>
      <c r="G69" s="21"/>
      <c r="H69" s="17" t="s">
        <v>6205</v>
      </c>
      <c r="I69" s="879" t="s">
        <v>4588</v>
      </c>
      <c r="J69" s="649" t="s">
        <v>6227</v>
      </c>
      <c r="K69" s="5" t="s">
        <v>4629</v>
      </c>
      <c r="L69" s="6" t="s">
        <v>4565</v>
      </c>
      <c r="M69" s="7" t="s">
        <v>4566</v>
      </c>
      <c r="N69" s="6" t="s">
        <v>4567</v>
      </c>
      <c r="O69" s="6" t="s">
        <v>4568</v>
      </c>
      <c r="P69" s="6" t="s">
        <v>4569</v>
      </c>
      <c r="Q69" s="6" t="s">
        <v>4570</v>
      </c>
      <c r="R69" s="8" t="s">
        <v>4571</v>
      </c>
      <c r="S69" s="547" t="s">
        <v>6288</v>
      </c>
      <c r="T69" s="9" t="s">
        <v>6201</v>
      </c>
    </row>
    <row r="70" spans="1:20" ht="17.25" thickTop="1" x14ac:dyDescent="0.15">
      <c r="A70" s="266" t="s">
        <v>6298</v>
      </c>
      <c r="B70" s="23" t="s">
        <v>4631</v>
      </c>
      <c r="C70" s="306" t="s">
        <v>4575</v>
      </c>
      <c r="D70" s="2673" cm="1" t="n">
        <f t="array" ref="D70">INDEX('4층_부하량'!I3:I3000,MATCH(1,("4-DaHall 1-PDU-07"='4층_부하량'!A3:A3000)*(7='4층_부하량'!B3:B3000),0))</f>
        <v>13.823360711382549</v>
      </c>
      <c r="E70" s="25"/>
      <c r="F70" s="25"/>
      <c r="G70" s="25"/>
      <c r="H70" s="23" t="s">
        <v>6205</v>
      </c>
      <c r="I70" s="879" t="s">
        <v>4645</v>
      </c>
      <c r="J70" s="644" t="s">
        <v>6230</v>
      </c>
      <c r="K70" s="272" t="s">
        <v>6299</v>
      </c>
      <c r="L70" s="11" t="s">
        <v>565</v>
      </c>
      <c r="M70" s="304" t="s">
        <v>4723</v>
      </c>
      <c r="N70" s="15"/>
      <c r="O70" s="15"/>
      <c r="P70" s="15"/>
      <c r="Q70" s="15"/>
      <c r="R70" s="13" t="s">
        <v>6300</v>
      </c>
      <c r="S70" s="552" t="s">
        <v>4592</v>
      </c>
      <c r="T70" s="14"/>
    </row>
    <row r="71" spans="1:20" ht="17.25" thickBot="1" x14ac:dyDescent="0.2">
      <c r="A71" s="267" t="s">
        <v>6301</v>
      </c>
      <c r="B71" s="23" t="s">
        <v>4631</v>
      </c>
      <c r="C71" s="306" t="s">
        <v>4575</v>
      </c>
      <c r="D71" s="21"/>
      <c r="E71" s="2672" cm="1" t="n">
        <f t="array" ref="E71">INDEX('4층_부하량'!J3:J3000,MATCH(1,("4-DaHall 1-PDU-07"='4층_부하량'!A3:A3000)*(8='4층_부하량'!B3:B3000),0))</f>
        <v>34.30542156451713</v>
      </c>
      <c r="F71" s="21"/>
      <c r="G71" s="21"/>
      <c r="H71" s="17" t="s">
        <v>6205</v>
      </c>
      <c r="I71" s="879" t="s">
        <v>4593</v>
      </c>
      <c r="J71" s="649" t="s">
        <v>6227</v>
      </c>
      <c r="K71" s="16"/>
      <c r="L71" s="17"/>
      <c r="M71" s="17"/>
      <c r="N71" s="19"/>
      <c r="O71" s="19"/>
      <c r="P71" s="19"/>
      <c r="Q71" s="19"/>
      <c r="R71" s="17"/>
      <c r="S71" s="549"/>
      <c r="T71" s="20"/>
    </row>
    <row r="72" spans="1:20" ht="18" thickTop="1" thickBot="1" x14ac:dyDescent="0.2">
      <c r="A72" s="267" t="s">
        <v>6302</v>
      </c>
      <c r="B72" s="23" t="s">
        <v>4631</v>
      </c>
      <c r="C72" s="306" t="s">
        <v>4575</v>
      </c>
      <c r="D72" s="21"/>
      <c r="E72" s="21"/>
      <c r="F72" s="2672" cm="1">
        <f t="array" ref="F72">INDEX('4층_부하량'!K3:K3000,MATCH(1,("4-DaHall 1-PDU-07"='4층_부하량'!A3:A3000)*(9='4층_부하량'!B3:B3000),0))</f>
        <v>0</v>
      </c>
      <c r="G72" s="21"/>
      <c r="H72" s="17" t="s">
        <v>6205</v>
      </c>
      <c r="I72" s="879" t="s">
        <v>4648</v>
      </c>
      <c r="J72" s="651" t="s">
        <v>6243</v>
      </c>
      <c r="K72" s="5" t="s">
        <v>4629</v>
      </c>
      <c r="L72" s="6" t="s">
        <v>4565</v>
      </c>
      <c r="M72" s="7" t="s">
        <v>4566</v>
      </c>
      <c r="N72" s="6" t="s">
        <v>4567</v>
      </c>
      <c r="O72" s="6" t="s">
        <v>4568</v>
      </c>
      <c r="P72" s="6" t="s">
        <v>4569</v>
      </c>
      <c r="Q72" s="6" t="s">
        <v>4570</v>
      </c>
      <c r="R72" s="8" t="s">
        <v>4571</v>
      </c>
      <c r="S72" s="547" t="s">
        <v>6288</v>
      </c>
      <c r="T72" s="9" t="s">
        <v>6201</v>
      </c>
    </row>
    <row r="73" spans="1:20" ht="17.25" thickTop="1" x14ac:dyDescent="0.15">
      <c r="A73" s="267" t="s">
        <v>6303</v>
      </c>
      <c r="B73" s="23" t="s">
        <v>4631</v>
      </c>
      <c r="C73" s="306" t="s">
        <v>4575</v>
      </c>
      <c r="D73" s="2672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6205</v>
      </c>
      <c r="I73" s="879" t="s">
        <v>4596</v>
      </c>
      <c r="J73" s="650" t="s">
        <v>6246</v>
      </c>
      <c r="K73" s="272" t="s">
        <v>6304</v>
      </c>
      <c r="L73" s="11" t="s">
        <v>565</v>
      </c>
      <c r="M73" s="304" t="s">
        <v>4723</v>
      </c>
      <c r="N73" s="15"/>
      <c r="O73" s="15"/>
      <c r="P73" s="15"/>
      <c r="Q73" s="15"/>
      <c r="R73" s="13" t="s">
        <v>6300</v>
      </c>
      <c r="S73" s="552" t="s">
        <v>4592</v>
      </c>
      <c r="T73" s="14"/>
    </row>
    <row r="74" spans="1:20" x14ac:dyDescent="0.15">
      <c r="A74" s="22"/>
      <c r="B74" s="17" t="s">
        <v>4590</v>
      </c>
      <c r="C74" s="17" t="s">
        <v>4642</v>
      </c>
      <c r="D74" s="21"/>
      <c r="E74" s="2672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6205</v>
      </c>
      <c r="I74" s="879" t="s">
        <v>4653</v>
      </c>
      <c r="J74" s="27"/>
      <c r="K74" s="16"/>
      <c r="L74" s="17"/>
      <c r="M74" s="17"/>
      <c r="N74" s="19"/>
      <c r="O74" s="19"/>
      <c r="P74" s="19"/>
      <c r="Q74" s="19"/>
      <c r="R74" s="17"/>
      <c r="S74" s="549"/>
      <c r="T74" s="20"/>
    </row>
    <row r="75" spans="1:20" ht="14.25" thickBot="1" x14ac:dyDescent="0.2">
      <c r="A75" s="34"/>
      <c r="B75" s="35" t="s">
        <v>4590</v>
      </c>
      <c r="C75" s="35" t="s">
        <v>4642</v>
      </c>
      <c r="D75" s="36"/>
      <c r="E75" s="36"/>
      <c r="F75" s="2671" cm="1">
        <f t="array" ref="F75">INDEX('4층_부하량'!K3:K3000,MATCH(1,("4-DaHall 1-PDU-07"='4층_부하량'!A3:A3000)*(12='4층_부하량'!B3:B3000),0))</f>
        <v>0</v>
      </c>
      <c r="G75" s="36"/>
      <c r="H75" s="35" t="s">
        <v>6205</v>
      </c>
      <c r="I75" s="551" t="s">
        <v>4876</v>
      </c>
      <c r="J75" s="37"/>
      <c r="K75" s="38"/>
      <c r="L75" s="35"/>
      <c r="M75" s="35"/>
      <c r="N75" s="36"/>
      <c r="O75" s="36"/>
      <c r="P75" s="36"/>
      <c r="Q75" s="36"/>
      <c r="R75" s="35"/>
      <c r="S75" s="551"/>
      <c r="T75" s="37"/>
    </row>
    <row r="76" spans="1:20" ht="17.25" thickTop="1" x14ac:dyDescent="0.15">
      <c r="C76" s="32" t="s">
        <v>5645</v>
      </c>
      <c r="D76" s="33" t="n">
        <f>SUM(D64:D75)</f>
        <v>44.58387654660621</v>
      </c>
      <c r="E76" s="33" t="n">
        <f>SUM(E64:E75)</f>
        <v>73.88752272740078</v>
      </c>
      <c r="F76" s="33" t="n">
        <f>SUM(F64:F75)</f>
        <v>20.978868981880662</v>
      </c>
    </row>
    <row r="78" spans="1:20" x14ac:dyDescent="0.15">
      <c r="E78" t="s">
        <v>4969</v>
      </c>
      <c r="F78" t="s">
        <v>6305</v>
      </c>
    </row>
    <row r="79" spans="1:20" x14ac:dyDescent="0.15">
      <c r="A79" t="s">
        <v>6306</v>
      </c>
      <c r="B79" s="50" t="s">
        <v>4649</v>
      </c>
      <c r="C79" s="50" t="s">
        <v>4649</v>
      </c>
      <c r="D79" s="50"/>
      <c r="E79" s="33" t="n">
        <f>SUM(N64:P64,D35:F35,E71,F69,D67,E65,O26,P24,N22,O20,D70,E68,F66,D64,N25,O23,P21,N19,N57,O55,N54,P53,O52,N51,P50,O49,N48,D55,F54,E53,D52,P41,O40,D28,E26,D25,F24,E23,D22,F21,E20,D19,N13,P12,O11,N10,F12,E11,N70:P70,N73:P73, F72,P27)</f>
        <v>658.3702899306494</v>
      </c>
      <c r="F79" s="51" t="n">
        <f>E79/$E$83</f>
        <v>0.6049299615557283</v>
      </c>
    </row>
    <row r="80" spans="1:20" x14ac:dyDescent="0.15">
      <c r="B80" s="50" t="s">
        <v>6307</v>
      </c>
      <c r="C80" s="50" t="s">
        <v>6308</v>
      </c>
      <c r="D80" s="50"/>
      <c r="E80" s="33" t="n">
        <f>SUM(D73,N28)</f>
        <v>0.0</v>
      </c>
      <c r="F80" s="51" t="n">
        <f>E80/$E$83</f>
        <v>0.0</v>
      </c>
      <c r="N80" s="33"/>
    </row>
    <row r="81" spans="1:21" x14ac:dyDescent="0.15">
      <c r="B81" s="50" t="s">
        <v>4666</v>
      </c>
      <c r="C81" s="50" t="s">
        <v>6308</v>
      </c>
      <c r="D81" s="50"/>
      <c r="E81" s="33"/>
      <c r="F81" s="51"/>
    </row>
    <row r="82" spans="1:21" x14ac:dyDescent="0.15">
      <c r="B82" s="50" t="s">
        <v>6307</v>
      </c>
      <c r="C82" s="50" t="s">
        <v>6309</v>
      </c>
      <c r="D82" s="50"/>
      <c r="E82" s="33" t="n">
        <f>SUM(F51,E50,D49,N39,P38,O37,N36,N35:P35,P9,O8,N7,D10,F9,E8,D7,D6:F6)</f>
        <v>429.97105827681247</v>
      </c>
      <c r="F82" s="51" t="n">
        <f>E82/$E$83</f>
        <v>0.39507003844427174</v>
      </c>
    </row>
    <row r="83" spans="1:21" x14ac:dyDescent="0.15">
      <c r="A83" t="s">
        <v>6310</v>
      </c>
      <c r="B83" s="50"/>
      <c r="C83" s="50"/>
      <c r="E83" s="33" t="n">
        <f>SUM(E79:E82)</f>
        <v>1088.3413482074618</v>
      </c>
      <c r="F83" s="52" t="n">
        <f>SUM(F79:F82)</f>
        <v>1.0</v>
      </c>
    </row>
    <row r="84" spans="1:21" ht="14.25" thickBot="1" x14ac:dyDescent="0.2"/>
    <row r="85" spans="1:21" ht="20.25" thickTop="1" thickBot="1" x14ac:dyDescent="0.2">
      <c r="A85" s="2" t="s">
        <v>6311</v>
      </c>
      <c r="D85" s="53"/>
      <c r="E85" s="53"/>
      <c r="F85" s="53"/>
      <c r="G85" s="53"/>
      <c r="H85" s="124"/>
      <c r="I85" s="124"/>
      <c r="J85" s="3661" t="s">
        <v>6312</v>
      </c>
      <c r="K85" s="3667"/>
      <c r="L85" s="124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2">
      <c r="A86" s="3"/>
      <c r="C86" s="124"/>
      <c r="D86" s="124"/>
      <c r="E86" s="124"/>
      <c r="G86" s="54"/>
      <c r="H86" s="4"/>
      <c r="I86" s="4"/>
      <c r="K86" s="56"/>
      <c r="L86" s="1373" t="s">
        <v>4562</v>
      </c>
      <c r="M86" s="1374">
        <v>24.1</v>
      </c>
      <c r="N86" s="1375">
        <v>22</v>
      </c>
      <c r="O86" s="1376">
        <v>21.9</v>
      </c>
      <c r="P86" s="1377" t="s">
        <v>4563</v>
      </c>
      <c r="Q86" s="133"/>
      <c r="R86" s="128"/>
      <c r="S86" s="133"/>
      <c r="T86" s="128"/>
      <c r="U86" s="528"/>
    </row>
    <row r="87" spans="1:21" ht="15" thickTop="1" thickBot="1" x14ac:dyDescent="0.2">
      <c r="A87" s="5" t="s">
        <v>4629</v>
      </c>
      <c r="B87" s="6" t="s">
        <v>4565</v>
      </c>
      <c r="C87" s="7" t="s">
        <v>4566</v>
      </c>
      <c r="D87" s="6" t="s">
        <v>4567</v>
      </c>
      <c r="E87" s="6" t="s">
        <v>4568</v>
      </c>
      <c r="F87" s="6" t="s">
        <v>4569</v>
      </c>
      <c r="G87" s="6" t="s">
        <v>4570</v>
      </c>
      <c r="H87" s="8" t="s">
        <v>4571</v>
      </c>
      <c r="I87" s="547"/>
      <c r="J87" s="58" t="s">
        <v>4572</v>
      </c>
      <c r="K87" s="59" t="s">
        <v>4629</v>
      </c>
      <c r="L87" s="8" t="s">
        <v>4571</v>
      </c>
      <c r="M87" s="6" t="s">
        <v>4567</v>
      </c>
      <c r="N87" s="6" t="s">
        <v>4568</v>
      </c>
      <c r="O87" s="6" t="s">
        <v>4569</v>
      </c>
      <c r="P87" s="6" t="s">
        <v>4570</v>
      </c>
      <c r="Q87" s="6" t="s">
        <v>4565</v>
      </c>
      <c r="R87" s="7" t="s">
        <v>4566</v>
      </c>
      <c r="S87" s="876"/>
      <c r="T87" s="60" t="s">
        <v>5037</v>
      </c>
    </row>
    <row r="88" spans="1:21" ht="17.25" thickTop="1" x14ac:dyDescent="0.15">
      <c r="A88" s="123" t="s">
        <v>6313</v>
      </c>
      <c r="B88" s="17" t="s">
        <v>4631</v>
      </c>
      <c r="C88" s="18" t="s">
        <v>4575</v>
      </c>
      <c r="D88" s="2669"/>
      <c r="E88" s="2669"/>
      <c r="F88" s="2669"/>
      <c r="G88" s="310"/>
      <c r="H88" s="312" t="s">
        <v>5893</v>
      </c>
      <c r="I88" s="873"/>
      <c r="J88" s="302"/>
      <c r="K88" s="319" t="s">
        <v>6314</v>
      </c>
      <c r="L88" s="313" t="s">
        <v>5893</v>
      </c>
      <c r="M88" s="2669"/>
      <c r="N88" s="2669"/>
      <c r="O88" s="2669"/>
      <c r="P88" s="310"/>
      <c r="Q88" s="17" t="s">
        <v>4631</v>
      </c>
      <c r="R88" s="18" t="s">
        <v>4575</v>
      </c>
      <c r="S88" s="877"/>
      <c r="T88" s="98"/>
    </row>
    <row r="89" spans="1:21" ht="16.5" x14ac:dyDescent="0.15">
      <c r="A89" s="107" t="s">
        <v>6315</v>
      </c>
      <c r="B89" s="17" t="s">
        <v>4631</v>
      </c>
      <c r="C89" s="18" t="s">
        <v>4575</v>
      </c>
      <c r="D89" s="2670"/>
      <c r="E89" s="2670"/>
      <c r="F89" s="2670"/>
      <c r="G89" s="311">
        <v>0</v>
      </c>
      <c r="H89" s="314" t="s">
        <v>5898</v>
      </c>
      <c r="I89" s="874"/>
      <c r="J89" s="303"/>
      <c r="K89" s="323"/>
      <c r="L89" s="314" t="s">
        <v>5893</v>
      </c>
      <c r="M89" s="2670"/>
      <c r="N89" s="2670"/>
      <c r="O89" s="2670"/>
      <c r="P89" s="315"/>
      <c r="Q89" s="67" t="s">
        <v>4590</v>
      </c>
      <c r="R89" s="17" t="s">
        <v>4642</v>
      </c>
      <c r="S89" s="550"/>
      <c r="T89" s="68"/>
    </row>
    <row r="90" spans="1:21" ht="18" customHeight="1" thickBot="1" x14ac:dyDescent="0.2">
      <c r="A90" s="109" t="s">
        <v>6316</v>
      </c>
      <c r="B90" s="35" t="s">
        <v>4631</v>
      </c>
      <c r="C90" s="39" t="s">
        <v>4575</v>
      </c>
      <c r="D90" s="2671"/>
      <c r="E90" s="2671"/>
      <c r="F90" s="2671"/>
      <c r="G90" s="316">
        <v>0.1</v>
      </c>
      <c r="H90" s="317" t="s">
        <v>5893</v>
      </c>
      <c r="I90" s="875"/>
      <c r="J90" s="318"/>
      <c r="K90" s="320"/>
      <c r="L90" s="317" t="s">
        <v>5893</v>
      </c>
      <c r="M90" s="2671"/>
      <c r="N90" s="2671"/>
      <c r="O90" s="2671"/>
      <c r="P90" s="316"/>
      <c r="Q90" s="35" t="s">
        <v>4590</v>
      </c>
      <c r="R90" s="35" t="s">
        <v>4642</v>
      </c>
      <c r="S90" s="551"/>
      <c r="T90" s="79"/>
    </row>
    <row r="91" spans="1:21" ht="14.25" thickTop="1" x14ac:dyDescent="0.15">
      <c r="L91" s="80" t="s">
        <v>5645</v>
      </c>
      <c r="M91" s="33" t="n">
        <f>SUM(D88:D90,M88:M90)</f>
        <v>0.0</v>
      </c>
      <c r="N91" s="33" t="n">
        <f>SUM(E88:E90,N88:N90)</f>
        <v>0.0</v>
      </c>
      <c r="O91" s="33" t="n">
        <f>SUM(F88:F90,O88:O90)</f>
        <v>0.0</v>
      </c>
    </row>
    <row r="107" ht="16.5" customHeight="1" x14ac:dyDescent="0.1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1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3.5" x14ac:dyDescent="0.15"/>
  <cols>
    <col min="1" max="1" customWidth="true" width="30.77734375" collapsed="false"/>
    <col min="2" max="2" customWidth="true" width="10.77734375" collapsed="false"/>
    <col min="3" max="11" customWidth="true" width="12.77734375" collapsed="false"/>
  </cols>
  <sheetData>
    <row r="1" spans="1:11" ht="16.5" x14ac:dyDescent="0.15">
      <c r="A1" s="3672" t="s">
        <v>9144</v>
      </c>
      <c r="B1" s="3672" t="s">
        <v>9145</v>
      </c>
      <c r="C1" s="3672" t="s">
        <v>9146</v>
      </c>
      <c r="D1" s="3672"/>
      <c r="E1" s="3672"/>
      <c r="F1" s="3672" t="s">
        <v>9147</v>
      </c>
      <c r="G1" s="3672"/>
      <c r="H1" s="3672"/>
      <c r="I1" s="3672" t="s">
        <v>9148</v>
      </c>
      <c r="J1" s="3672"/>
      <c r="K1" s="3672"/>
    </row>
    <row r="2" spans="1:11" ht="16.5" x14ac:dyDescent="0.15">
      <c r="A2" s="3672"/>
      <c r="B2" s="3672"/>
      <c r="C2" s="2698" t="s">
        <v>4567</v>
      </c>
      <c r="D2" s="2698" t="s">
        <v>4568</v>
      </c>
      <c r="E2" s="2698" t="s">
        <v>4569</v>
      </c>
      <c r="F2" s="2698" t="s">
        <v>4567</v>
      </c>
      <c r="G2" s="2698" t="s">
        <v>4568</v>
      </c>
      <c r="H2" s="2698" t="s">
        <v>4569</v>
      </c>
      <c r="I2" s="2698" t="s">
        <v>4567</v>
      </c>
      <c r="J2" s="2698" t="s">
        <v>4568</v>
      </c>
      <c r="K2" s="2698" t="s">
        <v>4569</v>
      </c>
    </row>
    <row r="3" spans="1:11" x14ac:dyDescent="0.15">
      <c r="A3" t="s">
        <v>7018</v>
      </c>
      <c r="B3" t="n">
        <v>1.0</v>
      </c>
      <c r="C3" t="n">
        <v>0.0</v>
      </c>
      <c r="D3"/>
      <c r="E3"/>
      <c r="F3" t="n">
        <v>0.0</v>
      </c>
      <c r="G3"/>
      <c r="H3"/>
      <c r="I3"/>
      <c r="J3"/>
      <c r="K3"/>
    </row>
    <row r="4" spans="1:11" ht="13.5" customHeight="true" x14ac:dyDescent="0.15" hidden="false">
      <c r="A4" t="s">
        <v>7018</v>
      </c>
      <c r="B4" t="n">
        <v>2.0</v>
      </c>
      <c r="C4" t="n">
        <v>0.0</v>
      </c>
      <c r="D4"/>
      <c r="E4"/>
      <c r="F4" t="n">
        <v>0.0</v>
      </c>
      <c r="G4"/>
      <c r="H4"/>
      <c r="I4"/>
      <c r="J4"/>
      <c r="K4"/>
    </row>
    <row r="5" spans="1:11" ht="13.5" customHeight="true" x14ac:dyDescent="0.15" hidden="false">
      <c r="A5" t="s">
        <v>7018</v>
      </c>
      <c r="B5" t="n">
        <v>3.0</v>
      </c>
      <c r="C5"/>
      <c r="D5" t="n">
        <v>0.0</v>
      </c>
      <c r="E5"/>
      <c r="F5"/>
      <c r="G5" t="n">
        <v>0.0</v>
      </c>
      <c r="H5"/>
      <c r="I5"/>
      <c r="J5"/>
      <c r="K5"/>
    </row>
    <row r="6" spans="1:11" ht="13.5" customHeight="true" x14ac:dyDescent="0.15" hidden="false">
      <c r="A6" t="s">
        <v>7018</v>
      </c>
      <c r="B6" t="n">
        <v>4.0</v>
      </c>
      <c r="C6"/>
      <c r="D6" t="n">
        <v>0.0</v>
      </c>
      <c r="E6"/>
      <c r="F6"/>
      <c r="G6" t="n">
        <v>0.0</v>
      </c>
      <c r="H6"/>
      <c r="I6"/>
      <c r="J6"/>
      <c r="K6"/>
    </row>
    <row r="7" spans="1:11" ht="13.5" customHeight="true" x14ac:dyDescent="0.15" hidden="false">
      <c r="A7" t="s">
        <v>7018</v>
      </c>
      <c r="B7" t="n">
        <v>5.0</v>
      </c>
      <c r="C7"/>
      <c r="D7"/>
      <c r="E7" t="n">
        <v>0.0</v>
      </c>
      <c r="F7"/>
      <c r="G7"/>
      <c r="H7" t="n">
        <v>0.0</v>
      </c>
      <c r="I7"/>
      <c r="J7"/>
      <c r="K7"/>
    </row>
    <row r="8" spans="1:11" ht="13.5" customHeight="true" x14ac:dyDescent="0.15" hidden="false">
      <c r="A8" t="s">
        <v>7018</v>
      </c>
      <c r="B8" t="n">
        <v>6.0</v>
      </c>
      <c r="C8"/>
      <c r="D8"/>
      <c r="E8" t="n">
        <v>0.0</v>
      </c>
      <c r="F8"/>
      <c r="G8"/>
      <c r="H8" t="n">
        <v>0.0</v>
      </c>
      <c r="I8"/>
      <c r="J8"/>
      <c r="K8"/>
    </row>
    <row r="9" spans="1:11" ht="13.5" customHeight="true" x14ac:dyDescent="0.15" hidden="false">
      <c r="A9" t="s">
        <v>7018</v>
      </c>
      <c r="B9" t="n">
        <v>7.0</v>
      </c>
      <c r="C9" t="n">
        <v>0.0</v>
      </c>
      <c r="D9"/>
      <c r="E9"/>
      <c r="F9" t="n">
        <v>0.0</v>
      </c>
      <c r="G9"/>
      <c r="H9"/>
      <c r="I9"/>
      <c r="J9"/>
      <c r="K9"/>
    </row>
    <row r="10" spans="1:11" ht="13.5" customHeight="true" x14ac:dyDescent="0.15" hidden="false">
      <c r="A10" t="s">
        <v>7018</v>
      </c>
      <c r="B10" t="n">
        <v>8.0</v>
      </c>
      <c r="C10" t="n">
        <v>0.0</v>
      </c>
      <c r="D10"/>
      <c r="E10"/>
      <c r="F10" t="n">
        <v>2.51</v>
      </c>
      <c r="G10"/>
      <c r="H10"/>
      <c r="I10" t="n">
        <v>2.2949706804150782</v>
      </c>
      <c r="J10"/>
      <c r="K10"/>
    </row>
    <row r="11" spans="1:11" ht="13.5" customHeight="true" x14ac:dyDescent="0.15" hidden="false">
      <c r="A11" t="s">
        <v>7018</v>
      </c>
      <c r="B11" t="n">
        <v>9.0</v>
      </c>
      <c r="C11"/>
      <c r="D11" t="n">
        <v>0.0</v>
      </c>
      <c r="E11"/>
      <c r="F11"/>
      <c r="G11" t="n">
        <v>2.68</v>
      </c>
      <c r="H11"/>
      <c r="I11"/>
      <c r="J11" t="n">
        <v>2.4181724246694554</v>
      </c>
      <c r="K11"/>
    </row>
    <row r="12" spans="1:11" ht="13.5" customHeight="true" x14ac:dyDescent="0.15" hidden="false">
      <c r="A12" t="s">
        <v>7018</v>
      </c>
      <c r="B12" t="n">
        <v>10.0</v>
      </c>
      <c r="C12"/>
      <c r="D12" t="n">
        <v>0.99</v>
      </c>
      <c r="E12"/>
      <c r="F12"/>
      <c r="G12" t="n">
        <v>1.69</v>
      </c>
      <c r="H12"/>
      <c r="I12"/>
      <c r="J12" t="n">
        <v>1.5543268481938066</v>
      </c>
      <c r="K12"/>
    </row>
    <row r="13" spans="1:11" ht="13.5" customHeight="true" x14ac:dyDescent="0.15" hidden="false">
      <c r="A13" t="s">
        <v>7018</v>
      </c>
      <c r="B13" t="n">
        <v>11.0</v>
      </c>
      <c r="C13"/>
      <c r="D13"/>
      <c r="E13" t="n">
        <v>0.0</v>
      </c>
      <c r="F13"/>
      <c r="G13"/>
      <c r="H13" t="n">
        <v>0.0</v>
      </c>
      <c r="I13"/>
      <c r="J13"/>
      <c r="K13"/>
    </row>
    <row r="14" spans="1:11" ht="13.5" customHeight="true" x14ac:dyDescent="0.15" hidden="false">
      <c r="A14" t="s">
        <v>7018</v>
      </c>
      <c r="B14" t="n">
        <v>12.0</v>
      </c>
      <c r="C14"/>
      <c r="D14"/>
      <c r="E14" t="n">
        <v>1.45</v>
      </c>
      <c r="F14"/>
      <c r="G14"/>
      <c r="H14" t="n">
        <v>5.48</v>
      </c>
      <c r="I14"/>
      <c r="J14"/>
      <c r="K14" t="n">
        <v>3.5738968881687865</v>
      </c>
    </row>
    <row r="15" spans="1:11" ht="13.5" customHeight="true" x14ac:dyDescent="0.15" hidden="false">
      <c r="A15" t="s">
        <v>7018</v>
      </c>
      <c r="B15" t="n">
        <v>13.0</v>
      </c>
      <c r="C15" t="n">
        <v>0.0</v>
      </c>
      <c r="D15"/>
      <c r="E15"/>
      <c r="F15" t="n">
        <v>1.53</v>
      </c>
      <c r="G15"/>
      <c r="H15"/>
      <c r="I15" t="n">
        <v>1.4136392633700205</v>
      </c>
      <c r="J15"/>
      <c r="K15"/>
    </row>
    <row r="16" spans="1:11" ht="13.5" customHeight="true" x14ac:dyDescent="0.15" hidden="false">
      <c r="A16" t="s">
        <v>7018</v>
      </c>
      <c r="B16" t="n">
        <v>14.0</v>
      </c>
      <c r="C16" t="n">
        <v>3.11</v>
      </c>
      <c r="D16"/>
      <c r="E16"/>
      <c r="F16" t="n">
        <v>7.19</v>
      </c>
      <c r="G16"/>
      <c r="H16"/>
      <c r="I16" t="n">
        <v>5.845521273869462</v>
      </c>
      <c r="J16"/>
      <c r="K16"/>
    </row>
    <row r="17" spans="1:2" ht="13.5" customHeight="true" x14ac:dyDescent="0.15" hidden="false">
      <c r="A17" t="s">
        <v>7018</v>
      </c>
      <c r="B17" t="n">
        <v>15.0</v>
      </c>
      <c r="C17"/>
      <c r="D17" t="n">
        <v>0.0</v>
      </c>
      <c r="E17"/>
      <c r="F17"/>
      <c r="G17" t="n">
        <v>4.8100000000000005</v>
      </c>
      <c r="H17"/>
      <c r="I17"/>
      <c r="J17" t="n">
        <v>4.093637746796053</v>
      </c>
      <c r="K17"/>
    </row>
    <row r="18" spans="1:2" ht="13.5" customHeight="true" x14ac:dyDescent="0.15" hidden="false">
      <c r="A18" t="s">
        <v>7018</v>
      </c>
      <c r="B18" t="n">
        <v>16.0</v>
      </c>
      <c r="C18"/>
      <c r="D18" t="n">
        <v>2.5</v>
      </c>
      <c r="E18"/>
      <c r="F18"/>
      <c r="G18" t="n">
        <v>6.38</v>
      </c>
      <c r="H18"/>
      <c r="I18"/>
      <c r="J18" t="n">
        <v>3.201366836015006</v>
      </c>
      <c r="K18"/>
    </row>
    <row r="19" spans="1:2" ht="13.5" customHeight="true" x14ac:dyDescent="0.15" hidden="false">
      <c r="A19" t="s">
        <v>7018</v>
      </c>
      <c r="B19" t="n">
        <v>17.0</v>
      </c>
      <c r="C19"/>
      <c r="D19"/>
      <c r="E19" t="n">
        <v>0.0</v>
      </c>
      <c r="F19"/>
      <c r="G19"/>
      <c r="H19" t="n">
        <v>0.0</v>
      </c>
      <c r="I19"/>
      <c r="J19"/>
      <c r="K19"/>
    </row>
    <row r="20" spans="1:2" ht="13.5" customHeight="true" x14ac:dyDescent="0.15" hidden="false">
      <c r="A20" t="s">
        <v>7018</v>
      </c>
      <c r="B20" t="n">
        <v>18.0</v>
      </c>
      <c r="C20"/>
      <c r="D20"/>
      <c r="E20" t="n">
        <v>0.0</v>
      </c>
      <c r="F20"/>
      <c r="G20"/>
      <c r="H20" t="n">
        <v>2.18</v>
      </c>
      <c r="I20"/>
      <c r="J20"/>
      <c r="K20" t="n">
        <v>1.4665239887575583</v>
      </c>
    </row>
    <row r="21" spans="1:2" ht="13.5" customHeight="true" x14ac:dyDescent="0.15" hidden="false">
      <c r="A21" t="s">
        <v>7018</v>
      </c>
      <c r="B21" t="n">
        <v>19.0</v>
      </c>
      <c r="C21" t="n">
        <v>0.99</v>
      </c>
      <c r="D21"/>
      <c r="E21"/>
      <c r="F21" t="n">
        <v>5.38</v>
      </c>
      <c r="G21"/>
      <c r="H21"/>
      <c r="I21" t="n">
        <v>1.7131975900517076</v>
      </c>
      <c r="J21"/>
      <c r="K21"/>
    </row>
    <row r="22" spans="1:2" ht="13.5" customHeight="true" x14ac:dyDescent="0.15" hidden="false">
      <c r="A22" t="s">
        <v>7018</v>
      </c>
      <c r="B22" t="n">
        <v>20.0</v>
      </c>
      <c r="C22" t="n">
        <v>0.0</v>
      </c>
      <c r="D22"/>
      <c r="E22"/>
      <c r="F22" t="n">
        <v>1.52</v>
      </c>
      <c r="G22"/>
      <c r="H22"/>
      <c r="I22" t="n">
        <v>1.4646921370999189</v>
      </c>
      <c r="J22"/>
      <c r="K22"/>
    </row>
    <row r="23" spans="1:2" ht="13.5" customHeight="true" x14ac:dyDescent="0.15" hidden="false">
      <c r="A23" t="s">
        <v>7018</v>
      </c>
      <c r="B23" t="n">
        <v>21.0</v>
      </c>
      <c r="C23"/>
      <c r="D23" t="n">
        <v>0.0</v>
      </c>
      <c r="E23"/>
      <c r="F23"/>
      <c r="G23" t="n">
        <v>0.0</v>
      </c>
      <c r="H23"/>
      <c r="I23"/>
      <c r="J23"/>
      <c r="K23"/>
    </row>
    <row r="24" spans="1:2" ht="13.5" customHeight="true" x14ac:dyDescent="0.15" hidden="false">
      <c r="A24" t="s">
        <v>7018</v>
      </c>
      <c r="B24" t="n">
        <v>22.0</v>
      </c>
      <c r="C24"/>
      <c r="D24" t="n">
        <v>0.0</v>
      </c>
      <c r="E24"/>
      <c r="F24"/>
      <c r="G24" t="n">
        <v>0.0</v>
      </c>
      <c r="H24"/>
      <c r="I24"/>
      <c r="J24"/>
      <c r="K24"/>
    </row>
    <row r="25" spans="1:2" ht="13.5" customHeight="true" x14ac:dyDescent="0.15" hidden="false">
      <c r="A25" t="s">
        <v>7018</v>
      </c>
      <c r="B25" t="n">
        <v>23.0</v>
      </c>
      <c r="C25"/>
      <c r="D25"/>
      <c r="E25" t="n">
        <v>0.0</v>
      </c>
      <c r="F25"/>
      <c r="G25"/>
      <c r="H25" t="n">
        <v>1.5</v>
      </c>
      <c r="I25"/>
      <c r="J25"/>
      <c r="K25" t="n">
        <v>1.4197899476262887</v>
      </c>
    </row>
    <row r="26" spans="1:2" ht="13.5" customHeight="true" x14ac:dyDescent="0.15" hidden="false">
      <c r="A26" t="s">
        <v>7018</v>
      </c>
      <c r="B26" t="n">
        <v>24.0</v>
      </c>
      <c r="C26"/>
      <c r="D26"/>
      <c r="E26" t="n">
        <v>0.0</v>
      </c>
      <c r="F26"/>
      <c r="G26"/>
      <c r="H26" t="n">
        <v>2.29</v>
      </c>
      <c r="I26"/>
      <c r="J26"/>
      <c r="K26" t="n">
        <v>2.134386411753344</v>
      </c>
    </row>
    <row r="27" spans="1:2" ht="13.5" customHeight="true" x14ac:dyDescent="0.15" hidden="false">
      <c r="A27" t="s">
        <v>7018</v>
      </c>
      <c r="B27" t="n">
        <v>25.0</v>
      </c>
      <c r="C27" t="n">
        <v>1.5</v>
      </c>
      <c r="D27"/>
      <c r="E27"/>
      <c r="F27" t="n">
        <v>1.69</v>
      </c>
      <c r="G27"/>
      <c r="H27"/>
      <c r="I27" t="n">
        <v>1.5434871791960851</v>
      </c>
      <c r="J27"/>
      <c r="K27"/>
    </row>
    <row r="28" spans="1:2" ht="13.5" customHeight="true" x14ac:dyDescent="0.15" hidden="false">
      <c r="A28" t="s">
        <v>7018</v>
      </c>
      <c r="B28" t="n">
        <v>26.0</v>
      </c>
      <c r="C28" t="n">
        <v>0.0</v>
      </c>
      <c r="D28"/>
      <c r="E28"/>
      <c r="F28" t="n">
        <v>5.08</v>
      </c>
      <c r="G28"/>
      <c r="H28"/>
      <c r="I28" t="n">
        <v>2.1369531227674723</v>
      </c>
      <c r="J28"/>
      <c r="K28"/>
    </row>
    <row r="29" spans="1:2" ht="13.5" customHeight="true" x14ac:dyDescent="0.15" hidden="false">
      <c r="A29" t="s">
        <v>7018</v>
      </c>
      <c r="B29" t="n">
        <v>27.0</v>
      </c>
      <c r="C29"/>
      <c r="D29" t="n">
        <v>2.96</v>
      </c>
      <c r="E29"/>
      <c r="F29"/>
      <c r="G29" t="n">
        <v>7.12</v>
      </c>
      <c r="H29"/>
      <c r="I29"/>
      <c r="J29" t="n">
        <v>3.838658392298918</v>
      </c>
      <c r="K29"/>
    </row>
    <row r="30" spans="1:2" ht="13.5" customHeight="true" x14ac:dyDescent="0.15" hidden="false">
      <c r="A30" t="s">
        <v>7018</v>
      </c>
      <c r="B30" t="n">
        <v>28.0</v>
      </c>
      <c r="C30"/>
      <c r="D30" t="n">
        <v>0.87</v>
      </c>
      <c r="E30"/>
      <c r="F30"/>
      <c r="G30" t="n">
        <v>4.48</v>
      </c>
      <c r="H30"/>
      <c r="I30"/>
      <c r="J30" t="n">
        <v>1.8009421539281132</v>
      </c>
      <c r="K30"/>
    </row>
    <row r="31" spans="1:2" ht="13.5" customHeight="true" x14ac:dyDescent="0.15" hidden="false">
      <c r="A31" t="s">
        <v>7018</v>
      </c>
      <c r="B31" t="n">
        <v>29.0</v>
      </c>
      <c r="C31"/>
      <c r="D31"/>
      <c r="E31" t="n">
        <v>1.29</v>
      </c>
      <c r="F31"/>
      <c r="G31"/>
      <c r="H31" t="n">
        <v>4.8100000000000005</v>
      </c>
      <c r="I31"/>
      <c r="J31"/>
      <c r="K31" t="n">
        <v>3.7843492903132017</v>
      </c>
    </row>
    <row r="32" spans="1:2" ht="13.5" customHeight="true" x14ac:dyDescent="0.15" hidden="false">
      <c r="A32" t="s">
        <v>7018</v>
      </c>
      <c r="B32" t="n">
        <v>30.0</v>
      </c>
      <c r="C32"/>
      <c r="D32"/>
      <c r="E32" t="n">
        <v>1.5</v>
      </c>
      <c r="F32"/>
      <c r="G32"/>
      <c r="H32" t="n">
        <v>5.98</v>
      </c>
      <c r="I32"/>
      <c r="J32"/>
      <c r="K32" t="n">
        <v>3.863153655586968</v>
      </c>
    </row>
    <row r="33" spans="1:2" ht="13.5" customHeight="true" x14ac:dyDescent="0.15" hidden="false">
      <c r="A33" t="s">
        <v>7018</v>
      </c>
      <c r="B33" t="n">
        <v>31.0</v>
      </c>
      <c r="C33" t="n">
        <v>0.0</v>
      </c>
      <c r="D33"/>
      <c r="E33"/>
      <c r="F33" t="n">
        <v>6.45</v>
      </c>
      <c r="G33"/>
      <c r="H33"/>
      <c r="I33" t="n">
        <v>5.607147499079067</v>
      </c>
      <c r="J33"/>
      <c r="K33"/>
    </row>
    <row r="34" spans="1:2" ht="13.5" customHeight="true" x14ac:dyDescent="0.15" hidden="false">
      <c r="A34" t="s">
        <v>7018</v>
      </c>
      <c r="B34" t="n">
        <v>32.0</v>
      </c>
      <c r="C34" t="n">
        <v>0.0</v>
      </c>
      <c r="D34"/>
      <c r="E34"/>
      <c r="F34" t="n">
        <v>0.0</v>
      </c>
      <c r="G34"/>
      <c r="H34"/>
      <c r="I34"/>
      <c r="J34"/>
      <c r="K34"/>
    </row>
    <row r="35" spans="1:2" ht="13.5" customHeight="true" x14ac:dyDescent="0.15" hidden="false">
      <c r="A35" t="s">
        <v>7018</v>
      </c>
      <c r="B35" t="n">
        <v>33.0</v>
      </c>
      <c r="C35"/>
      <c r="D35" t="n">
        <v>0.0</v>
      </c>
      <c r="E35"/>
      <c r="F35"/>
      <c r="G35" t="n">
        <v>0.0</v>
      </c>
      <c r="H35"/>
      <c r="I35"/>
      <c r="J35"/>
      <c r="K35"/>
    </row>
    <row r="36" spans="1:2" ht="13.5" customHeight="true" x14ac:dyDescent="0.15" hidden="false">
      <c r="A36" t="s">
        <v>7018</v>
      </c>
      <c r="B36" t="n">
        <v>34.0</v>
      </c>
      <c r="C36"/>
      <c r="D36" t="n">
        <v>0.0</v>
      </c>
      <c r="E36"/>
      <c r="F36"/>
      <c r="G36" t="n">
        <v>4.2</v>
      </c>
      <c r="H36"/>
      <c r="I36"/>
      <c r="J36" t="n">
        <v>1.4248216040418846</v>
      </c>
      <c r="K36"/>
    </row>
    <row r="37" spans="1:2" ht="13.5" customHeight="true" x14ac:dyDescent="0.15" hidden="false">
      <c r="A37" t="s">
        <v>7018</v>
      </c>
      <c r="B37" t="n">
        <v>35.0</v>
      </c>
      <c r="C37"/>
      <c r="D37"/>
      <c r="E37" t="n">
        <v>0.0</v>
      </c>
      <c r="F37"/>
      <c r="G37"/>
      <c r="H37" t="n">
        <v>9.68</v>
      </c>
      <c r="I37"/>
      <c r="J37"/>
      <c r="K37" t="n">
        <v>4.058873225742741</v>
      </c>
    </row>
    <row r="38" spans="1:2" ht="13.5" customHeight="true" x14ac:dyDescent="0.15" hidden="false">
      <c r="A38" t="s">
        <v>7018</v>
      </c>
      <c r="B38" t="n">
        <v>36.0</v>
      </c>
      <c r="C38"/>
      <c r="D38"/>
      <c r="E38" t="n">
        <v>0.0</v>
      </c>
      <c r="F38"/>
      <c r="G38"/>
      <c r="H38" t="n">
        <v>4.25</v>
      </c>
      <c r="I38"/>
      <c r="J38"/>
      <c r="K38" t="n">
        <v>3.4251792844173434</v>
      </c>
    </row>
    <row r="39" spans="1:2" ht="13.5" customHeight="true" x14ac:dyDescent="0.15" hidden="false">
      <c r="A39" t="s">
        <v>7018</v>
      </c>
      <c r="B39" t="n">
        <v>37.0</v>
      </c>
      <c r="C39" t="n">
        <v>0.0</v>
      </c>
      <c r="D39"/>
      <c r="E39"/>
      <c r="F39" t="n">
        <v>5.39</v>
      </c>
      <c r="G39"/>
      <c r="H39"/>
      <c r="I39" t="n">
        <v>4.639033273214255</v>
      </c>
      <c r="J39"/>
      <c r="K39"/>
    </row>
    <row r="40" spans="1:2" ht="13.5" customHeight="true" x14ac:dyDescent="0.15" hidden="false">
      <c r="A40" t="s">
        <v>7018</v>
      </c>
      <c r="B40" t="n">
        <v>38.0</v>
      </c>
      <c r="C40" t="n">
        <v>0.0</v>
      </c>
      <c r="D40"/>
      <c r="E40"/>
      <c r="F40" t="n">
        <v>3.99</v>
      </c>
      <c r="G40"/>
      <c r="H40"/>
      <c r="I40" t="n">
        <v>2.4541570758661657</v>
      </c>
      <c r="J40"/>
      <c r="K40"/>
    </row>
    <row r="41" spans="1:2" ht="13.5" customHeight="true" x14ac:dyDescent="0.15" hidden="false">
      <c r="A41" t="s">
        <v>7018</v>
      </c>
      <c r="B41" t="n">
        <v>39.0</v>
      </c>
      <c r="C41"/>
      <c r="D41" t="n">
        <v>0.0</v>
      </c>
      <c r="E41"/>
      <c r="F41"/>
      <c r="G41" t="n">
        <v>2.31</v>
      </c>
      <c r="H41"/>
      <c r="I41"/>
      <c r="J41" t="n">
        <v>2.083290157007782</v>
      </c>
      <c r="K41"/>
    </row>
    <row r="42" spans="1:2" ht="13.5" customHeight="true" x14ac:dyDescent="0.15" hidden="false">
      <c r="A42" t="s">
        <v>7018</v>
      </c>
      <c r="B42" t="n">
        <v>40.0</v>
      </c>
      <c r="C42"/>
      <c r="D42" t="n">
        <v>0.0</v>
      </c>
      <c r="E42"/>
      <c r="F42"/>
      <c r="G42" t="n">
        <v>4.99</v>
      </c>
      <c r="H42"/>
      <c r="I42"/>
      <c r="J42" t="n">
        <v>4.831709353141136</v>
      </c>
      <c r="K42"/>
    </row>
    <row r="43" spans="1:2" ht="13.5" customHeight="true" x14ac:dyDescent="0.15" hidden="false">
      <c r="A43" t="s">
        <v>7019</v>
      </c>
      <c r="B43" t="n">
        <v>1.0</v>
      </c>
      <c r="C43"/>
      <c r="D43" t="n">
        <v>0.0</v>
      </c>
      <c r="E43"/>
      <c r="F43"/>
      <c r="G43" t="n">
        <v>0.0</v>
      </c>
      <c r="H43"/>
      <c r="I43"/>
      <c r="J43"/>
      <c r="K43"/>
    </row>
    <row r="44" spans="1:2" ht="13.5" customHeight="true" x14ac:dyDescent="0.15" hidden="false">
      <c r="A44" t="s">
        <v>7019</v>
      </c>
      <c r="B44" t="n">
        <v>2.0</v>
      </c>
      <c r="C44"/>
      <c r="D44" t="n">
        <v>0.0</v>
      </c>
      <c r="E44"/>
      <c r="F44"/>
      <c r="G44" t="n">
        <v>5.89</v>
      </c>
      <c r="H44"/>
      <c r="I44"/>
      <c r="J44" t="n">
        <v>5.48280176137085</v>
      </c>
      <c r="K44"/>
    </row>
    <row r="45" spans="1:2" ht="13.5" customHeight="true" x14ac:dyDescent="0.15" hidden="false">
      <c r="A45" t="s">
        <v>7019</v>
      </c>
      <c r="B45" t="n">
        <v>3.0</v>
      </c>
      <c r="C45"/>
      <c r="D45"/>
      <c r="E45" t="n">
        <v>0.0</v>
      </c>
      <c r="F45"/>
      <c r="G45"/>
      <c r="H45" t="n">
        <v>6.13</v>
      </c>
      <c r="I45"/>
      <c r="J45"/>
      <c r="K45" t="n">
        <v>5.5321671800230545</v>
      </c>
    </row>
    <row r="46" spans="1:2" ht="13.5" customHeight="true" x14ac:dyDescent="0.15" hidden="false">
      <c r="A46" t="s">
        <v>7019</v>
      </c>
      <c r="B46" t="n">
        <v>4.0</v>
      </c>
      <c r="C46"/>
      <c r="D46"/>
      <c r="E46" t="n">
        <v>0.0</v>
      </c>
      <c r="F46"/>
      <c r="G46"/>
      <c r="H46" t="n">
        <v>5.78</v>
      </c>
      <c r="I46"/>
      <c r="J46"/>
      <c r="K46" t="n">
        <v>5.37887089283527</v>
      </c>
    </row>
    <row r="47" spans="1:2" ht="13.5" customHeight="true" x14ac:dyDescent="0.15" hidden="false">
      <c r="A47" t="s">
        <v>7019</v>
      </c>
      <c r="B47" t="n">
        <v>5.0</v>
      </c>
      <c r="C47" t="n">
        <v>0.0</v>
      </c>
      <c r="D47"/>
      <c r="E47"/>
      <c r="F47" t="n">
        <v>6.05</v>
      </c>
      <c r="G47"/>
      <c r="H47"/>
      <c r="I47" t="n">
        <v>5.540082027053855</v>
      </c>
      <c r="J47"/>
      <c r="K47"/>
    </row>
    <row r="48" spans="1:2" ht="13.5" customHeight="true" x14ac:dyDescent="0.15" hidden="false">
      <c r="A48" t="s">
        <v>7019</v>
      </c>
      <c r="B48" t="n">
        <v>6.0</v>
      </c>
      <c r="C48" t="n">
        <v>0.0</v>
      </c>
      <c r="D48"/>
      <c r="E48"/>
      <c r="F48" t="n">
        <v>5.72</v>
      </c>
      <c r="G48"/>
      <c r="H48"/>
      <c r="I48" t="n">
        <v>5.323417586329633</v>
      </c>
      <c r="J48"/>
      <c r="K48"/>
    </row>
    <row r="49" spans="1:2" ht="13.5" customHeight="true" x14ac:dyDescent="0.15" hidden="false">
      <c r="A49" t="s">
        <v>7019</v>
      </c>
      <c r="B49" t="n">
        <v>7.0</v>
      </c>
      <c r="C49"/>
      <c r="D49" t="n">
        <v>5.24</v>
      </c>
      <c r="E49"/>
      <c r="F49"/>
      <c r="G49" t="n">
        <v>5.78</v>
      </c>
      <c r="H49"/>
      <c r="I49"/>
      <c r="J49" t="n">
        <v>5.645051225700976</v>
      </c>
      <c r="K49"/>
    </row>
    <row r="50" spans="1:2" ht="13.5" customHeight="true" x14ac:dyDescent="0.15" hidden="false">
      <c r="A50" t="s">
        <v>7019</v>
      </c>
      <c r="B50" t="n">
        <v>8.0</v>
      </c>
      <c r="C50"/>
      <c r="D50" t="n">
        <v>0.0</v>
      </c>
      <c r="E50"/>
      <c r="F50"/>
      <c r="G50" t="n">
        <v>1.09</v>
      </c>
      <c r="H50"/>
      <c r="I50"/>
      <c r="J50" t="n">
        <v>1.0109599606626485</v>
      </c>
      <c r="K50"/>
    </row>
    <row r="51" spans="1:2" ht="13.5" customHeight="true" x14ac:dyDescent="0.15" hidden="false">
      <c r="A51" t="s">
        <v>7019</v>
      </c>
      <c r="B51" t="n">
        <v>9.0</v>
      </c>
      <c r="C51"/>
      <c r="D51"/>
      <c r="E51" t="n">
        <v>3.26</v>
      </c>
      <c r="F51"/>
      <c r="G51"/>
      <c r="H51" t="n">
        <v>6.04</v>
      </c>
      <c r="I51"/>
      <c r="J51"/>
      <c r="K51" t="n">
        <v>5.14516207259493</v>
      </c>
    </row>
    <row r="52" spans="1:2" ht="13.5" customHeight="true" x14ac:dyDescent="0.15" hidden="false">
      <c r="A52" t="s">
        <v>7019</v>
      </c>
      <c r="B52" t="n">
        <v>10.0</v>
      </c>
      <c r="C52"/>
      <c r="D52"/>
      <c r="E52" t="n">
        <v>2.82</v>
      </c>
      <c r="F52"/>
      <c r="G52"/>
      <c r="H52" t="n">
        <v>9.39</v>
      </c>
      <c r="I52"/>
      <c r="J52"/>
      <c r="K52" t="n">
        <v>4.361800553596836</v>
      </c>
    </row>
    <row r="53" spans="1:2" ht="13.5" customHeight="true" x14ac:dyDescent="0.15" hidden="false">
      <c r="A53" t="s">
        <v>7019</v>
      </c>
      <c r="B53" t="n">
        <v>11.0</v>
      </c>
      <c r="C53" t="n">
        <v>4.0</v>
      </c>
      <c r="D53"/>
      <c r="E53"/>
      <c r="F53" t="n">
        <v>5.71</v>
      </c>
      <c r="G53"/>
      <c r="H53"/>
      <c r="I53" t="n">
        <v>5.427523487211216</v>
      </c>
      <c r="J53"/>
      <c r="K53"/>
    </row>
    <row r="54" spans="1:2" ht="13.5" customHeight="true" x14ac:dyDescent="0.15" hidden="false">
      <c r="A54" t="s">
        <v>7019</v>
      </c>
      <c r="B54" t="n">
        <v>12.0</v>
      </c>
      <c r="C54" t="n">
        <v>0.0</v>
      </c>
      <c r="D54"/>
      <c r="E54"/>
      <c r="F54" t="n">
        <v>3.22</v>
      </c>
      <c r="G54"/>
      <c r="H54"/>
      <c r="I54" t="n">
        <v>2.677312114399676</v>
      </c>
      <c r="J54"/>
      <c r="K54"/>
    </row>
    <row r="55" spans="1:2" ht="13.5" customHeight="true" x14ac:dyDescent="0.15" hidden="false">
      <c r="A55" t="s">
        <v>7019</v>
      </c>
      <c r="B55" t="n">
        <v>13.0</v>
      </c>
      <c r="C55"/>
      <c r="D55" t="n">
        <v>2.33</v>
      </c>
      <c r="E55"/>
      <c r="F55"/>
      <c r="G55" t="n">
        <v>5.26</v>
      </c>
      <c r="H55"/>
      <c r="I55"/>
      <c r="J55" t="n">
        <v>4.692340245787883</v>
      </c>
      <c r="K55"/>
    </row>
    <row r="56" spans="1:2" ht="13.5" customHeight="true" x14ac:dyDescent="0.15" hidden="false">
      <c r="A56" t="s">
        <v>7019</v>
      </c>
      <c r="B56" t="n">
        <v>14.0</v>
      </c>
      <c r="C56"/>
      <c r="D56" t="n">
        <v>2.9699999999999998</v>
      </c>
      <c r="E56"/>
      <c r="F56"/>
      <c r="G56" t="n">
        <v>4.19</v>
      </c>
      <c r="H56"/>
      <c r="I56"/>
      <c r="J56" t="n">
        <v>3.219577070437216</v>
      </c>
      <c r="K56"/>
    </row>
    <row r="57" spans="1:2" ht="13.5" customHeight="true" x14ac:dyDescent="0.15" hidden="false">
      <c r="A57" t="s">
        <v>7019</v>
      </c>
      <c r="B57" t="n">
        <v>15.0</v>
      </c>
      <c r="C57"/>
      <c r="D57"/>
      <c r="E57" t="n">
        <v>1.08</v>
      </c>
      <c r="F57"/>
      <c r="G57"/>
      <c r="H57" t="n">
        <v>2.49</v>
      </c>
      <c r="I57"/>
      <c r="J57"/>
      <c r="K57" t="n">
        <v>1.1918898085915388</v>
      </c>
    </row>
    <row r="58" spans="1:2" ht="13.5" customHeight="true" x14ac:dyDescent="0.15" hidden="false">
      <c r="A58" t="s">
        <v>7019</v>
      </c>
      <c r="B58" t="n">
        <v>16.0</v>
      </c>
      <c r="C58"/>
      <c r="D58"/>
      <c r="E58" t="n">
        <v>2.38</v>
      </c>
      <c r="F58"/>
      <c r="G58"/>
      <c r="H58" t="n">
        <v>3.77</v>
      </c>
      <c r="I58"/>
      <c r="J58"/>
      <c r="K58" t="n">
        <v>3.0964540289736746</v>
      </c>
    </row>
    <row r="59" spans="1:2" ht="13.5" customHeight="true" x14ac:dyDescent="0.15" hidden="false">
      <c r="A59" t="s">
        <v>7019</v>
      </c>
      <c r="B59" t="n">
        <v>17.0</v>
      </c>
      <c r="C59" t="n">
        <v>3.26</v>
      </c>
      <c r="D59"/>
      <c r="E59"/>
      <c r="F59" t="n">
        <v>8.53</v>
      </c>
      <c r="G59"/>
      <c r="H59"/>
      <c r="I59" t="n">
        <v>4.288680204436017</v>
      </c>
      <c r="J59"/>
      <c r="K59"/>
    </row>
    <row r="60" spans="1:2" ht="13.5" customHeight="true" x14ac:dyDescent="0.15" hidden="false">
      <c r="A60" t="s">
        <v>7019</v>
      </c>
      <c r="B60" t="n">
        <v>18.0</v>
      </c>
      <c r="C60" t="n">
        <v>1.74</v>
      </c>
      <c r="D60"/>
      <c r="E60"/>
      <c r="F60" t="n">
        <v>6.82</v>
      </c>
      <c r="G60"/>
      <c r="H60"/>
      <c r="I60" t="n">
        <v>2.646656845602416</v>
      </c>
      <c r="J60"/>
      <c r="K60"/>
    </row>
    <row r="61" spans="1:2" ht="13.5" customHeight="true" x14ac:dyDescent="0.15" hidden="false">
      <c r="A61" t="s">
        <v>7019</v>
      </c>
      <c r="B61" t="n">
        <v>19.0</v>
      </c>
      <c r="C61"/>
      <c r="D61" t="n">
        <v>0.0</v>
      </c>
      <c r="E61"/>
      <c r="F61"/>
      <c r="G61" t="n">
        <v>9.22</v>
      </c>
      <c r="H61"/>
      <c r="I61"/>
      <c r="J61" t="n">
        <v>8.604769380759699</v>
      </c>
      <c r="K61"/>
    </row>
    <row r="62" spans="1:2" ht="13.5" customHeight="true" x14ac:dyDescent="0.15" hidden="false">
      <c r="A62" t="s">
        <v>7019</v>
      </c>
      <c r="B62" t="n">
        <v>20.0</v>
      </c>
      <c r="C62"/>
      <c r="D62" t="n">
        <v>1.8399999999999999</v>
      </c>
      <c r="E62"/>
      <c r="F62"/>
      <c r="G62" t="n">
        <v>3.06</v>
      </c>
      <c r="H62"/>
      <c r="I62"/>
      <c r="J62" t="n">
        <v>1.9609136692230669</v>
      </c>
      <c r="K62"/>
    </row>
    <row r="63" spans="1:2" ht="13.5" customHeight="true" x14ac:dyDescent="0.15" hidden="false">
      <c r="A63" t="s">
        <v>7019</v>
      </c>
      <c r="B63" t="n">
        <v>21.0</v>
      </c>
      <c r="C63"/>
      <c r="D63"/>
      <c r="E63" t="n">
        <v>0.0</v>
      </c>
      <c r="F63"/>
      <c r="G63"/>
      <c r="H63" t="n">
        <v>4.65</v>
      </c>
      <c r="I63"/>
      <c r="J63"/>
      <c r="K63" t="n">
        <v>4.031293740106393</v>
      </c>
    </row>
    <row r="64" spans="1:2" ht="13.5" customHeight="true" x14ac:dyDescent="0.15" hidden="false">
      <c r="A64" t="s">
        <v>7019</v>
      </c>
      <c r="B64" t="n">
        <v>22.0</v>
      </c>
      <c r="C64"/>
      <c r="D64"/>
      <c r="E64" t="n">
        <v>0.0</v>
      </c>
      <c r="F64"/>
      <c r="G64"/>
      <c r="H64" t="n">
        <v>1.99</v>
      </c>
      <c r="I64"/>
      <c r="J64"/>
      <c r="K64" t="n">
        <v>1.9177739815594608</v>
      </c>
    </row>
    <row r="65" spans="1:2" ht="13.5" customHeight="true" x14ac:dyDescent="0.15" hidden="false">
      <c r="A65" t="s">
        <v>7019</v>
      </c>
      <c r="B65" t="n">
        <v>23.0</v>
      </c>
      <c r="C65" t="n">
        <v>0.0</v>
      </c>
      <c r="D65"/>
      <c r="E65"/>
      <c r="F65" t="n">
        <v>3.7</v>
      </c>
      <c r="G65"/>
      <c r="H65"/>
      <c r="I65" t="n">
        <v>2.623828546722674</v>
      </c>
      <c r="J65"/>
      <c r="K65"/>
    </row>
    <row r="66" spans="1:2" ht="13.5" customHeight="true" x14ac:dyDescent="0.15" hidden="false">
      <c r="A66" t="s">
        <v>7019</v>
      </c>
      <c r="B66" t="n">
        <v>24.0</v>
      </c>
      <c r="C66" t="n">
        <v>0.0</v>
      </c>
      <c r="D66"/>
      <c r="E66"/>
      <c r="F66" t="n">
        <v>2.41</v>
      </c>
      <c r="G66"/>
      <c r="H66"/>
      <c r="I66" t="n">
        <v>2.2106990843434486</v>
      </c>
      <c r="J66"/>
      <c r="K66"/>
    </row>
    <row r="67" spans="1:2" ht="13.5" customHeight="true" x14ac:dyDescent="0.15" hidden="false">
      <c r="A67" t="s">
        <v>7019</v>
      </c>
      <c r="B67" t="n">
        <v>25.0</v>
      </c>
      <c r="C67"/>
      <c r="D67" t="n">
        <v>0.89</v>
      </c>
      <c r="E67"/>
      <c r="F67"/>
      <c r="G67" t="n">
        <v>2.35</v>
      </c>
      <c r="H67"/>
      <c r="I67"/>
      <c r="J67" t="n">
        <v>2.0639808639304387</v>
      </c>
      <c r="K67"/>
    </row>
    <row r="68" spans="1:2" ht="13.5" customHeight="true" x14ac:dyDescent="0.15" hidden="false">
      <c r="A68" t="s">
        <v>7019</v>
      </c>
      <c r="B68" t="n">
        <v>26.0</v>
      </c>
      <c r="C68"/>
      <c r="D68" t="n">
        <v>0.56</v>
      </c>
      <c r="E68"/>
      <c r="F68"/>
      <c r="G68" t="n">
        <v>3.65</v>
      </c>
      <c r="H68"/>
      <c r="I68"/>
      <c r="J68" t="n">
        <v>3.043373083280092</v>
      </c>
      <c r="K68"/>
    </row>
    <row r="69" spans="1:2" ht="13.5" customHeight="true" x14ac:dyDescent="0.15" hidden="false">
      <c r="A69" t="s">
        <v>7019</v>
      </c>
      <c r="B69" t="n">
        <v>27.0</v>
      </c>
      <c r="C69"/>
      <c r="D69"/>
      <c r="E69" t="n">
        <v>0.23</v>
      </c>
      <c r="F69"/>
      <c r="G69"/>
      <c r="H69" t="n">
        <v>4.23</v>
      </c>
      <c r="I69"/>
      <c r="J69"/>
      <c r="K69" t="n">
        <v>3.106611115487092</v>
      </c>
    </row>
    <row r="70" spans="1:2" ht="13.5" customHeight="true" x14ac:dyDescent="0.15" hidden="false">
      <c r="A70" t="s">
        <v>7019</v>
      </c>
      <c r="B70" t="n">
        <v>28.0</v>
      </c>
      <c r="C70"/>
      <c r="D70"/>
      <c r="E70" t="n">
        <v>0.0</v>
      </c>
      <c r="F70"/>
      <c r="G70"/>
      <c r="H70" t="n">
        <v>5.87</v>
      </c>
      <c r="I70"/>
      <c r="J70"/>
      <c r="K70" t="n">
        <v>5.662090203987628</v>
      </c>
    </row>
    <row r="71" spans="1:2" ht="13.5" customHeight="true" x14ac:dyDescent="0.15" hidden="false">
      <c r="A71" t="s">
        <v>7019</v>
      </c>
      <c r="B71" t="n">
        <v>29.0</v>
      </c>
      <c r="C71" t="n">
        <v>0.0</v>
      </c>
      <c r="D71"/>
      <c r="E71"/>
      <c r="F71" t="n">
        <v>2.49</v>
      </c>
      <c r="G71"/>
      <c r="H71"/>
      <c r="I71" t="n">
        <v>1.8172282026872306</v>
      </c>
      <c r="J71"/>
      <c r="K71"/>
    </row>
    <row r="72" spans="1:2" ht="13.5" customHeight="true" x14ac:dyDescent="0.15" hidden="false">
      <c r="A72" t="s">
        <v>7019</v>
      </c>
      <c r="B72" t="n">
        <v>30.0</v>
      </c>
      <c r="C72" t="n">
        <v>0.0</v>
      </c>
      <c r="D72"/>
      <c r="E72"/>
      <c r="F72" t="n">
        <v>0.68</v>
      </c>
      <c r="G72"/>
      <c r="H72"/>
      <c r="I72" t="n">
        <v>0.5586005772034726</v>
      </c>
      <c r="J72"/>
      <c r="K72"/>
    </row>
    <row r="73" spans="1:2" ht="13.5" customHeight="true" x14ac:dyDescent="0.15" hidden="false">
      <c r="A73" t="s">
        <v>7019</v>
      </c>
      <c r="B73" t="n">
        <v>31.0</v>
      </c>
      <c r="C73"/>
      <c r="D73" t="n">
        <v>0.0</v>
      </c>
      <c r="E73"/>
      <c r="F73"/>
      <c r="G73" t="n">
        <v>3.76</v>
      </c>
      <c r="H73"/>
      <c r="I73"/>
      <c r="J73" t="n">
        <v>3.247059909651155</v>
      </c>
      <c r="K73"/>
    </row>
    <row r="74" spans="1:2" ht="13.5" customHeight="true" x14ac:dyDescent="0.15" hidden="false">
      <c r="A74" t="s">
        <v>7019</v>
      </c>
      <c r="B74" t="n">
        <v>32.0</v>
      </c>
      <c r="C74"/>
      <c r="D74" t="n">
        <v>1.8900000000000001</v>
      </c>
      <c r="E74"/>
      <c r="F74"/>
      <c r="G74" t="n">
        <v>3.54</v>
      </c>
      <c r="H74"/>
      <c r="I74"/>
      <c r="J74" t="n">
        <v>2.1670946093726235</v>
      </c>
      <c r="K74"/>
    </row>
    <row r="75" spans="1:2" ht="13.5" customHeight="true" x14ac:dyDescent="0.15" hidden="false">
      <c r="A75" t="s">
        <v>7019</v>
      </c>
      <c r="B75" t="n">
        <v>33.0</v>
      </c>
      <c r="C75"/>
      <c r="D75"/>
      <c r="E75" t="n">
        <v>0.0</v>
      </c>
      <c r="F75"/>
      <c r="G75"/>
      <c r="H75" t="n">
        <v>8.58</v>
      </c>
      <c r="I75"/>
      <c r="J75"/>
      <c r="K75" t="n">
        <v>8.142526174883903</v>
      </c>
    </row>
    <row r="76" spans="1:2" ht="13.5" customHeight="true" x14ac:dyDescent="0.15" hidden="false">
      <c r="A76" t="s">
        <v>7019</v>
      </c>
      <c r="B76" t="n">
        <v>34.0</v>
      </c>
      <c r="C76"/>
      <c r="D76"/>
      <c r="E76" t="n">
        <v>0.0</v>
      </c>
      <c r="F76"/>
      <c r="G76"/>
      <c r="H76" t="n">
        <v>3.22</v>
      </c>
      <c r="I76"/>
      <c r="J76"/>
      <c r="K76" t="n">
        <v>2.8910744098567793</v>
      </c>
    </row>
    <row r="77" spans="1:2" ht="13.5" customHeight="true" x14ac:dyDescent="0.15" hidden="false">
      <c r="A77" t="s">
        <v>7019</v>
      </c>
      <c r="B77" t="n">
        <v>35.0</v>
      </c>
      <c r="C77" t="n">
        <v>2.92</v>
      </c>
      <c r="D77"/>
      <c r="E77"/>
      <c r="F77" t="n">
        <v>6.8100000000000005</v>
      </c>
      <c r="G77"/>
      <c r="H77"/>
      <c r="I77" t="n">
        <v>5.843931921689665</v>
      </c>
      <c r="J77"/>
      <c r="K77"/>
    </row>
    <row r="78" spans="1:2" ht="13.5" customHeight="true" x14ac:dyDescent="0.15" hidden="false">
      <c r="A78" t="s">
        <v>7019</v>
      </c>
      <c r="B78" t="n">
        <v>36.0</v>
      </c>
      <c r="C78" t="n">
        <v>0.0</v>
      </c>
      <c r="D78"/>
      <c r="E78"/>
      <c r="F78" t="n">
        <v>1.77</v>
      </c>
      <c r="G78"/>
      <c r="H78"/>
      <c r="I78" t="n">
        <v>1.645091779744772</v>
      </c>
      <c r="J78"/>
      <c r="K78"/>
    </row>
    <row r="79" spans="1:2" ht="13.5" customHeight="true" x14ac:dyDescent="0.15" hidden="false">
      <c r="A79" t="s">
        <v>7019</v>
      </c>
      <c r="B79" t="n">
        <v>37.0</v>
      </c>
      <c r="C79"/>
      <c r="D79" t="n">
        <v>0.0</v>
      </c>
      <c r="E79"/>
      <c r="F79"/>
      <c r="G79" t="n">
        <v>3.04</v>
      </c>
      <c r="H79"/>
      <c r="I79"/>
      <c r="J79" t="n">
        <v>1.237209680569701</v>
      </c>
      <c r="K79"/>
    </row>
    <row r="80" spans="1:2" ht="13.5" customHeight="true" x14ac:dyDescent="0.15" hidden="false">
      <c r="A80" t="s">
        <v>7019</v>
      </c>
      <c r="B80" t="n">
        <v>38.0</v>
      </c>
      <c r="C80"/>
      <c r="D80" t="n">
        <v>1.9100000000000001</v>
      </c>
      <c r="E80"/>
      <c r="F80"/>
      <c r="G80" t="n">
        <v>4.11</v>
      </c>
      <c r="H80"/>
      <c r="I80"/>
      <c r="J80" t="n">
        <v>3.521365430818389</v>
      </c>
      <c r="K80"/>
    </row>
    <row r="81" spans="1:2" ht="13.5" customHeight="true" x14ac:dyDescent="0.15" hidden="false">
      <c r="A81" t="s">
        <v>7019</v>
      </c>
      <c r="B81" t="n">
        <v>39.0</v>
      </c>
      <c r="C81"/>
      <c r="D81"/>
      <c r="E81" t="n">
        <v>1.83</v>
      </c>
      <c r="F81"/>
      <c r="G81"/>
      <c r="H81" t="n">
        <v>2.4</v>
      </c>
      <c r="I81"/>
      <c r="J81"/>
      <c r="K81" t="n">
        <v>1.933699706231524</v>
      </c>
    </row>
    <row r="82" spans="1:2" ht="13.5" customHeight="true" x14ac:dyDescent="0.15" hidden="false">
      <c r="A82" t="s">
        <v>7019</v>
      </c>
      <c r="B82" t="n">
        <v>40.0</v>
      </c>
      <c r="C82"/>
      <c r="D82"/>
      <c r="E82" t="n">
        <v>2.82</v>
      </c>
      <c r="F82"/>
      <c r="G82"/>
      <c r="H82" t="n">
        <v>3.65</v>
      </c>
      <c r="I82"/>
      <c r="J82"/>
      <c r="K82" t="n">
        <v>3.097088929113518</v>
      </c>
    </row>
    <row r="83" spans="1:2" ht="13.5" customHeight="true" x14ac:dyDescent="0.15" hidden="false">
      <c r="A83" t="s">
        <v>7019</v>
      </c>
      <c r="B83" t="n">
        <v>41.0</v>
      </c>
      <c r="C83" t="n">
        <v>0.0</v>
      </c>
      <c r="D83"/>
      <c r="E83"/>
      <c r="F83" t="n">
        <v>5.87</v>
      </c>
      <c r="G83"/>
      <c r="H83"/>
      <c r="I83" t="n">
        <v>5.4581717910553</v>
      </c>
      <c r="J83"/>
      <c r="K83"/>
    </row>
    <row r="84" spans="1:2" ht="13.5" customHeight="true" x14ac:dyDescent="0.15" hidden="false">
      <c r="A84" t="s">
        <v>7019</v>
      </c>
      <c r="B84" t="n">
        <v>42.0</v>
      </c>
      <c r="C84" t="n">
        <v>0.52</v>
      </c>
      <c r="D84"/>
      <c r="E84"/>
      <c r="F84" t="n">
        <v>5.21</v>
      </c>
      <c r="G84"/>
      <c r="H84"/>
      <c r="I84" t="n">
        <v>3.9345923951322033</v>
      </c>
      <c r="J84"/>
      <c r="K84"/>
    </row>
    <row r="85" spans="1:2" ht="13.5" customHeight="true" x14ac:dyDescent="0.15" hidden="false">
      <c r="A85" t="s">
        <v>7019</v>
      </c>
      <c r="B85" t="n">
        <v>43.0</v>
      </c>
      <c r="C85"/>
      <c r="D85" t="n">
        <v>0.0</v>
      </c>
      <c r="E85"/>
      <c r="F85"/>
      <c r="G85" t="n">
        <v>1.9100000000000001</v>
      </c>
      <c r="H85"/>
      <c r="I85"/>
      <c r="J85" t="n">
        <v>1.7773756510544736</v>
      </c>
      <c r="K85"/>
    </row>
    <row r="86" spans="1:2" ht="13.5" customHeight="true" x14ac:dyDescent="0.15" hidden="false">
      <c r="A86" t="s">
        <v>7019</v>
      </c>
      <c r="B86" t="n">
        <v>44.0</v>
      </c>
      <c r="C86"/>
      <c r="D86" t="n">
        <v>0.0</v>
      </c>
      <c r="E86"/>
      <c r="F86"/>
      <c r="G86" t="n">
        <v>3.32</v>
      </c>
      <c r="H86"/>
      <c r="I86"/>
      <c r="J86" t="n">
        <v>1.8154135039449526</v>
      </c>
      <c r="K86"/>
    </row>
    <row r="87" spans="1:2" ht="13.5" customHeight="true" x14ac:dyDescent="0.15" hidden="false">
      <c r="A87" t="s">
        <v>7019</v>
      </c>
      <c r="B87" t="n">
        <v>45.0</v>
      </c>
      <c r="C87"/>
      <c r="D87"/>
      <c r="E87" t="n">
        <v>0.0</v>
      </c>
      <c r="F87"/>
      <c r="G87"/>
      <c r="H87" t="n">
        <v>0.0</v>
      </c>
      <c r="I87"/>
      <c r="J87"/>
      <c r="K87"/>
    </row>
    <row r="88" spans="1:2" ht="13.5" customHeight="true" x14ac:dyDescent="0.15" hidden="false">
      <c r="A88" t="s">
        <v>7019</v>
      </c>
      <c r="B88" t="n">
        <v>46.0</v>
      </c>
      <c r="C88"/>
      <c r="D88"/>
      <c r="E88" t="n">
        <v>0.0</v>
      </c>
      <c r="F88"/>
      <c r="G88"/>
      <c r="H88" t="n">
        <v>4.03</v>
      </c>
      <c r="I88"/>
      <c r="J88"/>
      <c r="K88" t="n">
        <v>3.6164773632526095</v>
      </c>
    </row>
    <row r="89" spans="1:2" ht="13.5" customHeight="true" x14ac:dyDescent="0.15" hidden="false">
      <c r="A89" t="s">
        <v>7019</v>
      </c>
      <c r="B89" t="n">
        <v>47.0</v>
      </c>
      <c r="C89" t="n">
        <v>0.0</v>
      </c>
      <c r="D89"/>
      <c r="E89"/>
      <c r="F89" t="n">
        <v>3.25</v>
      </c>
      <c r="G89"/>
      <c r="H89"/>
      <c r="I89" t="n">
        <v>2.7991504908527483</v>
      </c>
      <c r="J89"/>
      <c r="K89"/>
    </row>
    <row r="90" spans="1:2" ht="13.5" customHeight="true" x14ac:dyDescent="0.15" hidden="false">
      <c r="A90" t="s">
        <v>7019</v>
      </c>
      <c r="B90" t="n">
        <v>48.0</v>
      </c>
      <c r="C90" t="n">
        <v>1.9</v>
      </c>
      <c r="D90"/>
      <c r="E90"/>
      <c r="F90" t="n">
        <v>5.27</v>
      </c>
      <c r="G90"/>
      <c r="H90"/>
      <c r="I90" t="n">
        <v>2.451338560346663</v>
      </c>
      <c r="J90"/>
      <c r="K90"/>
    </row>
    <row r="91" spans="1:2" ht="13.5" customHeight="true" x14ac:dyDescent="0.15" hidden="false">
      <c r="A91" t="s">
        <v>7019</v>
      </c>
      <c r="B91" t="n">
        <v>49.0</v>
      </c>
      <c r="C91"/>
      <c r="D91" t="n">
        <v>0.88</v>
      </c>
      <c r="E91"/>
      <c r="F91"/>
      <c r="G91" t="n">
        <v>3.26</v>
      </c>
      <c r="H91"/>
      <c r="I91"/>
      <c r="J91" t="n">
        <v>1.0809544928812485</v>
      </c>
      <c r="K91"/>
    </row>
    <row r="92" spans="1:2" ht="13.5" customHeight="true" x14ac:dyDescent="0.15" hidden="false">
      <c r="A92" t="s">
        <v>7019</v>
      </c>
      <c r="B92" t="n">
        <v>50.0</v>
      </c>
      <c r="C92"/>
      <c r="D92" t="n">
        <v>0.0</v>
      </c>
      <c r="E92"/>
      <c r="F92"/>
      <c r="G92" t="n">
        <v>4.01</v>
      </c>
      <c r="H92"/>
      <c r="I92"/>
      <c r="J92" t="n">
        <v>3.4264977843281623</v>
      </c>
      <c r="K92"/>
    </row>
    <row r="93" spans="1:2" ht="13.5" customHeight="true" x14ac:dyDescent="0.15" hidden="false">
      <c r="A93" t="s">
        <v>7019</v>
      </c>
      <c r="B93" t="n">
        <v>51.0</v>
      </c>
      <c r="C93"/>
      <c r="D93"/>
      <c r="E93" t="n">
        <v>0.55</v>
      </c>
      <c r="F93"/>
      <c r="G93"/>
      <c r="H93" t="n">
        <v>1.94</v>
      </c>
      <c r="I93"/>
      <c r="J93"/>
      <c r="K93" t="n">
        <v>0.8105199592165466</v>
      </c>
    </row>
    <row r="94" spans="1:2" ht="13.5" customHeight="true" x14ac:dyDescent="0.15" hidden="false">
      <c r="A94" t="s">
        <v>7019</v>
      </c>
      <c r="B94" t="n">
        <v>52.0</v>
      </c>
      <c r="C94"/>
      <c r="D94"/>
      <c r="E94" t="n">
        <v>0.0</v>
      </c>
      <c r="F94"/>
      <c r="G94"/>
      <c r="H94" t="n">
        <v>3.8</v>
      </c>
      <c r="I94"/>
      <c r="J94"/>
      <c r="K94" t="n">
        <v>3.2825619797644436</v>
      </c>
    </row>
    <row r="95" spans="1:2" ht="13.5" customHeight="true" x14ac:dyDescent="0.15" hidden="false">
      <c r="A95" t="s">
        <v>7019</v>
      </c>
      <c r="B95" t="n">
        <v>53.0</v>
      </c>
      <c r="C95" t="n">
        <v>0.0</v>
      </c>
      <c r="D95"/>
      <c r="E95"/>
      <c r="F95" t="n">
        <v>0.24</v>
      </c>
      <c r="G95"/>
      <c r="H95"/>
      <c r="I95" t="n">
        <v>0.22465841830820377</v>
      </c>
      <c r="J95"/>
      <c r="K95"/>
    </row>
    <row r="96" spans="1:2" ht="13.5" customHeight="true" x14ac:dyDescent="0.15" hidden="false">
      <c r="A96" t="s">
        <v>7019</v>
      </c>
      <c r="B96" t="n">
        <v>54.0</v>
      </c>
      <c r="C96" t="n">
        <v>0.0</v>
      </c>
      <c r="D96"/>
      <c r="E96"/>
      <c r="F96" t="n">
        <v>0.0</v>
      </c>
      <c r="G96"/>
      <c r="H96"/>
      <c r="I96"/>
      <c r="J96"/>
      <c r="K96"/>
    </row>
    <row r="97" spans="1:2" ht="13.5" customHeight="true" x14ac:dyDescent="0.15" hidden="false">
      <c r="A97" t="s">
        <v>7020</v>
      </c>
      <c r="B97" t="n">
        <v>1.0</v>
      </c>
      <c r="C97"/>
      <c r="D97" t="n">
        <v>0.0</v>
      </c>
      <c r="E97"/>
      <c r="F97"/>
      <c r="G97" t="n">
        <v>0.0</v>
      </c>
      <c r="H97"/>
      <c r="I97"/>
      <c r="J97"/>
      <c r="K97"/>
    </row>
    <row r="98" spans="1:2" ht="13.5" customHeight="true" x14ac:dyDescent="0.15" hidden="false">
      <c r="A98" t="s">
        <v>7020</v>
      </c>
      <c r="B98" t="n">
        <v>2.0</v>
      </c>
      <c r="C98"/>
      <c r="D98" t="n">
        <v>0.0</v>
      </c>
      <c r="E98"/>
      <c r="F98"/>
      <c r="G98" t="n">
        <v>2.5300000000000002</v>
      </c>
      <c r="H98"/>
      <c r="I98"/>
      <c r="J98" t="n">
        <v>2.2573828959206983</v>
      </c>
      <c r="K98"/>
    </row>
    <row r="99" spans="1:2" ht="13.5" customHeight="true" x14ac:dyDescent="0.15" hidden="false">
      <c r="A99" t="s">
        <v>7020</v>
      </c>
      <c r="B99" t="n">
        <v>3.0</v>
      </c>
      <c r="C99"/>
      <c r="D99"/>
      <c r="E99" t="n">
        <v>2.07</v>
      </c>
      <c r="F99"/>
      <c r="G99"/>
      <c r="H99" t="n">
        <v>5.08</v>
      </c>
      <c r="I99"/>
      <c r="J99"/>
      <c r="K99" t="n">
        <v>2.953976344624284</v>
      </c>
    </row>
    <row r="100" spans="1:2" ht="13.5" customHeight="true" x14ac:dyDescent="0.15" hidden="false">
      <c r="A100" t="s">
        <v>7020</v>
      </c>
      <c r="B100" t="n">
        <v>4.0</v>
      </c>
      <c r="C100"/>
      <c r="D100"/>
      <c r="E100" t="n">
        <v>0.0</v>
      </c>
      <c r="F100"/>
      <c r="G100"/>
      <c r="H100" t="n">
        <v>6.02</v>
      </c>
      <c r="I100"/>
      <c r="J100"/>
      <c r="K100" t="n">
        <v>5.6083028034889395</v>
      </c>
    </row>
    <row r="101" spans="1:2" ht="13.5" customHeight="true" x14ac:dyDescent="0.15" hidden="false">
      <c r="A101" t="s">
        <v>7020</v>
      </c>
      <c r="B101" t="n">
        <v>5.0</v>
      </c>
      <c r="C101" t="n">
        <v>4.88</v>
      </c>
      <c r="D101"/>
      <c r="E101"/>
      <c r="F101" t="n">
        <v>7.44</v>
      </c>
      <c r="G101"/>
      <c r="H101"/>
      <c r="I101" t="n">
        <v>5.229691015797499</v>
      </c>
      <c r="J101"/>
      <c r="K101"/>
    </row>
    <row r="102" spans="1:2" ht="13.5" customHeight="true" x14ac:dyDescent="0.15" hidden="false">
      <c r="A102" t="s">
        <v>7020</v>
      </c>
      <c r="B102" t="n">
        <v>6.0</v>
      </c>
      <c r="C102" t="n">
        <v>0.0</v>
      </c>
      <c r="D102"/>
      <c r="E102"/>
      <c r="F102" t="n">
        <v>6.86</v>
      </c>
      <c r="G102"/>
      <c r="H102"/>
      <c r="I102" t="n">
        <v>6.377899941102089</v>
      </c>
      <c r="J102"/>
      <c r="K102"/>
    </row>
    <row r="103" spans="1:2" ht="13.5" customHeight="true" x14ac:dyDescent="0.15" hidden="false">
      <c r="A103" t="s">
        <v>7020</v>
      </c>
      <c r="B103" t="n">
        <v>7.0</v>
      </c>
      <c r="C103"/>
      <c r="D103" t="n">
        <v>5.95</v>
      </c>
      <c r="E103"/>
      <c r="F103"/>
      <c r="G103" t="n">
        <v>6.67</v>
      </c>
      <c r="H103"/>
      <c r="I103"/>
      <c r="J103" t="n">
        <v>6.09835927588217</v>
      </c>
      <c r="K103"/>
    </row>
    <row r="104" spans="1:2" ht="13.5" customHeight="true" x14ac:dyDescent="0.15" hidden="false">
      <c r="A104" t="s">
        <v>7020</v>
      </c>
      <c r="B104" t="n">
        <v>8.0</v>
      </c>
      <c r="C104"/>
      <c r="D104" t="n">
        <v>0.79</v>
      </c>
      <c r="E104"/>
      <c r="F104"/>
      <c r="G104" t="n">
        <v>2.2800000000000002</v>
      </c>
      <c r="H104"/>
      <c r="I104"/>
      <c r="J104" t="n">
        <v>1.6519201727634416</v>
      </c>
      <c r="K104"/>
    </row>
    <row r="105" spans="1:2" ht="13.5" customHeight="true" x14ac:dyDescent="0.15" hidden="false">
      <c r="A105" t="s">
        <v>7020</v>
      </c>
      <c r="B105" t="n">
        <v>9.0</v>
      </c>
      <c r="C105"/>
      <c r="D105"/>
      <c r="E105" t="n">
        <v>2.7800000000000002</v>
      </c>
      <c r="F105"/>
      <c r="G105"/>
      <c r="H105" t="n">
        <v>7.46</v>
      </c>
      <c r="I105"/>
      <c r="J105"/>
      <c r="K105" t="n">
        <v>5.62840174408912</v>
      </c>
    </row>
    <row r="106" spans="1:2" ht="13.5" customHeight="true" x14ac:dyDescent="0.15" hidden="false">
      <c r="A106" t="s">
        <v>7020</v>
      </c>
      <c r="B106" t="n">
        <v>10.0</v>
      </c>
      <c r="C106"/>
      <c r="D106"/>
      <c r="E106" t="n">
        <v>2.08</v>
      </c>
      <c r="F106"/>
      <c r="G106"/>
      <c r="H106" t="n">
        <v>4.11</v>
      </c>
      <c r="I106"/>
      <c r="J106"/>
      <c r="K106" t="n">
        <v>2.8401858146185406</v>
      </c>
    </row>
    <row r="107" spans="1:2" ht="13.5" customHeight="true" x14ac:dyDescent="0.15" hidden="false">
      <c r="A107" t="s">
        <v>7020</v>
      </c>
      <c r="B107" t="n">
        <v>11.0</v>
      </c>
      <c r="C107" t="n">
        <v>4.15</v>
      </c>
      <c r="D107"/>
      <c r="E107"/>
      <c r="F107" t="n">
        <v>6.88</v>
      </c>
      <c r="G107"/>
      <c r="H107"/>
      <c r="I107" t="n">
        <v>6.333575182567163</v>
      </c>
      <c r="J107"/>
      <c r="K107"/>
    </row>
    <row r="108" spans="1:2" ht="13.5" customHeight="true" x14ac:dyDescent="0.15" hidden="false">
      <c r="A108" t="s">
        <v>7020</v>
      </c>
      <c r="B108" t="n">
        <v>12.0</v>
      </c>
      <c r="C108" t="n">
        <v>0.0</v>
      </c>
      <c r="D108"/>
      <c r="E108"/>
      <c r="F108" t="n">
        <v>2.4699999999999998</v>
      </c>
      <c r="G108"/>
      <c r="H108"/>
      <c r="I108" t="n">
        <v>2.0298583151388403</v>
      </c>
      <c r="J108"/>
      <c r="K108"/>
    </row>
    <row r="109" spans="1:2" ht="13.5" customHeight="true" x14ac:dyDescent="0.15" hidden="false">
      <c r="A109" t="s">
        <v>7020</v>
      </c>
      <c r="B109" t="n">
        <v>13.0</v>
      </c>
      <c r="C109"/>
      <c r="D109" t="n">
        <v>2.02</v>
      </c>
      <c r="E109"/>
      <c r="F109"/>
      <c r="G109" t="n">
        <v>6.6899999999999995</v>
      </c>
      <c r="H109"/>
      <c r="I109"/>
      <c r="J109" t="n">
        <v>5.752867340856349</v>
      </c>
      <c r="K109"/>
    </row>
    <row r="110" spans="1:2" ht="13.5" customHeight="true" x14ac:dyDescent="0.15" hidden="false">
      <c r="A110" t="s">
        <v>7020</v>
      </c>
      <c r="B110" t="n">
        <v>14.0</v>
      </c>
      <c r="C110"/>
      <c r="D110" t="n">
        <v>3.2</v>
      </c>
      <c r="E110"/>
      <c r="F110"/>
      <c r="G110" t="n">
        <v>4.57</v>
      </c>
      <c r="H110"/>
      <c r="I110"/>
      <c r="J110" t="n">
        <v>4.089178681175843</v>
      </c>
      <c r="K110"/>
    </row>
    <row r="111" spans="1:2" ht="13.5" customHeight="true" x14ac:dyDescent="0.15" hidden="false">
      <c r="A111" t="s">
        <v>7020</v>
      </c>
      <c r="B111" t="n">
        <v>15.0</v>
      </c>
      <c r="C111"/>
      <c r="D111"/>
      <c r="E111" t="n">
        <v>0.0</v>
      </c>
      <c r="F111"/>
      <c r="G111"/>
      <c r="H111" t="n">
        <v>0.79</v>
      </c>
      <c r="I111"/>
      <c r="J111"/>
      <c r="K111" t="n">
        <v>0.7121960424198318</v>
      </c>
    </row>
    <row r="112" spans="1:2" ht="13.5" customHeight="true" x14ac:dyDescent="0.15" hidden="false">
      <c r="A112" t="s">
        <v>7020</v>
      </c>
      <c r="B112" t="n">
        <v>16.0</v>
      </c>
      <c r="C112"/>
      <c r="D112"/>
      <c r="E112" t="n">
        <v>1.65</v>
      </c>
      <c r="F112"/>
      <c r="G112"/>
      <c r="H112" t="n">
        <v>4.58</v>
      </c>
      <c r="I112"/>
      <c r="J112"/>
      <c r="K112" t="n">
        <v>2.7079420132022562</v>
      </c>
    </row>
    <row r="113" spans="1:2" ht="13.5" customHeight="true" x14ac:dyDescent="0.15" hidden="false">
      <c r="A113" t="s">
        <v>7020</v>
      </c>
      <c r="B113" t="n">
        <v>17.0</v>
      </c>
      <c r="C113" t="n">
        <v>2.76</v>
      </c>
      <c r="D113"/>
      <c r="E113"/>
      <c r="F113" t="n">
        <v>8.94</v>
      </c>
      <c r="G113"/>
      <c r="H113"/>
      <c r="I113" t="n">
        <v>3.9791247554867604</v>
      </c>
      <c r="J113"/>
      <c r="K113"/>
    </row>
    <row r="114" spans="1:2" ht="13.5" customHeight="true" x14ac:dyDescent="0.15" hidden="false">
      <c r="A114" t="s">
        <v>7020</v>
      </c>
      <c r="B114" t="n">
        <v>18.0</v>
      </c>
      <c r="C114" t="n">
        <v>1.75</v>
      </c>
      <c r="D114"/>
      <c r="E114"/>
      <c r="F114" t="n">
        <v>7.17</v>
      </c>
      <c r="G114"/>
      <c r="H114"/>
      <c r="I114" t="n">
        <v>2.7001348231436015</v>
      </c>
      <c r="J114"/>
      <c r="K114"/>
    </row>
    <row r="115" spans="1:2" ht="13.5" customHeight="true" x14ac:dyDescent="0.15" hidden="false">
      <c r="A115" t="s">
        <v>7020</v>
      </c>
      <c r="B115" t="n">
        <v>19.0</v>
      </c>
      <c r="C115"/>
      <c r="D115" t="n">
        <v>0.0</v>
      </c>
      <c r="E115"/>
      <c r="F115"/>
      <c r="G115" t="n">
        <v>4.17</v>
      </c>
      <c r="H115"/>
      <c r="I115"/>
      <c r="J115" t="n">
        <v>3.819517716284986</v>
      </c>
      <c r="K115"/>
    </row>
    <row r="116" spans="1:2" ht="13.5" customHeight="true" x14ac:dyDescent="0.15" hidden="false">
      <c r="A116" t="s">
        <v>7020</v>
      </c>
      <c r="B116" t="n">
        <v>20.0</v>
      </c>
      <c r="C116"/>
      <c r="D116" t="n">
        <v>0.9</v>
      </c>
      <c r="E116"/>
      <c r="F116"/>
      <c r="G116" t="n">
        <v>1.8900000000000001</v>
      </c>
      <c r="H116"/>
      <c r="I116"/>
      <c r="J116" t="n">
        <v>1.718442751446797</v>
      </c>
      <c r="K116"/>
    </row>
    <row r="117" spans="1:2" ht="13.5" customHeight="true" x14ac:dyDescent="0.15" hidden="false">
      <c r="A117" t="s">
        <v>7020</v>
      </c>
      <c r="B117" t="n">
        <v>21.0</v>
      </c>
      <c r="C117"/>
      <c r="D117"/>
      <c r="E117" t="n">
        <v>1.06</v>
      </c>
      <c r="F117"/>
      <c r="G117"/>
      <c r="H117" t="n">
        <v>4.44</v>
      </c>
      <c r="I117"/>
      <c r="J117"/>
      <c r="K117" t="n">
        <v>3.461950600602198</v>
      </c>
    </row>
    <row r="118" spans="1:2" ht="13.5" customHeight="true" x14ac:dyDescent="0.15" hidden="false">
      <c r="A118" t="s">
        <v>7020</v>
      </c>
      <c r="B118" t="n">
        <v>22.0</v>
      </c>
      <c r="C118"/>
      <c r="D118"/>
      <c r="E118" t="n">
        <v>0.0</v>
      </c>
      <c r="F118"/>
      <c r="G118"/>
      <c r="H118" t="n">
        <v>1.77</v>
      </c>
      <c r="I118"/>
      <c r="J118"/>
      <c r="K118" t="n">
        <v>1.6897335492524912</v>
      </c>
    </row>
    <row r="119" spans="1:2" ht="13.5" customHeight="true" x14ac:dyDescent="0.15" hidden="false">
      <c r="A119" t="s">
        <v>7020</v>
      </c>
      <c r="B119" t="n">
        <v>23.0</v>
      </c>
      <c r="C119" t="n">
        <v>0.0</v>
      </c>
      <c r="D119"/>
      <c r="E119"/>
      <c r="F119" t="n">
        <v>2.43</v>
      </c>
      <c r="G119"/>
      <c r="H119"/>
      <c r="I119" t="n">
        <v>1.8627944028324999</v>
      </c>
      <c r="J119"/>
      <c r="K119"/>
    </row>
    <row r="120" spans="1:2" ht="13.5" customHeight="true" x14ac:dyDescent="0.15" hidden="false">
      <c r="A120" t="s">
        <v>7020</v>
      </c>
      <c r="B120" t="n">
        <v>24.0</v>
      </c>
      <c r="C120" t="n">
        <v>0.0</v>
      </c>
      <c r="D120"/>
      <c r="E120"/>
      <c r="F120" t="n">
        <v>2.83</v>
      </c>
      <c r="G120"/>
      <c r="H120"/>
      <c r="I120" t="n">
        <v>2.650012601318398</v>
      </c>
      <c r="J120"/>
      <c r="K120"/>
    </row>
    <row r="121" spans="1:2" ht="13.5" customHeight="true" x14ac:dyDescent="0.15" hidden="false">
      <c r="A121" t="s">
        <v>7020</v>
      </c>
      <c r="B121" t="n">
        <v>25.0</v>
      </c>
      <c r="C121"/>
      <c r="D121" t="n">
        <v>0.0</v>
      </c>
      <c r="E121"/>
      <c r="F121"/>
      <c r="G121" t="n">
        <v>2.24</v>
      </c>
      <c r="H121"/>
      <c r="I121"/>
      <c r="J121" t="n">
        <v>1.9762325377804615</v>
      </c>
      <c r="K121"/>
    </row>
    <row r="122" spans="1:2" ht="13.5" customHeight="true" x14ac:dyDescent="0.15" hidden="false">
      <c r="A122" t="s">
        <v>7020</v>
      </c>
      <c r="B122" t="n">
        <v>26.0</v>
      </c>
      <c r="C122"/>
      <c r="D122" t="n">
        <v>0.0</v>
      </c>
      <c r="E122"/>
      <c r="F122"/>
      <c r="G122" t="n">
        <v>3.85</v>
      </c>
      <c r="H122"/>
      <c r="I122"/>
      <c r="J122" t="n">
        <v>3.3292442939519797</v>
      </c>
      <c r="K122"/>
    </row>
    <row r="123" spans="1:2" ht="13.5" customHeight="true" x14ac:dyDescent="0.15" hidden="false">
      <c r="A123" t="s">
        <v>7020</v>
      </c>
      <c r="B123" t="n">
        <v>27.0</v>
      </c>
      <c r="C123"/>
      <c r="D123"/>
      <c r="E123" t="n">
        <v>0.0</v>
      </c>
      <c r="F123"/>
      <c r="G123"/>
      <c r="H123" t="n">
        <v>3.49</v>
      </c>
      <c r="I123"/>
      <c r="J123"/>
      <c r="K123" t="n">
        <v>3.212252815220905</v>
      </c>
    </row>
    <row r="124" spans="1:2" ht="13.5" customHeight="true" x14ac:dyDescent="0.15" hidden="false">
      <c r="A124" t="s">
        <v>7020</v>
      </c>
      <c r="B124" t="n">
        <v>28.0</v>
      </c>
      <c r="C124"/>
      <c r="D124"/>
      <c r="E124" t="n">
        <v>0.0</v>
      </c>
      <c r="F124"/>
      <c r="G124"/>
      <c r="H124" t="n">
        <v>6.38</v>
      </c>
      <c r="I124"/>
      <c r="J124"/>
      <c r="K124" t="n">
        <v>5.4263676211081995</v>
      </c>
    </row>
    <row r="125" spans="1:2" ht="13.5" customHeight="true" x14ac:dyDescent="0.15" hidden="false">
      <c r="A125" t="s">
        <v>7020</v>
      </c>
      <c r="B125" t="n">
        <v>29.0</v>
      </c>
      <c r="C125" t="n">
        <v>0.0</v>
      </c>
      <c r="D125"/>
      <c r="E125"/>
      <c r="F125" t="n">
        <v>0.38</v>
      </c>
      <c r="G125"/>
      <c r="H125"/>
      <c r="I125" t="n">
        <v>0.1275434329395414</v>
      </c>
      <c r="J125"/>
      <c r="K125"/>
    </row>
    <row r="126" spans="1:2" ht="13.5" customHeight="true" x14ac:dyDescent="0.15" hidden="false">
      <c r="A126" t="s">
        <v>7020</v>
      </c>
      <c r="B126" t="n">
        <v>30.0</v>
      </c>
      <c r="C126" t="n">
        <v>0.0</v>
      </c>
      <c r="D126"/>
      <c r="E126"/>
      <c r="F126" t="n">
        <v>0.35</v>
      </c>
      <c r="G126"/>
      <c r="H126"/>
      <c r="I126" t="n">
        <v>0.34145795691452385</v>
      </c>
      <c r="J126"/>
      <c r="K126"/>
    </row>
    <row r="127" spans="1:2" ht="13.5" customHeight="true" x14ac:dyDescent="0.15" hidden="false">
      <c r="A127" t="s">
        <v>7020</v>
      </c>
      <c r="B127" t="n">
        <v>31.0</v>
      </c>
      <c r="C127"/>
      <c r="D127" t="n">
        <v>1.54</v>
      </c>
      <c r="E127"/>
      <c r="F127"/>
      <c r="G127" t="n">
        <v>4.59</v>
      </c>
      <c r="H127"/>
      <c r="I127"/>
      <c r="J127" t="n">
        <v>3.9830399989329144</v>
      </c>
      <c r="K127"/>
    </row>
    <row r="128" spans="1:2" ht="13.5" customHeight="true" x14ac:dyDescent="0.15" hidden="false">
      <c r="A128" t="s">
        <v>7020</v>
      </c>
      <c r="B128" t="n">
        <v>32.0</v>
      </c>
      <c r="C128"/>
      <c r="D128" t="n">
        <v>2.1</v>
      </c>
      <c r="E128"/>
      <c r="F128"/>
      <c r="G128" t="n">
        <v>2.85</v>
      </c>
      <c r="H128"/>
      <c r="I128"/>
      <c r="J128" t="n">
        <v>2.205046651723998</v>
      </c>
      <c r="K128"/>
    </row>
    <row r="129" spans="1:2" ht="13.5" customHeight="true" x14ac:dyDescent="0.15" hidden="false">
      <c r="A129" t="s">
        <v>7020</v>
      </c>
      <c r="B129" t="n">
        <v>33.0</v>
      </c>
      <c r="C129"/>
      <c r="D129"/>
      <c r="E129" t="n">
        <v>0.0</v>
      </c>
      <c r="F129"/>
      <c r="G129"/>
      <c r="H129" t="n">
        <v>8.88</v>
      </c>
      <c r="I129"/>
      <c r="J129"/>
      <c r="K129" t="n">
        <v>8.403934860980502</v>
      </c>
    </row>
    <row r="130" spans="1:2" ht="13.5" customHeight="true" x14ac:dyDescent="0.15" hidden="false">
      <c r="A130" t="s">
        <v>7020</v>
      </c>
      <c r="B130" t="n">
        <v>34.0</v>
      </c>
      <c r="C130"/>
      <c r="D130"/>
      <c r="E130" t="n">
        <v>0.0</v>
      </c>
      <c r="F130"/>
      <c r="G130"/>
      <c r="H130" t="n">
        <v>4.58</v>
      </c>
      <c r="I130"/>
      <c r="J130"/>
      <c r="K130" t="n">
        <v>4.028678952474461</v>
      </c>
    </row>
    <row r="131" spans="1:2" ht="13.5" customHeight="true" x14ac:dyDescent="0.15" hidden="false">
      <c r="A131" t="s">
        <v>7020</v>
      </c>
      <c r="B131" t="n">
        <v>35.0</v>
      </c>
      <c r="C131" t="n">
        <v>2.27</v>
      </c>
      <c r="D131"/>
      <c r="E131"/>
      <c r="F131" t="n">
        <v>7.16</v>
      </c>
      <c r="G131"/>
      <c r="H131"/>
      <c r="I131" t="n">
        <v>5.912690611785123</v>
      </c>
      <c r="J131"/>
      <c r="K131"/>
    </row>
    <row r="132" spans="1:2" ht="13.5" customHeight="true" x14ac:dyDescent="0.15" hidden="false">
      <c r="A132" t="s">
        <v>7020</v>
      </c>
      <c r="B132" t="n">
        <v>36.0</v>
      </c>
      <c r="C132" t="n">
        <v>0.0</v>
      </c>
      <c r="D132"/>
      <c r="E132"/>
      <c r="F132" t="n">
        <v>1.78</v>
      </c>
      <c r="G132"/>
      <c r="H132"/>
      <c r="I132" t="n">
        <v>1.6549319905541042</v>
      </c>
      <c r="J132"/>
      <c r="K132"/>
    </row>
    <row r="133" spans="1:2" ht="13.5" customHeight="true" x14ac:dyDescent="0.15" hidden="false">
      <c r="A133" t="s">
        <v>7020</v>
      </c>
      <c r="B133" t="n">
        <v>37.0</v>
      </c>
      <c r="C133"/>
      <c r="D133" t="n">
        <v>0.0</v>
      </c>
      <c r="E133"/>
      <c r="F133"/>
      <c r="G133" t="n">
        <v>1.8900000000000001</v>
      </c>
      <c r="H133"/>
      <c r="I133"/>
      <c r="J133" t="n">
        <v>1.7537656867671527</v>
      </c>
      <c r="K133"/>
    </row>
    <row r="134" spans="1:2" ht="13.5" customHeight="true" x14ac:dyDescent="0.15" hidden="false">
      <c r="A134" t="s">
        <v>7020</v>
      </c>
      <c r="B134" t="n">
        <v>38.0</v>
      </c>
      <c r="C134"/>
      <c r="D134" t="n">
        <v>1.71</v>
      </c>
      <c r="E134"/>
      <c r="F134"/>
      <c r="G134" t="n">
        <v>3.05</v>
      </c>
      <c r="H134"/>
      <c r="I134"/>
      <c r="J134" t="n">
        <v>2.606591865245277</v>
      </c>
      <c r="K134"/>
    </row>
    <row r="135" spans="1:2" ht="13.5" customHeight="true" x14ac:dyDescent="0.15" hidden="false">
      <c r="A135" t="s">
        <v>7020</v>
      </c>
      <c r="B135" t="n">
        <v>39.0</v>
      </c>
      <c r="C135"/>
      <c r="D135"/>
      <c r="E135" t="n">
        <v>1.03</v>
      </c>
      <c r="F135"/>
      <c r="G135"/>
      <c r="H135" t="n">
        <v>2.7800000000000002</v>
      </c>
      <c r="I135"/>
      <c r="J135"/>
      <c r="K135" t="n">
        <v>1.3576262984997185</v>
      </c>
    </row>
    <row r="136" spans="1:2" ht="13.5" customHeight="true" x14ac:dyDescent="0.15" hidden="false">
      <c r="A136" t="s">
        <v>7020</v>
      </c>
      <c r="B136" t="n">
        <v>40.0</v>
      </c>
      <c r="C136"/>
      <c r="D136"/>
      <c r="E136" t="n">
        <v>3.16</v>
      </c>
      <c r="F136"/>
      <c r="G136"/>
      <c r="H136" t="n">
        <v>3.56</v>
      </c>
      <c r="I136"/>
      <c r="J136"/>
      <c r="K136" t="n">
        <v>3.3337404242877358</v>
      </c>
    </row>
    <row r="137" spans="1:2" ht="13.5" customHeight="true" x14ac:dyDescent="0.15" hidden="false">
      <c r="A137" t="s">
        <v>7020</v>
      </c>
      <c r="B137" t="n">
        <v>41.0</v>
      </c>
      <c r="C137" t="n">
        <v>1.05</v>
      </c>
      <c r="D137"/>
      <c r="E137"/>
      <c r="F137" t="n">
        <v>5.61</v>
      </c>
      <c r="G137"/>
      <c r="H137"/>
      <c r="I137" t="n">
        <v>1.9029177931972705</v>
      </c>
      <c r="J137"/>
      <c r="K137"/>
    </row>
    <row r="138" spans="1:2" ht="13.5" customHeight="true" x14ac:dyDescent="0.15" hidden="false">
      <c r="A138" t="s">
        <v>7020</v>
      </c>
      <c r="B138" t="n">
        <v>42.0</v>
      </c>
      <c r="C138" t="n">
        <v>0.35</v>
      </c>
      <c r="D138"/>
      <c r="E138"/>
      <c r="F138" t="n">
        <v>3.64</v>
      </c>
      <c r="G138"/>
      <c r="H138"/>
      <c r="I138" t="n">
        <v>2.890650972517606</v>
      </c>
      <c r="J138"/>
      <c r="K138"/>
    </row>
    <row r="139" spans="1:2" ht="13.5" customHeight="true" x14ac:dyDescent="0.15" hidden="false">
      <c r="A139" t="s">
        <v>7020</v>
      </c>
      <c r="B139" t="n">
        <v>43.0</v>
      </c>
      <c r="C139"/>
      <c r="D139" t="n">
        <v>0.0</v>
      </c>
      <c r="E139"/>
      <c r="F139"/>
      <c r="G139" t="n">
        <v>2.18</v>
      </c>
      <c r="H139"/>
      <c r="I139"/>
      <c r="J139" t="n">
        <v>1.9770969098151492</v>
      </c>
      <c r="K139"/>
    </row>
    <row r="140" spans="1:2" ht="13.5" customHeight="true" x14ac:dyDescent="0.15" hidden="false">
      <c r="A140" t="s">
        <v>7020</v>
      </c>
      <c r="B140" t="n">
        <v>44.0</v>
      </c>
      <c r="C140"/>
      <c r="D140" t="n">
        <v>0.0</v>
      </c>
      <c r="E140"/>
      <c r="F140"/>
      <c r="G140" t="n">
        <v>6.82</v>
      </c>
      <c r="H140"/>
      <c r="I140"/>
      <c r="J140" t="n">
        <v>5.6326362169227595</v>
      </c>
      <c r="K140"/>
    </row>
    <row r="141" spans="1:2" ht="13.5" customHeight="true" x14ac:dyDescent="0.15" hidden="false">
      <c r="A141" t="s">
        <v>7020</v>
      </c>
      <c r="B141" t="n">
        <v>45.0</v>
      </c>
      <c r="C141"/>
      <c r="D141"/>
      <c r="E141" t="n">
        <v>0.0</v>
      </c>
      <c r="F141"/>
      <c r="G141"/>
      <c r="H141" t="n">
        <v>0.0</v>
      </c>
      <c r="I141"/>
      <c r="J141"/>
      <c r="K141"/>
    </row>
    <row r="142" spans="1:2" ht="13.5" customHeight="true" x14ac:dyDescent="0.15" hidden="false">
      <c r="A142" t="s">
        <v>7020</v>
      </c>
      <c r="B142" t="n">
        <v>46.0</v>
      </c>
      <c r="C142"/>
      <c r="D142"/>
      <c r="E142" t="n">
        <v>0.0</v>
      </c>
      <c r="F142"/>
      <c r="G142"/>
      <c r="H142" t="n">
        <v>2.95</v>
      </c>
      <c r="I142"/>
      <c r="J142"/>
      <c r="K142" t="n">
        <v>2.6241049710955835</v>
      </c>
    </row>
    <row r="143" spans="1:2" ht="13.5" customHeight="true" x14ac:dyDescent="0.15" hidden="false">
      <c r="A143" t="s">
        <v>7020</v>
      </c>
      <c r="B143" t="n">
        <v>47.0</v>
      </c>
      <c r="C143" t="n">
        <v>0.0</v>
      </c>
      <c r="D143"/>
      <c r="E143"/>
      <c r="F143" t="n">
        <v>3.45</v>
      </c>
      <c r="G143"/>
      <c r="H143"/>
      <c r="I143" t="n">
        <v>3.1056217416066425</v>
      </c>
      <c r="J143"/>
      <c r="K143"/>
    </row>
    <row r="144" spans="1:2" ht="13.5" customHeight="true" x14ac:dyDescent="0.15" hidden="false">
      <c r="A144" t="s">
        <v>7020</v>
      </c>
      <c r="B144" t="n">
        <v>48.0</v>
      </c>
      <c r="C144" t="n">
        <v>1.71</v>
      </c>
      <c r="D144"/>
      <c r="E144"/>
      <c r="F144" t="n">
        <v>3.63</v>
      </c>
      <c r="G144"/>
      <c r="H144"/>
      <c r="I144" t="n">
        <v>2.0632905081866024</v>
      </c>
      <c r="J144"/>
      <c r="K144"/>
    </row>
    <row r="145" spans="1:2" ht="13.5" customHeight="true" x14ac:dyDescent="0.15" hidden="false">
      <c r="A145" t="s">
        <v>7020</v>
      </c>
      <c r="B145" t="n">
        <v>49.0</v>
      </c>
      <c r="C145"/>
      <c r="D145" t="n">
        <v>0.0</v>
      </c>
      <c r="E145"/>
      <c r="F145"/>
      <c r="G145" t="n">
        <v>6.66</v>
      </c>
      <c r="H145"/>
      <c r="I145"/>
      <c r="J145" t="n">
        <v>5.436304934694739</v>
      </c>
      <c r="K145"/>
    </row>
    <row r="146" spans="1:2" ht="13.5" customHeight="true" x14ac:dyDescent="0.15" hidden="false">
      <c r="A146" t="s">
        <v>7020</v>
      </c>
      <c r="B146" t="n">
        <v>50.0</v>
      </c>
      <c r="C146"/>
      <c r="D146" t="n">
        <v>0.0</v>
      </c>
      <c r="E146"/>
      <c r="F146"/>
      <c r="G146" t="n">
        <v>0.0</v>
      </c>
      <c r="H146"/>
      <c r="I146"/>
      <c r="J146"/>
      <c r="K146"/>
    </row>
    <row r="147" spans="1:2" ht="13.5" customHeight="true" x14ac:dyDescent="0.15" hidden="false">
      <c r="A147" t="s">
        <v>7020</v>
      </c>
      <c r="B147" t="n">
        <v>51.0</v>
      </c>
      <c r="C147"/>
      <c r="D147"/>
      <c r="E147" t="n">
        <v>0.0</v>
      </c>
      <c r="F147"/>
      <c r="G147"/>
      <c r="H147" t="n">
        <v>1.74</v>
      </c>
      <c r="I147"/>
      <c r="J147"/>
      <c r="K147" t="n">
        <v>1.6246028108723218</v>
      </c>
    </row>
    <row r="148" spans="1:2" ht="13.5" customHeight="true" x14ac:dyDescent="0.15" hidden="false">
      <c r="A148" t="s">
        <v>7020</v>
      </c>
      <c r="B148" t="n">
        <v>52.0</v>
      </c>
      <c r="C148"/>
      <c r="D148"/>
      <c r="E148" t="n">
        <v>0.0</v>
      </c>
      <c r="F148"/>
      <c r="G148"/>
      <c r="H148" t="n">
        <v>4.06</v>
      </c>
      <c r="I148"/>
      <c r="J148"/>
      <c r="K148" t="n">
        <v>0.008613240418118466</v>
      </c>
    </row>
    <row r="149" spans="1:2" ht="13.5" customHeight="true" x14ac:dyDescent="0.15" hidden="false">
      <c r="A149" t="s">
        <v>7020</v>
      </c>
      <c r="B149" t="n">
        <v>53.0</v>
      </c>
      <c r="C149" t="n">
        <v>0.0</v>
      </c>
      <c r="D149"/>
      <c r="E149"/>
      <c r="F149" t="n">
        <v>0.0</v>
      </c>
      <c r="G149"/>
      <c r="H149"/>
      <c r="I149"/>
      <c r="J149"/>
      <c r="K149"/>
    </row>
    <row r="150" spans="1:2" ht="13.5" customHeight="true" x14ac:dyDescent="0.15" hidden="false">
      <c r="A150" t="s">
        <v>7020</v>
      </c>
      <c r="B150" t="n">
        <v>54.0</v>
      </c>
      <c r="C150" t="n">
        <v>0.34</v>
      </c>
      <c r="D150"/>
      <c r="E150"/>
      <c r="F150" t="n">
        <v>0.35</v>
      </c>
      <c r="G150"/>
      <c r="H150"/>
      <c r="I150" t="n">
        <v>0.34023973111971734</v>
      </c>
      <c r="J150"/>
      <c r="K150"/>
    </row>
    <row r="151" spans="1:2" ht="13.5" customHeight="true" x14ac:dyDescent="0.15" hidden="false">
      <c r="A151" t="s">
        <v>7014</v>
      </c>
      <c r="B151" t="n">
        <v>1.0</v>
      </c>
      <c r="C151" t="n">
        <v>0.0</v>
      </c>
      <c r="D151"/>
      <c r="E151"/>
      <c r="F151" t="n">
        <v>0.0</v>
      </c>
      <c r="G151"/>
      <c r="H151"/>
      <c r="I151"/>
      <c r="J151"/>
      <c r="K151"/>
    </row>
    <row r="152" spans="1:2" ht="13.5" customHeight="true" x14ac:dyDescent="0.15" hidden="false">
      <c r="A152" t="s">
        <v>7014</v>
      </c>
      <c r="B152" t="n">
        <v>2.0</v>
      </c>
      <c r="C152" t="n">
        <v>0.54</v>
      </c>
      <c r="D152"/>
      <c r="E152"/>
      <c r="F152" t="n">
        <v>3.02</v>
      </c>
      <c r="G152"/>
      <c r="H152"/>
      <c r="I152" t="n">
        <v>1.6102757685242006</v>
      </c>
      <c r="J152"/>
      <c r="K152"/>
    </row>
    <row r="153" spans="1:2" ht="13.5" customHeight="true" x14ac:dyDescent="0.15" hidden="false">
      <c r="A153" t="s">
        <v>7014</v>
      </c>
      <c r="B153" t="n">
        <v>3.0</v>
      </c>
      <c r="C153"/>
      <c r="D153" t="n">
        <v>0.0</v>
      </c>
      <c r="E153"/>
      <c r="F153"/>
      <c r="G153" t="n">
        <v>0.56</v>
      </c>
      <c r="H153"/>
      <c r="I153"/>
      <c r="J153" t="n">
        <v>0.5363968700457246</v>
      </c>
      <c r="K153"/>
    </row>
    <row r="154" spans="1:2" ht="13.5" customHeight="true" x14ac:dyDescent="0.15" hidden="false">
      <c r="A154" t="s">
        <v>7014</v>
      </c>
      <c r="B154" t="n">
        <v>4.0</v>
      </c>
      <c r="C154"/>
      <c r="D154" t="n">
        <v>0.0</v>
      </c>
      <c r="E154"/>
      <c r="F154"/>
      <c r="G154" t="n">
        <v>1.13</v>
      </c>
      <c r="H154"/>
      <c r="I154"/>
      <c r="J154" t="n">
        <v>1.0466685539778096</v>
      </c>
      <c r="K154"/>
    </row>
    <row r="155" spans="1:2" ht="13.5" customHeight="true" x14ac:dyDescent="0.15" hidden="false">
      <c r="A155" t="s">
        <v>7014</v>
      </c>
      <c r="B155" t="n">
        <v>5.0</v>
      </c>
      <c r="C155"/>
      <c r="D155"/>
      <c r="E155" t="n">
        <v>0.0</v>
      </c>
      <c r="F155"/>
      <c r="G155"/>
      <c r="H155" t="n">
        <v>1.8399999999999999</v>
      </c>
      <c r="I155"/>
      <c r="J155"/>
      <c r="K155" t="n">
        <v>1.1637225781623517</v>
      </c>
    </row>
    <row r="156" spans="1:2" ht="13.5" customHeight="true" x14ac:dyDescent="0.15" hidden="false">
      <c r="A156" t="s">
        <v>7014</v>
      </c>
      <c r="B156" t="n">
        <v>6.0</v>
      </c>
      <c r="C156"/>
      <c r="D156"/>
      <c r="E156" t="n">
        <v>0.0</v>
      </c>
      <c r="F156"/>
      <c r="G156"/>
      <c r="H156" t="n">
        <v>0.0</v>
      </c>
      <c r="I156"/>
      <c r="J156"/>
      <c r="K156"/>
    </row>
    <row r="157" spans="1:2" ht="13.5" customHeight="true" x14ac:dyDescent="0.15" hidden="false">
      <c r="A157" t="s">
        <v>7014</v>
      </c>
      <c r="B157" t="n">
        <v>7.0</v>
      </c>
      <c r="C157" t="n">
        <v>1.11</v>
      </c>
      <c r="D157"/>
      <c r="E157"/>
      <c r="F157" t="n">
        <v>2.86</v>
      </c>
      <c r="G157"/>
      <c r="H157"/>
      <c r="I157" t="n">
        <v>1.443375104705771</v>
      </c>
      <c r="J157"/>
      <c r="K157"/>
    </row>
    <row r="158" spans="1:2" ht="13.5" customHeight="true" x14ac:dyDescent="0.15" hidden="false">
      <c r="A158" t="s">
        <v>7014</v>
      </c>
      <c r="B158" t="n">
        <v>8.0</v>
      </c>
      <c r="C158" t="n">
        <v>1.76</v>
      </c>
      <c r="D158"/>
      <c r="E158"/>
      <c r="F158" t="n">
        <v>4.75</v>
      </c>
      <c r="G158"/>
      <c r="H158"/>
      <c r="I158" t="n">
        <v>3.7722089296112253</v>
      </c>
      <c r="J158"/>
      <c r="K158"/>
    </row>
    <row r="159" spans="1:2" ht="13.5" customHeight="true" x14ac:dyDescent="0.15" hidden="false">
      <c r="A159" t="s">
        <v>7014</v>
      </c>
      <c r="B159" t="n">
        <v>9.0</v>
      </c>
      <c r="C159"/>
      <c r="D159" t="n">
        <v>0.84</v>
      </c>
      <c r="E159"/>
      <c r="F159"/>
      <c r="G159" t="n">
        <v>4.5</v>
      </c>
      <c r="H159"/>
      <c r="I159"/>
      <c r="J159" t="n">
        <v>1.4677948534172658</v>
      </c>
      <c r="K159"/>
    </row>
    <row r="160" spans="1:2" ht="13.5" customHeight="true" x14ac:dyDescent="0.15" hidden="false">
      <c r="A160" t="s">
        <v>7014</v>
      </c>
      <c r="B160" t="n">
        <v>10.0</v>
      </c>
      <c r="C160"/>
      <c r="D160" t="n">
        <v>0.0</v>
      </c>
      <c r="E160"/>
      <c r="F160"/>
      <c r="G160" t="n">
        <v>0.72</v>
      </c>
      <c r="H160"/>
      <c r="I160"/>
      <c r="J160" t="n">
        <v>0.6539499893488577</v>
      </c>
      <c r="K160"/>
    </row>
    <row r="161" spans="1:2" ht="13.5" customHeight="true" x14ac:dyDescent="0.15" hidden="false">
      <c r="A161" t="s">
        <v>7014</v>
      </c>
      <c r="B161" t="n">
        <v>11.0</v>
      </c>
      <c r="C161"/>
      <c r="D161"/>
      <c r="E161" t="n">
        <v>0.0</v>
      </c>
      <c r="F161"/>
      <c r="G161"/>
      <c r="H161" t="n">
        <v>0.0</v>
      </c>
      <c r="I161"/>
      <c r="J161"/>
      <c r="K161"/>
    </row>
    <row r="162" spans="1:2" ht="13.5" customHeight="true" x14ac:dyDescent="0.15" hidden="false">
      <c r="A162" t="s">
        <v>7014</v>
      </c>
      <c r="B162" t="n">
        <v>12.0</v>
      </c>
      <c r="C162"/>
      <c r="D162"/>
      <c r="E162" t="n">
        <v>0.0</v>
      </c>
      <c r="F162"/>
      <c r="G162"/>
      <c r="H162" t="n">
        <v>4.72</v>
      </c>
      <c r="I162"/>
      <c r="J162"/>
      <c r="K162" t="n">
        <v>4.34439038353314</v>
      </c>
    </row>
    <row r="163" spans="1:2" ht="13.5" customHeight="true" x14ac:dyDescent="0.15" hidden="false">
      <c r="A163" t="s">
        <v>7014</v>
      </c>
      <c r="B163" t="n">
        <v>13.0</v>
      </c>
      <c r="C163" t="n">
        <v>0.0</v>
      </c>
      <c r="D163"/>
      <c r="E163"/>
      <c r="F163" t="n">
        <v>2.86</v>
      </c>
      <c r="G163"/>
      <c r="H163"/>
      <c r="I163" t="n">
        <v>2.775163637283658</v>
      </c>
      <c r="J163"/>
      <c r="K163"/>
    </row>
    <row r="164" spans="1:2" ht="13.5" customHeight="true" x14ac:dyDescent="0.15" hidden="false">
      <c r="A164" t="s">
        <v>7014</v>
      </c>
      <c r="B164" t="n">
        <v>14.0</v>
      </c>
      <c r="C164" t="n">
        <v>5.68</v>
      </c>
      <c r="D164"/>
      <c r="E164"/>
      <c r="F164" t="n">
        <v>15.79</v>
      </c>
      <c r="G164"/>
      <c r="H164"/>
      <c r="I164" t="n">
        <v>12.910776404191562</v>
      </c>
      <c r="J164"/>
      <c r="K164"/>
    </row>
    <row r="165" spans="1:2" ht="13.5" customHeight="true" x14ac:dyDescent="0.15" hidden="false">
      <c r="A165" t="s">
        <v>7014</v>
      </c>
      <c r="B165" t="n">
        <v>15.0</v>
      </c>
      <c r="C165"/>
      <c r="D165" t="n">
        <v>0.0</v>
      </c>
      <c r="E165"/>
      <c r="F165"/>
      <c r="G165" t="n">
        <v>1.78</v>
      </c>
      <c r="H165"/>
      <c r="I165"/>
      <c r="J165" t="n">
        <v>1.723402733589854</v>
      </c>
      <c r="K165"/>
    </row>
    <row r="166" spans="1:2" ht="13.5" customHeight="true" x14ac:dyDescent="0.15" hidden="false">
      <c r="A166" t="s">
        <v>7014</v>
      </c>
      <c r="B166" t="n">
        <v>16.0</v>
      </c>
      <c r="C166"/>
      <c r="D166" t="n">
        <v>0.0</v>
      </c>
      <c r="E166"/>
      <c r="F166"/>
      <c r="G166" t="n">
        <v>0.0</v>
      </c>
      <c r="H166"/>
      <c r="I166"/>
      <c r="J166"/>
      <c r="K166"/>
    </row>
    <row r="167" spans="1:2" ht="13.5" customHeight="true" x14ac:dyDescent="0.15" hidden="false">
      <c r="A167" t="s">
        <v>7014</v>
      </c>
      <c r="B167" t="n">
        <v>17.0</v>
      </c>
      <c r="C167"/>
      <c r="D167"/>
      <c r="E167" t="n">
        <v>0.0</v>
      </c>
      <c r="F167"/>
      <c r="G167"/>
      <c r="H167" t="n">
        <v>4.52</v>
      </c>
      <c r="I167"/>
      <c r="J167"/>
      <c r="K167" t="n">
        <v>3.1282912346973086</v>
      </c>
    </row>
    <row r="168" spans="1:2" ht="13.5" customHeight="true" x14ac:dyDescent="0.15" hidden="false">
      <c r="A168" t="s">
        <v>7014</v>
      </c>
      <c r="B168" t="n">
        <v>18.0</v>
      </c>
      <c r="C168"/>
      <c r="D168"/>
      <c r="E168" t="n">
        <v>0.0</v>
      </c>
      <c r="F168"/>
      <c r="G168"/>
      <c r="H168" t="n">
        <v>2.91</v>
      </c>
      <c r="I168"/>
      <c r="J168"/>
      <c r="K168" t="n">
        <v>2.4131155053669886</v>
      </c>
    </row>
    <row r="169" spans="1:2" ht="13.5" customHeight="true" x14ac:dyDescent="0.15" hidden="false">
      <c r="A169" t="s">
        <v>7014</v>
      </c>
      <c r="B169" t="n">
        <v>19.0</v>
      </c>
      <c r="C169" t="n">
        <v>0.0</v>
      </c>
      <c r="D169"/>
      <c r="E169"/>
      <c r="F169" t="n">
        <v>6.61</v>
      </c>
      <c r="G169"/>
      <c r="H169"/>
      <c r="I169" t="n">
        <v>5.570125684455628</v>
      </c>
      <c r="J169"/>
      <c r="K169"/>
    </row>
    <row r="170" spans="1:2" ht="13.5" customHeight="true" x14ac:dyDescent="0.15" hidden="false">
      <c r="A170" t="s">
        <v>7014</v>
      </c>
      <c r="B170" t="n">
        <v>20.0</v>
      </c>
      <c r="C170" t="n">
        <v>0.0</v>
      </c>
      <c r="D170"/>
      <c r="E170"/>
      <c r="F170" t="n">
        <v>8.08</v>
      </c>
      <c r="G170"/>
      <c r="H170"/>
      <c r="I170" t="n">
        <v>2.751520018292492</v>
      </c>
      <c r="J170"/>
      <c r="K170"/>
    </row>
    <row r="171" spans="1:2" ht="13.5" customHeight="true" x14ac:dyDescent="0.15" hidden="false">
      <c r="A171" t="s">
        <v>7014</v>
      </c>
      <c r="B171" t="n">
        <v>21.0</v>
      </c>
      <c r="C171"/>
      <c r="D171" t="n">
        <v>0.0</v>
      </c>
      <c r="E171"/>
      <c r="F171"/>
      <c r="G171" t="n">
        <v>2.45</v>
      </c>
      <c r="H171"/>
      <c r="I171"/>
      <c r="J171" t="n">
        <v>1.5627876124230238</v>
      </c>
      <c r="K171"/>
    </row>
    <row r="172" spans="1:2" ht="13.5" customHeight="true" x14ac:dyDescent="0.15" hidden="false">
      <c r="A172" t="s">
        <v>7014</v>
      </c>
      <c r="B172" t="n">
        <v>22.0</v>
      </c>
      <c r="C172"/>
      <c r="D172" t="n">
        <v>0.0</v>
      </c>
      <c r="E172"/>
      <c r="F172"/>
      <c r="G172" t="n">
        <v>0.0</v>
      </c>
      <c r="H172"/>
      <c r="I172"/>
      <c r="J172"/>
      <c r="K172"/>
    </row>
    <row r="173" spans="1:2" ht="13.5" customHeight="true" x14ac:dyDescent="0.15" hidden="false">
      <c r="A173" t="s">
        <v>7014</v>
      </c>
      <c r="B173" t="n">
        <v>23.0</v>
      </c>
      <c r="C173"/>
      <c r="D173"/>
      <c r="E173" t="n">
        <v>0.0</v>
      </c>
      <c r="F173"/>
      <c r="G173"/>
      <c r="H173" t="n">
        <v>0.0</v>
      </c>
      <c r="I173"/>
      <c r="J173"/>
      <c r="K173"/>
    </row>
    <row r="174" spans="1:2" ht="13.5" customHeight="true" x14ac:dyDescent="0.15" hidden="false">
      <c r="A174" t="s">
        <v>7014</v>
      </c>
      <c r="B174" t="n">
        <v>24.0</v>
      </c>
      <c r="C174"/>
      <c r="D174"/>
      <c r="E174" t="n">
        <v>1.44</v>
      </c>
      <c r="F174"/>
      <c r="G174"/>
      <c r="H174" t="n">
        <v>4.78</v>
      </c>
      <c r="I174"/>
      <c r="J174"/>
      <c r="K174" t="n">
        <v>2.5931829783365976</v>
      </c>
    </row>
    <row r="175" spans="1:2" ht="13.5" customHeight="true" x14ac:dyDescent="0.15" hidden="false">
      <c r="A175" t="s">
        <v>7014</v>
      </c>
      <c r="B175" t="n">
        <v>25.0</v>
      </c>
      <c r="C175" t="n">
        <v>0.0</v>
      </c>
      <c r="D175"/>
      <c r="E175"/>
      <c r="F175" t="n">
        <v>0.72</v>
      </c>
      <c r="G175"/>
      <c r="H175"/>
      <c r="I175" t="n">
        <v>0.6262461791832815</v>
      </c>
      <c r="J175"/>
      <c r="K175"/>
    </row>
    <row r="176" spans="1:2" ht="13.5" customHeight="true" x14ac:dyDescent="0.15" hidden="false">
      <c r="A176" t="s">
        <v>7014</v>
      </c>
      <c r="B176" t="n">
        <v>26.0</v>
      </c>
      <c r="C176" t="n">
        <v>0.3</v>
      </c>
      <c r="D176"/>
      <c r="E176"/>
      <c r="F176" t="n">
        <v>6.8</v>
      </c>
      <c r="G176"/>
      <c r="H176"/>
      <c r="I176" t="n">
        <v>1.203442232453935</v>
      </c>
      <c r="J176"/>
      <c r="K176"/>
    </row>
    <row r="177" spans="1:2" ht="13.5" customHeight="true" x14ac:dyDescent="0.15" hidden="false">
      <c r="A177" t="s">
        <v>7014</v>
      </c>
      <c r="B177" t="n">
        <v>27.0</v>
      </c>
      <c r="C177"/>
      <c r="D177" t="n">
        <v>5.63</v>
      </c>
      <c r="E177"/>
      <c r="F177"/>
      <c r="G177" t="n">
        <v>15.17</v>
      </c>
      <c r="H177"/>
      <c r="I177"/>
      <c r="J177" t="n">
        <v>7.338864031761542</v>
      </c>
      <c r="K177"/>
    </row>
    <row r="178" spans="1:2" ht="13.5" customHeight="true" x14ac:dyDescent="0.15" hidden="false">
      <c r="A178" t="s">
        <v>7014</v>
      </c>
      <c r="B178" t="n">
        <v>28.0</v>
      </c>
      <c r="C178"/>
      <c r="D178" t="n">
        <v>0.0</v>
      </c>
      <c r="E178"/>
      <c r="F178"/>
      <c r="G178" t="n">
        <v>0.0</v>
      </c>
      <c r="H178"/>
      <c r="I178"/>
      <c r="J178"/>
      <c r="K178"/>
    </row>
    <row r="179" spans="1:2" ht="13.5" customHeight="true" x14ac:dyDescent="0.15" hidden="false">
      <c r="A179" t="s">
        <v>7014</v>
      </c>
      <c r="B179" t="n">
        <v>29.0</v>
      </c>
      <c r="C179"/>
      <c r="D179"/>
      <c r="E179" t="n">
        <v>0.0</v>
      </c>
      <c r="F179"/>
      <c r="G179"/>
      <c r="H179" t="n">
        <v>0.0</v>
      </c>
      <c r="I179"/>
      <c r="J179"/>
      <c r="K179"/>
    </row>
    <row r="180" spans="1:2" ht="13.5" customHeight="true" x14ac:dyDescent="0.15" hidden="false">
      <c r="A180" t="s">
        <v>7014</v>
      </c>
      <c r="B180" t="n">
        <v>30.0</v>
      </c>
      <c r="C180"/>
      <c r="D180"/>
      <c r="E180" t="n">
        <v>0.0</v>
      </c>
      <c r="F180"/>
      <c r="G180"/>
      <c r="H180" t="n">
        <v>2.67</v>
      </c>
      <c r="I180"/>
      <c r="J180"/>
      <c r="K180" t="n">
        <v>1.8933451515539381</v>
      </c>
    </row>
    <row r="181" spans="1:2" ht="13.5" customHeight="true" x14ac:dyDescent="0.15" hidden="false">
      <c r="A181" t="s">
        <v>7014</v>
      </c>
      <c r="B181" t="n">
        <v>31.0</v>
      </c>
      <c r="C181" t="n">
        <v>0.0</v>
      </c>
      <c r="D181"/>
      <c r="E181"/>
      <c r="F181" t="n">
        <v>0.0</v>
      </c>
      <c r="G181"/>
      <c r="H181"/>
      <c r="I181"/>
      <c r="J181"/>
      <c r="K181"/>
    </row>
    <row r="182" spans="1:2" ht="13.5" customHeight="true" x14ac:dyDescent="0.15" hidden="false">
      <c r="A182" t="s">
        <v>7014</v>
      </c>
      <c r="B182" t="n">
        <v>32.0</v>
      </c>
      <c r="C182" t="n">
        <v>1.48</v>
      </c>
      <c r="D182"/>
      <c r="E182"/>
      <c r="F182" t="n">
        <v>4.18</v>
      </c>
      <c r="G182"/>
      <c r="H182"/>
      <c r="I182" t="n">
        <v>3.269571551876825</v>
      </c>
      <c r="J182"/>
      <c r="K182"/>
    </row>
    <row r="183" spans="1:2" ht="13.5" customHeight="true" x14ac:dyDescent="0.15" hidden="false">
      <c r="A183" t="s">
        <v>7014</v>
      </c>
      <c r="B183" t="n">
        <v>33.0</v>
      </c>
      <c r="C183"/>
      <c r="D183" t="n">
        <v>0.0</v>
      </c>
      <c r="E183"/>
      <c r="F183"/>
      <c r="G183" t="n">
        <v>0.48</v>
      </c>
      <c r="H183"/>
      <c r="I183"/>
      <c r="J183" t="n">
        <v>0.4378621765222254</v>
      </c>
      <c r="K183"/>
    </row>
    <row r="184" spans="1:2" ht="13.5" customHeight="true" x14ac:dyDescent="0.15" hidden="false">
      <c r="A184" t="s">
        <v>7014</v>
      </c>
      <c r="B184" t="n">
        <v>34.0</v>
      </c>
      <c r="C184"/>
      <c r="D184" t="n">
        <v>0.0</v>
      </c>
      <c r="E184"/>
      <c r="F184"/>
      <c r="G184" t="n">
        <v>0.0</v>
      </c>
      <c r="H184"/>
      <c r="I184"/>
      <c r="J184"/>
      <c r="K184"/>
    </row>
    <row r="185" spans="1:2" ht="13.5" customHeight="true" x14ac:dyDescent="0.15" hidden="false">
      <c r="A185" t="s">
        <v>7014</v>
      </c>
      <c r="B185" t="n">
        <v>35.0</v>
      </c>
      <c r="C185"/>
      <c r="D185"/>
      <c r="E185" t="n">
        <v>1.72</v>
      </c>
      <c r="F185"/>
      <c r="G185"/>
      <c r="H185" t="n">
        <v>3.0</v>
      </c>
      <c r="I185"/>
      <c r="J185"/>
      <c r="K185" t="n">
        <v>2.4571087337953235</v>
      </c>
    </row>
    <row r="186" spans="1:2" ht="13.5" customHeight="true" x14ac:dyDescent="0.15" hidden="false">
      <c r="A186" t="s">
        <v>7014</v>
      </c>
      <c r="B186" t="n">
        <v>36.0</v>
      </c>
      <c r="C186"/>
      <c r="D186"/>
      <c r="E186" t="n">
        <v>3.37</v>
      </c>
      <c r="F186"/>
      <c r="G186"/>
      <c r="H186" t="n">
        <v>8.03</v>
      </c>
      <c r="I186"/>
      <c r="J186"/>
      <c r="K186" t="n">
        <v>6.617112174375461</v>
      </c>
    </row>
    <row r="187" spans="1:2" ht="13.5" customHeight="true" x14ac:dyDescent="0.15" hidden="false">
      <c r="A187" t="s">
        <v>7014</v>
      </c>
      <c r="B187" t="n">
        <v>37.0</v>
      </c>
      <c r="C187" t="n">
        <v>0.0</v>
      </c>
      <c r="D187"/>
      <c r="E187"/>
      <c r="F187" t="n">
        <v>6.77</v>
      </c>
      <c r="G187"/>
      <c r="H187"/>
      <c r="I187" t="n">
        <v>5.87170014728235</v>
      </c>
      <c r="J187"/>
      <c r="K187"/>
    </row>
    <row r="188" spans="1:2" ht="13.5" customHeight="true" x14ac:dyDescent="0.15" hidden="false">
      <c r="A188" t="s">
        <v>7014</v>
      </c>
      <c r="B188" t="n">
        <v>38.0</v>
      </c>
      <c r="C188" t="n">
        <v>4.88</v>
      </c>
      <c r="D188"/>
      <c r="E188"/>
      <c r="F188" t="n">
        <v>7.9399999999999995</v>
      </c>
      <c r="G188"/>
      <c r="H188"/>
      <c r="I188" t="n">
        <v>5.399545932396266</v>
      </c>
      <c r="J188"/>
      <c r="K188"/>
    </row>
    <row r="189" spans="1:2" ht="13.5" customHeight="true" x14ac:dyDescent="0.15" hidden="false">
      <c r="A189" t="s">
        <v>7014</v>
      </c>
      <c r="B189" t="n">
        <v>39.0</v>
      </c>
      <c r="C189"/>
      <c r="D189" t="n">
        <v>2.43</v>
      </c>
      <c r="E189"/>
      <c r="F189"/>
      <c r="G189" t="n">
        <v>8.07</v>
      </c>
      <c r="H189"/>
      <c r="I189"/>
      <c r="J189" t="n">
        <v>3.1210592427596078</v>
      </c>
      <c r="K189"/>
    </row>
    <row r="190" spans="1:2" ht="13.5" customHeight="true" x14ac:dyDescent="0.15" hidden="false">
      <c r="A190" t="s">
        <v>7014</v>
      </c>
      <c r="B190" t="n">
        <v>40.0</v>
      </c>
      <c r="C190"/>
      <c r="D190" t="n">
        <v>0.0</v>
      </c>
      <c r="E190"/>
      <c r="F190"/>
      <c r="G190" t="n">
        <v>0.0</v>
      </c>
      <c r="H190"/>
      <c r="I190"/>
      <c r="J190"/>
      <c r="K190"/>
    </row>
    <row r="191" spans="1:2" ht="13.5" customHeight="true" x14ac:dyDescent="0.15" hidden="false">
      <c r="A191" t="s">
        <v>7017</v>
      </c>
      <c r="B191" t="n">
        <v>1.0</v>
      </c>
      <c r="C191" t="n">
        <v>1.17</v>
      </c>
      <c r="D191"/>
      <c r="E191"/>
      <c r="F191" t="n">
        <v>1.2</v>
      </c>
      <c r="G191"/>
      <c r="H191"/>
      <c r="I191" t="n">
        <v>1.1790352656846237</v>
      </c>
      <c r="J191"/>
      <c r="K191"/>
    </row>
    <row r="192" spans="1:2" ht="13.5" customHeight="true" x14ac:dyDescent="0.15" hidden="false">
      <c r="A192" t="s">
        <v>7017</v>
      </c>
      <c r="B192" t="n">
        <v>2.0</v>
      </c>
      <c r="C192" t="n">
        <v>0.94</v>
      </c>
      <c r="D192"/>
      <c r="E192"/>
      <c r="F192" t="n">
        <v>2.88</v>
      </c>
      <c r="G192"/>
      <c r="H192"/>
      <c r="I192" t="n">
        <v>1.323645614963699</v>
      </c>
      <c r="J192"/>
      <c r="K192"/>
    </row>
    <row r="193" spans="1:2" ht="13.5" customHeight="true" x14ac:dyDescent="0.15" hidden="false">
      <c r="A193" t="s">
        <v>7017</v>
      </c>
      <c r="B193" t="n">
        <v>3.0</v>
      </c>
      <c r="C193"/>
      <c r="D193" t="n">
        <v>2.75</v>
      </c>
      <c r="E193"/>
      <c r="F193"/>
      <c r="G193" t="n">
        <v>3.49</v>
      </c>
      <c r="H193"/>
      <c r="I193"/>
      <c r="J193" t="n">
        <v>2.9106361147806235</v>
      </c>
      <c r="K193"/>
    </row>
    <row r="194" spans="1:2" ht="13.5" customHeight="true" x14ac:dyDescent="0.15" hidden="false">
      <c r="A194" t="s">
        <v>7017</v>
      </c>
      <c r="B194" t="n">
        <v>4.0</v>
      </c>
      <c r="C194"/>
      <c r="D194" t="n">
        <v>0.0</v>
      </c>
      <c r="E194"/>
      <c r="F194"/>
      <c r="G194" t="n">
        <v>2.63</v>
      </c>
      <c r="H194"/>
      <c r="I194"/>
      <c r="J194" t="n">
        <v>1.9265584514611558</v>
      </c>
      <c r="K194"/>
    </row>
    <row r="195" spans="1:2" ht="13.5" customHeight="true" x14ac:dyDescent="0.15" hidden="false">
      <c r="A195" t="s">
        <v>7017</v>
      </c>
      <c r="B195" t="n">
        <v>5.0</v>
      </c>
      <c r="C195"/>
      <c r="D195"/>
      <c r="E195" t="n">
        <v>2.73</v>
      </c>
      <c r="F195"/>
      <c r="G195"/>
      <c r="H195" t="n">
        <v>3.5</v>
      </c>
      <c r="I195"/>
      <c r="J195"/>
      <c r="K195" t="n">
        <v>3.3003710379336364</v>
      </c>
    </row>
    <row r="196" spans="1:2" ht="13.5" customHeight="true" x14ac:dyDescent="0.15" hidden="false">
      <c r="A196" t="s">
        <v>7017</v>
      </c>
      <c r="B196" t="n">
        <v>6.0</v>
      </c>
      <c r="C196"/>
      <c r="D196"/>
      <c r="E196" t="n">
        <v>0.94</v>
      </c>
      <c r="F196"/>
      <c r="G196"/>
      <c r="H196" t="n">
        <v>1.77</v>
      </c>
      <c r="I196"/>
      <c r="J196"/>
      <c r="K196" t="n">
        <v>1.5083026156086656</v>
      </c>
    </row>
    <row r="197" spans="1:2" ht="13.5" customHeight="true" x14ac:dyDescent="0.15" hidden="false">
      <c r="A197" t="s">
        <v>7017</v>
      </c>
      <c r="B197" t="n">
        <v>7.0</v>
      </c>
      <c r="C197" t="n">
        <v>0.0</v>
      </c>
      <c r="D197"/>
      <c r="E197"/>
      <c r="F197" t="n">
        <v>2.64</v>
      </c>
      <c r="G197"/>
      <c r="H197"/>
      <c r="I197" t="n">
        <v>2.4370190676533103</v>
      </c>
      <c r="J197"/>
      <c r="K197"/>
    </row>
    <row r="198" spans="1:2" ht="13.5" customHeight="true" x14ac:dyDescent="0.15" hidden="false">
      <c r="A198" t="s">
        <v>7017</v>
      </c>
      <c r="B198" t="n">
        <v>8.0</v>
      </c>
      <c r="C198" t="n">
        <v>1.6600000000000001</v>
      </c>
      <c r="D198"/>
      <c r="E198"/>
      <c r="F198" t="n">
        <v>2.16</v>
      </c>
      <c r="G198"/>
      <c r="H198"/>
      <c r="I198" t="n">
        <v>1.960770126643782</v>
      </c>
      <c r="J198"/>
      <c r="K198"/>
    </row>
    <row r="199" spans="1:2" ht="13.5" customHeight="true" x14ac:dyDescent="0.15" hidden="false">
      <c r="A199" t="s">
        <v>7017</v>
      </c>
      <c r="B199" t="n">
        <v>9.0</v>
      </c>
      <c r="C199"/>
      <c r="D199" t="n">
        <v>2.05</v>
      </c>
      <c r="E199"/>
      <c r="F199"/>
      <c r="G199" t="n">
        <v>2.99</v>
      </c>
      <c r="H199"/>
      <c r="I199"/>
      <c r="J199" t="n">
        <v>2.6297433817909015</v>
      </c>
      <c r="K199"/>
    </row>
    <row r="200" spans="1:2" ht="13.5" customHeight="true" x14ac:dyDescent="0.15" hidden="false">
      <c r="A200" t="s">
        <v>7017</v>
      </c>
      <c r="B200" t="n">
        <v>10.0</v>
      </c>
      <c r="C200"/>
      <c r="D200" t="n">
        <v>2.57</v>
      </c>
      <c r="E200"/>
      <c r="F200"/>
      <c r="G200" t="n">
        <v>2.79</v>
      </c>
      <c r="H200"/>
      <c r="I200"/>
      <c r="J200" t="n">
        <v>2.617761012045332</v>
      </c>
      <c r="K200"/>
    </row>
    <row r="201" spans="1:2" ht="13.5" customHeight="true" x14ac:dyDescent="0.15" hidden="false">
      <c r="A201" t="s">
        <v>7015</v>
      </c>
      <c r="B201" t="n">
        <v>1.0</v>
      </c>
      <c r="C201" t="n">
        <v>1.17</v>
      </c>
      <c r="D201"/>
      <c r="E201"/>
      <c r="F201" t="n">
        <v>1.19</v>
      </c>
      <c r="G201"/>
      <c r="H201"/>
      <c r="I201" t="n">
        <v>1.1785727278286666</v>
      </c>
      <c r="J201"/>
      <c r="K201"/>
    </row>
    <row r="202" spans="1:2" ht="13.5" customHeight="true" x14ac:dyDescent="0.15" hidden="false">
      <c r="A202" t="s">
        <v>7015</v>
      </c>
      <c r="B202" t="n">
        <v>2.0</v>
      </c>
      <c r="C202" t="n">
        <v>1.47</v>
      </c>
      <c r="D202"/>
      <c r="E202"/>
      <c r="F202" t="n">
        <v>3.39</v>
      </c>
      <c r="G202"/>
      <c r="H202"/>
      <c r="I202" t="n">
        <v>2.005375025760743</v>
      </c>
      <c r="J202"/>
      <c r="K202"/>
    </row>
    <row r="203" spans="1:2" ht="13.5" customHeight="true" x14ac:dyDescent="0.15" hidden="false">
      <c r="A203" t="s">
        <v>7015</v>
      </c>
      <c r="B203" t="n">
        <v>3.0</v>
      </c>
      <c r="C203"/>
      <c r="D203" t="n">
        <v>3.33</v>
      </c>
      <c r="E203"/>
      <c r="F203"/>
      <c r="G203" t="n">
        <v>4.54</v>
      </c>
      <c r="H203"/>
      <c r="I203"/>
      <c r="J203" t="n">
        <v>3.5632002218974472</v>
      </c>
      <c r="K203"/>
    </row>
    <row r="204" spans="1:2" ht="13.5" customHeight="true" x14ac:dyDescent="0.15" hidden="false">
      <c r="A204" t="s">
        <v>7015</v>
      </c>
      <c r="B204" t="n">
        <v>4.0</v>
      </c>
      <c r="C204"/>
      <c r="D204" t="n">
        <v>0.0</v>
      </c>
      <c r="E204"/>
      <c r="F204"/>
      <c r="G204" t="n">
        <v>5.55</v>
      </c>
      <c r="H204"/>
      <c r="I204"/>
      <c r="J204" t="n">
        <v>4.394286885347024</v>
      </c>
      <c r="K204"/>
    </row>
    <row r="205" spans="1:2" ht="13.5" customHeight="true" x14ac:dyDescent="0.15" hidden="false">
      <c r="A205" t="s">
        <v>7015</v>
      </c>
      <c r="B205" t="n">
        <v>5.0</v>
      </c>
      <c r="C205"/>
      <c r="D205"/>
      <c r="E205" t="n">
        <v>1.6099999999999999</v>
      </c>
      <c r="F205"/>
      <c r="G205"/>
      <c r="H205" t="n">
        <v>4.5600000000000005</v>
      </c>
      <c r="I205"/>
      <c r="J205"/>
      <c r="K205" t="n">
        <v>3.928157676721628</v>
      </c>
    </row>
    <row r="206" spans="1:2" ht="13.5" customHeight="true" x14ac:dyDescent="0.15" hidden="false">
      <c r="A206" t="s">
        <v>7015</v>
      </c>
      <c r="B206" t="n">
        <v>6.0</v>
      </c>
      <c r="C206"/>
      <c r="D206"/>
      <c r="E206" t="n">
        <v>1.2</v>
      </c>
      <c r="F206"/>
      <c r="G206"/>
      <c r="H206" t="n">
        <v>1.8399999999999999</v>
      </c>
      <c r="I206"/>
      <c r="J206"/>
      <c r="K206" t="n">
        <v>1.3511910226834962</v>
      </c>
    </row>
    <row r="207" spans="1:2" ht="13.5" customHeight="true" x14ac:dyDescent="0.15" hidden="false">
      <c r="A207" t="s">
        <v>7015</v>
      </c>
      <c r="B207" t="n">
        <v>7.0</v>
      </c>
      <c r="C207" t="n">
        <v>0.0</v>
      </c>
      <c r="D207"/>
      <c r="E207"/>
      <c r="F207" t="n">
        <v>5.52</v>
      </c>
      <c r="G207"/>
      <c r="H207"/>
      <c r="I207" t="n">
        <v>4.0821092948290545</v>
      </c>
      <c r="J207"/>
      <c r="K207"/>
    </row>
    <row r="208" spans="1:2" ht="13.5" customHeight="true" x14ac:dyDescent="0.15" hidden="false">
      <c r="A208" t="s">
        <v>7015</v>
      </c>
      <c r="B208" t="n">
        <v>8.0</v>
      </c>
      <c r="C208" t="n">
        <v>1.29</v>
      </c>
      <c r="D208"/>
      <c r="E208"/>
      <c r="F208" t="n">
        <v>2.16</v>
      </c>
      <c r="G208"/>
      <c r="H208"/>
      <c r="I208" t="n">
        <v>1.8589862345497523</v>
      </c>
      <c r="J208"/>
      <c r="K208"/>
    </row>
    <row r="209" spans="1:2" ht="13.5" customHeight="true" x14ac:dyDescent="0.15" hidden="false">
      <c r="A209" t="s">
        <v>7015</v>
      </c>
      <c r="B209" t="n">
        <v>9.0</v>
      </c>
      <c r="C209"/>
      <c r="D209" t="n">
        <v>1.6099999999999999</v>
      </c>
      <c r="E209"/>
      <c r="F209"/>
      <c r="G209" t="n">
        <v>2.16</v>
      </c>
      <c r="H209"/>
      <c r="I209"/>
      <c r="J209" t="n">
        <v>1.710184587210173</v>
      </c>
      <c r="K209"/>
    </row>
    <row r="210" spans="1:2" ht="13.5" customHeight="true" x14ac:dyDescent="0.15" hidden="false">
      <c r="A210" t="s">
        <v>7015</v>
      </c>
      <c r="B210" t="n">
        <v>10.0</v>
      </c>
      <c r="C210"/>
      <c r="D210" t="n">
        <v>2.79</v>
      </c>
      <c r="E210"/>
      <c r="F210"/>
      <c r="G210" t="n">
        <v>3.01</v>
      </c>
      <c r="H210"/>
      <c r="I210"/>
      <c r="J210" t="n">
        <v>2.8469456107003355</v>
      </c>
      <c r="K210"/>
    </row>
    <row r="211" spans="1:2" ht="13.5" customHeight="true" x14ac:dyDescent="0.15" hidden="false">
      <c r="A211" t="s">
        <v>7016</v>
      </c>
      <c r="B211" t="n">
        <v>1.0</v>
      </c>
      <c r="C211" t="n">
        <v>23.68</v>
      </c>
      <c r="D211" t="n">
        <v>12.05</v>
      </c>
      <c r="E211" t="n">
        <v>17.05</v>
      </c>
      <c r="F211" t="n">
        <v>27.41</v>
      </c>
      <c r="G211" t="n">
        <v>15.7</v>
      </c>
      <c r="H211" t="n">
        <v>28.82</v>
      </c>
      <c r="I211" t="n">
        <v>25.373480597749207</v>
      </c>
      <c r="J211" t="n">
        <v>12.993558355869643</v>
      </c>
      <c r="K211" t="n">
        <v>19.069896783968442</v>
      </c>
    </row>
    <row r="212" spans="1:2" ht="13.5" customHeight="true" x14ac:dyDescent="0.15" hidden="false">
      <c r="A212" t="s">
        <v>7016</v>
      </c>
      <c r="B212" t="n">
        <v>2.0</v>
      </c>
      <c r="C212" t="n">
        <v>2.37</v>
      </c>
      <c r="D212" t="n">
        <v>1.8</v>
      </c>
      <c r="E212" t="n">
        <v>5.06</v>
      </c>
      <c r="F212" t="n">
        <v>7.09</v>
      </c>
      <c r="G212" t="n">
        <v>8.25</v>
      </c>
      <c r="H212" t="n">
        <v>9.83</v>
      </c>
      <c r="I212" t="n">
        <v>3.57305372916841</v>
      </c>
      <c r="J212" t="n">
        <v>3.5363443426254184</v>
      </c>
      <c r="K212" t="n">
        <v>7.697679495312405</v>
      </c>
    </row>
    <row r="213" spans="1:2" ht="13.5" customHeight="true" x14ac:dyDescent="0.15" hidden="false">
      <c r="A213" t="s">
        <v>7016</v>
      </c>
      <c r="B213" t="n">
        <v>3.0</v>
      </c>
      <c r="C213" t="n">
        <v>0.0</v>
      </c>
      <c r="D213" t="n">
        <v>0.0</v>
      </c>
      <c r="E213" t="n">
        <v>0.0</v>
      </c>
      <c r="F213" t="n">
        <v>7.1</v>
      </c>
      <c r="G213" t="n">
        <v>8.29</v>
      </c>
      <c r="H213" t="n">
        <v>5.19</v>
      </c>
      <c r="I213" t="n">
        <v>6.437742996383868</v>
      </c>
      <c r="J213" t="n">
        <v>7.811424053174664</v>
      </c>
      <c r="K213" t="n">
        <v>4.8931603476522145</v>
      </c>
    </row>
    <row r="214" spans="1:2" ht="13.5" customHeight="true" x14ac:dyDescent="0.15" hidden="false">
      <c r="A214" t="s">
        <v>7016</v>
      </c>
      <c r="B214" t="n">
        <v>4.0</v>
      </c>
      <c r="C214" t="n">
        <v>0.0</v>
      </c>
      <c r="D214" t="n">
        <v>0.0</v>
      </c>
      <c r="E214" t="n">
        <v>0.0</v>
      </c>
      <c r="F214" t="n">
        <v>0.0</v>
      </c>
      <c r="G214" t="n">
        <v>0.0</v>
      </c>
      <c r="H214" t="n">
        <v>0.0</v>
      </c>
      <c r="I214"/>
      <c r="J214"/>
      <c r="K214"/>
    </row>
    <row r="215" spans="1:2" ht="13.5" customHeight="true" x14ac:dyDescent="0.15" hidden="false">
      <c r="A215" t="s">
        <v>7016</v>
      </c>
      <c r="B215" t="n">
        <v>5.0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/>
      <c r="J215"/>
      <c r="K215"/>
    </row>
    <row r="216" spans="1:2" ht="13.5" customHeight="true" x14ac:dyDescent="0.15" hidden="false">
      <c r="A216" t="s">
        <v>7016</v>
      </c>
      <c r="B216" t="n">
        <v>6.0</v>
      </c>
      <c r="C216" t="n">
        <v>2.41</v>
      </c>
      <c r="D216" t="n">
        <v>1.92</v>
      </c>
      <c r="E216" t="n">
        <v>6.64</v>
      </c>
      <c r="F216" t="n">
        <v>59.06</v>
      </c>
      <c r="G216" t="n">
        <v>59.71</v>
      </c>
      <c r="H216" t="n">
        <v>62.09</v>
      </c>
      <c r="I216" t="n">
        <v>42.41256753451686</v>
      </c>
      <c r="J216" t="n">
        <v>42.80759371692138</v>
      </c>
      <c r="K216" t="n">
        <v>45.910486656280824</v>
      </c>
    </row>
    <row r="217" spans="1:2" ht="13.5" customHeight="true" x14ac:dyDescent="0.15" hidden="false">
      <c r="A217" t="s">
        <v>7016</v>
      </c>
      <c r="B217" t="n">
        <v>7.0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/>
      <c r="J217"/>
      <c r="K217"/>
    </row>
    <row r="218" spans="1:2" ht="13.5" customHeight="true" x14ac:dyDescent="0.15" hidden="false">
      <c r="A218" t="s">
        <v>7016</v>
      </c>
      <c r="B218" t="n">
        <v>8.0</v>
      </c>
      <c r="C218" t="n">
        <v>0.0</v>
      </c>
      <c r="D218" t="n">
        <v>0.0</v>
      </c>
      <c r="E218" t="n">
        <v>0.0</v>
      </c>
      <c r="F218" t="n">
        <v>51.81</v>
      </c>
      <c r="G218" t="n">
        <v>52.37</v>
      </c>
      <c r="H218" t="n">
        <v>54.75</v>
      </c>
      <c r="I218" t="n">
        <v>48.18977131026899</v>
      </c>
      <c r="J218" t="n">
        <v>48.75653159295416</v>
      </c>
      <c r="K218" t="n">
        <v>50.92724030831345</v>
      </c>
    </row>
    <row r="219" spans="1:2" ht="13.5" customHeight="true" x14ac:dyDescent="0.15" hidden="false">
      <c r="A219" t="s">
        <v>7016</v>
      </c>
      <c r="B219" t="n">
        <v>9.0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/>
      <c r="J219"/>
      <c r="K219"/>
    </row>
    <row r="220" spans="1:2" ht="13.5" customHeight="true" x14ac:dyDescent="0.15" hidden="false">
      <c r="A220" t="s">
        <v>7016</v>
      </c>
      <c r="B220" t="n">
        <v>10.0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/>
      <c r="J220"/>
      <c r="K220"/>
    </row>
    <row r="221" spans="1:2" ht="13.5" customHeight="true" x14ac:dyDescent="0.15" hidden="false">
      <c r="A221" t="s">
        <v>7013</v>
      </c>
      <c r="B221" t="n">
        <v>1.0</v>
      </c>
      <c r="C221" t="n">
        <v>39.61</v>
      </c>
      <c r="D221" t="n">
        <v>40.33</v>
      </c>
      <c r="E221" t="n">
        <v>42.89</v>
      </c>
      <c r="F221" t="n">
        <v>47.16</v>
      </c>
      <c r="G221" t="n">
        <v>47.56</v>
      </c>
      <c r="H221" t="n">
        <v>50.14</v>
      </c>
      <c r="I221" t="n">
        <v>45.97113878856954</v>
      </c>
      <c r="J221" t="n">
        <v>46.848268053911646</v>
      </c>
      <c r="K221" t="n">
        <v>49.389854961936415</v>
      </c>
    </row>
    <row r="222" spans="1:2" ht="13.5" customHeight="true" x14ac:dyDescent="0.15" hidden="false">
      <c r="A222" t="s">
        <v>7013</v>
      </c>
      <c r="B222" t="n">
        <v>2.0</v>
      </c>
      <c r="C222" t="n">
        <v>0.0</v>
      </c>
      <c r="D222" t="n">
        <v>0.0</v>
      </c>
      <c r="E222" t="n">
        <v>0.0</v>
      </c>
      <c r="F222" t="n">
        <v>43.78</v>
      </c>
      <c r="G222" t="n">
        <v>17.88</v>
      </c>
      <c r="H222" t="n">
        <v>24.36</v>
      </c>
      <c r="I222" t="n">
        <v>39.36550065745911</v>
      </c>
      <c r="J222" t="n">
        <v>11.436265099543746</v>
      </c>
      <c r="K222" t="n">
        <v>20.38176617904148</v>
      </c>
    </row>
    <row r="223" spans="1:2" ht="13.5" customHeight="true" x14ac:dyDescent="0.15" hidden="false">
      <c r="A223" t="s">
        <v>7013</v>
      </c>
      <c r="B223" t="n">
        <v>3.0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/>
      <c r="J223"/>
      <c r="K223"/>
    </row>
    <row r="224" spans="1:2" ht="13.5" customHeight="true" x14ac:dyDescent="0.15" hidden="false">
      <c r="A224" t="s">
        <v>7013</v>
      </c>
      <c r="B224" t="n">
        <v>4.0</v>
      </c>
      <c r="C224" t="n">
        <v>0.0</v>
      </c>
      <c r="D224" t="n">
        <v>0.0</v>
      </c>
      <c r="E224" t="n">
        <v>0.0</v>
      </c>
      <c r="F224" t="n">
        <v>10.47</v>
      </c>
      <c r="G224" t="n">
        <v>7.93</v>
      </c>
      <c r="H224" t="n">
        <v>5.85</v>
      </c>
      <c r="I224" t="n">
        <v>8.753887679823467</v>
      </c>
      <c r="J224" t="n">
        <v>7.458921598665397</v>
      </c>
      <c r="K224" t="n">
        <v>5.527630102258118</v>
      </c>
    </row>
    <row r="225" spans="1:2" ht="13.5" customHeight="true" x14ac:dyDescent="0.15" hidden="false">
      <c r="A225" t="s">
        <v>7013</v>
      </c>
      <c r="B225" t="n">
        <v>5.0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/>
      <c r="J225"/>
      <c r="K225"/>
    </row>
    <row r="226" spans="1:2" ht="13.5" customHeight="true" x14ac:dyDescent="0.15" hidden="false">
      <c r="A226" t="s">
        <v>7013</v>
      </c>
      <c r="B226" t="n">
        <v>6.0</v>
      </c>
      <c r="C226" t="n">
        <v>0.0</v>
      </c>
      <c r="D226" t="n">
        <v>0.0</v>
      </c>
      <c r="E226" t="n">
        <v>0.0</v>
      </c>
      <c r="F226" t="n">
        <v>38.99</v>
      </c>
      <c r="G226" t="n">
        <v>17.76</v>
      </c>
      <c r="H226" t="n">
        <v>23.97</v>
      </c>
      <c r="I226" t="n">
        <v>34.84276137026436</v>
      </c>
      <c r="J226" t="n">
        <v>11.181670472151277</v>
      </c>
      <c r="K226" t="n">
        <v>19.518178118344114</v>
      </c>
    </row>
    <row r="227" spans="1:2" ht="13.5" customHeight="true" x14ac:dyDescent="0.15" hidden="false">
      <c r="A227" t="s">
        <v>7013</v>
      </c>
      <c r="B227" t="n">
        <v>7.0</v>
      </c>
      <c r="C227" t="n">
        <v>0.0</v>
      </c>
      <c r="D227" t="n">
        <v>0.0</v>
      </c>
      <c r="E227" t="n">
        <v>0.0</v>
      </c>
      <c r="F227" t="n">
        <v>10.51</v>
      </c>
      <c r="G227" t="n">
        <v>7.83</v>
      </c>
      <c r="H227" t="n">
        <v>5.84</v>
      </c>
      <c r="I227" t="n">
        <v>8.9521153863126</v>
      </c>
      <c r="J227" t="n">
        <v>7.163642104996708</v>
      </c>
      <c r="K227" t="n">
        <v>5.409077442539615</v>
      </c>
    </row>
    <row r="228" spans="1:2" ht="13.5" customHeight="true" x14ac:dyDescent="0.15" hidden="false">
      <c r="A228" t="s">
        <v>7013</v>
      </c>
      <c r="B228" t="n">
        <v>8.0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/>
      <c r="J228"/>
      <c r="K228"/>
    </row>
    <row r="229" spans="1:2" ht="13.5" customHeight="true" x14ac:dyDescent="0.15" hidden="false">
      <c r="A229" t="s">
        <v>7013</v>
      </c>
      <c r="B229" t="n">
        <v>9.0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/>
      <c r="J229"/>
      <c r="K229"/>
    </row>
    <row r="230" spans="1:2" ht="13.5" customHeight="true" x14ac:dyDescent="0.15" hidden="false">
      <c r="A230" t="s">
        <v>7013</v>
      </c>
      <c r="B230" t="n">
        <v>10.0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/>
      <c r="J230"/>
      <c r="K230"/>
    </row>
  </sheetData>
  <mergeCells count="5">
    <mergeCell ref="A1:A2"/>
    <mergeCell ref="B1:B2"/>
    <mergeCell ref="C1:E1"/>
    <mergeCell ref="F1:H1"/>
    <mergeCell ref="I1:K1"/>
  </mergeCells>
  <phoneticPr fontId="1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3.5" x14ac:dyDescent="0.15"/>
  <cols>
    <col min="1" max="1" customWidth="true" width="30.77734375" collapsed="false"/>
    <col min="2" max="2" customWidth="true" width="10.77734375" collapsed="false"/>
    <col min="3" max="11" customWidth="true" width="12.77734375" collapsed="false"/>
  </cols>
  <sheetData>
    <row r="1" spans="1:11" ht="16.5" x14ac:dyDescent="0.15">
      <c r="A1" s="3672" t="s">
        <v>9144</v>
      </c>
      <c r="B1" s="3672" t="s">
        <v>9145</v>
      </c>
      <c r="C1" s="3672" t="s">
        <v>9146</v>
      </c>
      <c r="D1" s="3672"/>
      <c r="E1" s="3672"/>
      <c r="F1" s="3672" t="s">
        <v>9147</v>
      </c>
      <c r="G1" s="3672"/>
      <c r="H1" s="3672"/>
      <c r="I1" s="3672" t="s">
        <v>9148</v>
      </c>
      <c r="J1" s="3672"/>
      <c r="K1" s="3672"/>
    </row>
    <row r="2" spans="1:11" ht="16.5" x14ac:dyDescent="0.15">
      <c r="A2" s="3672"/>
      <c r="B2" s="3672"/>
      <c r="C2" s="2698" t="s">
        <v>4567</v>
      </c>
      <c r="D2" s="2698" t="s">
        <v>4568</v>
      </c>
      <c r="E2" s="2698" t="s">
        <v>4569</v>
      </c>
      <c r="F2" s="2698" t="s">
        <v>4567</v>
      </c>
      <c r="G2" s="2698" t="s">
        <v>4568</v>
      </c>
      <c r="H2" s="2698" t="s">
        <v>4569</v>
      </c>
      <c r="I2" s="2698" t="s">
        <v>4567</v>
      </c>
      <c r="J2" s="2698" t="s">
        <v>4568</v>
      </c>
      <c r="K2" s="2698" t="s">
        <v>4569</v>
      </c>
    </row>
    <row r="3" spans="1:11" x14ac:dyDescent="0.15">
      <c r="A3" t="s">
        <v>6978</v>
      </c>
      <c r="B3" t="n">
        <v>1.0</v>
      </c>
      <c r="C3" t="n">
        <v>0.0</v>
      </c>
      <c r="D3" t="n">
        <v>0.75</v>
      </c>
      <c r="E3" t="n">
        <v>0.67</v>
      </c>
      <c r="F3" t="n">
        <v>59.42</v>
      </c>
      <c r="G3" t="n">
        <v>60.51</v>
      </c>
      <c r="H3" t="n">
        <v>58.78</v>
      </c>
      <c r="I3" t="n">
        <v>0.17477083333333338</v>
      </c>
      <c r="J3" t="n">
        <v>0.781115517022065</v>
      </c>
      <c r="K3" t="n">
        <v>0.6984079967025097</v>
      </c>
    </row>
    <row r="4" spans="1:11" ht="13.5" customHeight="true" x14ac:dyDescent="0.15" hidden="false">
      <c r="A4" t="s">
        <v>6978</v>
      </c>
      <c r="B4" t="n">
        <v>2.0</v>
      </c>
      <c r="C4" t="n">
        <v>0.0</v>
      </c>
      <c r="D4" t="n">
        <v>0.0</v>
      </c>
      <c r="E4" t="n">
        <v>0.0</v>
      </c>
      <c r="F4" t="n">
        <v>29.55</v>
      </c>
      <c r="G4" t="n">
        <v>27.9</v>
      </c>
      <c r="H4" t="n">
        <v>30.08</v>
      </c>
      <c r="I4" t="n">
        <v>0.12683333333333335</v>
      </c>
      <c r="J4" t="n">
        <v>0.12304861111111111</v>
      </c>
      <c r="K4" t="n">
        <v>0.13000694444444444</v>
      </c>
    </row>
    <row r="5" spans="1:11" ht="13.5" customHeight="true" x14ac:dyDescent="0.15" hidden="false">
      <c r="A5" t="s">
        <v>6978</v>
      </c>
      <c r="B5" t="n">
        <v>3.0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/>
      <c r="J5"/>
      <c r="K5"/>
    </row>
    <row r="6" spans="1:11" ht="13.5" customHeight="true" x14ac:dyDescent="0.15" hidden="false">
      <c r="A6" t="s">
        <v>6978</v>
      </c>
      <c r="B6" t="n">
        <v>4.0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/>
      <c r="J6"/>
      <c r="K6"/>
    </row>
    <row r="7" spans="1:11" ht="13.5" customHeight="true" x14ac:dyDescent="0.15" hidden="false">
      <c r="A7" t="s">
        <v>6978</v>
      </c>
      <c r="B7" t="n">
        <v>5.0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/>
      <c r="J7"/>
      <c r="K7"/>
    </row>
    <row r="8" spans="1:11" ht="13.5" customHeight="true" x14ac:dyDescent="0.15" hidden="false">
      <c r="A8" t="s">
        <v>6978</v>
      </c>
      <c r="B8" t="n">
        <v>6.0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/>
      <c r="J8"/>
      <c r="K8"/>
    </row>
    <row r="9" spans="1:11" ht="13.5" customHeight="true" x14ac:dyDescent="0.15" hidden="false">
      <c r="A9" t="s">
        <v>6978</v>
      </c>
      <c r="B9" t="n">
        <v>7.0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/>
      <c r="J9"/>
      <c r="K9"/>
    </row>
    <row r="10" spans="1:11" ht="13.5" customHeight="true" x14ac:dyDescent="0.15" hidden="false">
      <c r="A10" t="s">
        <v>6978</v>
      </c>
      <c r="B10" t="n">
        <v>8.0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/>
      <c r="J10"/>
      <c r="K10"/>
    </row>
    <row r="11" spans="1:11" ht="13.5" customHeight="true" x14ac:dyDescent="0.15" hidden="false">
      <c r="A11" t="s">
        <v>6978</v>
      </c>
      <c r="B11" t="n">
        <v>9.0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/>
      <c r="J11"/>
      <c r="K11"/>
    </row>
    <row r="12" spans="1:11" ht="13.5" customHeight="true" x14ac:dyDescent="0.15" hidden="false">
      <c r="A12" t="s">
        <v>6978</v>
      </c>
      <c r="B12" t="n">
        <v>10.0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/>
      <c r="J12"/>
      <c r="K12"/>
    </row>
    <row r="13" spans="1:11" ht="13.5" customHeight="true" x14ac:dyDescent="0.15" hidden="false">
      <c r="A13" t="s">
        <v>6978</v>
      </c>
      <c r="B13" t="n">
        <v>11.0</v>
      </c>
      <c r="C13" t="n">
        <v>0.0</v>
      </c>
      <c r="D13" t="n">
        <v>0.0</v>
      </c>
      <c r="E13" t="n">
        <v>0.0</v>
      </c>
      <c r="F13" t="n">
        <v>53.54</v>
      </c>
      <c r="G13" t="n">
        <v>53.5</v>
      </c>
      <c r="H13" t="n">
        <v>66.13</v>
      </c>
      <c r="I13" t="n">
        <v>6.294533847604505</v>
      </c>
      <c r="J13" t="n">
        <v>6.405623882927522</v>
      </c>
      <c r="K13" t="n">
        <v>8.171387155436996</v>
      </c>
    </row>
    <row r="14" spans="1:11" ht="13.5" customHeight="true" x14ac:dyDescent="0.15" hidden="false">
      <c r="A14" t="s">
        <v>6978</v>
      </c>
      <c r="B14" t="n">
        <v>12.0</v>
      </c>
      <c r="C14" t="n">
        <v>0.0</v>
      </c>
      <c r="D14"/>
      <c r="E14"/>
      <c r="F14" t="n">
        <v>0.0</v>
      </c>
      <c r="G14"/>
      <c r="H14"/>
      <c r="I14"/>
      <c r="J14"/>
      <c r="K14"/>
    </row>
    <row r="15" spans="1:11" ht="13.5" customHeight="true" x14ac:dyDescent="0.15" hidden="false">
      <c r="A15" t="s">
        <v>6978</v>
      </c>
      <c r="B15" t="n">
        <v>13.0</v>
      </c>
      <c r="C15" t="n">
        <v>0.0</v>
      </c>
      <c r="D15"/>
      <c r="E15"/>
      <c r="F15" t="n">
        <v>0.0</v>
      </c>
      <c r="G15"/>
      <c r="H15"/>
      <c r="I15"/>
      <c r="J15"/>
      <c r="K15"/>
    </row>
    <row r="16" spans="1:11" ht="13.5" customHeight="true" x14ac:dyDescent="0.15" hidden="false">
      <c r="A16" t="s">
        <v>6978</v>
      </c>
      <c r="B16" t="n">
        <v>14.0</v>
      </c>
      <c r="C16"/>
      <c r="D16" t="n">
        <v>0.0</v>
      </c>
      <c r="E16"/>
      <c r="F16"/>
      <c r="G16" t="n">
        <v>48.86</v>
      </c>
      <c r="H16"/>
      <c r="I16"/>
      <c r="J16" t="n">
        <v>8.511767699820304</v>
      </c>
      <c r="K16"/>
    </row>
    <row r="17" spans="1:2" ht="13.5" customHeight="true" x14ac:dyDescent="0.15" hidden="false">
      <c r="A17" t="s">
        <v>6978</v>
      </c>
      <c r="B17" t="n">
        <v>15.0</v>
      </c>
      <c r="C17"/>
      <c r="D17" t="n">
        <v>0.0</v>
      </c>
      <c r="E17"/>
      <c r="F17"/>
      <c r="G17" t="n">
        <v>15.0</v>
      </c>
      <c r="H17"/>
      <c r="I17"/>
      <c r="J17" t="n">
        <v>10.319214346420846</v>
      </c>
      <c r="K17"/>
    </row>
    <row r="18" spans="1:2" ht="13.5" customHeight="true" x14ac:dyDescent="0.15" hidden="false">
      <c r="A18" t="s">
        <v>6978</v>
      </c>
      <c r="B18" t="n">
        <v>16.0</v>
      </c>
      <c r="C18"/>
      <c r="D18"/>
      <c r="E18" t="n">
        <v>0.0</v>
      </c>
      <c r="F18"/>
      <c r="G18"/>
      <c r="H18" t="n">
        <v>8.0</v>
      </c>
      <c r="I18"/>
      <c r="J18"/>
      <c r="K18" t="n">
        <v>7.443813237914746</v>
      </c>
    </row>
    <row r="19" spans="1:2" ht="13.5" customHeight="true" x14ac:dyDescent="0.15" hidden="false">
      <c r="A19" t="s">
        <v>6978</v>
      </c>
      <c r="B19" t="n">
        <v>17.0</v>
      </c>
      <c r="C19"/>
      <c r="D19"/>
      <c r="E19" t="n">
        <v>0.0</v>
      </c>
      <c r="F19"/>
      <c r="G19"/>
      <c r="H19" t="n">
        <v>13.74</v>
      </c>
      <c r="I19"/>
      <c r="J19"/>
      <c r="K19" t="n">
        <v>6.316224981376346</v>
      </c>
    </row>
    <row r="20" spans="1:2" ht="13.5" customHeight="true" x14ac:dyDescent="0.15" hidden="false">
      <c r="A20" t="s">
        <v>6997</v>
      </c>
      <c r="B20" t="n">
        <v>1.0</v>
      </c>
      <c r="C20"/>
      <c r="D20" t="n">
        <v>0.0</v>
      </c>
      <c r="E20"/>
      <c r="F20"/>
      <c r="G20" t="n">
        <v>0.0</v>
      </c>
      <c r="H20"/>
      <c r="I20"/>
      <c r="J20"/>
      <c r="K20"/>
    </row>
    <row r="21" spans="1:2" ht="13.5" customHeight="true" x14ac:dyDescent="0.15" hidden="false">
      <c r="A21" t="s">
        <v>6997</v>
      </c>
      <c r="B21" t="n">
        <v>2.0</v>
      </c>
      <c r="C21"/>
      <c r="D21" t="n">
        <v>0.0</v>
      </c>
      <c r="E21"/>
      <c r="F21"/>
      <c r="G21" t="n">
        <v>0.0</v>
      </c>
      <c r="H21"/>
      <c r="I21"/>
      <c r="J21"/>
      <c r="K21"/>
    </row>
    <row r="22" spans="1:2" ht="13.5" customHeight="true" x14ac:dyDescent="0.15" hidden="false">
      <c r="A22" t="s">
        <v>6997</v>
      </c>
      <c r="B22" t="n">
        <v>3.0</v>
      </c>
      <c r="C22"/>
      <c r="D22"/>
      <c r="E22" t="n">
        <v>0.0</v>
      </c>
      <c r="F22"/>
      <c r="G22"/>
      <c r="H22" t="n">
        <v>0.0</v>
      </c>
      <c r="I22"/>
      <c r="J22"/>
      <c r="K22"/>
    </row>
    <row r="23" spans="1:2" ht="13.5" customHeight="true" x14ac:dyDescent="0.15" hidden="false">
      <c r="A23" t="s">
        <v>6997</v>
      </c>
      <c r="B23" t="n">
        <v>4.0</v>
      </c>
      <c r="C23"/>
      <c r="D23"/>
      <c r="E23" t="n">
        <v>0.0</v>
      </c>
      <c r="F23"/>
      <c r="G23"/>
      <c r="H23" t="n">
        <v>0.0</v>
      </c>
      <c r="I23"/>
      <c r="J23"/>
      <c r="K23"/>
    </row>
    <row r="24" spans="1:2" ht="13.5" customHeight="true" x14ac:dyDescent="0.15" hidden="false">
      <c r="A24" t="s">
        <v>6997</v>
      </c>
      <c r="B24" t="n">
        <v>5.0</v>
      </c>
      <c r="C24" t="n">
        <v>0.0</v>
      </c>
      <c r="D24"/>
      <c r="E24"/>
      <c r="F24" t="n">
        <v>0.0</v>
      </c>
      <c r="G24"/>
      <c r="H24"/>
      <c r="I24"/>
      <c r="J24"/>
      <c r="K24"/>
    </row>
    <row r="25" spans="1:2" ht="13.5" customHeight="true" x14ac:dyDescent="0.15" hidden="false">
      <c r="A25" t="s">
        <v>6997</v>
      </c>
      <c r="B25" t="n">
        <v>6.0</v>
      </c>
      <c r="C25" t="n">
        <v>0.0</v>
      </c>
      <c r="D25"/>
      <c r="E25"/>
      <c r="F25" t="n">
        <v>0.0</v>
      </c>
      <c r="G25"/>
      <c r="H25"/>
      <c r="I25"/>
      <c r="J25"/>
      <c r="K25"/>
    </row>
    <row r="26" spans="1:2" ht="13.5" customHeight="true" x14ac:dyDescent="0.15" hidden="false">
      <c r="A26" t="s">
        <v>6997</v>
      </c>
      <c r="B26" t="n">
        <v>7.0</v>
      </c>
      <c r="C26"/>
      <c r="D26" t="n">
        <v>0.0</v>
      </c>
      <c r="E26"/>
      <c r="F26"/>
      <c r="G26" t="n">
        <v>0.0</v>
      </c>
      <c r="H26"/>
      <c r="I26"/>
      <c r="J26"/>
      <c r="K26"/>
    </row>
    <row r="27" spans="1:2" ht="13.5" customHeight="true" x14ac:dyDescent="0.15" hidden="false">
      <c r="A27" t="s">
        <v>6997</v>
      </c>
      <c r="B27" t="n">
        <v>8.0</v>
      </c>
      <c r="C27"/>
      <c r="D27" t="n">
        <v>0.0</v>
      </c>
      <c r="E27"/>
      <c r="F27"/>
      <c r="G27" t="n">
        <v>0.0</v>
      </c>
      <c r="H27"/>
      <c r="I27"/>
      <c r="J27"/>
      <c r="K27"/>
    </row>
    <row r="28" spans="1:2" ht="13.5" customHeight="true" x14ac:dyDescent="0.15" hidden="false">
      <c r="A28" t="s">
        <v>6997</v>
      </c>
      <c r="B28" t="n">
        <v>9.0</v>
      </c>
      <c r="C28"/>
      <c r="D28"/>
      <c r="E28" t="n">
        <v>0.0</v>
      </c>
      <c r="F28"/>
      <c r="G28"/>
      <c r="H28" t="n">
        <v>0.0</v>
      </c>
      <c r="I28"/>
      <c r="J28"/>
      <c r="K28"/>
    </row>
    <row r="29" spans="1:2" ht="13.5" customHeight="true" x14ac:dyDescent="0.15" hidden="false">
      <c r="A29" t="s">
        <v>6997</v>
      </c>
      <c r="B29" t="n">
        <v>10.0</v>
      </c>
      <c r="C29"/>
      <c r="D29"/>
      <c r="E29" t="n">
        <v>0.0</v>
      </c>
      <c r="F29"/>
      <c r="G29"/>
      <c r="H29" t="n">
        <v>0.0</v>
      </c>
      <c r="I29"/>
      <c r="J29"/>
      <c r="K29"/>
    </row>
    <row r="30" spans="1:2" ht="13.5" customHeight="true" x14ac:dyDescent="0.15" hidden="false">
      <c r="A30" t="s">
        <v>6997</v>
      </c>
      <c r="B30" t="n">
        <v>11.0</v>
      </c>
      <c r="C30" t="n">
        <v>0.0</v>
      </c>
      <c r="D30"/>
      <c r="E30"/>
      <c r="F30" t="n">
        <v>0.0</v>
      </c>
      <c r="G30"/>
      <c r="H30"/>
      <c r="I30"/>
      <c r="J30"/>
      <c r="K30"/>
    </row>
    <row r="31" spans="1:2" ht="13.5" customHeight="true" x14ac:dyDescent="0.15" hidden="false">
      <c r="A31" t="s">
        <v>6997</v>
      </c>
      <c r="B31" t="n">
        <v>12.0</v>
      </c>
      <c r="C31" t="n">
        <v>0.0</v>
      </c>
      <c r="D31"/>
      <c r="E31"/>
      <c r="F31" t="n">
        <v>0.0</v>
      </c>
      <c r="G31"/>
      <c r="H31"/>
      <c r="I31"/>
      <c r="J31"/>
      <c r="K31"/>
    </row>
    <row r="32" spans="1:2" ht="13.5" customHeight="true" x14ac:dyDescent="0.15" hidden="false">
      <c r="A32" t="s">
        <v>6997</v>
      </c>
      <c r="B32" t="n">
        <v>13.0</v>
      </c>
      <c r="C32"/>
      <c r="D32" t="n">
        <v>0.0</v>
      </c>
      <c r="E32"/>
      <c r="F32"/>
      <c r="G32" t="n">
        <v>0.0</v>
      </c>
      <c r="H32"/>
      <c r="I32"/>
      <c r="J32"/>
      <c r="K32"/>
    </row>
    <row r="33" spans="1:2" ht="13.5" customHeight="true" x14ac:dyDescent="0.15" hidden="false">
      <c r="A33" t="s">
        <v>6997</v>
      </c>
      <c r="B33" t="n">
        <v>14.0</v>
      </c>
      <c r="C33"/>
      <c r="D33" t="n">
        <v>0.0</v>
      </c>
      <c r="E33"/>
      <c r="F33"/>
      <c r="G33" t="n">
        <v>0.0</v>
      </c>
      <c r="H33"/>
      <c r="I33"/>
      <c r="J33"/>
      <c r="K33"/>
    </row>
    <row r="34" spans="1:2" ht="13.5" customHeight="true" x14ac:dyDescent="0.15" hidden="false">
      <c r="A34" t="s">
        <v>6997</v>
      </c>
      <c r="B34" t="n">
        <v>15.0</v>
      </c>
      <c r="C34"/>
      <c r="D34"/>
      <c r="E34" t="n">
        <v>0.0</v>
      </c>
      <c r="F34"/>
      <c r="G34"/>
      <c r="H34" t="n">
        <v>0.0</v>
      </c>
      <c r="I34"/>
      <c r="J34"/>
      <c r="K34"/>
    </row>
    <row r="35" spans="1:2" ht="13.5" customHeight="true" x14ac:dyDescent="0.15" hidden="false">
      <c r="A35" t="s">
        <v>6997</v>
      </c>
      <c r="B35" t="n">
        <v>16.0</v>
      </c>
      <c r="C35"/>
      <c r="D35"/>
      <c r="E35" t="n">
        <v>0.0</v>
      </c>
      <c r="F35"/>
      <c r="G35"/>
      <c r="H35" t="n">
        <v>0.0</v>
      </c>
      <c r="I35"/>
      <c r="J35"/>
      <c r="K35"/>
    </row>
    <row r="36" spans="1:2" ht="13.5" customHeight="true" x14ac:dyDescent="0.15" hidden="false">
      <c r="A36" t="s">
        <v>6997</v>
      </c>
      <c r="B36" t="n">
        <v>17.0</v>
      </c>
      <c r="C36" t="n">
        <v>0.0</v>
      </c>
      <c r="D36"/>
      <c r="E36"/>
      <c r="F36" t="n">
        <v>0.0</v>
      </c>
      <c r="G36"/>
      <c r="H36"/>
      <c r="I36"/>
      <c r="J36"/>
      <c r="K36"/>
    </row>
    <row r="37" spans="1:2" ht="13.5" customHeight="true" x14ac:dyDescent="0.15" hidden="false">
      <c r="A37" t="s">
        <v>6997</v>
      </c>
      <c r="B37" t="n">
        <v>18.0</v>
      </c>
      <c r="C37" t="n">
        <v>0.0</v>
      </c>
      <c r="D37"/>
      <c r="E37"/>
      <c r="F37" t="n">
        <v>0.0</v>
      </c>
      <c r="G37"/>
      <c r="H37"/>
      <c r="I37"/>
      <c r="J37"/>
      <c r="K37"/>
    </row>
    <row r="38" spans="1:2" ht="13.5" customHeight="true" x14ac:dyDescent="0.15" hidden="false">
      <c r="A38" t="s">
        <v>6997</v>
      </c>
      <c r="B38" t="n">
        <v>19.0</v>
      </c>
      <c r="C38"/>
      <c r="D38" t="n">
        <v>0.0</v>
      </c>
      <c r="E38"/>
      <c r="F38"/>
      <c r="G38" t="n">
        <v>0.0</v>
      </c>
      <c r="H38"/>
      <c r="I38"/>
      <c r="J38"/>
      <c r="K38"/>
    </row>
    <row r="39" spans="1:2" ht="13.5" customHeight="true" x14ac:dyDescent="0.15" hidden="false">
      <c r="A39" t="s">
        <v>6997</v>
      </c>
      <c r="B39" t="n">
        <v>20.0</v>
      </c>
      <c r="C39"/>
      <c r="D39" t="n">
        <v>0.0</v>
      </c>
      <c r="E39"/>
      <c r="F39"/>
      <c r="G39" t="n">
        <v>0.0</v>
      </c>
      <c r="H39"/>
      <c r="I39"/>
      <c r="J39"/>
      <c r="K39"/>
    </row>
    <row r="40" spans="1:2" ht="13.5" customHeight="true" x14ac:dyDescent="0.15" hidden="false">
      <c r="A40" t="s">
        <v>6997</v>
      </c>
      <c r="B40" t="n">
        <v>21.0</v>
      </c>
      <c r="C40"/>
      <c r="D40"/>
      <c r="E40" t="n">
        <v>0.0</v>
      </c>
      <c r="F40"/>
      <c r="G40"/>
      <c r="H40" t="n">
        <v>0.0</v>
      </c>
      <c r="I40"/>
      <c r="J40"/>
      <c r="K40"/>
    </row>
    <row r="41" spans="1:2" ht="13.5" customHeight="true" x14ac:dyDescent="0.15" hidden="false">
      <c r="A41" t="s">
        <v>6997</v>
      </c>
      <c r="B41" t="n">
        <v>22.0</v>
      </c>
      <c r="C41"/>
      <c r="D41"/>
      <c r="E41" t="n">
        <v>0.0</v>
      </c>
      <c r="F41"/>
      <c r="G41"/>
      <c r="H41" t="n">
        <v>0.0</v>
      </c>
      <c r="I41"/>
      <c r="J41"/>
      <c r="K41"/>
    </row>
    <row r="42" spans="1:2" ht="13.5" customHeight="true" x14ac:dyDescent="0.15" hidden="false">
      <c r="A42" t="s">
        <v>6997</v>
      </c>
      <c r="B42" t="n">
        <v>23.0</v>
      </c>
      <c r="C42" t="n">
        <v>0.0</v>
      </c>
      <c r="D42"/>
      <c r="E42"/>
      <c r="F42" t="n">
        <v>0.0</v>
      </c>
      <c r="G42"/>
      <c r="H42"/>
      <c r="I42"/>
      <c r="J42"/>
      <c r="K42"/>
    </row>
    <row r="43" spans="1:2" ht="13.5" customHeight="true" x14ac:dyDescent="0.15" hidden="false">
      <c r="A43" t="s">
        <v>6997</v>
      </c>
      <c r="B43" t="n">
        <v>24.0</v>
      </c>
      <c r="C43" t="n">
        <v>0.0</v>
      </c>
      <c r="D43"/>
      <c r="E43"/>
      <c r="F43" t="n">
        <v>0.0</v>
      </c>
      <c r="G43"/>
      <c r="H43"/>
      <c r="I43"/>
      <c r="J43"/>
      <c r="K43"/>
    </row>
    <row r="44" spans="1:2" ht="13.5" customHeight="true" x14ac:dyDescent="0.15" hidden="false">
      <c r="A44" t="s">
        <v>6997</v>
      </c>
      <c r="B44" t="n">
        <v>25.0</v>
      </c>
      <c r="C44"/>
      <c r="D44" t="n">
        <v>0.0</v>
      </c>
      <c r="E44"/>
      <c r="F44"/>
      <c r="G44" t="n">
        <v>0.0</v>
      </c>
      <c r="H44"/>
      <c r="I44"/>
      <c r="J44"/>
      <c r="K44"/>
    </row>
    <row r="45" spans="1:2" ht="13.5" customHeight="true" x14ac:dyDescent="0.15" hidden="false">
      <c r="A45" t="s">
        <v>6997</v>
      </c>
      <c r="B45" t="n">
        <v>26.0</v>
      </c>
      <c r="C45"/>
      <c r="D45" t="n">
        <v>0.0</v>
      </c>
      <c r="E45"/>
      <c r="F45"/>
      <c r="G45" t="n">
        <v>0.0</v>
      </c>
      <c r="H45"/>
      <c r="I45"/>
      <c r="J45"/>
      <c r="K45"/>
    </row>
    <row r="46" spans="1:2" ht="13.5" customHeight="true" x14ac:dyDescent="0.15" hidden="false">
      <c r="A46" t="s">
        <v>6997</v>
      </c>
      <c r="B46" t="n">
        <v>27.0</v>
      </c>
      <c r="C46"/>
      <c r="D46"/>
      <c r="E46" t="n">
        <v>0.0</v>
      </c>
      <c r="F46"/>
      <c r="G46"/>
      <c r="H46" t="n">
        <v>0.0</v>
      </c>
      <c r="I46"/>
      <c r="J46"/>
      <c r="K46"/>
    </row>
    <row r="47" spans="1:2" ht="13.5" customHeight="true" x14ac:dyDescent="0.15" hidden="false">
      <c r="A47" t="s">
        <v>6997</v>
      </c>
      <c r="B47" t="n">
        <v>28.0</v>
      </c>
      <c r="C47"/>
      <c r="D47"/>
      <c r="E47" t="n">
        <v>0.0</v>
      </c>
      <c r="F47"/>
      <c r="G47"/>
      <c r="H47" t="n">
        <v>0.0</v>
      </c>
      <c r="I47"/>
      <c r="J47"/>
      <c r="K47"/>
    </row>
    <row r="48" spans="1:2" ht="13.5" customHeight="true" x14ac:dyDescent="0.15" hidden="false">
      <c r="A48" t="s">
        <v>6997</v>
      </c>
      <c r="B48" t="n">
        <v>29.0</v>
      </c>
      <c r="C48" t="n">
        <v>0.0</v>
      </c>
      <c r="D48"/>
      <c r="E48"/>
      <c r="F48" t="n">
        <v>0.0</v>
      </c>
      <c r="G48"/>
      <c r="H48"/>
      <c r="I48"/>
      <c r="J48"/>
      <c r="K48"/>
    </row>
    <row r="49" spans="1:2" ht="13.5" customHeight="true" x14ac:dyDescent="0.15" hidden="false">
      <c r="A49" t="s">
        <v>6997</v>
      </c>
      <c r="B49" t="n">
        <v>30.0</v>
      </c>
      <c r="C49" t="n">
        <v>0.0</v>
      </c>
      <c r="D49"/>
      <c r="E49"/>
      <c r="F49" t="n">
        <v>0.0</v>
      </c>
      <c r="G49"/>
      <c r="H49"/>
      <c r="I49"/>
      <c r="J49"/>
      <c r="K49"/>
    </row>
    <row r="50" spans="1:2" ht="13.5" customHeight="true" x14ac:dyDescent="0.15" hidden="false">
      <c r="A50" t="s">
        <v>6997</v>
      </c>
      <c r="B50" t="n">
        <v>31.0</v>
      </c>
      <c r="C50"/>
      <c r="D50" t="n">
        <v>0.0</v>
      </c>
      <c r="E50"/>
      <c r="F50"/>
      <c r="G50" t="n">
        <v>0.0</v>
      </c>
      <c r="H50"/>
      <c r="I50"/>
      <c r="J50"/>
      <c r="K50"/>
    </row>
    <row r="51" spans="1:2" ht="13.5" customHeight="true" x14ac:dyDescent="0.15" hidden="false">
      <c r="A51" t="s">
        <v>6997</v>
      </c>
      <c r="B51" t="n">
        <v>32.0</v>
      </c>
      <c r="C51"/>
      <c r="D51" t="n">
        <v>0.0</v>
      </c>
      <c r="E51"/>
      <c r="F51"/>
      <c r="G51" t="n">
        <v>0.0</v>
      </c>
      <c r="H51"/>
      <c r="I51"/>
      <c r="J51"/>
      <c r="K51"/>
    </row>
    <row r="52" spans="1:2" ht="13.5" customHeight="true" x14ac:dyDescent="0.15" hidden="false">
      <c r="A52" t="s">
        <v>6997</v>
      </c>
      <c r="B52" t="n">
        <v>33.0</v>
      </c>
      <c r="C52"/>
      <c r="D52"/>
      <c r="E52" t="n">
        <v>0.0</v>
      </c>
      <c r="F52"/>
      <c r="G52"/>
      <c r="H52" t="n">
        <v>0.0</v>
      </c>
      <c r="I52"/>
      <c r="J52"/>
      <c r="K52"/>
    </row>
    <row r="53" spans="1:2" ht="13.5" customHeight="true" x14ac:dyDescent="0.15" hidden="false">
      <c r="A53" t="s">
        <v>6997</v>
      </c>
      <c r="B53" t="n">
        <v>34.0</v>
      </c>
      <c r="C53"/>
      <c r="D53"/>
      <c r="E53" t="n">
        <v>0.0</v>
      </c>
      <c r="F53"/>
      <c r="G53"/>
      <c r="H53" t="n">
        <v>0.0</v>
      </c>
      <c r="I53"/>
      <c r="J53"/>
      <c r="K53"/>
    </row>
    <row r="54" spans="1:2" ht="13.5" customHeight="true" x14ac:dyDescent="0.15" hidden="false">
      <c r="A54" t="s">
        <v>6997</v>
      </c>
      <c r="B54" t="n">
        <v>35.0</v>
      </c>
      <c r="C54" t="n">
        <v>0.0</v>
      </c>
      <c r="D54"/>
      <c r="E54"/>
      <c r="F54" t="n">
        <v>0.0</v>
      </c>
      <c r="G54"/>
      <c r="H54"/>
      <c r="I54"/>
      <c r="J54"/>
      <c r="K54"/>
    </row>
    <row r="55" spans="1:2" ht="13.5" customHeight="true" x14ac:dyDescent="0.15" hidden="false">
      <c r="A55" t="s">
        <v>6997</v>
      </c>
      <c r="B55" t="n">
        <v>36.0</v>
      </c>
      <c r="C55" t="n">
        <v>0.0</v>
      </c>
      <c r="D55"/>
      <c r="E55"/>
      <c r="F55" t="n">
        <v>0.0</v>
      </c>
      <c r="G55"/>
      <c r="H55"/>
      <c r="I55"/>
      <c r="J55"/>
      <c r="K55"/>
    </row>
    <row r="56" spans="1:2" ht="13.5" customHeight="true" x14ac:dyDescent="0.15" hidden="false">
      <c r="A56" t="s">
        <v>6997</v>
      </c>
      <c r="B56" t="n">
        <v>37.0</v>
      </c>
      <c r="C56"/>
      <c r="D56" t="n">
        <v>0.0</v>
      </c>
      <c r="E56"/>
      <c r="F56"/>
      <c r="G56" t="n">
        <v>0.0</v>
      </c>
      <c r="H56"/>
      <c r="I56"/>
      <c r="J56"/>
      <c r="K56"/>
    </row>
    <row r="57" spans="1:2" ht="13.5" customHeight="true" x14ac:dyDescent="0.15" hidden="false">
      <c r="A57" t="s">
        <v>6997</v>
      </c>
      <c r="B57" t="n">
        <v>38.0</v>
      </c>
      <c r="C57"/>
      <c r="D57" t="n">
        <v>0.0</v>
      </c>
      <c r="E57"/>
      <c r="F57"/>
      <c r="G57" t="n">
        <v>0.0</v>
      </c>
      <c r="H57"/>
      <c r="I57"/>
      <c r="J57"/>
      <c r="K57"/>
    </row>
    <row r="58" spans="1:2" ht="13.5" customHeight="true" x14ac:dyDescent="0.15" hidden="false">
      <c r="A58" t="s">
        <v>6997</v>
      </c>
      <c r="B58" t="n">
        <v>39.0</v>
      </c>
      <c r="C58"/>
      <c r="D58"/>
      <c r="E58" t="n">
        <v>0.0</v>
      </c>
      <c r="F58"/>
      <c r="G58"/>
      <c r="H58" t="n">
        <v>0.0</v>
      </c>
      <c r="I58"/>
      <c r="J58"/>
      <c r="K58"/>
    </row>
    <row r="59" spans="1:2" ht="13.5" customHeight="true" x14ac:dyDescent="0.15" hidden="false">
      <c r="A59" t="s">
        <v>6997</v>
      </c>
      <c r="B59" t="n">
        <v>40.0</v>
      </c>
      <c r="C59"/>
      <c r="D59"/>
      <c r="E59" t="n">
        <v>0.0</v>
      </c>
      <c r="F59"/>
      <c r="G59"/>
      <c r="H59" t="n">
        <v>0.0</v>
      </c>
      <c r="I59"/>
      <c r="J59"/>
      <c r="K59"/>
    </row>
    <row r="60" spans="1:2" ht="13.5" customHeight="true" x14ac:dyDescent="0.15" hidden="false">
      <c r="A60" t="s">
        <v>6997</v>
      </c>
      <c r="B60" t="n">
        <v>41.0</v>
      </c>
      <c r="C60" t="n">
        <v>0.0</v>
      </c>
      <c r="D60"/>
      <c r="E60"/>
      <c r="F60" t="n">
        <v>0.0</v>
      </c>
      <c r="G60"/>
      <c r="H60"/>
      <c r="I60"/>
      <c r="J60"/>
      <c r="K60"/>
    </row>
    <row r="61" spans="1:2" ht="13.5" customHeight="true" x14ac:dyDescent="0.15" hidden="false">
      <c r="A61" t="s">
        <v>6997</v>
      </c>
      <c r="B61" t="n">
        <v>42.0</v>
      </c>
      <c r="C61" t="n">
        <v>0.0</v>
      </c>
      <c r="D61"/>
      <c r="E61"/>
      <c r="F61" t="n">
        <v>0.0</v>
      </c>
      <c r="G61"/>
      <c r="H61"/>
      <c r="I61"/>
      <c r="J61"/>
      <c r="K61"/>
    </row>
    <row r="62" spans="1:2" ht="13.5" customHeight="true" x14ac:dyDescent="0.15" hidden="false">
      <c r="A62" t="s">
        <v>6997</v>
      </c>
      <c r="B62" t="n">
        <v>43.0</v>
      </c>
      <c r="C62"/>
      <c r="D62" t="n">
        <v>0.0</v>
      </c>
      <c r="E62"/>
      <c r="F62"/>
      <c r="G62" t="n">
        <v>0.0</v>
      </c>
      <c r="H62"/>
      <c r="I62"/>
      <c r="J62"/>
      <c r="K62"/>
    </row>
    <row r="63" spans="1:2" ht="13.5" customHeight="true" x14ac:dyDescent="0.15" hidden="false">
      <c r="A63" t="s">
        <v>6997</v>
      </c>
      <c r="B63" t="n">
        <v>44.0</v>
      </c>
      <c r="C63"/>
      <c r="D63" t="n">
        <v>0.0</v>
      </c>
      <c r="E63"/>
      <c r="F63"/>
      <c r="G63" t="n">
        <v>0.0</v>
      </c>
      <c r="H63"/>
      <c r="I63"/>
      <c r="J63"/>
      <c r="K63"/>
    </row>
    <row r="64" spans="1:2" ht="13.5" customHeight="true" x14ac:dyDescent="0.15" hidden="false">
      <c r="A64" t="s">
        <v>6997</v>
      </c>
      <c r="B64" t="n">
        <v>45.0</v>
      </c>
      <c r="C64"/>
      <c r="D64"/>
      <c r="E64" t="n">
        <v>0.0</v>
      </c>
      <c r="F64"/>
      <c r="G64"/>
      <c r="H64" t="n">
        <v>0.0</v>
      </c>
      <c r="I64"/>
      <c r="J64"/>
      <c r="K64"/>
    </row>
    <row r="65" spans="1:2" ht="13.5" customHeight="true" x14ac:dyDescent="0.15" hidden="false">
      <c r="A65" t="s">
        <v>6997</v>
      </c>
      <c r="B65" t="n">
        <v>46.0</v>
      </c>
      <c r="C65"/>
      <c r="D65"/>
      <c r="E65" t="n">
        <v>0.0</v>
      </c>
      <c r="F65"/>
      <c r="G65"/>
      <c r="H65" t="n">
        <v>0.0</v>
      </c>
      <c r="I65"/>
      <c r="J65"/>
      <c r="K65"/>
    </row>
    <row r="66" spans="1:2" ht="13.5" customHeight="true" x14ac:dyDescent="0.15" hidden="false">
      <c r="A66" t="s">
        <v>6997</v>
      </c>
      <c r="B66" t="n">
        <v>47.0</v>
      </c>
      <c r="C66" t="n">
        <v>0.0</v>
      </c>
      <c r="D66"/>
      <c r="E66"/>
      <c r="F66" t="n">
        <v>0.0</v>
      </c>
      <c r="G66"/>
      <c r="H66"/>
      <c r="I66"/>
      <c r="J66"/>
      <c r="K66"/>
    </row>
    <row r="67" spans="1:2" ht="13.5" customHeight="true" x14ac:dyDescent="0.15" hidden="false">
      <c r="A67" t="s">
        <v>6997</v>
      </c>
      <c r="B67" t="n">
        <v>48.0</v>
      </c>
      <c r="C67" t="n">
        <v>0.0</v>
      </c>
      <c r="D67"/>
      <c r="E67"/>
      <c r="F67" t="n">
        <v>0.0</v>
      </c>
      <c r="G67"/>
      <c r="H67"/>
      <c r="I67"/>
      <c r="J67"/>
      <c r="K67"/>
    </row>
    <row r="68" spans="1:2" ht="13.5" customHeight="true" x14ac:dyDescent="0.15" hidden="false">
      <c r="A68" t="s">
        <v>6997</v>
      </c>
      <c r="B68" t="n">
        <v>49.0</v>
      </c>
      <c r="C68"/>
      <c r="D68" t="n">
        <v>0.0</v>
      </c>
      <c r="E68"/>
      <c r="F68"/>
      <c r="G68" t="n">
        <v>0.0</v>
      </c>
      <c r="H68"/>
      <c r="I68"/>
      <c r="J68"/>
      <c r="K68"/>
    </row>
    <row r="69" spans="1:2" ht="13.5" customHeight="true" x14ac:dyDescent="0.15" hidden="false">
      <c r="A69" t="s">
        <v>6997</v>
      </c>
      <c r="B69" t="n">
        <v>50.0</v>
      </c>
      <c r="C69"/>
      <c r="D69" t="n">
        <v>0.0</v>
      </c>
      <c r="E69"/>
      <c r="F69"/>
      <c r="G69" t="n">
        <v>0.0</v>
      </c>
      <c r="H69"/>
      <c r="I69"/>
      <c r="J69"/>
      <c r="K69"/>
    </row>
    <row r="70" spans="1:2" ht="13.5" customHeight="true" x14ac:dyDescent="0.15" hidden="false">
      <c r="A70" t="s">
        <v>6997</v>
      </c>
      <c r="B70" t="n">
        <v>51.0</v>
      </c>
      <c r="C70"/>
      <c r="D70"/>
      <c r="E70" t="n">
        <v>0.0</v>
      </c>
      <c r="F70"/>
      <c r="G70"/>
      <c r="H70" t="n">
        <v>0.0</v>
      </c>
      <c r="I70"/>
      <c r="J70"/>
      <c r="K70"/>
    </row>
    <row r="71" spans="1:2" ht="13.5" customHeight="true" x14ac:dyDescent="0.15" hidden="false">
      <c r="A71" t="s">
        <v>6997</v>
      </c>
      <c r="B71" t="n">
        <v>52.0</v>
      </c>
      <c r="C71"/>
      <c r="D71"/>
      <c r="E71" t="n">
        <v>0.0</v>
      </c>
      <c r="F71"/>
      <c r="G71"/>
      <c r="H71" t="n">
        <v>0.0</v>
      </c>
      <c r="I71"/>
      <c r="J71"/>
      <c r="K71"/>
    </row>
    <row r="72" spans="1:2" ht="13.5" customHeight="true" x14ac:dyDescent="0.15" hidden="false">
      <c r="A72" t="s">
        <v>6997</v>
      </c>
      <c r="B72" t="n">
        <v>53.0</v>
      </c>
      <c r="C72" t="n">
        <v>0.0</v>
      </c>
      <c r="D72"/>
      <c r="E72"/>
      <c r="F72" t="n">
        <v>0.0</v>
      </c>
      <c r="G72"/>
      <c r="H72"/>
      <c r="I72"/>
      <c r="J72"/>
      <c r="K72"/>
    </row>
    <row r="73" spans="1:2" ht="13.5" customHeight="true" x14ac:dyDescent="0.15" hidden="false">
      <c r="A73" t="s">
        <v>6997</v>
      </c>
      <c r="B73" t="n">
        <v>54.0</v>
      </c>
      <c r="C73" t="n">
        <v>0.0</v>
      </c>
      <c r="D73"/>
      <c r="E73"/>
      <c r="F73" t="n">
        <v>0.0</v>
      </c>
      <c r="G73"/>
      <c r="H73"/>
      <c r="I73"/>
      <c r="J73"/>
      <c r="K73"/>
    </row>
    <row r="74" spans="1:2" ht="13.5" customHeight="true" x14ac:dyDescent="0.15" hidden="false">
      <c r="A74" t="s">
        <v>6998</v>
      </c>
      <c r="B74" t="n">
        <v>1.0</v>
      </c>
      <c r="C74"/>
      <c r="D74" t="n">
        <v>0.0</v>
      </c>
      <c r="E74"/>
      <c r="F74"/>
      <c r="G74" t="n">
        <v>0.0</v>
      </c>
      <c r="H74"/>
      <c r="I74"/>
      <c r="J74"/>
      <c r="K74"/>
    </row>
    <row r="75" spans="1:2" ht="13.5" customHeight="true" x14ac:dyDescent="0.15" hidden="false">
      <c r="A75" t="s">
        <v>6998</v>
      </c>
      <c r="B75" t="n">
        <v>2.0</v>
      </c>
      <c r="C75"/>
      <c r="D75" t="n">
        <v>0.0</v>
      </c>
      <c r="E75"/>
      <c r="F75"/>
      <c r="G75" t="n">
        <v>0.0</v>
      </c>
      <c r="H75"/>
      <c r="I75"/>
      <c r="J75"/>
      <c r="K75"/>
    </row>
    <row r="76" spans="1:2" ht="13.5" customHeight="true" x14ac:dyDescent="0.15" hidden="false">
      <c r="A76" t="s">
        <v>6998</v>
      </c>
      <c r="B76" t="n">
        <v>3.0</v>
      </c>
      <c r="C76"/>
      <c r="D76"/>
      <c r="E76" t="n">
        <v>0.0</v>
      </c>
      <c r="F76"/>
      <c r="G76"/>
      <c r="H76" t="n">
        <v>0.0</v>
      </c>
      <c r="I76"/>
      <c r="J76"/>
      <c r="K76"/>
    </row>
    <row r="77" spans="1:2" ht="13.5" customHeight="true" x14ac:dyDescent="0.15" hidden="false">
      <c r="A77" t="s">
        <v>6998</v>
      </c>
      <c r="B77" t="n">
        <v>4.0</v>
      </c>
      <c r="C77"/>
      <c r="D77"/>
      <c r="E77" t="n">
        <v>0.0</v>
      </c>
      <c r="F77"/>
      <c r="G77"/>
      <c r="H77" t="n">
        <v>0.0</v>
      </c>
      <c r="I77"/>
      <c r="J77"/>
      <c r="K77"/>
    </row>
    <row r="78" spans="1:2" ht="13.5" customHeight="true" x14ac:dyDescent="0.15" hidden="false">
      <c r="A78" t="s">
        <v>6998</v>
      </c>
      <c r="B78" t="n">
        <v>5.0</v>
      </c>
      <c r="C78" t="n">
        <v>0.0</v>
      </c>
      <c r="D78"/>
      <c r="E78"/>
      <c r="F78" t="n">
        <v>0.0</v>
      </c>
      <c r="G78"/>
      <c r="H78"/>
      <c r="I78"/>
      <c r="J78"/>
      <c r="K78"/>
    </row>
    <row r="79" spans="1:2" ht="13.5" customHeight="true" x14ac:dyDescent="0.15" hidden="false">
      <c r="A79" t="s">
        <v>6998</v>
      </c>
      <c r="B79" t="n">
        <v>6.0</v>
      </c>
      <c r="C79" t="n">
        <v>0.0</v>
      </c>
      <c r="D79"/>
      <c r="E79"/>
      <c r="F79" t="n">
        <v>0.0</v>
      </c>
      <c r="G79"/>
      <c r="H79"/>
      <c r="I79"/>
      <c r="J79"/>
      <c r="K79"/>
    </row>
    <row r="80" spans="1:2" ht="13.5" customHeight="true" x14ac:dyDescent="0.15" hidden="false">
      <c r="A80" t="s">
        <v>6998</v>
      </c>
      <c r="B80" t="n">
        <v>7.0</v>
      </c>
      <c r="C80"/>
      <c r="D80" t="n">
        <v>0.0</v>
      </c>
      <c r="E80"/>
      <c r="F80"/>
      <c r="G80" t="n">
        <v>0.0</v>
      </c>
      <c r="H80"/>
      <c r="I80"/>
      <c r="J80"/>
      <c r="K80"/>
    </row>
    <row r="81" spans="1:2" ht="13.5" customHeight="true" x14ac:dyDescent="0.15" hidden="false">
      <c r="A81" t="s">
        <v>6998</v>
      </c>
      <c r="B81" t="n">
        <v>8.0</v>
      </c>
      <c r="C81"/>
      <c r="D81" t="n">
        <v>0.0</v>
      </c>
      <c r="E81"/>
      <c r="F81"/>
      <c r="G81" t="n">
        <v>0.0</v>
      </c>
      <c r="H81"/>
      <c r="I81"/>
      <c r="J81"/>
      <c r="K81"/>
    </row>
    <row r="82" spans="1:2" ht="13.5" customHeight="true" x14ac:dyDescent="0.15" hidden="false">
      <c r="A82" t="s">
        <v>6998</v>
      </c>
      <c r="B82" t="n">
        <v>9.0</v>
      </c>
      <c r="C82"/>
      <c r="D82"/>
      <c r="E82" t="n">
        <v>0.0</v>
      </c>
      <c r="F82"/>
      <c r="G82"/>
      <c r="H82" t="n">
        <v>0.0</v>
      </c>
      <c r="I82"/>
      <c r="J82"/>
      <c r="K82"/>
    </row>
    <row r="83" spans="1:2" ht="13.5" customHeight="true" x14ac:dyDescent="0.15" hidden="false">
      <c r="A83" t="s">
        <v>6998</v>
      </c>
      <c r="B83" t="n">
        <v>10.0</v>
      </c>
      <c r="C83"/>
      <c r="D83"/>
      <c r="E83" t="n">
        <v>0.0</v>
      </c>
      <c r="F83"/>
      <c r="G83"/>
      <c r="H83" t="n">
        <v>0.0</v>
      </c>
      <c r="I83"/>
      <c r="J83"/>
      <c r="K83"/>
    </row>
    <row r="84" spans="1:2" ht="13.5" customHeight="true" x14ac:dyDescent="0.15" hidden="false">
      <c r="A84" t="s">
        <v>6998</v>
      </c>
      <c r="B84" t="n">
        <v>11.0</v>
      </c>
      <c r="C84" t="n">
        <v>0.0</v>
      </c>
      <c r="D84"/>
      <c r="E84"/>
      <c r="F84" t="n">
        <v>0.0</v>
      </c>
      <c r="G84"/>
      <c r="H84"/>
      <c r="I84"/>
      <c r="J84"/>
      <c r="K84"/>
    </row>
    <row r="85" spans="1:2" ht="13.5" customHeight="true" x14ac:dyDescent="0.15" hidden="false">
      <c r="A85" t="s">
        <v>6998</v>
      </c>
      <c r="B85" t="n">
        <v>12.0</v>
      </c>
      <c r="C85" t="n">
        <v>0.0</v>
      </c>
      <c r="D85"/>
      <c r="E85"/>
      <c r="F85" t="n">
        <v>0.0</v>
      </c>
      <c r="G85"/>
      <c r="H85"/>
      <c r="I85"/>
      <c r="J85"/>
      <c r="K85"/>
    </row>
    <row r="86" spans="1:2" ht="13.5" customHeight="true" x14ac:dyDescent="0.15" hidden="false">
      <c r="A86" t="s">
        <v>6998</v>
      </c>
      <c r="B86" t="n">
        <v>13.0</v>
      </c>
      <c r="C86"/>
      <c r="D86" t="n">
        <v>0.0</v>
      </c>
      <c r="E86"/>
      <c r="F86"/>
      <c r="G86" t="n">
        <v>0.0</v>
      </c>
      <c r="H86"/>
      <c r="I86"/>
      <c r="J86"/>
      <c r="K86"/>
    </row>
    <row r="87" spans="1:2" ht="13.5" customHeight="true" x14ac:dyDescent="0.15" hidden="false">
      <c r="A87" t="s">
        <v>6998</v>
      </c>
      <c r="B87" t="n">
        <v>14.0</v>
      </c>
      <c r="C87"/>
      <c r="D87" t="n">
        <v>0.0</v>
      </c>
      <c r="E87"/>
      <c r="F87"/>
      <c r="G87" t="n">
        <v>0.0</v>
      </c>
      <c r="H87"/>
      <c r="I87"/>
      <c r="J87"/>
      <c r="K87"/>
    </row>
    <row r="88" spans="1:2" ht="13.5" customHeight="true" x14ac:dyDescent="0.15" hidden="false">
      <c r="A88" t="s">
        <v>6998</v>
      </c>
      <c r="B88" t="n">
        <v>15.0</v>
      </c>
      <c r="C88"/>
      <c r="D88"/>
      <c r="E88" t="n">
        <v>0.0</v>
      </c>
      <c r="F88"/>
      <c r="G88"/>
      <c r="H88" t="n">
        <v>0.0</v>
      </c>
      <c r="I88"/>
      <c r="J88"/>
      <c r="K88"/>
    </row>
    <row r="89" spans="1:2" ht="13.5" customHeight="true" x14ac:dyDescent="0.15" hidden="false">
      <c r="A89" t="s">
        <v>6998</v>
      </c>
      <c r="B89" t="n">
        <v>16.0</v>
      </c>
      <c r="C89"/>
      <c r="D89"/>
      <c r="E89" t="n">
        <v>0.0</v>
      </c>
      <c r="F89"/>
      <c r="G89"/>
      <c r="H89" t="n">
        <v>0.0</v>
      </c>
      <c r="I89"/>
      <c r="J89"/>
      <c r="K89"/>
    </row>
    <row r="90" spans="1:2" ht="13.5" customHeight="true" x14ac:dyDescent="0.15" hidden="false">
      <c r="A90" t="s">
        <v>6998</v>
      </c>
      <c r="B90" t="n">
        <v>17.0</v>
      </c>
      <c r="C90" t="n">
        <v>0.0</v>
      </c>
      <c r="D90"/>
      <c r="E90"/>
      <c r="F90" t="n">
        <v>0.0</v>
      </c>
      <c r="G90"/>
      <c r="H90"/>
      <c r="I90"/>
      <c r="J90"/>
      <c r="K90"/>
    </row>
    <row r="91" spans="1:2" ht="13.5" customHeight="true" x14ac:dyDescent="0.15" hidden="false">
      <c r="A91" t="s">
        <v>6998</v>
      </c>
      <c r="B91" t="n">
        <v>18.0</v>
      </c>
      <c r="C91" t="n">
        <v>0.0</v>
      </c>
      <c r="D91"/>
      <c r="E91"/>
      <c r="F91" t="n">
        <v>0.0</v>
      </c>
      <c r="G91"/>
      <c r="H91"/>
      <c r="I91"/>
      <c r="J91"/>
      <c r="K91"/>
    </row>
    <row r="92" spans="1:2" ht="13.5" customHeight="true" x14ac:dyDescent="0.15" hidden="false">
      <c r="A92" t="s">
        <v>6998</v>
      </c>
      <c r="B92" t="n">
        <v>19.0</v>
      </c>
      <c r="C92"/>
      <c r="D92" t="n">
        <v>0.0</v>
      </c>
      <c r="E92"/>
      <c r="F92"/>
      <c r="G92" t="n">
        <v>0.0</v>
      </c>
      <c r="H92"/>
      <c r="I92"/>
      <c r="J92"/>
      <c r="K92"/>
    </row>
    <row r="93" spans="1:2" ht="13.5" customHeight="true" x14ac:dyDescent="0.15" hidden="false">
      <c r="A93" t="s">
        <v>6998</v>
      </c>
      <c r="B93" t="n">
        <v>20.0</v>
      </c>
      <c r="C93"/>
      <c r="D93" t="n">
        <v>0.0</v>
      </c>
      <c r="E93"/>
      <c r="F93"/>
      <c r="G93" t="n">
        <v>0.0</v>
      </c>
      <c r="H93"/>
      <c r="I93"/>
      <c r="J93"/>
      <c r="K93"/>
    </row>
    <row r="94" spans="1:2" ht="13.5" customHeight="true" x14ac:dyDescent="0.15" hidden="false">
      <c r="A94" t="s">
        <v>6998</v>
      </c>
      <c r="B94" t="n">
        <v>21.0</v>
      </c>
      <c r="C94"/>
      <c r="D94"/>
      <c r="E94" t="n">
        <v>0.0</v>
      </c>
      <c r="F94"/>
      <c r="G94"/>
      <c r="H94" t="n">
        <v>0.0</v>
      </c>
      <c r="I94"/>
      <c r="J94"/>
      <c r="K94"/>
    </row>
    <row r="95" spans="1:2" ht="13.5" customHeight="true" x14ac:dyDescent="0.15" hidden="false">
      <c r="A95" t="s">
        <v>6998</v>
      </c>
      <c r="B95" t="n">
        <v>22.0</v>
      </c>
      <c r="C95"/>
      <c r="D95"/>
      <c r="E95" t="n">
        <v>0.0</v>
      </c>
      <c r="F95"/>
      <c r="G95"/>
      <c r="H95" t="n">
        <v>0.0</v>
      </c>
      <c r="I95"/>
      <c r="J95"/>
      <c r="K95"/>
    </row>
    <row r="96" spans="1:2" ht="13.5" customHeight="true" x14ac:dyDescent="0.15" hidden="false">
      <c r="A96" t="s">
        <v>6998</v>
      </c>
      <c r="B96" t="n">
        <v>23.0</v>
      </c>
      <c r="C96" t="n">
        <v>0.0</v>
      </c>
      <c r="D96"/>
      <c r="E96"/>
      <c r="F96" t="n">
        <v>0.0</v>
      </c>
      <c r="G96"/>
      <c r="H96"/>
      <c r="I96"/>
      <c r="J96"/>
      <c r="K96"/>
    </row>
    <row r="97" spans="1:2" ht="13.5" customHeight="true" x14ac:dyDescent="0.15" hidden="false">
      <c r="A97" t="s">
        <v>6998</v>
      </c>
      <c r="B97" t="n">
        <v>24.0</v>
      </c>
      <c r="C97" t="n">
        <v>0.0</v>
      </c>
      <c r="D97"/>
      <c r="E97"/>
      <c r="F97" t="n">
        <v>0.0</v>
      </c>
      <c r="G97"/>
      <c r="H97"/>
      <c r="I97"/>
      <c r="J97"/>
      <c r="K97"/>
    </row>
    <row r="98" spans="1:2" ht="13.5" customHeight="true" x14ac:dyDescent="0.15" hidden="false">
      <c r="A98" t="s">
        <v>6998</v>
      </c>
      <c r="B98" t="n">
        <v>25.0</v>
      </c>
      <c r="C98"/>
      <c r="D98" t="n">
        <v>0.0</v>
      </c>
      <c r="E98"/>
      <c r="F98"/>
      <c r="G98" t="n">
        <v>0.0</v>
      </c>
      <c r="H98"/>
      <c r="I98"/>
      <c r="J98"/>
      <c r="K98"/>
    </row>
    <row r="99" spans="1:2" ht="13.5" customHeight="true" x14ac:dyDescent="0.15" hidden="false">
      <c r="A99" t="s">
        <v>6998</v>
      </c>
      <c r="B99" t="n">
        <v>26.0</v>
      </c>
      <c r="C99"/>
      <c r="D99" t="n">
        <v>0.0</v>
      </c>
      <c r="E99"/>
      <c r="F99"/>
      <c r="G99" t="n">
        <v>0.0</v>
      </c>
      <c r="H99"/>
      <c r="I99"/>
      <c r="J99"/>
      <c r="K99"/>
    </row>
    <row r="100" spans="1:2" ht="13.5" customHeight="true" x14ac:dyDescent="0.15" hidden="false">
      <c r="A100" t="s">
        <v>6998</v>
      </c>
      <c r="B100" t="n">
        <v>27.0</v>
      </c>
      <c r="C100"/>
      <c r="D100"/>
      <c r="E100" t="n">
        <v>0.0</v>
      </c>
      <c r="F100"/>
      <c r="G100"/>
      <c r="H100" t="n">
        <v>0.0</v>
      </c>
      <c r="I100"/>
      <c r="J100"/>
      <c r="K100"/>
    </row>
    <row r="101" spans="1:2" ht="13.5" customHeight="true" x14ac:dyDescent="0.15" hidden="false">
      <c r="A101" t="s">
        <v>6998</v>
      </c>
      <c r="B101" t="n">
        <v>28.0</v>
      </c>
      <c r="C101"/>
      <c r="D101"/>
      <c r="E101" t="n">
        <v>0.0</v>
      </c>
      <c r="F101"/>
      <c r="G101"/>
      <c r="H101" t="n">
        <v>0.0</v>
      </c>
      <c r="I101"/>
      <c r="J101"/>
      <c r="K101"/>
    </row>
    <row r="102" spans="1:2" ht="13.5" customHeight="true" x14ac:dyDescent="0.15" hidden="false">
      <c r="A102" t="s">
        <v>6998</v>
      </c>
      <c r="B102" t="n">
        <v>29.0</v>
      </c>
      <c r="C102" t="n">
        <v>0.0</v>
      </c>
      <c r="D102"/>
      <c r="E102"/>
      <c r="F102" t="n">
        <v>0.0</v>
      </c>
      <c r="G102"/>
      <c r="H102"/>
      <c r="I102"/>
      <c r="J102"/>
      <c r="K102"/>
    </row>
    <row r="103" spans="1:2" ht="13.5" customHeight="true" x14ac:dyDescent="0.15" hidden="false">
      <c r="A103" t="s">
        <v>6998</v>
      </c>
      <c r="B103" t="n">
        <v>30.0</v>
      </c>
      <c r="C103" t="n">
        <v>0.0</v>
      </c>
      <c r="D103"/>
      <c r="E103"/>
      <c r="F103" t="n">
        <v>0.0</v>
      </c>
      <c r="G103"/>
      <c r="H103"/>
      <c r="I103"/>
      <c r="J103"/>
      <c r="K103"/>
    </row>
    <row r="104" spans="1:2" ht="13.5" customHeight="true" x14ac:dyDescent="0.15" hidden="false">
      <c r="A104" t="s">
        <v>6998</v>
      </c>
      <c r="B104" t="n">
        <v>31.0</v>
      </c>
      <c r="C104"/>
      <c r="D104" t="n">
        <v>0.0</v>
      </c>
      <c r="E104"/>
      <c r="F104"/>
      <c r="G104" t="n">
        <v>0.0</v>
      </c>
      <c r="H104"/>
      <c r="I104"/>
      <c r="J104"/>
      <c r="K104"/>
    </row>
    <row r="105" spans="1:2" ht="13.5" customHeight="true" x14ac:dyDescent="0.15" hidden="false">
      <c r="A105" t="s">
        <v>6998</v>
      </c>
      <c r="B105" t="n">
        <v>32.0</v>
      </c>
      <c r="C105"/>
      <c r="D105" t="n">
        <v>0.0</v>
      </c>
      <c r="E105"/>
      <c r="F105"/>
      <c r="G105" t="n">
        <v>0.0</v>
      </c>
      <c r="H105"/>
      <c r="I105"/>
      <c r="J105"/>
      <c r="K105"/>
    </row>
    <row r="106" spans="1:2" ht="13.5" customHeight="true" x14ac:dyDescent="0.15" hidden="false">
      <c r="A106" t="s">
        <v>6998</v>
      </c>
      <c r="B106" t="n">
        <v>33.0</v>
      </c>
      <c r="C106"/>
      <c r="D106"/>
      <c r="E106" t="n">
        <v>0.0</v>
      </c>
      <c r="F106"/>
      <c r="G106"/>
      <c r="H106" t="n">
        <v>0.0</v>
      </c>
      <c r="I106"/>
      <c r="J106"/>
      <c r="K106"/>
    </row>
    <row r="107" spans="1:2" ht="13.5" customHeight="true" x14ac:dyDescent="0.15" hidden="false">
      <c r="A107" t="s">
        <v>6998</v>
      </c>
      <c r="B107" t="n">
        <v>34.0</v>
      </c>
      <c r="C107"/>
      <c r="D107"/>
      <c r="E107" t="n">
        <v>0.0</v>
      </c>
      <c r="F107"/>
      <c r="G107"/>
      <c r="H107" t="n">
        <v>0.0</v>
      </c>
      <c r="I107"/>
      <c r="J107"/>
      <c r="K107"/>
    </row>
    <row r="108" spans="1:2" ht="13.5" customHeight="true" x14ac:dyDescent="0.15" hidden="false">
      <c r="A108" t="s">
        <v>6998</v>
      </c>
      <c r="B108" t="n">
        <v>35.0</v>
      </c>
      <c r="C108" t="n">
        <v>0.0</v>
      </c>
      <c r="D108"/>
      <c r="E108"/>
      <c r="F108" t="n">
        <v>0.0</v>
      </c>
      <c r="G108"/>
      <c r="H108"/>
      <c r="I108"/>
      <c r="J108"/>
      <c r="K108"/>
    </row>
    <row r="109" spans="1:2" ht="13.5" customHeight="true" x14ac:dyDescent="0.15" hidden="false">
      <c r="A109" t="s">
        <v>6998</v>
      </c>
      <c r="B109" t="n">
        <v>36.0</v>
      </c>
      <c r="C109" t="n">
        <v>0.0</v>
      </c>
      <c r="D109"/>
      <c r="E109"/>
      <c r="F109" t="n">
        <v>0.0</v>
      </c>
      <c r="G109"/>
      <c r="H109"/>
      <c r="I109"/>
      <c r="J109"/>
      <c r="K109"/>
    </row>
    <row r="110" spans="1:2" ht="13.5" customHeight="true" x14ac:dyDescent="0.15" hidden="false">
      <c r="A110" t="s">
        <v>6998</v>
      </c>
      <c r="B110" t="n">
        <v>37.0</v>
      </c>
      <c r="C110"/>
      <c r="D110" t="n">
        <v>0.0</v>
      </c>
      <c r="E110"/>
      <c r="F110"/>
      <c r="G110" t="n">
        <v>0.0</v>
      </c>
      <c r="H110"/>
      <c r="I110"/>
      <c r="J110"/>
      <c r="K110"/>
    </row>
    <row r="111" spans="1:2" ht="13.5" customHeight="true" x14ac:dyDescent="0.15" hidden="false">
      <c r="A111" t="s">
        <v>6998</v>
      </c>
      <c r="B111" t="n">
        <v>38.0</v>
      </c>
      <c r="C111"/>
      <c r="D111" t="n">
        <v>0.0</v>
      </c>
      <c r="E111"/>
      <c r="F111"/>
      <c r="G111" t="n">
        <v>0.0</v>
      </c>
      <c r="H111"/>
      <c r="I111"/>
      <c r="J111"/>
      <c r="K111"/>
    </row>
    <row r="112" spans="1:2" ht="13.5" customHeight="true" x14ac:dyDescent="0.15" hidden="false">
      <c r="A112" t="s">
        <v>6998</v>
      </c>
      <c r="B112" t="n">
        <v>39.0</v>
      </c>
      <c r="C112"/>
      <c r="D112"/>
      <c r="E112" t="n">
        <v>0.0</v>
      </c>
      <c r="F112"/>
      <c r="G112"/>
      <c r="H112" t="n">
        <v>0.0</v>
      </c>
      <c r="I112"/>
      <c r="J112"/>
      <c r="K112"/>
    </row>
    <row r="113" spans="1:2" ht="13.5" customHeight="true" x14ac:dyDescent="0.15" hidden="false">
      <c r="A113" t="s">
        <v>6998</v>
      </c>
      <c r="B113" t="n">
        <v>40.0</v>
      </c>
      <c r="C113"/>
      <c r="D113"/>
      <c r="E113" t="n">
        <v>0.0</v>
      </c>
      <c r="F113"/>
      <c r="G113"/>
      <c r="H113" t="n">
        <v>0.0</v>
      </c>
      <c r="I113"/>
      <c r="J113"/>
      <c r="K113"/>
    </row>
    <row r="114" spans="1:2" ht="13.5" customHeight="true" x14ac:dyDescent="0.15" hidden="false">
      <c r="A114" t="s">
        <v>6998</v>
      </c>
      <c r="B114" t="n">
        <v>41.0</v>
      </c>
      <c r="C114" t="n">
        <v>0.0</v>
      </c>
      <c r="D114"/>
      <c r="E114"/>
      <c r="F114" t="n">
        <v>0.0</v>
      </c>
      <c r="G114"/>
      <c r="H114"/>
      <c r="I114"/>
      <c r="J114"/>
      <c r="K114"/>
    </row>
    <row r="115" spans="1:2" ht="13.5" customHeight="true" x14ac:dyDescent="0.15" hidden="false">
      <c r="A115" t="s">
        <v>6998</v>
      </c>
      <c r="B115" t="n">
        <v>42.0</v>
      </c>
      <c r="C115" t="n">
        <v>0.0</v>
      </c>
      <c r="D115"/>
      <c r="E115"/>
      <c r="F115" t="n">
        <v>0.0</v>
      </c>
      <c r="G115"/>
      <c r="H115"/>
      <c r="I115"/>
      <c r="J115"/>
      <c r="K115"/>
    </row>
    <row r="116" spans="1:2" ht="13.5" customHeight="true" x14ac:dyDescent="0.15" hidden="false">
      <c r="A116" t="s">
        <v>6998</v>
      </c>
      <c r="B116" t="n">
        <v>43.0</v>
      </c>
      <c r="C116"/>
      <c r="D116" t="n">
        <v>0.0</v>
      </c>
      <c r="E116"/>
      <c r="F116"/>
      <c r="G116" t="n">
        <v>0.0</v>
      </c>
      <c r="H116"/>
      <c r="I116"/>
      <c r="J116"/>
      <c r="K116"/>
    </row>
    <row r="117" spans="1:2" ht="13.5" customHeight="true" x14ac:dyDescent="0.15" hidden="false">
      <c r="A117" t="s">
        <v>6998</v>
      </c>
      <c r="B117" t="n">
        <v>44.0</v>
      </c>
      <c r="C117"/>
      <c r="D117" t="n">
        <v>0.0</v>
      </c>
      <c r="E117"/>
      <c r="F117"/>
      <c r="G117" t="n">
        <v>0.0</v>
      </c>
      <c r="H117"/>
      <c r="I117"/>
      <c r="J117"/>
      <c r="K117"/>
    </row>
    <row r="118" spans="1:2" ht="13.5" customHeight="true" x14ac:dyDescent="0.15" hidden="false">
      <c r="A118" t="s">
        <v>6998</v>
      </c>
      <c r="B118" t="n">
        <v>45.0</v>
      </c>
      <c r="C118"/>
      <c r="D118"/>
      <c r="E118" t="n">
        <v>0.0</v>
      </c>
      <c r="F118"/>
      <c r="G118"/>
      <c r="H118" t="n">
        <v>0.0</v>
      </c>
      <c r="I118"/>
      <c r="J118"/>
      <c r="K118"/>
    </row>
    <row r="119" spans="1:2" ht="13.5" customHeight="true" x14ac:dyDescent="0.15" hidden="false">
      <c r="A119" t="s">
        <v>6998</v>
      </c>
      <c r="B119" t="n">
        <v>46.0</v>
      </c>
      <c r="C119"/>
      <c r="D119"/>
      <c r="E119" t="n">
        <v>0.0</v>
      </c>
      <c r="F119"/>
      <c r="G119"/>
      <c r="H119" t="n">
        <v>0.0</v>
      </c>
      <c r="I119"/>
      <c r="J119"/>
      <c r="K119"/>
    </row>
    <row r="120" spans="1:2" ht="13.5" customHeight="true" x14ac:dyDescent="0.15" hidden="false">
      <c r="A120" t="s">
        <v>6998</v>
      </c>
      <c r="B120" t="n">
        <v>47.0</v>
      </c>
      <c r="C120" t="n">
        <v>0.0</v>
      </c>
      <c r="D120"/>
      <c r="E120"/>
      <c r="F120" t="n">
        <v>0.0</v>
      </c>
      <c r="G120"/>
      <c r="H120"/>
      <c r="I120"/>
      <c r="J120"/>
      <c r="K120"/>
    </row>
    <row r="121" spans="1:2" ht="13.5" customHeight="true" x14ac:dyDescent="0.15" hidden="false">
      <c r="A121" t="s">
        <v>6998</v>
      </c>
      <c r="B121" t="n">
        <v>48.0</v>
      </c>
      <c r="C121" t="n">
        <v>0.0</v>
      </c>
      <c r="D121"/>
      <c r="E121"/>
      <c r="F121" t="n">
        <v>0.0</v>
      </c>
      <c r="G121"/>
      <c r="H121"/>
      <c r="I121"/>
      <c r="J121"/>
      <c r="K121"/>
    </row>
    <row r="122" spans="1:2" ht="13.5" customHeight="true" x14ac:dyDescent="0.15" hidden="false">
      <c r="A122" t="s">
        <v>6998</v>
      </c>
      <c r="B122" t="n">
        <v>49.0</v>
      </c>
      <c r="C122"/>
      <c r="D122" t="n">
        <v>0.0</v>
      </c>
      <c r="E122"/>
      <c r="F122"/>
      <c r="G122" t="n">
        <v>0.0</v>
      </c>
      <c r="H122"/>
      <c r="I122"/>
      <c r="J122"/>
      <c r="K122"/>
    </row>
    <row r="123" spans="1:2" ht="13.5" customHeight="true" x14ac:dyDescent="0.15" hidden="false">
      <c r="A123" t="s">
        <v>6998</v>
      </c>
      <c r="B123" t="n">
        <v>50.0</v>
      </c>
      <c r="C123"/>
      <c r="D123" t="n">
        <v>0.0</v>
      </c>
      <c r="E123"/>
      <c r="F123"/>
      <c r="G123" t="n">
        <v>0.0</v>
      </c>
      <c r="H123"/>
      <c r="I123"/>
      <c r="J123"/>
      <c r="K123"/>
    </row>
    <row r="124" spans="1:2" ht="13.5" customHeight="true" x14ac:dyDescent="0.15" hidden="false">
      <c r="A124" t="s">
        <v>6998</v>
      </c>
      <c r="B124" t="n">
        <v>51.0</v>
      </c>
      <c r="C124"/>
      <c r="D124"/>
      <c r="E124" t="n">
        <v>0.0</v>
      </c>
      <c r="F124"/>
      <c r="G124"/>
      <c r="H124" t="n">
        <v>0.0</v>
      </c>
      <c r="I124"/>
      <c r="J124"/>
      <c r="K124"/>
    </row>
    <row r="125" spans="1:2" ht="13.5" customHeight="true" x14ac:dyDescent="0.15" hidden="false">
      <c r="A125" t="s">
        <v>6998</v>
      </c>
      <c r="B125" t="n">
        <v>52.0</v>
      </c>
      <c r="C125"/>
      <c r="D125"/>
      <c r="E125" t="n">
        <v>0.0</v>
      </c>
      <c r="F125"/>
      <c r="G125"/>
      <c r="H125" t="n">
        <v>0.0</v>
      </c>
      <c r="I125"/>
      <c r="J125"/>
      <c r="K125"/>
    </row>
    <row r="126" spans="1:2" ht="13.5" customHeight="true" x14ac:dyDescent="0.15" hidden="false">
      <c r="A126" t="s">
        <v>6998</v>
      </c>
      <c r="B126" t="n">
        <v>53.0</v>
      </c>
      <c r="C126" t="n">
        <v>0.0</v>
      </c>
      <c r="D126"/>
      <c r="E126"/>
      <c r="F126" t="n">
        <v>0.0</v>
      </c>
      <c r="G126"/>
      <c r="H126"/>
      <c r="I126"/>
      <c r="J126"/>
      <c r="K126"/>
    </row>
    <row r="127" spans="1:2" ht="13.5" customHeight="true" x14ac:dyDescent="0.15" hidden="false">
      <c r="A127" t="s">
        <v>6998</v>
      </c>
      <c r="B127" t="n">
        <v>54.0</v>
      </c>
      <c r="C127" t="n">
        <v>0.0</v>
      </c>
      <c r="D127"/>
      <c r="E127"/>
      <c r="F127" t="n">
        <v>0.0</v>
      </c>
      <c r="G127"/>
      <c r="H127"/>
      <c r="I127"/>
      <c r="J127"/>
      <c r="K127"/>
    </row>
    <row r="128" spans="1:2" ht="13.5" customHeight="true" x14ac:dyDescent="0.15" hidden="false">
      <c r="A128" t="s">
        <v>6999</v>
      </c>
      <c r="B128" t="n">
        <v>1.0</v>
      </c>
      <c r="C128" t="n">
        <v>0.0</v>
      </c>
      <c r="D128"/>
      <c r="E128"/>
      <c r="F128" t="n">
        <v>0.0</v>
      </c>
      <c r="G128"/>
      <c r="H128"/>
      <c r="I128"/>
      <c r="J128"/>
      <c r="K128"/>
    </row>
    <row r="129" spans="1:2" ht="13.5" customHeight="true" x14ac:dyDescent="0.15" hidden="false">
      <c r="A129" t="s">
        <v>6999</v>
      </c>
      <c r="B129" t="n">
        <v>2.0</v>
      </c>
      <c r="C129" t="n">
        <v>0.0</v>
      </c>
      <c r="D129"/>
      <c r="E129"/>
      <c r="F129" t="n">
        <v>0.0</v>
      </c>
      <c r="G129"/>
      <c r="H129"/>
      <c r="I129"/>
      <c r="J129"/>
      <c r="K129"/>
    </row>
    <row r="130" spans="1:2" ht="13.5" customHeight="true" x14ac:dyDescent="0.15" hidden="false">
      <c r="A130" t="s">
        <v>6999</v>
      </c>
      <c r="B130" t="n">
        <v>3.0</v>
      </c>
      <c r="C130"/>
      <c r="D130" t="n">
        <v>0.0</v>
      </c>
      <c r="E130"/>
      <c r="F130"/>
      <c r="G130" t="n">
        <v>0.0</v>
      </c>
      <c r="H130"/>
      <c r="I130"/>
      <c r="J130"/>
      <c r="K130"/>
    </row>
    <row r="131" spans="1:2" ht="13.5" customHeight="true" x14ac:dyDescent="0.15" hidden="false">
      <c r="A131" t="s">
        <v>6999</v>
      </c>
      <c r="B131" t="n">
        <v>4.0</v>
      </c>
      <c r="C131"/>
      <c r="D131" t="n">
        <v>0.0</v>
      </c>
      <c r="E131"/>
      <c r="F131"/>
      <c r="G131" t="n">
        <v>0.0</v>
      </c>
      <c r="H131"/>
      <c r="I131"/>
      <c r="J131"/>
      <c r="K131"/>
    </row>
    <row r="132" spans="1:2" ht="13.5" customHeight="true" x14ac:dyDescent="0.15" hidden="false">
      <c r="A132" t="s">
        <v>6999</v>
      </c>
      <c r="B132" t="n">
        <v>5.0</v>
      </c>
      <c r="C132"/>
      <c r="D132"/>
      <c r="E132" t="n">
        <v>0.0</v>
      </c>
      <c r="F132"/>
      <c r="G132"/>
      <c r="H132" t="n">
        <v>0.0</v>
      </c>
      <c r="I132"/>
      <c r="J132"/>
      <c r="K132"/>
    </row>
    <row r="133" spans="1:2" ht="13.5" customHeight="true" x14ac:dyDescent="0.15" hidden="false">
      <c r="A133" t="s">
        <v>6999</v>
      </c>
      <c r="B133" t="n">
        <v>6.0</v>
      </c>
      <c r="C133"/>
      <c r="D133"/>
      <c r="E133" t="n">
        <v>0.0</v>
      </c>
      <c r="F133"/>
      <c r="G133"/>
      <c r="H133" t="n">
        <v>0.0</v>
      </c>
      <c r="I133"/>
      <c r="J133"/>
      <c r="K133"/>
    </row>
    <row r="134" spans="1:2" ht="13.5" customHeight="true" x14ac:dyDescent="0.15" hidden="false">
      <c r="A134" t="s">
        <v>6999</v>
      </c>
      <c r="B134" t="n">
        <v>7.0</v>
      </c>
      <c r="C134" t="n">
        <v>0.0</v>
      </c>
      <c r="D134"/>
      <c r="E134"/>
      <c r="F134" t="n">
        <v>0.0</v>
      </c>
      <c r="G134"/>
      <c r="H134"/>
      <c r="I134"/>
      <c r="J134"/>
      <c r="K134"/>
    </row>
    <row r="135" spans="1:2" ht="13.5" customHeight="true" x14ac:dyDescent="0.15" hidden="false">
      <c r="A135" t="s">
        <v>6999</v>
      </c>
      <c r="B135" t="n">
        <v>8.0</v>
      </c>
      <c r="C135" t="n">
        <v>0.0</v>
      </c>
      <c r="D135"/>
      <c r="E135"/>
      <c r="F135" t="n">
        <v>0.0</v>
      </c>
      <c r="G135"/>
      <c r="H135"/>
      <c r="I135"/>
      <c r="J135"/>
      <c r="K135"/>
    </row>
    <row r="136" spans="1:2" ht="13.5" customHeight="true" x14ac:dyDescent="0.15" hidden="false">
      <c r="A136" t="s">
        <v>6999</v>
      </c>
      <c r="B136" t="n">
        <v>9.0</v>
      </c>
      <c r="C136"/>
      <c r="D136" t="n">
        <v>0.0</v>
      </c>
      <c r="E136"/>
      <c r="F136"/>
      <c r="G136" t="n">
        <v>0.0</v>
      </c>
      <c r="H136"/>
      <c r="I136"/>
      <c r="J136"/>
      <c r="K136"/>
    </row>
    <row r="137" spans="1:2" ht="13.5" customHeight="true" x14ac:dyDescent="0.15" hidden="false">
      <c r="A137" t="s">
        <v>6999</v>
      </c>
      <c r="B137" t="n">
        <v>10.0</v>
      </c>
      <c r="C137"/>
      <c r="D137" t="n">
        <v>0.0</v>
      </c>
      <c r="E137"/>
      <c r="F137"/>
      <c r="G137" t="n">
        <v>0.0</v>
      </c>
      <c r="H137"/>
      <c r="I137"/>
      <c r="J137"/>
      <c r="K137"/>
    </row>
    <row r="138" spans="1:2" ht="13.5" customHeight="true" x14ac:dyDescent="0.15" hidden="false">
      <c r="A138" t="s">
        <v>6999</v>
      </c>
      <c r="B138" t="n">
        <v>11.0</v>
      </c>
      <c r="C138"/>
      <c r="D138"/>
      <c r="E138" t="n">
        <v>0.0</v>
      </c>
      <c r="F138"/>
      <c r="G138"/>
      <c r="H138" t="n">
        <v>0.0</v>
      </c>
      <c r="I138"/>
      <c r="J138"/>
      <c r="K138"/>
    </row>
    <row r="139" spans="1:2" ht="13.5" customHeight="true" x14ac:dyDescent="0.15" hidden="false">
      <c r="A139" t="s">
        <v>6999</v>
      </c>
      <c r="B139" t="n">
        <v>12.0</v>
      </c>
      <c r="C139"/>
      <c r="D139"/>
      <c r="E139" t="n">
        <v>0.0</v>
      </c>
      <c r="F139"/>
      <c r="G139"/>
      <c r="H139" t="n">
        <v>0.0</v>
      </c>
      <c r="I139"/>
      <c r="J139"/>
      <c r="K139"/>
    </row>
    <row r="140" spans="1:2" ht="13.5" customHeight="true" x14ac:dyDescent="0.15" hidden="false">
      <c r="A140" t="s">
        <v>6999</v>
      </c>
      <c r="B140" t="n">
        <v>13.0</v>
      </c>
      <c r="C140" t="n">
        <v>0.0</v>
      </c>
      <c r="D140"/>
      <c r="E140"/>
      <c r="F140" t="n">
        <v>0.0</v>
      </c>
      <c r="G140"/>
      <c r="H140"/>
      <c r="I140"/>
      <c r="J140"/>
      <c r="K140"/>
    </row>
    <row r="141" spans="1:2" ht="13.5" customHeight="true" x14ac:dyDescent="0.15" hidden="false">
      <c r="A141" t="s">
        <v>6999</v>
      </c>
      <c r="B141" t="n">
        <v>14.0</v>
      </c>
      <c r="C141" t="n">
        <v>0.0</v>
      </c>
      <c r="D141"/>
      <c r="E141"/>
      <c r="F141" t="n">
        <v>0.0</v>
      </c>
      <c r="G141"/>
      <c r="H141"/>
      <c r="I141"/>
      <c r="J141"/>
      <c r="K141"/>
    </row>
    <row r="142" spans="1:2" ht="13.5" customHeight="true" x14ac:dyDescent="0.15" hidden="false">
      <c r="A142" t="s">
        <v>6999</v>
      </c>
      <c r="B142" t="n">
        <v>15.0</v>
      </c>
      <c r="C142"/>
      <c r="D142" t="n">
        <v>0.0</v>
      </c>
      <c r="E142"/>
      <c r="F142"/>
      <c r="G142" t="n">
        <v>0.0</v>
      </c>
      <c r="H142"/>
      <c r="I142"/>
      <c r="J142"/>
      <c r="K142"/>
    </row>
    <row r="143" spans="1:2" ht="13.5" customHeight="true" x14ac:dyDescent="0.15" hidden="false">
      <c r="A143" t="s">
        <v>6999</v>
      </c>
      <c r="B143" t="n">
        <v>16.0</v>
      </c>
      <c r="C143"/>
      <c r="D143" t="n">
        <v>0.0</v>
      </c>
      <c r="E143"/>
      <c r="F143"/>
      <c r="G143" t="n">
        <v>0.0</v>
      </c>
      <c r="H143"/>
      <c r="I143"/>
      <c r="J143"/>
      <c r="K143"/>
    </row>
    <row r="144" spans="1:2" ht="13.5" customHeight="true" x14ac:dyDescent="0.15" hidden="false">
      <c r="A144" t="s">
        <v>6999</v>
      </c>
      <c r="B144" t="n">
        <v>17.0</v>
      </c>
      <c r="C144"/>
      <c r="D144"/>
      <c r="E144" t="n">
        <v>0.0</v>
      </c>
      <c r="F144"/>
      <c r="G144"/>
      <c r="H144" t="n">
        <v>0.0</v>
      </c>
      <c r="I144"/>
      <c r="J144"/>
      <c r="K144"/>
    </row>
    <row r="145" spans="1:2" ht="13.5" customHeight="true" x14ac:dyDescent="0.15" hidden="false">
      <c r="A145" t="s">
        <v>6999</v>
      </c>
      <c r="B145" t="n">
        <v>18.0</v>
      </c>
      <c r="C145"/>
      <c r="D145"/>
      <c r="E145" t="n">
        <v>0.0</v>
      </c>
      <c r="F145"/>
      <c r="G145"/>
      <c r="H145" t="n">
        <v>0.0</v>
      </c>
      <c r="I145"/>
      <c r="J145"/>
      <c r="K145"/>
    </row>
    <row r="146" spans="1:2" ht="13.5" customHeight="true" x14ac:dyDescent="0.15" hidden="false">
      <c r="A146" t="s">
        <v>6999</v>
      </c>
      <c r="B146" t="n">
        <v>19.0</v>
      </c>
      <c r="C146" t="n">
        <v>0.0</v>
      </c>
      <c r="D146"/>
      <c r="E146"/>
      <c r="F146" t="n">
        <v>0.0</v>
      </c>
      <c r="G146"/>
      <c r="H146"/>
      <c r="I146"/>
      <c r="J146"/>
      <c r="K146"/>
    </row>
    <row r="147" spans="1:2" ht="13.5" customHeight="true" x14ac:dyDescent="0.15" hidden="false">
      <c r="A147" t="s">
        <v>6999</v>
      </c>
      <c r="B147" t="n">
        <v>20.0</v>
      </c>
      <c r="C147" t="n">
        <v>0.0</v>
      </c>
      <c r="D147"/>
      <c r="E147"/>
      <c r="F147" t="n">
        <v>0.0</v>
      </c>
      <c r="G147"/>
      <c r="H147"/>
      <c r="I147"/>
      <c r="J147"/>
      <c r="K147"/>
    </row>
    <row r="148" spans="1:2" ht="13.5" customHeight="true" x14ac:dyDescent="0.15" hidden="false">
      <c r="A148" t="s">
        <v>6999</v>
      </c>
      <c r="B148" t="n">
        <v>21.0</v>
      </c>
      <c r="C148"/>
      <c r="D148" t="n">
        <v>0.0</v>
      </c>
      <c r="E148"/>
      <c r="F148"/>
      <c r="G148" t="n">
        <v>0.0</v>
      </c>
      <c r="H148"/>
      <c r="I148"/>
      <c r="J148"/>
      <c r="K148"/>
    </row>
    <row r="149" spans="1:2" ht="13.5" customHeight="true" x14ac:dyDescent="0.15" hidden="false">
      <c r="A149" t="s">
        <v>6999</v>
      </c>
      <c r="B149" t="n">
        <v>22.0</v>
      </c>
      <c r="C149"/>
      <c r="D149" t="n">
        <v>0.0</v>
      </c>
      <c r="E149"/>
      <c r="F149"/>
      <c r="G149" t="n">
        <v>0.0</v>
      </c>
      <c r="H149"/>
      <c r="I149"/>
      <c r="J149"/>
      <c r="K149"/>
    </row>
    <row r="150" spans="1:2" ht="13.5" customHeight="true" x14ac:dyDescent="0.15" hidden="false">
      <c r="A150" t="s">
        <v>6999</v>
      </c>
      <c r="B150" t="n">
        <v>23.0</v>
      </c>
      <c r="C150"/>
      <c r="D150"/>
      <c r="E150" t="n">
        <v>0.0</v>
      </c>
      <c r="F150"/>
      <c r="G150"/>
      <c r="H150" t="n">
        <v>0.0</v>
      </c>
      <c r="I150"/>
      <c r="J150"/>
      <c r="K150"/>
    </row>
    <row r="151" spans="1:2" ht="13.5" customHeight="true" x14ac:dyDescent="0.15" hidden="false">
      <c r="A151" t="s">
        <v>6999</v>
      </c>
      <c r="B151" t="n">
        <v>24.0</v>
      </c>
      <c r="C151"/>
      <c r="D151"/>
      <c r="E151" t="n">
        <v>0.0</v>
      </c>
      <c r="F151"/>
      <c r="G151"/>
      <c r="H151" t="n">
        <v>0.0</v>
      </c>
      <c r="I151"/>
      <c r="J151"/>
      <c r="K151"/>
    </row>
    <row r="152" spans="1:2" ht="13.5" customHeight="true" x14ac:dyDescent="0.15" hidden="false">
      <c r="A152" t="s">
        <v>6999</v>
      </c>
      <c r="B152" t="n">
        <v>25.0</v>
      </c>
      <c r="C152" t="n">
        <v>0.0</v>
      </c>
      <c r="D152"/>
      <c r="E152"/>
      <c r="F152" t="n">
        <v>0.0</v>
      </c>
      <c r="G152"/>
      <c r="H152"/>
      <c r="I152"/>
      <c r="J152"/>
      <c r="K152"/>
    </row>
    <row r="153" spans="1:2" ht="13.5" customHeight="true" x14ac:dyDescent="0.15" hidden="false">
      <c r="A153" t="s">
        <v>6999</v>
      </c>
      <c r="B153" t="n">
        <v>26.0</v>
      </c>
      <c r="C153" t="n">
        <v>0.0</v>
      </c>
      <c r="D153"/>
      <c r="E153"/>
      <c r="F153" t="n">
        <v>0.0</v>
      </c>
      <c r="G153"/>
      <c r="H153"/>
      <c r="I153"/>
      <c r="J153"/>
      <c r="K153"/>
    </row>
    <row r="154" spans="1:2" ht="13.5" customHeight="true" x14ac:dyDescent="0.15" hidden="false">
      <c r="A154" t="s">
        <v>6999</v>
      </c>
      <c r="B154" t="n">
        <v>27.0</v>
      </c>
      <c r="C154"/>
      <c r="D154" t="n">
        <v>0.0</v>
      </c>
      <c r="E154"/>
      <c r="F154"/>
      <c r="G154" t="n">
        <v>0.0</v>
      </c>
      <c r="H154"/>
      <c r="I154"/>
      <c r="J154"/>
      <c r="K154"/>
    </row>
    <row r="155" spans="1:2" ht="13.5" customHeight="true" x14ac:dyDescent="0.15" hidden="false">
      <c r="A155" t="s">
        <v>6999</v>
      </c>
      <c r="B155" t="n">
        <v>28.0</v>
      </c>
      <c r="C155"/>
      <c r="D155" t="n">
        <v>0.0</v>
      </c>
      <c r="E155"/>
      <c r="F155"/>
      <c r="G155" t="n">
        <v>0.0</v>
      </c>
      <c r="H155"/>
      <c r="I155"/>
      <c r="J155"/>
      <c r="K155"/>
    </row>
    <row r="156" spans="1:2" ht="13.5" customHeight="true" x14ac:dyDescent="0.15" hidden="false">
      <c r="A156" t="s">
        <v>6999</v>
      </c>
      <c r="B156" t="n">
        <v>29.0</v>
      </c>
      <c r="C156"/>
      <c r="D156"/>
      <c r="E156" t="n">
        <v>0.0</v>
      </c>
      <c r="F156"/>
      <c r="G156"/>
      <c r="H156" t="n">
        <v>0.0</v>
      </c>
      <c r="I156"/>
      <c r="J156"/>
      <c r="K156"/>
    </row>
    <row r="157" spans="1:2" ht="13.5" customHeight="true" x14ac:dyDescent="0.15" hidden="false">
      <c r="A157" t="s">
        <v>6999</v>
      </c>
      <c r="B157" t="n">
        <v>30.0</v>
      </c>
      <c r="C157"/>
      <c r="D157"/>
      <c r="E157" t="n">
        <v>0.0</v>
      </c>
      <c r="F157"/>
      <c r="G157"/>
      <c r="H157" t="n">
        <v>0.0</v>
      </c>
      <c r="I157"/>
      <c r="J157"/>
      <c r="K157"/>
    </row>
    <row r="158" spans="1:2" ht="13.5" customHeight="true" x14ac:dyDescent="0.15" hidden="false">
      <c r="A158" t="s">
        <v>6999</v>
      </c>
      <c r="B158" t="n">
        <v>31.0</v>
      </c>
      <c r="C158" t="n">
        <v>0.0</v>
      </c>
      <c r="D158"/>
      <c r="E158"/>
      <c r="F158" t="n">
        <v>0.0</v>
      </c>
      <c r="G158"/>
      <c r="H158"/>
      <c r="I158"/>
      <c r="J158"/>
      <c r="K158"/>
    </row>
    <row r="159" spans="1:2" ht="13.5" customHeight="true" x14ac:dyDescent="0.15" hidden="false">
      <c r="A159" t="s">
        <v>6999</v>
      </c>
      <c r="B159" t="n">
        <v>32.0</v>
      </c>
      <c r="C159" t="n">
        <v>0.0</v>
      </c>
      <c r="D159"/>
      <c r="E159"/>
      <c r="F159" t="n">
        <v>0.0</v>
      </c>
      <c r="G159"/>
      <c r="H159"/>
      <c r="I159"/>
      <c r="J159"/>
      <c r="K159"/>
    </row>
    <row r="160" spans="1:2" ht="13.5" customHeight="true" x14ac:dyDescent="0.15" hidden="false">
      <c r="A160" t="s">
        <v>6999</v>
      </c>
      <c r="B160" t="n">
        <v>33.0</v>
      </c>
      <c r="C160"/>
      <c r="D160" t="n">
        <v>0.0</v>
      </c>
      <c r="E160"/>
      <c r="F160"/>
      <c r="G160" t="n">
        <v>0.0</v>
      </c>
      <c r="H160"/>
      <c r="I160"/>
      <c r="J160"/>
      <c r="K160"/>
    </row>
    <row r="161" spans="1:2" ht="13.5" customHeight="true" x14ac:dyDescent="0.15" hidden="false">
      <c r="A161" t="s">
        <v>6999</v>
      </c>
      <c r="B161" t="n">
        <v>34.0</v>
      </c>
      <c r="C161"/>
      <c r="D161" t="n">
        <v>0.0</v>
      </c>
      <c r="E161"/>
      <c r="F161"/>
      <c r="G161" t="n">
        <v>0.0</v>
      </c>
      <c r="H161"/>
      <c r="I161"/>
      <c r="J161"/>
      <c r="K161"/>
    </row>
    <row r="162" spans="1:2" ht="13.5" customHeight="true" x14ac:dyDescent="0.15" hidden="false">
      <c r="A162" t="s">
        <v>6999</v>
      </c>
      <c r="B162" t="n">
        <v>35.0</v>
      </c>
      <c r="C162"/>
      <c r="D162"/>
      <c r="E162" t="n">
        <v>0.0</v>
      </c>
      <c r="F162"/>
      <c r="G162"/>
      <c r="H162" t="n">
        <v>0.0</v>
      </c>
      <c r="I162"/>
      <c r="J162"/>
      <c r="K162"/>
    </row>
    <row r="163" spans="1:2" ht="13.5" customHeight="true" x14ac:dyDescent="0.15" hidden="false">
      <c r="A163" t="s">
        <v>6999</v>
      </c>
      <c r="B163" t="n">
        <v>36.0</v>
      </c>
      <c r="C163"/>
      <c r="D163"/>
      <c r="E163" t="n">
        <v>0.0</v>
      </c>
      <c r="F163"/>
      <c r="G163"/>
      <c r="H163" t="n">
        <v>0.0</v>
      </c>
      <c r="I163"/>
      <c r="J163"/>
      <c r="K163"/>
    </row>
    <row r="164" spans="1:2" ht="13.5" customHeight="true" x14ac:dyDescent="0.15" hidden="false">
      <c r="A164" t="s">
        <v>6999</v>
      </c>
      <c r="B164" t="n">
        <v>37.0</v>
      </c>
      <c r="C164" t="n">
        <v>0.0</v>
      </c>
      <c r="D164"/>
      <c r="E164"/>
      <c r="F164" t="n">
        <v>0.0</v>
      </c>
      <c r="G164"/>
      <c r="H164"/>
      <c r="I164"/>
      <c r="J164"/>
      <c r="K164"/>
    </row>
    <row r="165" spans="1:2" ht="13.5" customHeight="true" x14ac:dyDescent="0.15" hidden="false">
      <c r="A165" t="s">
        <v>6999</v>
      </c>
      <c r="B165" t="n">
        <v>38.0</v>
      </c>
      <c r="C165" t="n">
        <v>0.0</v>
      </c>
      <c r="D165"/>
      <c r="E165"/>
      <c r="F165" t="n">
        <v>0.0</v>
      </c>
      <c r="G165"/>
      <c r="H165"/>
      <c r="I165"/>
      <c r="J165"/>
      <c r="K165"/>
    </row>
    <row r="166" spans="1:2" ht="13.5" customHeight="true" x14ac:dyDescent="0.15" hidden="false">
      <c r="A166" t="s">
        <v>6999</v>
      </c>
      <c r="B166" t="n">
        <v>39.0</v>
      </c>
      <c r="C166"/>
      <c r="D166" t="n">
        <v>0.0</v>
      </c>
      <c r="E166"/>
      <c r="F166"/>
      <c r="G166" t="n">
        <v>0.0</v>
      </c>
      <c r="H166"/>
      <c r="I166"/>
      <c r="J166"/>
      <c r="K166"/>
    </row>
    <row r="167" spans="1:2" ht="13.5" customHeight="true" x14ac:dyDescent="0.15" hidden="false">
      <c r="A167" t="s">
        <v>6999</v>
      </c>
      <c r="B167" t="n">
        <v>40.0</v>
      </c>
      <c r="C167"/>
      <c r="D167" t="n">
        <v>0.0</v>
      </c>
      <c r="E167"/>
      <c r="F167"/>
      <c r="G167" t="n">
        <v>0.0</v>
      </c>
      <c r="H167"/>
      <c r="I167"/>
      <c r="J167"/>
      <c r="K167"/>
    </row>
    <row r="168" spans="1:2" ht="13.5" customHeight="true" x14ac:dyDescent="0.15" hidden="false">
      <c r="A168" t="s">
        <v>6999</v>
      </c>
      <c r="B168" t="n">
        <v>41.0</v>
      </c>
      <c r="C168"/>
      <c r="D168"/>
      <c r="E168" t="n">
        <v>0.0</v>
      </c>
      <c r="F168"/>
      <c r="G168"/>
      <c r="H168" t="n">
        <v>0.0</v>
      </c>
      <c r="I168"/>
      <c r="J168"/>
      <c r="K168"/>
    </row>
    <row r="169" spans="1:2" ht="13.5" customHeight="true" x14ac:dyDescent="0.15" hidden="false">
      <c r="A169" t="s">
        <v>6999</v>
      </c>
      <c r="B169" t="n">
        <v>42.0</v>
      </c>
      <c r="C169"/>
      <c r="D169"/>
      <c r="E169" t="n">
        <v>0.0</v>
      </c>
      <c r="F169"/>
      <c r="G169"/>
      <c r="H169" t="n">
        <v>0.0</v>
      </c>
      <c r="I169"/>
      <c r="J169"/>
      <c r="K169"/>
    </row>
    <row r="170" spans="1:2" ht="13.5" customHeight="true" x14ac:dyDescent="0.15" hidden="false">
      <c r="A170" t="s">
        <v>6999</v>
      </c>
      <c r="B170" t="n">
        <v>43.0</v>
      </c>
      <c r="C170" t="n">
        <v>0.0</v>
      </c>
      <c r="D170"/>
      <c r="E170"/>
      <c r="F170" t="n">
        <v>0.0</v>
      </c>
      <c r="G170"/>
      <c r="H170"/>
      <c r="I170"/>
      <c r="J170"/>
      <c r="K170"/>
    </row>
    <row r="171" spans="1:2" ht="13.5" customHeight="true" x14ac:dyDescent="0.15" hidden="false">
      <c r="A171" t="s">
        <v>6999</v>
      </c>
      <c r="B171" t="n">
        <v>44.0</v>
      </c>
      <c r="C171" t="n">
        <v>0.0</v>
      </c>
      <c r="D171"/>
      <c r="E171"/>
      <c r="F171" t="n">
        <v>0.0</v>
      </c>
      <c r="G171"/>
      <c r="H171"/>
      <c r="I171"/>
      <c r="J171"/>
      <c r="K171"/>
    </row>
    <row r="172" spans="1:2" ht="13.5" customHeight="true" x14ac:dyDescent="0.15" hidden="false">
      <c r="A172" t="s">
        <v>6999</v>
      </c>
      <c r="B172" t="n">
        <v>45.0</v>
      </c>
      <c r="C172"/>
      <c r="D172" t="n">
        <v>0.0</v>
      </c>
      <c r="E172"/>
      <c r="F172"/>
      <c r="G172" t="n">
        <v>0.0</v>
      </c>
      <c r="H172"/>
      <c r="I172"/>
      <c r="J172"/>
      <c r="K172"/>
    </row>
    <row r="173" spans="1:2" ht="13.5" customHeight="true" x14ac:dyDescent="0.15" hidden="false">
      <c r="A173" t="s">
        <v>6999</v>
      </c>
      <c r="B173" t="n">
        <v>46.0</v>
      </c>
      <c r="C173"/>
      <c r="D173" t="n">
        <v>0.0</v>
      </c>
      <c r="E173"/>
      <c r="F173"/>
      <c r="G173" t="n">
        <v>0.0</v>
      </c>
      <c r="H173"/>
      <c r="I173"/>
      <c r="J173"/>
      <c r="K173"/>
    </row>
    <row r="174" spans="1:2" ht="13.5" customHeight="true" x14ac:dyDescent="0.15" hidden="false">
      <c r="A174" t="s">
        <v>6999</v>
      </c>
      <c r="B174" t="n">
        <v>47.0</v>
      </c>
      <c r="C174"/>
      <c r="D174"/>
      <c r="E174" t="n">
        <v>0.0</v>
      </c>
      <c r="F174"/>
      <c r="G174"/>
      <c r="H174" t="n">
        <v>0.0</v>
      </c>
      <c r="I174"/>
      <c r="J174"/>
      <c r="K174"/>
    </row>
    <row r="175" spans="1:2" ht="13.5" customHeight="true" x14ac:dyDescent="0.15" hidden="false">
      <c r="A175" t="s">
        <v>6999</v>
      </c>
      <c r="B175" t="n">
        <v>48.0</v>
      </c>
      <c r="C175"/>
      <c r="D175"/>
      <c r="E175" t="n">
        <v>0.0</v>
      </c>
      <c r="F175"/>
      <c r="G175"/>
      <c r="H175" t="n">
        <v>0.0</v>
      </c>
      <c r="I175"/>
      <c r="J175"/>
      <c r="K175"/>
    </row>
    <row r="176" spans="1:2" ht="13.5" customHeight="true" x14ac:dyDescent="0.15" hidden="false">
      <c r="A176" t="s">
        <v>6999</v>
      </c>
      <c r="B176" t="n">
        <v>49.0</v>
      </c>
      <c r="C176" t="n">
        <v>0.0</v>
      </c>
      <c r="D176"/>
      <c r="E176"/>
      <c r="F176" t="n">
        <v>0.0</v>
      </c>
      <c r="G176"/>
      <c r="H176"/>
      <c r="I176"/>
      <c r="J176"/>
      <c r="K176"/>
    </row>
    <row r="177" spans="1:2" ht="13.5" customHeight="true" x14ac:dyDescent="0.15" hidden="false">
      <c r="A177" t="s">
        <v>6999</v>
      </c>
      <c r="B177" t="n">
        <v>50.0</v>
      </c>
      <c r="C177" t="n">
        <v>0.0</v>
      </c>
      <c r="D177"/>
      <c r="E177"/>
      <c r="F177" t="n">
        <v>0.0</v>
      </c>
      <c r="G177"/>
      <c r="H177"/>
      <c r="I177"/>
      <c r="J177"/>
      <c r="K177"/>
    </row>
    <row r="178" spans="1:2" ht="13.5" customHeight="true" x14ac:dyDescent="0.15" hidden="false">
      <c r="A178" t="s">
        <v>7000</v>
      </c>
      <c r="B178" t="n">
        <v>1.0</v>
      </c>
      <c r="C178" t="n">
        <v>0.0</v>
      </c>
      <c r="D178"/>
      <c r="E178"/>
      <c r="F178" t="n">
        <v>0.0</v>
      </c>
      <c r="G178"/>
      <c r="H178"/>
      <c r="I178"/>
      <c r="J178"/>
      <c r="K178"/>
    </row>
    <row r="179" spans="1:2" ht="13.5" customHeight="true" x14ac:dyDescent="0.15" hidden="false">
      <c r="A179" t="s">
        <v>7000</v>
      </c>
      <c r="B179" t="n">
        <v>2.0</v>
      </c>
      <c r="C179" t="n">
        <v>0.0</v>
      </c>
      <c r="D179"/>
      <c r="E179"/>
      <c r="F179" t="n">
        <v>0.0</v>
      </c>
      <c r="G179"/>
      <c r="H179"/>
      <c r="I179"/>
      <c r="J179"/>
      <c r="K179"/>
    </row>
    <row r="180" spans="1:2" ht="13.5" customHeight="true" x14ac:dyDescent="0.15" hidden="false">
      <c r="A180" t="s">
        <v>7000</v>
      </c>
      <c r="B180" t="n">
        <v>3.0</v>
      </c>
      <c r="C180"/>
      <c r="D180" t="n">
        <v>0.0</v>
      </c>
      <c r="E180"/>
      <c r="F180"/>
      <c r="G180" t="n">
        <v>0.0</v>
      </c>
      <c r="H180"/>
      <c r="I180"/>
      <c r="J180"/>
      <c r="K180"/>
    </row>
    <row r="181" spans="1:2" ht="13.5" customHeight="true" x14ac:dyDescent="0.15" hidden="false">
      <c r="A181" t="s">
        <v>7000</v>
      </c>
      <c r="B181" t="n">
        <v>4.0</v>
      </c>
      <c r="C181"/>
      <c r="D181" t="n">
        <v>0.0</v>
      </c>
      <c r="E181"/>
      <c r="F181"/>
      <c r="G181" t="n">
        <v>0.0</v>
      </c>
      <c r="H181"/>
      <c r="I181"/>
      <c r="J181"/>
      <c r="K181"/>
    </row>
    <row r="182" spans="1:2" ht="13.5" customHeight="true" x14ac:dyDescent="0.15" hidden="false">
      <c r="A182" t="s">
        <v>7000</v>
      </c>
      <c r="B182" t="n">
        <v>5.0</v>
      </c>
      <c r="C182"/>
      <c r="D182"/>
      <c r="E182" t="n">
        <v>0.0</v>
      </c>
      <c r="F182"/>
      <c r="G182"/>
      <c r="H182" t="n">
        <v>0.0</v>
      </c>
      <c r="I182"/>
      <c r="J182"/>
      <c r="K182"/>
    </row>
    <row r="183" spans="1:2" ht="13.5" customHeight="true" x14ac:dyDescent="0.15" hidden="false">
      <c r="A183" t="s">
        <v>7000</v>
      </c>
      <c r="B183" t="n">
        <v>6.0</v>
      </c>
      <c r="C183"/>
      <c r="D183"/>
      <c r="E183" t="n">
        <v>0.0</v>
      </c>
      <c r="F183"/>
      <c r="G183"/>
      <c r="H183" t="n">
        <v>0.0</v>
      </c>
      <c r="I183"/>
      <c r="J183"/>
      <c r="K183"/>
    </row>
    <row r="184" spans="1:2" ht="13.5" customHeight="true" x14ac:dyDescent="0.15" hidden="false">
      <c r="A184" t="s">
        <v>7000</v>
      </c>
      <c r="B184" t="n">
        <v>7.0</v>
      </c>
      <c r="C184" t="n">
        <v>0.0</v>
      </c>
      <c r="D184"/>
      <c r="E184"/>
      <c r="F184" t="n">
        <v>0.0</v>
      </c>
      <c r="G184"/>
      <c r="H184"/>
      <c r="I184"/>
      <c r="J184"/>
      <c r="K184"/>
    </row>
    <row r="185" spans="1:2" ht="13.5" customHeight="true" x14ac:dyDescent="0.15" hidden="false">
      <c r="A185" t="s">
        <v>7000</v>
      </c>
      <c r="B185" t="n">
        <v>8.0</v>
      </c>
      <c r="C185" t="n">
        <v>0.0</v>
      </c>
      <c r="D185"/>
      <c r="E185"/>
      <c r="F185" t="n">
        <v>0.0</v>
      </c>
      <c r="G185"/>
      <c r="H185"/>
      <c r="I185"/>
      <c r="J185"/>
      <c r="K185"/>
    </row>
    <row r="186" spans="1:2" ht="13.5" customHeight="true" x14ac:dyDescent="0.15" hidden="false">
      <c r="A186" t="s">
        <v>7000</v>
      </c>
      <c r="B186" t="n">
        <v>9.0</v>
      </c>
      <c r="C186"/>
      <c r="D186" t="n">
        <v>0.0</v>
      </c>
      <c r="E186"/>
      <c r="F186"/>
      <c r="G186" t="n">
        <v>0.0</v>
      </c>
      <c r="H186"/>
      <c r="I186"/>
      <c r="J186"/>
      <c r="K186"/>
    </row>
    <row r="187" spans="1:2" ht="13.5" customHeight="true" x14ac:dyDescent="0.15" hidden="false">
      <c r="A187" t="s">
        <v>7000</v>
      </c>
      <c r="B187" t="n">
        <v>10.0</v>
      </c>
      <c r="C187"/>
      <c r="D187" t="n">
        <v>0.0</v>
      </c>
      <c r="E187"/>
      <c r="F187"/>
      <c r="G187" t="n">
        <v>0.0</v>
      </c>
      <c r="H187"/>
      <c r="I187"/>
      <c r="J187"/>
      <c r="K187"/>
    </row>
    <row r="188" spans="1:2" ht="13.5" customHeight="true" x14ac:dyDescent="0.15" hidden="false">
      <c r="A188" t="s">
        <v>7000</v>
      </c>
      <c r="B188" t="n">
        <v>11.0</v>
      </c>
      <c r="C188"/>
      <c r="D188"/>
      <c r="E188" t="n">
        <v>0.0</v>
      </c>
      <c r="F188"/>
      <c r="G188"/>
      <c r="H188" t="n">
        <v>0.0</v>
      </c>
      <c r="I188"/>
      <c r="J188"/>
      <c r="K188"/>
    </row>
    <row r="189" spans="1:2" ht="13.5" customHeight="true" x14ac:dyDescent="0.15" hidden="false">
      <c r="A189" t="s">
        <v>7000</v>
      </c>
      <c r="B189" t="n">
        <v>12.0</v>
      </c>
      <c r="C189"/>
      <c r="D189"/>
      <c r="E189" t="n">
        <v>0.0</v>
      </c>
      <c r="F189"/>
      <c r="G189"/>
      <c r="H189" t="n">
        <v>0.0</v>
      </c>
      <c r="I189"/>
      <c r="J189"/>
      <c r="K189"/>
    </row>
    <row r="190" spans="1:2" ht="13.5" customHeight="true" x14ac:dyDescent="0.15" hidden="false">
      <c r="A190" t="s">
        <v>7000</v>
      </c>
      <c r="B190" t="n">
        <v>13.0</v>
      </c>
      <c r="C190" t="n">
        <v>0.0</v>
      </c>
      <c r="D190"/>
      <c r="E190"/>
      <c r="F190" t="n">
        <v>0.0</v>
      </c>
      <c r="G190"/>
      <c r="H190"/>
      <c r="I190"/>
      <c r="J190"/>
      <c r="K190"/>
    </row>
    <row r="191" spans="1:2" ht="13.5" customHeight="true" x14ac:dyDescent="0.15" hidden="false">
      <c r="A191" t="s">
        <v>7000</v>
      </c>
      <c r="B191" t="n">
        <v>14.0</v>
      </c>
      <c r="C191" t="n">
        <v>0.0</v>
      </c>
      <c r="D191"/>
      <c r="E191"/>
      <c r="F191" t="n">
        <v>0.0</v>
      </c>
      <c r="G191"/>
      <c r="H191"/>
      <c r="I191"/>
      <c r="J191"/>
      <c r="K191"/>
    </row>
    <row r="192" spans="1:2" ht="13.5" customHeight="true" x14ac:dyDescent="0.15" hidden="false">
      <c r="A192" t="s">
        <v>7000</v>
      </c>
      <c r="B192" t="n">
        <v>15.0</v>
      </c>
      <c r="C192"/>
      <c r="D192" t="n">
        <v>0.0</v>
      </c>
      <c r="E192"/>
      <c r="F192"/>
      <c r="G192" t="n">
        <v>0.0</v>
      </c>
      <c r="H192"/>
      <c r="I192"/>
      <c r="J192"/>
      <c r="K192"/>
    </row>
    <row r="193" spans="1:2" ht="13.5" customHeight="true" x14ac:dyDescent="0.15" hidden="false">
      <c r="A193" t="s">
        <v>7000</v>
      </c>
      <c r="B193" t="n">
        <v>16.0</v>
      </c>
      <c r="C193"/>
      <c r="D193" t="n">
        <v>0.0</v>
      </c>
      <c r="E193"/>
      <c r="F193"/>
      <c r="G193" t="n">
        <v>0.0</v>
      </c>
      <c r="H193"/>
      <c r="I193"/>
      <c r="J193"/>
      <c r="K193"/>
    </row>
    <row r="194" spans="1:2" ht="13.5" customHeight="true" x14ac:dyDescent="0.15" hidden="false">
      <c r="A194" t="s">
        <v>7000</v>
      </c>
      <c r="B194" t="n">
        <v>17.0</v>
      </c>
      <c r="C194"/>
      <c r="D194"/>
      <c r="E194" t="n">
        <v>0.0</v>
      </c>
      <c r="F194"/>
      <c r="G194"/>
      <c r="H194" t="n">
        <v>0.0</v>
      </c>
      <c r="I194"/>
      <c r="J194"/>
      <c r="K194"/>
    </row>
    <row r="195" spans="1:2" ht="13.5" customHeight="true" x14ac:dyDescent="0.15" hidden="false">
      <c r="A195" t="s">
        <v>7000</v>
      </c>
      <c r="B195" t="n">
        <v>18.0</v>
      </c>
      <c r="C195"/>
      <c r="D195"/>
      <c r="E195" t="n">
        <v>0.0</v>
      </c>
      <c r="F195"/>
      <c r="G195"/>
      <c r="H195" t="n">
        <v>0.0</v>
      </c>
      <c r="I195"/>
      <c r="J195"/>
      <c r="K195"/>
    </row>
    <row r="196" spans="1:2" ht="13.5" customHeight="true" x14ac:dyDescent="0.15" hidden="false">
      <c r="A196" t="s">
        <v>7000</v>
      </c>
      <c r="B196" t="n">
        <v>19.0</v>
      </c>
      <c r="C196" t="n">
        <v>0.0</v>
      </c>
      <c r="D196"/>
      <c r="E196"/>
      <c r="F196" t="n">
        <v>0.0</v>
      </c>
      <c r="G196"/>
      <c r="H196"/>
      <c r="I196"/>
      <c r="J196"/>
      <c r="K196"/>
    </row>
    <row r="197" spans="1:2" ht="13.5" customHeight="true" x14ac:dyDescent="0.15" hidden="false">
      <c r="A197" t="s">
        <v>7000</v>
      </c>
      <c r="B197" t="n">
        <v>20.0</v>
      </c>
      <c r="C197" t="n">
        <v>0.0</v>
      </c>
      <c r="D197"/>
      <c r="E197"/>
      <c r="F197" t="n">
        <v>0.0</v>
      </c>
      <c r="G197"/>
      <c r="H197"/>
      <c r="I197"/>
      <c r="J197"/>
      <c r="K197"/>
    </row>
    <row r="198" spans="1:2" ht="13.5" customHeight="true" x14ac:dyDescent="0.15" hidden="false">
      <c r="A198" t="s">
        <v>7000</v>
      </c>
      <c r="B198" t="n">
        <v>21.0</v>
      </c>
      <c r="C198"/>
      <c r="D198" t="n">
        <v>0.0</v>
      </c>
      <c r="E198"/>
      <c r="F198"/>
      <c r="G198" t="n">
        <v>0.0</v>
      </c>
      <c r="H198"/>
      <c r="I198"/>
      <c r="J198"/>
      <c r="K198"/>
    </row>
    <row r="199" spans="1:2" ht="13.5" customHeight="true" x14ac:dyDescent="0.15" hidden="false">
      <c r="A199" t="s">
        <v>7000</v>
      </c>
      <c r="B199" t="n">
        <v>22.0</v>
      </c>
      <c r="C199"/>
      <c r="D199" t="n">
        <v>0.0</v>
      </c>
      <c r="E199"/>
      <c r="F199"/>
      <c r="G199" t="n">
        <v>0.0</v>
      </c>
      <c r="H199"/>
      <c r="I199"/>
      <c r="J199"/>
      <c r="K199"/>
    </row>
    <row r="200" spans="1:2" ht="13.5" customHeight="true" x14ac:dyDescent="0.15" hidden="false">
      <c r="A200" t="s">
        <v>7000</v>
      </c>
      <c r="B200" t="n">
        <v>23.0</v>
      </c>
      <c r="C200"/>
      <c r="D200"/>
      <c r="E200" t="n">
        <v>0.0</v>
      </c>
      <c r="F200"/>
      <c r="G200"/>
      <c r="H200" t="n">
        <v>0.0</v>
      </c>
      <c r="I200"/>
      <c r="J200"/>
      <c r="K200"/>
    </row>
    <row r="201" spans="1:2" ht="13.5" customHeight="true" x14ac:dyDescent="0.15" hidden="false">
      <c r="A201" t="s">
        <v>7000</v>
      </c>
      <c r="B201" t="n">
        <v>24.0</v>
      </c>
      <c r="C201"/>
      <c r="D201"/>
      <c r="E201" t="n">
        <v>0.0</v>
      </c>
      <c r="F201"/>
      <c r="G201"/>
      <c r="H201" t="n">
        <v>0.0</v>
      </c>
      <c r="I201"/>
      <c r="J201"/>
      <c r="K201"/>
    </row>
    <row r="202" spans="1:2" ht="13.5" customHeight="true" x14ac:dyDescent="0.15" hidden="false">
      <c r="A202" t="s">
        <v>7000</v>
      </c>
      <c r="B202" t="n">
        <v>25.0</v>
      </c>
      <c r="C202" t="n">
        <v>0.0</v>
      </c>
      <c r="D202"/>
      <c r="E202"/>
      <c r="F202" t="n">
        <v>0.0</v>
      </c>
      <c r="G202"/>
      <c r="H202"/>
      <c r="I202"/>
      <c r="J202"/>
      <c r="K202"/>
    </row>
    <row r="203" spans="1:2" ht="13.5" customHeight="true" x14ac:dyDescent="0.15" hidden="false">
      <c r="A203" t="s">
        <v>7000</v>
      </c>
      <c r="B203" t="n">
        <v>26.0</v>
      </c>
      <c r="C203" t="n">
        <v>0.0</v>
      </c>
      <c r="D203"/>
      <c r="E203"/>
      <c r="F203" t="n">
        <v>0.0</v>
      </c>
      <c r="G203"/>
      <c r="H203"/>
      <c r="I203"/>
      <c r="J203"/>
      <c r="K203"/>
    </row>
    <row r="204" spans="1:2" ht="13.5" customHeight="true" x14ac:dyDescent="0.15" hidden="false">
      <c r="A204" t="s">
        <v>7000</v>
      </c>
      <c r="B204" t="n">
        <v>27.0</v>
      </c>
      <c r="C204"/>
      <c r="D204" t="n">
        <v>0.0</v>
      </c>
      <c r="E204"/>
      <c r="F204"/>
      <c r="G204" t="n">
        <v>0.0</v>
      </c>
      <c r="H204"/>
      <c r="I204"/>
      <c r="J204"/>
      <c r="K204"/>
    </row>
    <row r="205" spans="1:2" ht="13.5" customHeight="true" x14ac:dyDescent="0.15" hidden="false">
      <c r="A205" t="s">
        <v>7000</v>
      </c>
      <c r="B205" t="n">
        <v>28.0</v>
      </c>
      <c r="C205"/>
      <c r="D205" t="n">
        <v>0.0</v>
      </c>
      <c r="E205"/>
      <c r="F205"/>
      <c r="G205" t="n">
        <v>0.0</v>
      </c>
      <c r="H205"/>
      <c r="I205"/>
      <c r="J205"/>
      <c r="K205"/>
    </row>
    <row r="206" spans="1:2" ht="13.5" customHeight="true" x14ac:dyDescent="0.15" hidden="false">
      <c r="A206" t="s">
        <v>7000</v>
      </c>
      <c r="B206" t="n">
        <v>29.0</v>
      </c>
      <c r="C206"/>
      <c r="D206"/>
      <c r="E206" t="n">
        <v>0.0</v>
      </c>
      <c r="F206"/>
      <c r="G206"/>
      <c r="H206" t="n">
        <v>0.0</v>
      </c>
      <c r="I206"/>
      <c r="J206"/>
      <c r="K206"/>
    </row>
    <row r="207" spans="1:2" ht="13.5" customHeight="true" x14ac:dyDescent="0.15" hidden="false">
      <c r="A207" t="s">
        <v>7000</v>
      </c>
      <c r="B207" t="n">
        <v>30.0</v>
      </c>
      <c r="C207"/>
      <c r="D207"/>
      <c r="E207" t="n">
        <v>0.0</v>
      </c>
      <c r="F207"/>
      <c r="G207"/>
      <c r="H207" t="n">
        <v>0.0</v>
      </c>
      <c r="I207"/>
      <c r="J207"/>
      <c r="K207"/>
    </row>
    <row r="208" spans="1:2" ht="13.5" customHeight="true" x14ac:dyDescent="0.15" hidden="false">
      <c r="A208" t="s">
        <v>7000</v>
      </c>
      <c r="B208" t="n">
        <v>31.0</v>
      </c>
      <c r="C208" t="n">
        <v>0.0</v>
      </c>
      <c r="D208"/>
      <c r="E208"/>
      <c r="F208" t="n">
        <v>0.0</v>
      </c>
      <c r="G208"/>
      <c r="H208"/>
      <c r="I208"/>
      <c r="J208"/>
      <c r="K208"/>
    </row>
    <row r="209" spans="1:2" ht="13.5" customHeight="true" x14ac:dyDescent="0.15" hidden="false">
      <c r="A209" t="s">
        <v>7000</v>
      </c>
      <c r="B209" t="n">
        <v>32.0</v>
      </c>
      <c r="C209" t="n">
        <v>0.0</v>
      </c>
      <c r="D209"/>
      <c r="E209"/>
      <c r="F209" t="n">
        <v>0.0</v>
      </c>
      <c r="G209"/>
      <c r="H209"/>
      <c r="I209"/>
      <c r="J209"/>
      <c r="K209"/>
    </row>
    <row r="210" spans="1:2" ht="13.5" customHeight="true" x14ac:dyDescent="0.15" hidden="false">
      <c r="A210" t="s">
        <v>7000</v>
      </c>
      <c r="B210" t="n">
        <v>33.0</v>
      </c>
      <c r="C210"/>
      <c r="D210" t="n">
        <v>0.0</v>
      </c>
      <c r="E210"/>
      <c r="F210"/>
      <c r="G210" t="n">
        <v>0.0</v>
      </c>
      <c r="H210"/>
      <c r="I210"/>
      <c r="J210"/>
      <c r="K210"/>
    </row>
    <row r="211" spans="1:2" ht="13.5" customHeight="true" x14ac:dyDescent="0.15" hidden="false">
      <c r="A211" t="s">
        <v>7000</v>
      </c>
      <c r="B211" t="n">
        <v>34.0</v>
      </c>
      <c r="C211"/>
      <c r="D211" t="n">
        <v>0.0</v>
      </c>
      <c r="E211"/>
      <c r="F211"/>
      <c r="G211" t="n">
        <v>0.0</v>
      </c>
      <c r="H211"/>
      <c r="I211"/>
      <c r="J211"/>
      <c r="K211"/>
    </row>
    <row r="212" spans="1:2" ht="13.5" customHeight="true" x14ac:dyDescent="0.15" hidden="false">
      <c r="A212" t="s">
        <v>7000</v>
      </c>
      <c r="B212" t="n">
        <v>35.0</v>
      </c>
      <c r="C212"/>
      <c r="D212"/>
      <c r="E212" t="n">
        <v>0.0</v>
      </c>
      <c r="F212"/>
      <c r="G212"/>
      <c r="H212" t="n">
        <v>0.0</v>
      </c>
      <c r="I212"/>
      <c r="J212"/>
      <c r="K212"/>
    </row>
    <row r="213" spans="1:2" ht="13.5" customHeight="true" x14ac:dyDescent="0.15" hidden="false">
      <c r="A213" t="s">
        <v>7000</v>
      </c>
      <c r="B213" t="n">
        <v>36.0</v>
      </c>
      <c r="C213"/>
      <c r="D213"/>
      <c r="E213" t="n">
        <v>0.0</v>
      </c>
      <c r="F213"/>
      <c r="G213"/>
      <c r="H213" t="n">
        <v>0.0</v>
      </c>
      <c r="I213"/>
      <c r="J213"/>
      <c r="K213"/>
    </row>
    <row r="214" spans="1:2" ht="13.5" customHeight="true" x14ac:dyDescent="0.15" hidden="false">
      <c r="A214" t="s">
        <v>7000</v>
      </c>
      <c r="B214" t="n">
        <v>37.0</v>
      </c>
      <c r="C214" t="n">
        <v>0.0</v>
      </c>
      <c r="D214"/>
      <c r="E214"/>
      <c r="F214" t="n">
        <v>0.0</v>
      </c>
      <c r="G214"/>
      <c r="H214"/>
      <c r="I214"/>
      <c r="J214"/>
      <c r="K214"/>
    </row>
    <row r="215" spans="1:2" ht="13.5" customHeight="true" x14ac:dyDescent="0.15" hidden="false">
      <c r="A215" t="s">
        <v>7000</v>
      </c>
      <c r="B215" t="n">
        <v>38.0</v>
      </c>
      <c r="C215" t="n">
        <v>0.0</v>
      </c>
      <c r="D215"/>
      <c r="E215"/>
      <c r="F215" t="n">
        <v>0.0</v>
      </c>
      <c r="G215"/>
      <c r="H215"/>
      <c r="I215"/>
      <c r="J215"/>
      <c r="K215"/>
    </row>
    <row r="216" spans="1:2" ht="13.5" customHeight="true" x14ac:dyDescent="0.15" hidden="false">
      <c r="A216" t="s">
        <v>7000</v>
      </c>
      <c r="B216" t="n">
        <v>39.0</v>
      </c>
      <c r="C216"/>
      <c r="D216" t="n">
        <v>0.0</v>
      </c>
      <c r="E216"/>
      <c r="F216"/>
      <c r="G216" t="n">
        <v>0.0</v>
      </c>
      <c r="H216"/>
      <c r="I216"/>
      <c r="J216"/>
      <c r="K216"/>
    </row>
    <row r="217" spans="1:2" ht="13.5" customHeight="true" x14ac:dyDescent="0.15" hidden="false">
      <c r="A217" t="s">
        <v>7000</v>
      </c>
      <c r="B217" t="n">
        <v>40.0</v>
      </c>
      <c r="C217"/>
      <c r="D217" t="n">
        <v>0.0</v>
      </c>
      <c r="E217"/>
      <c r="F217"/>
      <c r="G217" t="n">
        <v>0.0</v>
      </c>
      <c r="H217"/>
      <c r="I217"/>
      <c r="J217"/>
      <c r="K217"/>
    </row>
    <row r="218" spans="1:2" ht="13.5" customHeight="true" x14ac:dyDescent="0.15" hidden="false">
      <c r="A218" t="s">
        <v>7000</v>
      </c>
      <c r="B218" t="n">
        <v>41.0</v>
      </c>
      <c r="C218"/>
      <c r="D218"/>
      <c r="E218" t="n">
        <v>0.0</v>
      </c>
      <c r="F218"/>
      <c r="G218"/>
      <c r="H218" t="n">
        <v>0.0</v>
      </c>
      <c r="I218"/>
      <c r="J218"/>
      <c r="K218"/>
    </row>
    <row r="219" spans="1:2" ht="13.5" customHeight="true" x14ac:dyDescent="0.15" hidden="false">
      <c r="A219" t="s">
        <v>7000</v>
      </c>
      <c r="B219" t="n">
        <v>42.0</v>
      </c>
      <c r="C219"/>
      <c r="D219"/>
      <c r="E219" t="n">
        <v>0.0</v>
      </c>
      <c r="F219"/>
      <c r="G219"/>
      <c r="H219" t="n">
        <v>0.0</v>
      </c>
      <c r="I219"/>
      <c r="J219"/>
      <c r="K219"/>
    </row>
    <row r="220" spans="1:2" ht="13.5" customHeight="true" x14ac:dyDescent="0.15" hidden="false">
      <c r="A220" t="s">
        <v>7000</v>
      </c>
      <c r="B220" t="n">
        <v>43.0</v>
      </c>
      <c r="C220" t="n">
        <v>0.0</v>
      </c>
      <c r="D220"/>
      <c r="E220"/>
      <c r="F220" t="n">
        <v>0.0</v>
      </c>
      <c r="G220"/>
      <c r="H220"/>
      <c r="I220"/>
      <c r="J220"/>
      <c r="K220"/>
    </row>
    <row r="221" spans="1:2" ht="13.5" customHeight="true" x14ac:dyDescent="0.15" hidden="false">
      <c r="A221" t="s">
        <v>7000</v>
      </c>
      <c r="B221" t="n">
        <v>44.0</v>
      </c>
      <c r="C221" t="n">
        <v>0.0</v>
      </c>
      <c r="D221"/>
      <c r="E221"/>
      <c r="F221" t="n">
        <v>0.0</v>
      </c>
      <c r="G221"/>
      <c r="H221"/>
      <c r="I221"/>
      <c r="J221"/>
      <c r="K221"/>
    </row>
    <row r="222" spans="1:2" ht="13.5" customHeight="true" x14ac:dyDescent="0.15" hidden="false">
      <c r="A222" t="s">
        <v>7000</v>
      </c>
      <c r="B222" t="n">
        <v>45.0</v>
      </c>
      <c r="C222"/>
      <c r="D222" t="n">
        <v>0.0</v>
      </c>
      <c r="E222"/>
      <c r="F222"/>
      <c r="G222" t="n">
        <v>0.0</v>
      </c>
      <c r="H222"/>
      <c r="I222"/>
      <c r="J222"/>
      <c r="K222"/>
    </row>
    <row r="223" spans="1:2" ht="13.5" customHeight="true" x14ac:dyDescent="0.15" hidden="false">
      <c r="A223" t="s">
        <v>7000</v>
      </c>
      <c r="B223" t="n">
        <v>46.0</v>
      </c>
      <c r="C223"/>
      <c r="D223" t="n">
        <v>0.0</v>
      </c>
      <c r="E223"/>
      <c r="F223"/>
      <c r="G223" t="n">
        <v>0.0</v>
      </c>
      <c r="H223"/>
      <c r="I223"/>
      <c r="J223"/>
      <c r="K223"/>
    </row>
    <row r="224" spans="1:2" ht="13.5" customHeight="true" x14ac:dyDescent="0.15" hidden="false">
      <c r="A224" t="s">
        <v>7000</v>
      </c>
      <c r="B224" t="n">
        <v>47.0</v>
      </c>
      <c r="C224"/>
      <c r="D224"/>
      <c r="E224" t="n">
        <v>0.0</v>
      </c>
      <c r="F224"/>
      <c r="G224"/>
      <c r="H224" t="n">
        <v>0.0</v>
      </c>
      <c r="I224"/>
      <c r="J224"/>
      <c r="K224"/>
    </row>
    <row r="225" spans="1:2" ht="13.5" customHeight="true" x14ac:dyDescent="0.15" hidden="false">
      <c r="A225" t="s">
        <v>7000</v>
      </c>
      <c r="B225" t="n">
        <v>48.0</v>
      </c>
      <c r="C225"/>
      <c r="D225"/>
      <c r="E225" t="n">
        <v>0.0</v>
      </c>
      <c r="F225"/>
      <c r="G225"/>
      <c r="H225" t="n">
        <v>0.0</v>
      </c>
      <c r="I225"/>
      <c r="J225"/>
      <c r="K225"/>
    </row>
    <row r="226" spans="1:2" ht="13.5" customHeight="true" x14ac:dyDescent="0.15" hidden="false">
      <c r="A226" t="s">
        <v>7000</v>
      </c>
      <c r="B226" t="n">
        <v>49.0</v>
      </c>
      <c r="C226" t="n">
        <v>0.0</v>
      </c>
      <c r="D226"/>
      <c r="E226"/>
      <c r="F226" t="n">
        <v>0.0</v>
      </c>
      <c r="G226"/>
      <c r="H226"/>
      <c r="I226"/>
      <c r="J226"/>
      <c r="K226"/>
    </row>
    <row r="227" spans="1:2" ht="13.5" customHeight="true" x14ac:dyDescent="0.15" hidden="false">
      <c r="A227" t="s">
        <v>7000</v>
      </c>
      <c r="B227" t="n">
        <v>50.0</v>
      </c>
      <c r="C227" t="n">
        <v>0.0</v>
      </c>
      <c r="D227"/>
      <c r="E227"/>
      <c r="F227" t="n">
        <v>0.0</v>
      </c>
      <c r="G227"/>
      <c r="H227"/>
      <c r="I227"/>
      <c r="J227"/>
      <c r="K227"/>
    </row>
    <row r="228" spans="1:2" ht="13.5" customHeight="true" x14ac:dyDescent="0.15" hidden="false">
      <c r="A228" t="s">
        <v>7001</v>
      </c>
      <c r="B228" t="n">
        <v>1.0</v>
      </c>
      <c r="C228" t="n">
        <v>0.0</v>
      </c>
      <c r="D228"/>
      <c r="E228"/>
      <c r="F228" t="n">
        <v>0.0</v>
      </c>
      <c r="G228"/>
      <c r="H228"/>
      <c r="I228"/>
      <c r="J228"/>
      <c r="K228"/>
    </row>
    <row r="229" spans="1:2" ht="13.5" customHeight="true" x14ac:dyDescent="0.15" hidden="false">
      <c r="A229" t="s">
        <v>7001</v>
      </c>
      <c r="B229" t="n">
        <v>2.0</v>
      </c>
      <c r="C229" t="n">
        <v>0.0</v>
      </c>
      <c r="D229"/>
      <c r="E229"/>
      <c r="F229" t="n">
        <v>0.0</v>
      </c>
      <c r="G229"/>
      <c r="H229"/>
      <c r="I229"/>
      <c r="J229"/>
      <c r="K229"/>
    </row>
    <row r="230" spans="1:2" ht="13.5" customHeight="true" x14ac:dyDescent="0.15" hidden="false">
      <c r="A230" t="s">
        <v>7001</v>
      </c>
      <c r="B230" t="n">
        <v>3.0</v>
      </c>
      <c r="C230"/>
      <c r="D230" t="n">
        <v>0.0</v>
      </c>
      <c r="E230"/>
      <c r="F230"/>
      <c r="G230" t="n">
        <v>0.0</v>
      </c>
      <c r="H230"/>
      <c r="I230"/>
      <c r="J230"/>
      <c r="K230"/>
    </row>
    <row r="231" spans="1:2" ht="13.5" customHeight="true" x14ac:dyDescent="0.15" hidden="false">
      <c r="A231" t="s">
        <v>7001</v>
      </c>
      <c r="B231" t="n">
        <v>4.0</v>
      </c>
      <c r="C231"/>
      <c r="D231" t="n">
        <v>0.0</v>
      </c>
      <c r="E231"/>
      <c r="F231"/>
      <c r="G231" t="n">
        <v>0.0</v>
      </c>
      <c r="H231"/>
      <c r="I231"/>
      <c r="J231"/>
      <c r="K231"/>
    </row>
    <row r="232" spans="1:2" ht="13.5" customHeight="true" x14ac:dyDescent="0.15" hidden="false">
      <c r="A232" t="s">
        <v>7001</v>
      </c>
      <c r="B232" t="n">
        <v>5.0</v>
      </c>
      <c r="C232"/>
      <c r="D232"/>
      <c r="E232" t="n">
        <v>0.0</v>
      </c>
      <c r="F232"/>
      <c r="G232"/>
      <c r="H232" t="n">
        <v>0.0</v>
      </c>
      <c r="I232"/>
      <c r="J232"/>
      <c r="K232"/>
    </row>
    <row r="233" spans="1:2" ht="13.5" customHeight="true" x14ac:dyDescent="0.15" hidden="false">
      <c r="A233" t="s">
        <v>7001</v>
      </c>
      <c r="B233" t="n">
        <v>6.0</v>
      </c>
      <c r="C233"/>
      <c r="D233"/>
      <c r="E233" t="n">
        <v>0.0</v>
      </c>
      <c r="F233"/>
      <c r="G233"/>
      <c r="H233" t="n">
        <v>0.0</v>
      </c>
      <c r="I233"/>
      <c r="J233"/>
      <c r="K233"/>
    </row>
    <row r="234" spans="1:2" ht="13.5" customHeight="true" x14ac:dyDescent="0.15" hidden="false">
      <c r="A234" t="s">
        <v>7001</v>
      </c>
      <c r="B234" t="n">
        <v>7.0</v>
      </c>
      <c r="C234" t="n">
        <v>0.0</v>
      </c>
      <c r="D234"/>
      <c r="E234"/>
      <c r="F234" t="n">
        <v>0.0</v>
      </c>
      <c r="G234"/>
      <c r="H234"/>
      <c r="I234"/>
      <c r="J234"/>
      <c r="K234"/>
    </row>
    <row r="235" spans="1:2" ht="13.5" customHeight="true" x14ac:dyDescent="0.15" hidden="false">
      <c r="A235" t="s">
        <v>7001</v>
      </c>
      <c r="B235" t="n">
        <v>8.0</v>
      </c>
      <c r="C235" t="n">
        <v>0.0</v>
      </c>
      <c r="D235"/>
      <c r="E235"/>
      <c r="F235" t="n">
        <v>0.0</v>
      </c>
      <c r="G235"/>
      <c r="H235"/>
      <c r="I235"/>
      <c r="J235"/>
      <c r="K235"/>
    </row>
    <row r="236" spans="1:2" ht="13.5" customHeight="true" x14ac:dyDescent="0.15" hidden="false">
      <c r="A236" t="s">
        <v>7001</v>
      </c>
      <c r="B236" t="n">
        <v>9.0</v>
      </c>
      <c r="C236"/>
      <c r="D236" t="n">
        <v>0.0</v>
      </c>
      <c r="E236"/>
      <c r="F236"/>
      <c r="G236" t="n">
        <v>0.0</v>
      </c>
      <c r="H236"/>
      <c r="I236"/>
      <c r="J236"/>
      <c r="K236"/>
    </row>
    <row r="237" spans="1:2" ht="13.5" customHeight="true" x14ac:dyDescent="0.15" hidden="false">
      <c r="A237" t="s">
        <v>7001</v>
      </c>
      <c r="B237" t="n">
        <v>10.0</v>
      </c>
      <c r="C237"/>
      <c r="D237" t="n">
        <v>0.0</v>
      </c>
      <c r="E237"/>
      <c r="F237"/>
      <c r="G237" t="n">
        <v>6.01</v>
      </c>
      <c r="H237"/>
      <c r="I237"/>
      <c r="J237" t="n">
        <v>4.970310707218785</v>
      </c>
      <c r="K237"/>
    </row>
    <row r="238" spans="1:2" ht="13.5" customHeight="true" x14ac:dyDescent="0.15" hidden="false">
      <c r="A238" t="s">
        <v>7001</v>
      </c>
      <c r="B238" t="n">
        <v>11.0</v>
      </c>
      <c r="C238"/>
      <c r="D238"/>
      <c r="E238" t="n">
        <v>0.0</v>
      </c>
      <c r="F238"/>
      <c r="G238"/>
      <c r="H238" t="n">
        <v>0.0</v>
      </c>
      <c r="I238"/>
      <c r="J238"/>
      <c r="K238"/>
    </row>
    <row r="239" spans="1:2" ht="13.5" customHeight="true" x14ac:dyDescent="0.15" hidden="false">
      <c r="A239" t="s">
        <v>7001</v>
      </c>
      <c r="B239" t="n">
        <v>12.0</v>
      </c>
      <c r="C239"/>
      <c r="D239"/>
      <c r="E239" t="n">
        <v>0.0</v>
      </c>
      <c r="F239"/>
      <c r="G239"/>
      <c r="H239" t="n">
        <v>0.0</v>
      </c>
      <c r="I239"/>
      <c r="J239"/>
      <c r="K239"/>
    </row>
    <row r="240" spans="1:2" ht="13.5" customHeight="true" x14ac:dyDescent="0.15" hidden="false">
      <c r="A240" t="s">
        <v>7001</v>
      </c>
      <c r="B240" t="n">
        <v>13.0</v>
      </c>
      <c r="C240" t="n">
        <v>0.0</v>
      </c>
      <c r="D240"/>
      <c r="E240"/>
      <c r="F240" t="n">
        <v>0.0</v>
      </c>
      <c r="G240"/>
      <c r="H240"/>
      <c r="I240"/>
      <c r="J240"/>
      <c r="K240"/>
    </row>
    <row r="241" spans="1:2" ht="13.5" customHeight="true" x14ac:dyDescent="0.15" hidden="false">
      <c r="A241" t="s">
        <v>7001</v>
      </c>
      <c r="B241" t="n">
        <v>14.0</v>
      </c>
      <c r="C241" t="n">
        <v>0.0</v>
      </c>
      <c r="D241"/>
      <c r="E241"/>
      <c r="F241" t="n">
        <v>0.0</v>
      </c>
      <c r="G241"/>
      <c r="H241"/>
      <c r="I241"/>
      <c r="J241"/>
      <c r="K241"/>
    </row>
    <row r="242" spans="1:2" ht="13.5" customHeight="true" x14ac:dyDescent="0.15" hidden="false">
      <c r="A242" t="s">
        <v>7001</v>
      </c>
      <c r="B242" t="n">
        <v>15.0</v>
      </c>
      <c r="C242"/>
      <c r="D242" t="n">
        <v>0.0</v>
      </c>
      <c r="E242"/>
      <c r="F242"/>
      <c r="G242" t="n">
        <v>0.0</v>
      </c>
      <c r="H242"/>
      <c r="I242"/>
      <c r="J242"/>
      <c r="K242"/>
    </row>
    <row r="243" spans="1:2" ht="13.5" customHeight="true" x14ac:dyDescent="0.15" hidden="false">
      <c r="A243" t="s">
        <v>7001</v>
      </c>
      <c r="B243" t="n">
        <v>16.0</v>
      </c>
      <c r="C243"/>
      <c r="D243" t="n">
        <v>0.0</v>
      </c>
      <c r="E243"/>
      <c r="F243"/>
      <c r="G243" t="n">
        <v>0.0</v>
      </c>
      <c r="H243"/>
      <c r="I243"/>
      <c r="J243"/>
      <c r="K243"/>
    </row>
    <row r="244" spans="1:2" ht="13.5" customHeight="true" x14ac:dyDescent="0.15" hidden="false">
      <c r="A244" t="s">
        <v>7001</v>
      </c>
      <c r="B244" t="n">
        <v>17.0</v>
      </c>
      <c r="C244"/>
      <c r="D244"/>
      <c r="E244" t="n">
        <v>0.0</v>
      </c>
      <c r="F244"/>
      <c r="G244"/>
      <c r="H244" t="n">
        <v>0.0</v>
      </c>
      <c r="I244"/>
      <c r="J244"/>
      <c r="K244"/>
    </row>
    <row r="245" spans="1:2" ht="13.5" customHeight="true" x14ac:dyDescent="0.15" hidden="false">
      <c r="A245" t="s">
        <v>7001</v>
      </c>
      <c r="B245" t="n">
        <v>18.0</v>
      </c>
      <c r="C245"/>
      <c r="D245"/>
      <c r="E245" t="n">
        <v>0.0</v>
      </c>
      <c r="F245"/>
      <c r="G245"/>
      <c r="H245" t="n">
        <v>0.0</v>
      </c>
      <c r="I245"/>
      <c r="J245"/>
      <c r="K245"/>
    </row>
    <row r="246" spans="1:2" ht="13.5" customHeight="true" x14ac:dyDescent="0.15" hidden="false">
      <c r="A246" t="s">
        <v>7001</v>
      </c>
      <c r="B246" t="n">
        <v>19.0</v>
      </c>
      <c r="C246" t="n">
        <v>0.0</v>
      </c>
      <c r="D246"/>
      <c r="E246"/>
      <c r="F246" t="n">
        <v>6.52</v>
      </c>
      <c r="G246"/>
      <c r="H246"/>
      <c r="I246" t="n">
        <v>5.198757078632254</v>
      </c>
      <c r="J246"/>
      <c r="K246"/>
    </row>
    <row r="247" spans="1:2" ht="13.5" customHeight="true" x14ac:dyDescent="0.15" hidden="false">
      <c r="A247" t="s">
        <v>7001</v>
      </c>
      <c r="B247" t="n">
        <v>20.0</v>
      </c>
      <c r="C247" t="n">
        <v>0.0</v>
      </c>
      <c r="D247"/>
      <c r="E247"/>
      <c r="F247" t="n">
        <v>0.0</v>
      </c>
      <c r="G247"/>
      <c r="H247"/>
      <c r="I247"/>
      <c r="J247"/>
      <c r="K247"/>
    </row>
    <row r="248" spans="1:2" ht="13.5" customHeight="true" x14ac:dyDescent="0.15" hidden="false">
      <c r="A248" t="s">
        <v>7001</v>
      </c>
      <c r="B248" t="n">
        <v>21.0</v>
      </c>
      <c r="C248"/>
      <c r="D248" t="n">
        <v>0.0</v>
      </c>
      <c r="E248"/>
      <c r="F248"/>
      <c r="G248" t="n">
        <v>0.0</v>
      </c>
      <c r="H248"/>
      <c r="I248"/>
      <c r="J248"/>
      <c r="K248"/>
    </row>
    <row r="249" spans="1:2" ht="13.5" customHeight="true" x14ac:dyDescent="0.15" hidden="false">
      <c r="A249" t="s">
        <v>7001</v>
      </c>
      <c r="B249" t="n">
        <v>22.0</v>
      </c>
      <c r="C249"/>
      <c r="D249" t="n">
        <v>0.0</v>
      </c>
      <c r="E249"/>
      <c r="F249"/>
      <c r="G249" t="n">
        <v>0.0</v>
      </c>
      <c r="H249"/>
      <c r="I249"/>
      <c r="J249"/>
      <c r="K249"/>
    </row>
    <row r="250" spans="1:2" ht="13.5" customHeight="true" x14ac:dyDescent="0.15" hidden="false">
      <c r="A250" t="s">
        <v>7001</v>
      </c>
      <c r="B250" t="n">
        <v>23.0</v>
      </c>
      <c r="C250"/>
      <c r="D250"/>
      <c r="E250" t="n">
        <v>0.0</v>
      </c>
      <c r="F250"/>
      <c r="G250"/>
      <c r="H250" t="n">
        <v>0.0</v>
      </c>
      <c r="I250"/>
      <c r="J250"/>
      <c r="K250"/>
    </row>
    <row r="251" spans="1:2" ht="13.5" customHeight="true" x14ac:dyDescent="0.15" hidden="false">
      <c r="A251" t="s">
        <v>7001</v>
      </c>
      <c r="B251" t="n">
        <v>24.0</v>
      </c>
      <c r="C251"/>
      <c r="D251"/>
      <c r="E251" t="n">
        <v>0.0</v>
      </c>
      <c r="F251"/>
      <c r="G251"/>
      <c r="H251" t="n">
        <v>0.0</v>
      </c>
      <c r="I251"/>
      <c r="J251"/>
      <c r="K251"/>
    </row>
    <row r="252" spans="1:2" ht="13.5" customHeight="true" x14ac:dyDescent="0.15" hidden="false">
      <c r="A252" t="s">
        <v>7001</v>
      </c>
      <c r="B252" t="n">
        <v>25.0</v>
      </c>
      <c r="C252" t="n">
        <v>0.0</v>
      </c>
      <c r="D252"/>
      <c r="E252"/>
      <c r="F252" t="n">
        <v>0.0</v>
      </c>
      <c r="G252"/>
      <c r="H252"/>
      <c r="I252"/>
      <c r="J252"/>
      <c r="K252"/>
    </row>
    <row r="253" spans="1:2" ht="13.5" customHeight="true" x14ac:dyDescent="0.15" hidden="false">
      <c r="A253" t="s">
        <v>7001</v>
      </c>
      <c r="B253" t="n">
        <v>26.0</v>
      </c>
      <c r="C253" t="n">
        <v>0.0</v>
      </c>
      <c r="D253"/>
      <c r="E253"/>
      <c r="F253" t="n">
        <v>0.0</v>
      </c>
      <c r="G253"/>
      <c r="H253"/>
      <c r="I253"/>
      <c r="J253"/>
      <c r="K253"/>
    </row>
    <row r="254" spans="1:2" ht="13.5" customHeight="true" x14ac:dyDescent="0.15" hidden="false">
      <c r="A254" t="s">
        <v>7001</v>
      </c>
      <c r="B254" t="n">
        <v>27.0</v>
      </c>
      <c r="C254"/>
      <c r="D254" t="n">
        <v>0.0</v>
      </c>
      <c r="E254"/>
      <c r="F254"/>
      <c r="G254" t="n">
        <v>0.0</v>
      </c>
      <c r="H254"/>
      <c r="I254"/>
      <c r="J254"/>
      <c r="K254"/>
    </row>
    <row r="255" spans="1:2" ht="13.5" customHeight="true" x14ac:dyDescent="0.15" hidden="false">
      <c r="A255" t="s">
        <v>7001</v>
      </c>
      <c r="B255" t="n">
        <v>28.0</v>
      </c>
      <c r="C255"/>
      <c r="D255" t="n">
        <v>0.0</v>
      </c>
      <c r="E255"/>
      <c r="F255"/>
      <c r="G255" t="n">
        <v>0.0</v>
      </c>
      <c r="H255"/>
      <c r="I255"/>
      <c r="J255"/>
      <c r="K255"/>
    </row>
    <row r="256" spans="1:2" ht="13.5" customHeight="true" x14ac:dyDescent="0.15" hidden="false">
      <c r="A256" t="s">
        <v>7001</v>
      </c>
      <c r="B256" t="n">
        <v>29.0</v>
      </c>
      <c r="C256"/>
      <c r="D256"/>
      <c r="E256" t="n">
        <v>0.0</v>
      </c>
      <c r="F256"/>
      <c r="G256"/>
      <c r="H256" t="n">
        <v>0.0</v>
      </c>
      <c r="I256"/>
      <c r="J256"/>
      <c r="K256"/>
    </row>
    <row r="257" spans="1:2" ht="13.5" customHeight="true" x14ac:dyDescent="0.15" hidden="false">
      <c r="A257" t="s">
        <v>7001</v>
      </c>
      <c r="B257" t="n">
        <v>30.0</v>
      </c>
      <c r="C257"/>
      <c r="D257"/>
      <c r="E257" t="n">
        <v>0.0</v>
      </c>
      <c r="F257"/>
      <c r="G257"/>
      <c r="H257" t="n">
        <v>0.0</v>
      </c>
      <c r="I257"/>
      <c r="J257"/>
      <c r="K257"/>
    </row>
    <row r="258" spans="1:2" ht="13.5" customHeight="true" x14ac:dyDescent="0.15" hidden="false">
      <c r="A258" t="s">
        <v>7001</v>
      </c>
      <c r="B258" t="n">
        <v>31.0</v>
      </c>
      <c r="C258" t="n">
        <v>0.0</v>
      </c>
      <c r="D258"/>
      <c r="E258"/>
      <c r="F258" t="n">
        <v>0.0</v>
      </c>
      <c r="G258"/>
      <c r="H258"/>
      <c r="I258"/>
      <c r="J258"/>
      <c r="K258"/>
    </row>
    <row r="259" spans="1:2" ht="13.5" customHeight="true" x14ac:dyDescent="0.15" hidden="false">
      <c r="A259" t="s">
        <v>7001</v>
      </c>
      <c r="B259" t="n">
        <v>32.0</v>
      </c>
      <c r="C259" t="n">
        <v>0.0</v>
      </c>
      <c r="D259"/>
      <c r="E259"/>
      <c r="F259" t="n">
        <v>0.0</v>
      </c>
      <c r="G259"/>
      <c r="H259"/>
      <c r="I259"/>
      <c r="J259"/>
      <c r="K259"/>
    </row>
    <row r="260" spans="1:2" ht="13.5" customHeight="true" x14ac:dyDescent="0.15" hidden="false">
      <c r="A260" t="s">
        <v>7001</v>
      </c>
      <c r="B260" t="n">
        <v>33.0</v>
      </c>
      <c r="C260"/>
      <c r="D260" t="n">
        <v>0.0</v>
      </c>
      <c r="E260"/>
      <c r="F260"/>
      <c r="G260" t="n">
        <v>0.0</v>
      </c>
      <c r="H260"/>
      <c r="I260"/>
      <c r="J260"/>
      <c r="K260"/>
    </row>
    <row r="261" spans="1:2" ht="13.5" customHeight="true" x14ac:dyDescent="0.15" hidden="false">
      <c r="A261" t="s">
        <v>7001</v>
      </c>
      <c r="B261" t="n">
        <v>34.0</v>
      </c>
      <c r="C261"/>
      <c r="D261" t="n">
        <v>0.0</v>
      </c>
      <c r="E261"/>
      <c r="F261"/>
      <c r="G261" t="n">
        <v>0.0</v>
      </c>
      <c r="H261"/>
      <c r="I261"/>
      <c r="J261"/>
      <c r="K261"/>
    </row>
    <row r="262" spans="1:2" ht="13.5" customHeight="true" x14ac:dyDescent="0.15" hidden="false">
      <c r="A262" t="s">
        <v>7001</v>
      </c>
      <c r="B262" t="n">
        <v>35.0</v>
      </c>
      <c r="C262"/>
      <c r="D262"/>
      <c r="E262" t="n">
        <v>0.0</v>
      </c>
      <c r="F262"/>
      <c r="G262"/>
      <c r="H262" t="n">
        <v>0.0</v>
      </c>
      <c r="I262"/>
      <c r="J262"/>
      <c r="K262"/>
    </row>
    <row r="263" spans="1:2" ht="13.5" customHeight="true" x14ac:dyDescent="0.15" hidden="false">
      <c r="A263" t="s">
        <v>7001</v>
      </c>
      <c r="B263" t="n">
        <v>36.0</v>
      </c>
      <c r="C263"/>
      <c r="D263"/>
      <c r="E263" t="n">
        <v>0.0</v>
      </c>
      <c r="F263"/>
      <c r="G263"/>
      <c r="H263" t="n">
        <v>0.0</v>
      </c>
      <c r="I263"/>
      <c r="J263"/>
      <c r="K263"/>
    </row>
    <row r="264" spans="1:2" ht="13.5" customHeight="true" x14ac:dyDescent="0.15" hidden="false">
      <c r="A264" t="s">
        <v>7001</v>
      </c>
      <c r="B264" t="n">
        <v>37.0</v>
      </c>
      <c r="C264" t="n">
        <v>0.0</v>
      </c>
      <c r="D264"/>
      <c r="E264"/>
      <c r="F264" t="n">
        <v>0.0</v>
      </c>
      <c r="G264"/>
      <c r="H264"/>
      <c r="I264"/>
      <c r="J264"/>
      <c r="K264"/>
    </row>
    <row r="265" spans="1:2" ht="13.5" customHeight="true" x14ac:dyDescent="0.15" hidden="false">
      <c r="A265" t="s">
        <v>7001</v>
      </c>
      <c r="B265" t="n">
        <v>38.0</v>
      </c>
      <c r="C265" t="n">
        <v>0.0</v>
      </c>
      <c r="D265"/>
      <c r="E265"/>
      <c r="F265" t="n">
        <v>0.0</v>
      </c>
      <c r="G265"/>
      <c r="H265"/>
      <c r="I265"/>
      <c r="J265"/>
      <c r="K265"/>
    </row>
    <row r="266" spans="1:2" ht="13.5" customHeight="true" x14ac:dyDescent="0.15" hidden="false">
      <c r="A266" t="s">
        <v>7001</v>
      </c>
      <c r="B266" t="n">
        <v>39.0</v>
      </c>
      <c r="C266"/>
      <c r="D266" t="n">
        <v>0.0</v>
      </c>
      <c r="E266"/>
      <c r="F266"/>
      <c r="G266" t="n">
        <v>0.0</v>
      </c>
      <c r="H266"/>
      <c r="I266"/>
      <c r="J266"/>
      <c r="K266"/>
    </row>
    <row r="267" spans="1:2" ht="13.5" customHeight="true" x14ac:dyDescent="0.15" hidden="false">
      <c r="A267" t="s">
        <v>7001</v>
      </c>
      <c r="B267" t="n">
        <v>40.0</v>
      </c>
      <c r="C267"/>
      <c r="D267" t="n">
        <v>0.0</v>
      </c>
      <c r="E267"/>
      <c r="F267"/>
      <c r="G267" t="n">
        <v>0.0</v>
      </c>
      <c r="H267"/>
      <c r="I267"/>
      <c r="J267"/>
      <c r="K267"/>
    </row>
    <row r="268" spans="1:2" ht="13.5" customHeight="true" x14ac:dyDescent="0.15" hidden="false">
      <c r="A268" t="s">
        <v>7001</v>
      </c>
      <c r="B268" t="n">
        <v>41.0</v>
      </c>
      <c r="C268"/>
      <c r="D268"/>
      <c r="E268" t="n">
        <v>0.0</v>
      </c>
      <c r="F268"/>
      <c r="G268"/>
      <c r="H268" t="n">
        <v>0.0</v>
      </c>
      <c r="I268"/>
      <c r="J268"/>
      <c r="K268"/>
    </row>
    <row r="269" spans="1:2" ht="13.5" customHeight="true" x14ac:dyDescent="0.15" hidden="false">
      <c r="A269" t="s">
        <v>7001</v>
      </c>
      <c r="B269" t="n">
        <v>42.0</v>
      </c>
      <c r="C269"/>
      <c r="D269"/>
      <c r="E269" t="n">
        <v>0.0</v>
      </c>
      <c r="F269"/>
      <c r="G269"/>
      <c r="H269" t="n">
        <v>0.0</v>
      </c>
      <c r="I269"/>
      <c r="J269"/>
      <c r="K269"/>
    </row>
    <row r="270" spans="1:2" ht="13.5" customHeight="true" x14ac:dyDescent="0.15" hidden="false">
      <c r="A270" t="s">
        <v>7001</v>
      </c>
      <c r="B270" t="n">
        <v>43.0</v>
      </c>
      <c r="C270" t="n">
        <v>0.0</v>
      </c>
      <c r="D270"/>
      <c r="E270"/>
      <c r="F270" t="n">
        <v>0.0</v>
      </c>
      <c r="G270"/>
      <c r="H270"/>
      <c r="I270"/>
      <c r="J270"/>
      <c r="K270"/>
    </row>
    <row r="271" spans="1:2" ht="13.5" customHeight="true" x14ac:dyDescent="0.15" hidden="false">
      <c r="A271" t="s">
        <v>7001</v>
      </c>
      <c r="B271" t="n">
        <v>44.0</v>
      </c>
      <c r="C271" t="n">
        <v>0.0</v>
      </c>
      <c r="D271"/>
      <c r="E271"/>
      <c r="F271" t="n">
        <v>0.0</v>
      </c>
      <c r="G271"/>
      <c r="H271"/>
      <c r="I271"/>
      <c r="J271"/>
      <c r="K271"/>
    </row>
    <row r="272" spans="1:2" ht="13.5" customHeight="true" x14ac:dyDescent="0.15" hidden="false">
      <c r="A272" t="s">
        <v>7001</v>
      </c>
      <c r="B272" t="n">
        <v>45.0</v>
      </c>
      <c r="C272"/>
      <c r="D272" t="n">
        <v>0.0</v>
      </c>
      <c r="E272"/>
      <c r="F272"/>
      <c r="G272" t="n">
        <v>0.0</v>
      </c>
      <c r="H272"/>
      <c r="I272"/>
      <c r="J272"/>
      <c r="K272"/>
    </row>
    <row r="273" spans="1:2" ht="13.5" customHeight="true" x14ac:dyDescent="0.15" hidden="false">
      <c r="A273" t="s">
        <v>7001</v>
      </c>
      <c r="B273" t="n">
        <v>46.0</v>
      </c>
      <c r="C273"/>
      <c r="D273" t="n">
        <v>0.0</v>
      </c>
      <c r="E273"/>
      <c r="F273"/>
      <c r="G273" t="n">
        <v>0.0</v>
      </c>
      <c r="H273"/>
      <c r="I273"/>
      <c r="J273"/>
      <c r="K273"/>
    </row>
    <row r="274" spans="1:2" ht="13.5" customHeight="true" x14ac:dyDescent="0.15" hidden="false">
      <c r="A274" t="s">
        <v>7001</v>
      </c>
      <c r="B274" t="n">
        <v>47.0</v>
      </c>
      <c r="C274"/>
      <c r="D274"/>
      <c r="E274" t="n">
        <v>0.0</v>
      </c>
      <c r="F274"/>
      <c r="G274"/>
      <c r="H274" t="n">
        <v>0.0</v>
      </c>
      <c r="I274"/>
      <c r="J274"/>
      <c r="K274"/>
    </row>
    <row r="275" spans="1:2" ht="13.5" customHeight="true" x14ac:dyDescent="0.15" hidden="false">
      <c r="A275" t="s">
        <v>7001</v>
      </c>
      <c r="B275" t="n">
        <v>48.0</v>
      </c>
      <c r="C275"/>
      <c r="D275"/>
      <c r="E275" t="n">
        <v>0.0</v>
      </c>
      <c r="F275"/>
      <c r="G275"/>
      <c r="H275" t="n">
        <v>0.0</v>
      </c>
      <c r="I275"/>
      <c r="J275"/>
      <c r="K275"/>
    </row>
    <row r="276" spans="1:2" ht="13.5" customHeight="true" x14ac:dyDescent="0.15" hidden="false">
      <c r="A276" t="s">
        <v>7001</v>
      </c>
      <c r="B276" t="n">
        <v>49.0</v>
      </c>
      <c r="C276" t="n">
        <v>0.0</v>
      </c>
      <c r="D276"/>
      <c r="E276"/>
      <c r="F276" t="n">
        <v>0.0</v>
      </c>
      <c r="G276"/>
      <c r="H276"/>
      <c r="I276"/>
      <c r="J276"/>
      <c r="K276"/>
    </row>
    <row r="277" spans="1:2" ht="13.5" customHeight="true" x14ac:dyDescent="0.15" hidden="false">
      <c r="A277" t="s">
        <v>7001</v>
      </c>
      <c r="B277" t="n">
        <v>50.0</v>
      </c>
      <c r="C277" t="n">
        <v>0.0</v>
      </c>
      <c r="D277"/>
      <c r="E277"/>
      <c r="F277" t="n">
        <v>0.0</v>
      </c>
      <c r="G277"/>
      <c r="H277"/>
      <c r="I277"/>
      <c r="J277"/>
      <c r="K277"/>
    </row>
    <row r="278" spans="1:2" ht="13.5" customHeight="true" x14ac:dyDescent="0.15" hidden="false">
      <c r="A278" t="s">
        <v>7002</v>
      </c>
      <c r="B278" t="n">
        <v>1.0</v>
      </c>
      <c r="C278" t="n">
        <v>0.0</v>
      </c>
      <c r="D278"/>
      <c r="E278"/>
      <c r="F278" t="n">
        <v>0.0</v>
      </c>
      <c r="G278"/>
      <c r="H278"/>
      <c r="I278"/>
      <c r="J278"/>
      <c r="K278"/>
    </row>
    <row r="279" spans="1:2" ht="13.5" customHeight="true" x14ac:dyDescent="0.15" hidden="false">
      <c r="A279" t="s">
        <v>7002</v>
      </c>
      <c r="B279" t="n">
        <v>2.0</v>
      </c>
      <c r="C279" t="n">
        <v>0.0</v>
      </c>
      <c r="D279"/>
      <c r="E279"/>
      <c r="F279" t="n">
        <v>0.0</v>
      </c>
      <c r="G279"/>
      <c r="H279"/>
      <c r="I279"/>
      <c r="J279"/>
      <c r="K279"/>
    </row>
    <row r="280" spans="1:2" ht="13.5" customHeight="true" x14ac:dyDescent="0.15" hidden="false">
      <c r="A280" t="s">
        <v>7002</v>
      </c>
      <c r="B280" t="n">
        <v>3.0</v>
      </c>
      <c r="C280"/>
      <c r="D280" t="n">
        <v>0.0</v>
      </c>
      <c r="E280"/>
      <c r="F280"/>
      <c r="G280" t="n">
        <v>0.0</v>
      </c>
      <c r="H280"/>
      <c r="I280"/>
      <c r="J280"/>
      <c r="K280"/>
    </row>
    <row r="281" spans="1:2" ht="13.5" customHeight="true" x14ac:dyDescent="0.15" hidden="false">
      <c r="A281" t="s">
        <v>7002</v>
      </c>
      <c r="B281" t="n">
        <v>4.0</v>
      </c>
      <c r="C281"/>
      <c r="D281" t="n">
        <v>0.0</v>
      </c>
      <c r="E281"/>
      <c r="F281"/>
      <c r="G281" t="n">
        <v>0.0</v>
      </c>
      <c r="H281"/>
      <c r="I281"/>
      <c r="J281"/>
      <c r="K281"/>
    </row>
    <row r="282" spans="1:2" ht="13.5" customHeight="true" x14ac:dyDescent="0.15" hidden="false">
      <c r="A282" t="s">
        <v>7002</v>
      </c>
      <c r="B282" t="n">
        <v>5.0</v>
      </c>
      <c r="C282"/>
      <c r="D282"/>
      <c r="E282" t="n">
        <v>0.0</v>
      </c>
      <c r="F282"/>
      <c r="G282"/>
      <c r="H282" t="n">
        <v>0.0</v>
      </c>
      <c r="I282"/>
      <c r="J282"/>
      <c r="K282"/>
    </row>
    <row r="283" spans="1:2" ht="13.5" customHeight="true" x14ac:dyDescent="0.15" hidden="false">
      <c r="A283" t="s">
        <v>7002</v>
      </c>
      <c r="B283" t="n">
        <v>6.0</v>
      </c>
      <c r="C283"/>
      <c r="D283"/>
      <c r="E283" t="n">
        <v>0.0</v>
      </c>
      <c r="F283"/>
      <c r="G283"/>
      <c r="H283" t="n">
        <v>0.0</v>
      </c>
      <c r="I283"/>
      <c r="J283"/>
      <c r="K283"/>
    </row>
    <row r="284" spans="1:2" ht="13.5" customHeight="true" x14ac:dyDescent="0.15" hidden="false">
      <c r="A284" t="s">
        <v>7002</v>
      </c>
      <c r="B284" t="n">
        <v>7.0</v>
      </c>
      <c r="C284" t="n">
        <v>0.0</v>
      </c>
      <c r="D284"/>
      <c r="E284"/>
      <c r="F284" t="n">
        <v>0.0</v>
      </c>
      <c r="G284"/>
      <c r="H284"/>
      <c r="I284"/>
      <c r="J284"/>
      <c r="K284"/>
    </row>
    <row r="285" spans="1:2" ht="13.5" customHeight="true" x14ac:dyDescent="0.15" hidden="false">
      <c r="A285" t="s">
        <v>7002</v>
      </c>
      <c r="B285" t="n">
        <v>8.0</v>
      </c>
      <c r="C285" t="n">
        <v>0.0</v>
      </c>
      <c r="D285"/>
      <c r="E285"/>
      <c r="F285" t="n">
        <v>0.0</v>
      </c>
      <c r="G285"/>
      <c r="H285"/>
      <c r="I285"/>
      <c r="J285"/>
      <c r="K285"/>
    </row>
    <row r="286" spans="1:2" ht="13.5" customHeight="true" x14ac:dyDescent="0.15" hidden="false">
      <c r="A286" t="s">
        <v>7002</v>
      </c>
      <c r="B286" t="n">
        <v>9.0</v>
      </c>
      <c r="C286"/>
      <c r="D286" t="n">
        <v>0.0</v>
      </c>
      <c r="E286"/>
      <c r="F286"/>
      <c r="G286" t="n">
        <v>0.0</v>
      </c>
      <c r="H286"/>
      <c r="I286"/>
      <c r="J286"/>
      <c r="K286"/>
    </row>
    <row r="287" spans="1:2" ht="13.5" customHeight="true" x14ac:dyDescent="0.15" hidden="false">
      <c r="A287" t="s">
        <v>7002</v>
      </c>
      <c r="B287" t="n">
        <v>10.0</v>
      </c>
      <c r="C287"/>
      <c r="D287" t="n">
        <v>0.0</v>
      </c>
      <c r="E287"/>
      <c r="F287"/>
      <c r="G287" t="n">
        <v>6.02</v>
      </c>
      <c r="H287"/>
      <c r="I287"/>
      <c r="J287" t="n">
        <v>4.940275096261333</v>
      </c>
      <c r="K287"/>
    </row>
    <row r="288" spans="1:2" ht="13.5" customHeight="true" x14ac:dyDescent="0.15" hidden="false">
      <c r="A288" t="s">
        <v>7002</v>
      </c>
      <c r="B288" t="n">
        <v>11.0</v>
      </c>
      <c r="C288"/>
      <c r="D288"/>
      <c r="E288" t="n">
        <v>0.0</v>
      </c>
      <c r="F288"/>
      <c r="G288"/>
      <c r="H288" t="n">
        <v>0.0</v>
      </c>
      <c r="I288"/>
      <c r="J288"/>
      <c r="K288"/>
    </row>
    <row r="289" spans="1:2" ht="13.5" customHeight="true" x14ac:dyDescent="0.15" hidden="false">
      <c r="A289" t="s">
        <v>7002</v>
      </c>
      <c r="B289" t="n">
        <v>12.0</v>
      </c>
      <c r="C289"/>
      <c r="D289"/>
      <c r="E289" t="n">
        <v>0.0</v>
      </c>
      <c r="F289"/>
      <c r="G289"/>
      <c r="H289" t="n">
        <v>0.0</v>
      </c>
      <c r="I289"/>
      <c r="J289"/>
      <c r="K289"/>
    </row>
    <row r="290" spans="1:2" ht="13.5" customHeight="true" x14ac:dyDescent="0.15" hidden="false">
      <c r="A290" t="s">
        <v>7002</v>
      </c>
      <c r="B290" t="n">
        <v>13.0</v>
      </c>
      <c r="C290" t="n">
        <v>0.0</v>
      </c>
      <c r="D290"/>
      <c r="E290"/>
      <c r="F290" t="n">
        <v>0.0</v>
      </c>
      <c r="G290"/>
      <c r="H290"/>
      <c r="I290"/>
      <c r="J290"/>
      <c r="K290"/>
    </row>
    <row r="291" spans="1:2" ht="13.5" customHeight="true" x14ac:dyDescent="0.15" hidden="false">
      <c r="A291" t="s">
        <v>7002</v>
      </c>
      <c r="B291" t="n">
        <v>14.0</v>
      </c>
      <c r="C291" t="n">
        <v>0.0</v>
      </c>
      <c r="D291"/>
      <c r="E291"/>
      <c r="F291" t="n">
        <v>0.0</v>
      </c>
      <c r="G291"/>
      <c r="H291"/>
      <c r="I291"/>
      <c r="J291"/>
      <c r="K291"/>
    </row>
    <row r="292" spans="1:2" ht="13.5" customHeight="true" x14ac:dyDescent="0.15" hidden="false">
      <c r="A292" t="s">
        <v>7002</v>
      </c>
      <c r="B292" t="n">
        <v>15.0</v>
      </c>
      <c r="C292"/>
      <c r="D292" t="n">
        <v>0.0</v>
      </c>
      <c r="E292"/>
      <c r="F292"/>
      <c r="G292" t="n">
        <v>0.0</v>
      </c>
      <c r="H292"/>
      <c r="I292"/>
      <c r="J292"/>
      <c r="K292"/>
    </row>
    <row r="293" spans="1:2" ht="13.5" customHeight="true" x14ac:dyDescent="0.15" hidden="false">
      <c r="A293" t="s">
        <v>7002</v>
      </c>
      <c r="B293" t="n">
        <v>16.0</v>
      </c>
      <c r="C293"/>
      <c r="D293" t="n">
        <v>0.0</v>
      </c>
      <c r="E293"/>
      <c r="F293"/>
      <c r="G293" t="n">
        <v>0.0</v>
      </c>
      <c r="H293"/>
      <c r="I293"/>
      <c r="J293"/>
      <c r="K293"/>
    </row>
    <row r="294" spans="1:2" ht="13.5" customHeight="true" x14ac:dyDescent="0.15" hidden="false">
      <c r="A294" t="s">
        <v>7002</v>
      </c>
      <c r="B294" t="n">
        <v>17.0</v>
      </c>
      <c r="C294"/>
      <c r="D294"/>
      <c r="E294" t="n">
        <v>0.0</v>
      </c>
      <c r="F294"/>
      <c r="G294"/>
      <c r="H294" t="n">
        <v>0.0</v>
      </c>
      <c r="I294"/>
      <c r="J294"/>
      <c r="K294"/>
    </row>
    <row r="295" spans="1:2" ht="13.5" customHeight="true" x14ac:dyDescent="0.15" hidden="false">
      <c r="A295" t="s">
        <v>7002</v>
      </c>
      <c r="B295" t="n">
        <v>18.0</v>
      </c>
      <c r="C295"/>
      <c r="D295"/>
      <c r="E295" t="n">
        <v>0.0</v>
      </c>
      <c r="F295"/>
      <c r="G295"/>
      <c r="H295" t="n">
        <v>0.0</v>
      </c>
      <c r="I295"/>
      <c r="J295"/>
      <c r="K295"/>
    </row>
    <row r="296" spans="1:2" ht="13.5" customHeight="true" x14ac:dyDescent="0.15" hidden="false">
      <c r="A296" t="s">
        <v>7002</v>
      </c>
      <c r="B296" t="n">
        <v>19.0</v>
      </c>
      <c r="C296" t="n">
        <v>0.0</v>
      </c>
      <c r="D296"/>
      <c r="E296"/>
      <c r="F296" t="n">
        <v>6.54</v>
      </c>
      <c r="G296"/>
      <c r="H296"/>
      <c r="I296" t="n">
        <v>5.181948623827229</v>
      </c>
      <c r="J296"/>
      <c r="K296"/>
    </row>
    <row r="297" spans="1:2" ht="13.5" customHeight="true" x14ac:dyDescent="0.15" hidden="false">
      <c r="A297" t="s">
        <v>7002</v>
      </c>
      <c r="B297" t="n">
        <v>20.0</v>
      </c>
      <c r="C297" t="n">
        <v>0.0</v>
      </c>
      <c r="D297"/>
      <c r="E297"/>
      <c r="F297" t="n">
        <v>0.0</v>
      </c>
      <c r="G297"/>
      <c r="H297"/>
      <c r="I297"/>
      <c r="J297"/>
      <c r="K297"/>
    </row>
    <row r="298" spans="1:2" ht="13.5" customHeight="true" x14ac:dyDescent="0.15" hidden="false">
      <c r="A298" t="s">
        <v>7002</v>
      </c>
      <c r="B298" t="n">
        <v>21.0</v>
      </c>
      <c r="C298"/>
      <c r="D298" t="n">
        <v>0.0</v>
      </c>
      <c r="E298"/>
      <c r="F298"/>
      <c r="G298" t="n">
        <v>0.0</v>
      </c>
      <c r="H298"/>
      <c r="I298"/>
      <c r="J298"/>
      <c r="K298"/>
    </row>
    <row r="299" spans="1:2" ht="13.5" customHeight="true" x14ac:dyDescent="0.15" hidden="false">
      <c r="A299" t="s">
        <v>7002</v>
      </c>
      <c r="B299" t="n">
        <v>22.0</v>
      </c>
      <c r="C299"/>
      <c r="D299" t="n">
        <v>0.0</v>
      </c>
      <c r="E299"/>
      <c r="F299"/>
      <c r="G299" t="n">
        <v>0.0</v>
      </c>
      <c r="H299"/>
      <c r="I299"/>
      <c r="J299"/>
      <c r="K299"/>
    </row>
    <row r="300" spans="1:2" ht="13.5" customHeight="true" x14ac:dyDescent="0.15" hidden="false">
      <c r="A300" t="s">
        <v>7002</v>
      </c>
      <c r="B300" t="n">
        <v>23.0</v>
      </c>
      <c r="C300"/>
      <c r="D300"/>
      <c r="E300" t="n">
        <v>0.0</v>
      </c>
      <c r="F300"/>
      <c r="G300"/>
      <c r="H300" t="n">
        <v>0.0</v>
      </c>
      <c r="I300"/>
      <c r="J300"/>
      <c r="K300"/>
    </row>
    <row r="301" spans="1:2" ht="13.5" customHeight="true" x14ac:dyDescent="0.15" hidden="false">
      <c r="A301" t="s">
        <v>7002</v>
      </c>
      <c r="B301" t="n">
        <v>24.0</v>
      </c>
      <c r="C301"/>
      <c r="D301"/>
      <c r="E301" t="n">
        <v>0.0</v>
      </c>
      <c r="F301"/>
      <c r="G301"/>
      <c r="H301" t="n">
        <v>0.0</v>
      </c>
      <c r="I301"/>
      <c r="J301"/>
      <c r="K301"/>
    </row>
    <row r="302" spans="1:2" ht="13.5" customHeight="true" x14ac:dyDescent="0.15" hidden="false">
      <c r="A302" t="s">
        <v>7002</v>
      </c>
      <c r="B302" t="n">
        <v>25.0</v>
      </c>
      <c r="C302" t="n">
        <v>0.0</v>
      </c>
      <c r="D302"/>
      <c r="E302"/>
      <c r="F302" t="n">
        <v>0.0</v>
      </c>
      <c r="G302"/>
      <c r="H302"/>
      <c r="I302"/>
      <c r="J302"/>
      <c r="K302"/>
    </row>
    <row r="303" spans="1:2" ht="13.5" customHeight="true" x14ac:dyDescent="0.15" hidden="false">
      <c r="A303" t="s">
        <v>7002</v>
      </c>
      <c r="B303" t="n">
        <v>26.0</v>
      </c>
      <c r="C303" t="n">
        <v>0.0</v>
      </c>
      <c r="D303"/>
      <c r="E303"/>
      <c r="F303" t="n">
        <v>0.0</v>
      </c>
      <c r="G303"/>
      <c r="H303"/>
      <c r="I303"/>
      <c r="J303"/>
      <c r="K303"/>
    </row>
    <row r="304" spans="1:2" ht="13.5" customHeight="true" x14ac:dyDescent="0.15" hidden="false">
      <c r="A304" t="s">
        <v>7002</v>
      </c>
      <c r="B304" t="n">
        <v>27.0</v>
      </c>
      <c r="C304"/>
      <c r="D304" t="n">
        <v>0.0</v>
      </c>
      <c r="E304"/>
      <c r="F304"/>
      <c r="G304" t="n">
        <v>0.0</v>
      </c>
      <c r="H304"/>
      <c r="I304"/>
      <c r="J304"/>
      <c r="K304"/>
    </row>
    <row r="305" spans="1:2" ht="13.5" customHeight="true" x14ac:dyDescent="0.15" hidden="false">
      <c r="A305" t="s">
        <v>7002</v>
      </c>
      <c r="B305" t="n">
        <v>28.0</v>
      </c>
      <c r="C305"/>
      <c r="D305" t="n">
        <v>0.0</v>
      </c>
      <c r="E305"/>
      <c r="F305"/>
      <c r="G305" t="n">
        <v>0.0</v>
      </c>
      <c r="H305"/>
      <c r="I305"/>
      <c r="J305"/>
      <c r="K305"/>
    </row>
    <row r="306" spans="1:2" ht="13.5" customHeight="true" x14ac:dyDescent="0.15" hidden="false">
      <c r="A306" t="s">
        <v>7002</v>
      </c>
      <c r="B306" t="n">
        <v>29.0</v>
      </c>
      <c r="C306"/>
      <c r="D306"/>
      <c r="E306" t="n">
        <v>0.0</v>
      </c>
      <c r="F306"/>
      <c r="G306"/>
      <c r="H306" t="n">
        <v>0.0</v>
      </c>
      <c r="I306"/>
      <c r="J306"/>
      <c r="K306"/>
    </row>
    <row r="307" spans="1:2" ht="13.5" customHeight="true" x14ac:dyDescent="0.15" hidden="false">
      <c r="A307" t="s">
        <v>7002</v>
      </c>
      <c r="B307" t="n">
        <v>30.0</v>
      </c>
      <c r="C307"/>
      <c r="D307"/>
      <c r="E307" t="n">
        <v>0.0</v>
      </c>
      <c r="F307"/>
      <c r="G307"/>
      <c r="H307" t="n">
        <v>0.0</v>
      </c>
      <c r="I307"/>
      <c r="J307"/>
      <c r="K307"/>
    </row>
    <row r="308" spans="1:2" ht="13.5" customHeight="true" x14ac:dyDescent="0.15" hidden="false">
      <c r="A308" t="s">
        <v>7002</v>
      </c>
      <c r="B308" t="n">
        <v>31.0</v>
      </c>
      <c r="C308" t="n">
        <v>0.0</v>
      </c>
      <c r="D308"/>
      <c r="E308"/>
      <c r="F308" t="n">
        <v>0.0</v>
      </c>
      <c r="G308"/>
      <c r="H308"/>
      <c r="I308"/>
      <c r="J308"/>
      <c r="K308"/>
    </row>
    <row r="309" spans="1:2" ht="13.5" customHeight="true" x14ac:dyDescent="0.15" hidden="false">
      <c r="A309" t="s">
        <v>7002</v>
      </c>
      <c r="B309" t="n">
        <v>32.0</v>
      </c>
      <c r="C309" t="n">
        <v>0.0</v>
      </c>
      <c r="D309"/>
      <c r="E309"/>
      <c r="F309" t="n">
        <v>0.0</v>
      </c>
      <c r="G309"/>
      <c r="H309"/>
      <c r="I309"/>
      <c r="J309"/>
      <c r="K309"/>
    </row>
    <row r="310" spans="1:2" ht="13.5" customHeight="true" x14ac:dyDescent="0.15" hidden="false">
      <c r="A310" t="s">
        <v>7002</v>
      </c>
      <c r="B310" t="n">
        <v>33.0</v>
      </c>
      <c r="C310"/>
      <c r="D310" t="n">
        <v>0.0</v>
      </c>
      <c r="E310"/>
      <c r="F310"/>
      <c r="G310" t="n">
        <v>0.0</v>
      </c>
      <c r="H310"/>
      <c r="I310"/>
      <c r="J310"/>
      <c r="K310"/>
    </row>
    <row r="311" spans="1:2" ht="13.5" customHeight="true" x14ac:dyDescent="0.15" hidden="false">
      <c r="A311" t="s">
        <v>7002</v>
      </c>
      <c r="B311" t="n">
        <v>34.0</v>
      </c>
      <c r="C311"/>
      <c r="D311" t="n">
        <v>0.0</v>
      </c>
      <c r="E311"/>
      <c r="F311"/>
      <c r="G311" t="n">
        <v>0.0</v>
      </c>
      <c r="H311"/>
      <c r="I311"/>
      <c r="J311"/>
      <c r="K311"/>
    </row>
    <row r="312" spans="1:2" ht="13.5" customHeight="true" x14ac:dyDescent="0.15" hidden="false">
      <c r="A312" t="s">
        <v>7002</v>
      </c>
      <c r="B312" t="n">
        <v>35.0</v>
      </c>
      <c r="C312"/>
      <c r="D312"/>
      <c r="E312" t="n">
        <v>0.0</v>
      </c>
      <c r="F312"/>
      <c r="G312"/>
      <c r="H312" t="n">
        <v>0.0</v>
      </c>
      <c r="I312"/>
      <c r="J312"/>
      <c r="K312"/>
    </row>
    <row r="313" spans="1:2" ht="13.5" customHeight="true" x14ac:dyDescent="0.15" hidden="false">
      <c r="A313" t="s">
        <v>7002</v>
      </c>
      <c r="B313" t="n">
        <v>36.0</v>
      </c>
      <c r="C313"/>
      <c r="D313"/>
      <c r="E313" t="n">
        <v>0.0</v>
      </c>
      <c r="F313"/>
      <c r="G313"/>
      <c r="H313" t="n">
        <v>0.0</v>
      </c>
      <c r="I313"/>
      <c r="J313"/>
      <c r="K313"/>
    </row>
    <row r="314" spans="1:2" ht="13.5" customHeight="true" x14ac:dyDescent="0.15" hidden="false">
      <c r="A314" t="s">
        <v>7002</v>
      </c>
      <c r="B314" t="n">
        <v>37.0</v>
      </c>
      <c r="C314" t="n">
        <v>0.0</v>
      </c>
      <c r="D314"/>
      <c r="E314"/>
      <c r="F314" t="n">
        <v>0.0</v>
      </c>
      <c r="G314"/>
      <c r="H314"/>
      <c r="I314"/>
      <c r="J314"/>
      <c r="K314"/>
    </row>
    <row r="315" spans="1:2" ht="13.5" customHeight="true" x14ac:dyDescent="0.15" hidden="false">
      <c r="A315" t="s">
        <v>7002</v>
      </c>
      <c r="B315" t="n">
        <v>38.0</v>
      </c>
      <c r="C315" t="n">
        <v>0.0</v>
      </c>
      <c r="D315"/>
      <c r="E315"/>
      <c r="F315" t="n">
        <v>0.0</v>
      </c>
      <c r="G315"/>
      <c r="H315"/>
      <c r="I315"/>
      <c r="J315"/>
      <c r="K315"/>
    </row>
    <row r="316" spans="1:2" ht="13.5" customHeight="true" x14ac:dyDescent="0.15" hidden="false">
      <c r="A316" t="s">
        <v>7002</v>
      </c>
      <c r="B316" t="n">
        <v>39.0</v>
      </c>
      <c r="C316"/>
      <c r="D316" t="n">
        <v>0.0</v>
      </c>
      <c r="E316"/>
      <c r="F316"/>
      <c r="G316" t="n">
        <v>0.0</v>
      </c>
      <c r="H316"/>
      <c r="I316"/>
      <c r="J316"/>
      <c r="K316"/>
    </row>
    <row r="317" spans="1:2" ht="13.5" customHeight="true" x14ac:dyDescent="0.15" hidden="false">
      <c r="A317" t="s">
        <v>7002</v>
      </c>
      <c r="B317" t="n">
        <v>40.0</v>
      </c>
      <c r="C317"/>
      <c r="D317" t="n">
        <v>0.0</v>
      </c>
      <c r="E317"/>
      <c r="F317"/>
      <c r="G317" t="n">
        <v>0.0</v>
      </c>
      <c r="H317"/>
      <c r="I317"/>
      <c r="J317"/>
      <c r="K317"/>
    </row>
    <row r="318" spans="1:2" ht="13.5" customHeight="true" x14ac:dyDescent="0.15" hidden="false">
      <c r="A318" t="s">
        <v>7002</v>
      </c>
      <c r="B318" t="n">
        <v>41.0</v>
      </c>
      <c r="C318"/>
      <c r="D318"/>
      <c r="E318" t="n">
        <v>0.0</v>
      </c>
      <c r="F318"/>
      <c r="G318"/>
      <c r="H318" t="n">
        <v>0.0</v>
      </c>
      <c r="I318"/>
      <c r="J318"/>
      <c r="K318"/>
    </row>
    <row r="319" spans="1:2" ht="13.5" customHeight="true" x14ac:dyDescent="0.15" hidden="false">
      <c r="A319" t="s">
        <v>7002</v>
      </c>
      <c r="B319" t="n">
        <v>42.0</v>
      </c>
      <c r="C319"/>
      <c r="D319"/>
      <c r="E319" t="n">
        <v>0.0</v>
      </c>
      <c r="F319"/>
      <c r="G319"/>
      <c r="H319" t="n">
        <v>0.0</v>
      </c>
      <c r="I319"/>
      <c r="J319"/>
      <c r="K319"/>
    </row>
    <row r="320" spans="1:2" ht="13.5" customHeight="true" x14ac:dyDescent="0.15" hidden="false">
      <c r="A320" t="s">
        <v>7002</v>
      </c>
      <c r="B320" t="n">
        <v>43.0</v>
      </c>
      <c r="C320" t="n">
        <v>0.0</v>
      </c>
      <c r="D320"/>
      <c r="E320"/>
      <c r="F320" t="n">
        <v>0.0</v>
      </c>
      <c r="G320"/>
      <c r="H320"/>
      <c r="I320"/>
      <c r="J320"/>
      <c r="K320"/>
    </row>
    <row r="321" spans="1:2" ht="13.5" customHeight="true" x14ac:dyDescent="0.15" hidden="false">
      <c r="A321" t="s">
        <v>7002</v>
      </c>
      <c r="B321" t="n">
        <v>44.0</v>
      </c>
      <c r="C321" t="n">
        <v>0.0</v>
      </c>
      <c r="D321"/>
      <c r="E321"/>
      <c r="F321" t="n">
        <v>0.0</v>
      </c>
      <c r="G321"/>
      <c r="H321"/>
      <c r="I321"/>
      <c r="J321"/>
      <c r="K321"/>
    </row>
    <row r="322" spans="1:2" ht="13.5" customHeight="true" x14ac:dyDescent="0.15" hidden="false">
      <c r="A322" t="s">
        <v>7002</v>
      </c>
      <c r="B322" t="n">
        <v>45.0</v>
      </c>
      <c r="C322"/>
      <c r="D322" t="n">
        <v>0.0</v>
      </c>
      <c r="E322"/>
      <c r="F322"/>
      <c r="G322" t="n">
        <v>0.0</v>
      </c>
      <c r="H322"/>
      <c r="I322"/>
      <c r="J322"/>
      <c r="K322"/>
    </row>
    <row r="323" spans="1:2" ht="13.5" customHeight="true" x14ac:dyDescent="0.15" hidden="false">
      <c r="A323" t="s">
        <v>7002</v>
      </c>
      <c r="B323" t="n">
        <v>46.0</v>
      </c>
      <c r="C323"/>
      <c r="D323" t="n">
        <v>0.0</v>
      </c>
      <c r="E323"/>
      <c r="F323"/>
      <c r="G323" t="n">
        <v>0.0</v>
      </c>
      <c r="H323"/>
      <c r="I323"/>
      <c r="J323"/>
      <c r="K323"/>
    </row>
    <row r="324" spans="1:2" ht="13.5" customHeight="true" x14ac:dyDescent="0.15" hidden="false">
      <c r="A324" t="s">
        <v>7002</v>
      </c>
      <c r="B324" t="n">
        <v>47.0</v>
      </c>
      <c r="C324"/>
      <c r="D324"/>
      <c r="E324" t="n">
        <v>0.0</v>
      </c>
      <c r="F324"/>
      <c r="G324"/>
      <c r="H324" t="n">
        <v>0.0</v>
      </c>
      <c r="I324"/>
      <c r="J324"/>
      <c r="K324"/>
    </row>
    <row r="325" spans="1:2" ht="13.5" customHeight="true" x14ac:dyDescent="0.15" hidden="false">
      <c r="A325" t="s">
        <v>7002</v>
      </c>
      <c r="B325" t="n">
        <v>48.0</v>
      </c>
      <c r="C325"/>
      <c r="D325"/>
      <c r="E325" t="n">
        <v>0.0</v>
      </c>
      <c r="F325"/>
      <c r="G325"/>
      <c r="H325" t="n">
        <v>0.0</v>
      </c>
      <c r="I325"/>
      <c r="J325"/>
      <c r="K325"/>
    </row>
    <row r="326" spans="1:2" ht="13.5" customHeight="true" x14ac:dyDescent="0.15" hidden="false">
      <c r="A326" t="s">
        <v>7002</v>
      </c>
      <c r="B326" t="n">
        <v>49.0</v>
      </c>
      <c r="C326" t="n">
        <v>0.0</v>
      </c>
      <c r="D326"/>
      <c r="E326"/>
      <c r="F326" t="n">
        <v>0.0</v>
      </c>
      <c r="G326"/>
      <c r="H326"/>
      <c r="I326"/>
      <c r="J326"/>
      <c r="K326"/>
    </row>
    <row r="327" spans="1:2" ht="13.5" customHeight="true" x14ac:dyDescent="0.15" hidden="false">
      <c r="A327" t="s">
        <v>7002</v>
      </c>
      <c r="B327" t="n">
        <v>50.0</v>
      </c>
      <c r="C327" t="n">
        <v>0.0</v>
      </c>
      <c r="D327"/>
      <c r="E327"/>
      <c r="F327" t="n">
        <v>0.0</v>
      </c>
      <c r="G327"/>
      <c r="H327"/>
      <c r="I327"/>
      <c r="J327"/>
      <c r="K327"/>
    </row>
    <row r="328" spans="1:2" ht="13.5" customHeight="true" x14ac:dyDescent="0.15" hidden="false">
      <c r="A328" t="s">
        <v>7003</v>
      </c>
      <c r="B328" t="n">
        <v>1.0</v>
      </c>
      <c r="C328" t="n">
        <v>0.0</v>
      </c>
      <c r="D328"/>
      <c r="E328"/>
      <c r="F328" t="n">
        <v>0.0</v>
      </c>
      <c r="G328"/>
      <c r="H328"/>
      <c r="I328"/>
      <c r="J328"/>
      <c r="K328"/>
    </row>
    <row r="329" spans="1:2" ht="13.5" customHeight="true" x14ac:dyDescent="0.15" hidden="false">
      <c r="A329" t="s">
        <v>7003</v>
      </c>
      <c r="B329" t="n">
        <v>2.0</v>
      </c>
      <c r="C329" t="n">
        <v>0.0</v>
      </c>
      <c r="D329"/>
      <c r="E329"/>
      <c r="F329" t="n">
        <v>2.0</v>
      </c>
      <c r="G329"/>
      <c r="H329"/>
      <c r="I329" t="n">
        <v>1.907298680444345</v>
      </c>
      <c r="J329"/>
      <c r="K329"/>
    </row>
    <row r="330" spans="1:2" ht="13.5" customHeight="true" x14ac:dyDescent="0.15" hidden="false">
      <c r="A330" t="s">
        <v>7003</v>
      </c>
      <c r="B330" t="n">
        <v>3.0</v>
      </c>
      <c r="C330"/>
      <c r="D330" t="n">
        <v>0.0</v>
      </c>
      <c r="E330"/>
      <c r="F330"/>
      <c r="G330" t="n">
        <v>0.0</v>
      </c>
      <c r="H330"/>
      <c r="I330"/>
      <c r="J330"/>
      <c r="K330"/>
    </row>
    <row r="331" spans="1:2" ht="13.5" customHeight="true" x14ac:dyDescent="0.15" hidden="false">
      <c r="A331" t="s">
        <v>7003</v>
      </c>
      <c r="B331" t="n">
        <v>4.0</v>
      </c>
      <c r="C331"/>
      <c r="D331" t="n">
        <v>0.0</v>
      </c>
      <c r="E331"/>
      <c r="F331"/>
      <c r="G331" t="n">
        <v>9.68</v>
      </c>
      <c r="H331"/>
      <c r="I331"/>
      <c r="J331" t="n">
        <v>3.3293088239796162</v>
      </c>
      <c r="K331"/>
    </row>
    <row r="332" spans="1:2" ht="13.5" customHeight="true" x14ac:dyDescent="0.15" hidden="false">
      <c r="A332" t="s">
        <v>7003</v>
      </c>
      <c r="B332" t="n">
        <v>5.0</v>
      </c>
      <c r="C332"/>
      <c r="D332"/>
      <c r="E332" t="n">
        <v>0.0</v>
      </c>
      <c r="F332"/>
      <c r="G332"/>
      <c r="H332" t="n">
        <v>0.0</v>
      </c>
      <c r="I332"/>
      <c r="J332"/>
      <c r="K332"/>
    </row>
    <row r="333" spans="1:2" ht="13.5" customHeight="true" x14ac:dyDescent="0.15" hidden="false">
      <c r="A333" t="s">
        <v>7003</v>
      </c>
      <c r="B333" t="n">
        <v>6.0</v>
      </c>
      <c r="C333"/>
      <c r="D333"/>
      <c r="E333" t="n">
        <v>0.0</v>
      </c>
      <c r="F333"/>
      <c r="G333"/>
      <c r="H333" t="n">
        <v>3.19</v>
      </c>
      <c r="I333"/>
      <c r="J333"/>
      <c r="K333" t="n">
        <v>2.935864814216055</v>
      </c>
    </row>
    <row r="334" spans="1:2" ht="13.5" customHeight="true" x14ac:dyDescent="0.15" hidden="false">
      <c r="A334" t="s">
        <v>7003</v>
      </c>
      <c r="B334" t="n">
        <v>7.0</v>
      </c>
      <c r="C334" t="n">
        <v>0.0</v>
      </c>
      <c r="D334"/>
      <c r="E334"/>
      <c r="F334" t="n">
        <v>0.0</v>
      </c>
      <c r="G334"/>
      <c r="H334"/>
      <c r="I334"/>
      <c r="J334"/>
      <c r="K334"/>
    </row>
    <row r="335" spans="1:2" ht="13.5" customHeight="true" x14ac:dyDescent="0.15" hidden="false">
      <c r="A335" t="s">
        <v>7003</v>
      </c>
      <c r="B335" t="n">
        <v>8.0</v>
      </c>
      <c r="C335" t="n">
        <v>0.0</v>
      </c>
      <c r="D335"/>
      <c r="E335"/>
      <c r="F335" t="n">
        <v>4.89</v>
      </c>
      <c r="G335"/>
      <c r="H335"/>
      <c r="I335" t="n">
        <v>4.609562593297642</v>
      </c>
      <c r="J335"/>
      <c r="K335"/>
    </row>
    <row r="336" spans="1:2" ht="13.5" customHeight="true" x14ac:dyDescent="0.15" hidden="false">
      <c r="A336" t="s">
        <v>7003</v>
      </c>
      <c r="B336" t="n">
        <v>9.0</v>
      </c>
      <c r="C336"/>
      <c r="D336" t="n">
        <v>0.0</v>
      </c>
      <c r="E336"/>
      <c r="F336"/>
      <c r="G336" t="n">
        <v>0.0</v>
      </c>
      <c r="H336"/>
      <c r="I336"/>
      <c r="J336"/>
      <c r="K336"/>
    </row>
    <row r="337" spans="1:2" ht="13.5" customHeight="true" x14ac:dyDescent="0.15" hidden="false">
      <c r="A337" t="s">
        <v>7003</v>
      </c>
      <c r="B337" t="n">
        <v>10.0</v>
      </c>
      <c r="C337"/>
      <c r="D337" t="n">
        <v>0.0</v>
      </c>
      <c r="E337"/>
      <c r="F337"/>
      <c r="G337" t="n">
        <v>9.21</v>
      </c>
      <c r="H337"/>
      <c r="I337"/>
      <c r="J337" t="n">
        <v>7.626690726262471</v>
      </c>
      <c r="K337"/>
    </row>
    <row r="338" spans="1:2" ht="13.5" customHeight="true" x14ac:dyDescent="0.15" hidden="false">
      <c r="A338" t="s">
        <v>7003</v>
      </c>
      <c r="B338" t="n">
        <v>11.0</v>
      </c>
      <c r="C338"/>
      <c r="D338"/>
      <c r="E338" t="n">
        <v>0.0</v>
      </c>
      <c r="F338"/>
      <c r="G338"/>
      <c r="H338" t="n">
        <v>0.0</v>
      </c>
      <c r="I338"/>
      <c r="J338"/>
      <c r="K338"/>
    </row>
    <row r="339" spans="1:2" ht="13.5" customHeight="true" x14ac:dyDescent="0.15" hidden="false">
      <c r="A339" t="s">
        <v>7003</v>
      </c>
      <c r="B339" t="n">
        <v>12.0</v>
      </c>
      <c r="C339"/>
      <c r="D339"/>
      <c r="E339" t="n">
        <v>0.0</v>
      </c>
      <c r="F339"/>
      <c r="G339"/>
      <c r="H339" t="n">
        <v>8.41</v>
      </c>
      <c r="I339"/>
      <c r="J339"/>
      <c r="K339" t="n">
        <v>7.178614960034362</v>
      </c>
    </row>
    <row r="340" spans="1:2" ht="13.5" customHeight="true" x14ac:dyDescent="0.15" hidden="false">
      <c r="A340" t="s">
        <v>7003</v>
      </c>
      <c r="B340" t="n">
        <v>13.0</v>
      </c>
      <c r="C340" t="n">
        <v>0.0</v>
      </c>
      <c r="D340"/>
      <c r="E340"/>
      <c r="F340" t="n">
        <v>2.06</v>
      </c>
      <c r="G340"/>
      <c r="H340"/>
      <c r="I340" t="n">
        <v>1.8271965443603857</v>
      </c>
      <c r="J340"/>
      <c r="K340"/>
    </row>
    <row r="341" spans="1:2" ht="13.5" customHeight="true" x14ac:dyDescent="0.15" hidden="false">
      <c r="A341" t="s">
        <v>7003</v>
      </c>
      <c r="B341" t="n">
        <v>14.0</v>
      </c>
      <c r="C341" t="n">
        <v>2.2800000000000002</v>
      </c>
      <c r="D341"/>
      <c r="E341"/>
      <c r="F341" t="n">
        <v>7.06</v>
      </c>
      <c r="G341"/>
      <c r="H341"/>
      <c r="I341" t="n">
        <v>4.7420468905701325</v>
      </c>
      <c r="J341"/>
      <c r="K341"/>
    </row>
    <row r="342" spans="1:2" ht="13.5" customHeight="true" x14ac:dyDescent="0.15" hidden="false">
      <c r="A342" t="s">
        <v>7003</v>
      </c>
      <c r="B342" t="n">
        <v>15.0</v>
      </c>
      <c r="C342"/>
      <c r="D342" t="n">
        <v>0.0</v>
      </c>
      <c r="E342"/>
      <c r="F342"/>
      <c r="G342" t="n">
        <v>0.0</v>
      </c>
      <c r="H342"/>
      <c r="I342"/>
      <c r="J342"/>
      <c r="K342"/>
    </row>
    <row r="343" spans="1:2" ht="13.5" customHeight="true" x14ac:dyDescent="0.15" hidden="false">
      <c r="A343" t="s">
        <v>7003</v>
      </c>
      <c r="B343" t="n">
        <v>16.0</v>
      </c>
      <c r="C343"/>
      <c r="D343" t="n">
        <v>2.19</v>
      </c>
      <c r="E343"/>
      <c r="F343"/>
      <c r="G343" t="n">
        <v>5.17</v>
      </c>
      <c r="H343"/>
      <c r="I343"/>
      <c r="J343" t="n">
        <v>4.358194574947933</v>
      </c>
      <c r="K343"/>
    </row>
    <row r="344" spans="1:2" ht="13.5" customHeight="true" x14ac:dyDescent="0.15" hidden="false">
      <c r="A344" t="s">
        <v>7003</v>
      </c>
      <c r="B344" t="n">
        <v>17.0</v>
      </c>
      <c r="C344"/>
      <c r="D344"/>
      <c r="E344" t="n">
        <v>0.0</v>
      </c>
      <c r="F344"/>
      <c r="G344"/>
      <c r="H344" t="n">
        <v>2.05</v>
      </c>
      <c r="I344"/>
      <c r="J344"/>
      <c r="K344" t="n">
        <v>1.7174675826433727</v>
      </c>
    </row>
    <row r="345" spans="1:2" ht="13.5" customHeight="true" x14ac:dyDescent="0.15" hidden="false">
      <c r="A345" t="s">
        <v>7003</v>
      </c>
      <c r="B345" t="n">
        <v>18.0</v>
      </c>
      <c r="C345"/>
      <c r="D345"/>
      <c r="E345" t="n">
        <v>0.0</v>
      </c>
      <c r="F345"/>
      <c r="G345"/>
      <c r="H345" t="n">
        <v>0.69</v>
      </c>
      <c r="I345"/>
      <c r="J345"/>
      <c r="K345" t="n">
        <v>0.6539763814890536</v>
      </c>
    </row>
    <row r="346" spans="1:2" ht="13.5" customHeight="true" x14ac:dyDescent="0.15" hidden="false">
      <c r="A346" t="s">
        <v>7003</v>
      </c>
      <c r="B346" t="n">
        <v>19.0</v>
      </c>
      <c r="C346" t="n">
        <v>0.0</v>
      </c>
      <c r="D346"/>
      <c r="E346"/>
      <c r="F346" t="n">
        <v>0.0</v>
      </c>
      <c r="G346"/>
      <c r="H346"/>
      <c r="I346"/>
      <c r="J346"/>
      <c r="K346"/>
    </row>
    <row r="347" spans="1:2" ht="13.5" customHeight="true" x14ac:dyDescent="0.15" hidden="false">
      <c r="A347" t="s">
        <v>7003</v>
      </c>
      <c r="B347" t="n">
        <v>20.0</v>
      </c>
      <c r="C347" t="n">
        <v>0.0</v>
      </c>
      <c r="D347"/>
      <c r="E347"/>
      <c r="F347" t="n">
        <v>0.34</v>
      </c>
      <c r="G347"/>
      <c r="H347"/>
      <c r="I347" t="n">
        <v>0.22619787119341453</v>
      </c>
      <c r="J347"/>
      <c r="K347"/>
    </row>
    <row r="348" spans="1:2" ht="13.5" customHeight="true" x14ac:dyDescent="0.15" hidden="false">
      <c r="A348" t="s">
        <v>7003</v>
      </c>
      <c r="B348" t="n">
        <v>21.0</v>
      </c>
      <c r="C348"/>
      <c r="D348" t="n">
        <v>0.0</v>
      </c>
      <c r="E348"/>
      <c r="F348"/>
      <c r="G348" t="n">
        <v>0.99</v>
      </c>
      <c r="H348"/>
      <c r="I348"/>
      <c r="J348" t="n">
        <v>0.7752222316029408</v>
      </c>
      <c r="K348"/>
    </row>
    <row r="349" spans="1:2" ht="13.5" customHeight="true" x14ac:dyDescent="0.15" hidden="false">
      <c r="A349" t="s">
        <v>7003</v>
      </c>
      <c r="B349" t="n">
        <v>22.0</v>
      </c>
      <c r="C349"/>
      <c r="D349" t="n">
        <v>0.0</v>
      </c>
      <c r="E349"/>
      <c r="F349"/>
      <c r="G349" t="n">
        <v>5.78</v>
      </c>
      <c r="H349"/>
      <c r="I349"/>
      <c r="J349" t="n">
        <v>4.186397311447838</v>
      </c>
      <c r="K349"/>
    </row>
    <row r="350" spans="1:2" ht="13.5" customHeight="true" x14ac:dyDescent="0.15" hidden="false">
      <c r="A350" t="s">
        <v>7003</v>
      </c>
      <c r="B350" t="n">
        <v>23.0</v>
      </c>
      <c r="C350"/>
      <c r="D350"/>
      <c r="E350" t="n">
        <v>0.0</v>
      </c>
      <c r="F350"/>
      <c r="G350"/>
      <c r="H350" t="n">
        <v>0.0</v>
      </c>
      <c r="I350"/>
      <c r="J350"/>
      <c r="K350"/>
    </row>
    <row r="351" spans="1:2" ht="13.5" customHeight="true" x14ac:dyDescent="0.15" hidden="false">
      <c r="A351" t="s">
        <v>7003</v>
      </c>
      <c r="B351" t="n">
        <v>24.0</v>
      </c>
      <c r="C351"/>
      <c r="D351"/>
      <c r="E351" t="n">
        <v>0.0</v>
      </c>
      <c r="F351"/>
      <c r="G351"/>
      <c r="H351" t="n">
        <v>0.0</v>
      </c>
      <c r="I351"/>
      <c r="J351"/>
      <c r="K351"/>
    </row>
    <row r="352" spans="1:2" ht="13.5" customHeight="true" x14ac:dyDescent="0.15" hidden="false">
      <c r="A352" t="s">
        <v>7003</v>
      </c>
      <c r="B352" t="n">
        <v>25.0</v>
      </c>
      <c r="C352" t="n">
        <v>0.0</v>
      </c>
      <c r="D352"/>
      <c r="E352"/>
      <c r="F352" t="n">
        <v>2.06</v>
      </c>
      <c r="G352"/>
      <c r="H352"/>
      <c r="I352" t="n">
        <v>1.8535513348292314</v>
      </c>
      <c r="J352"/>
      <c r="K352"/>
    </row>
    <row r="353" spans="1:2" ht="13.5" customHeight="true" x14ac:dyDescent="0.15" hidden="false">
      <c r="A353" t="s">
        <v>7003</v>
      </c>
      <c r="B353" t="n">
        <v>26.0</v>
      </c>
      <c r="C353" t="n">
        <v>0.0</v>
      </c>
      <c r="D353"/>
      <c r="E353"/>
      <c r="F353" t="n">
        <v>2.0</v>
      </c>
      <c r="G353"/>
      <c r="H353"/>
      <c r="I353" t="n">
        <v>1.8658050467050913</v>
      </c>
      <c r="J353"/>
      <c r="K353"/>
    </row>
    <row r="354" spans="1:2" ht="13.5" customHeight="true" x14ac:dyDescent="0.15" hidden="false">
      <c r="A354" t="s">
        <v>7003</v>
      </c>
      <c r="B354" t="n">
        <v>27.0</v>
      </c>
      <c r="C354"/>
      <c r="D354" t="n">
        <v>2.2800000000000002</v>
      </c>
      <c r="E354"/>
      <c r="F354"/>
      <c r="G354" t="n">
        <v>5.28</v>
      </c>
      <c r="H354"/>
      <c r="I354"/>
      <c r="J354" t="n">
        <v>2.481588846171157</v>
      </c>
      <c r="K354"/>
    </row>
    <row r="355" spans="1:2" ht="13.5" customHeight="true" x14ac:dyDescent="0.15" hidden="false">
      <c r="A355" t="s">
        <v>7003</v>
      </c>
      <c r="B355" t="n">
        <v>28.0</v>
      </c>
      <c r="C355"/>
      <c r="D355" t="n">
        <v>0.0</v>
      </c>
      <c r="E355"/>
      <c r="F355"/>
      <c r="G355" t="n">
        <v>3.08</v>
      </c>
      <c r="H355"/>
      <c r="I355"/>
      <c r="J355" t="n">
        <v>2.8518648210089803</v>
      </c>
      <c r="K355"/>
    </row>
    <row r="356" spans="1:2" ht="13.5" customHeight="true" x14ac:dyDescent="0.15" hidden="false">
      <c r="A356" t="s">
        <v>7003</v>
      </c>
      <c r="B356" t="n">
        <v>29.0</v>
      </c>
      <c r="C356"/>
      <c r="D356"/>
      <c r="E356" t="n">
        <v>0.0</v>
      </c>
      <c r="F356"/>
      <c r="G356"/>
      <c r="H356" t="n">
        <v>4.91</v>
      </c>
      <c r="I356"/>
      <c r="J356"/>
      <c r="K356" t="n">
        <v>4.516717793253609</v>
      </c>
    </row>
    <row r="357" spans="1:2" ht="13.5" customHeight="true" x14ac:dyDescent="0.15" hidden="false">
      <c r="A357" t="s">
        <v>7003</v>
      </c>
      <c r="B357" t="n">
        <v>30.0</v>
      </c>
      <c r="C357"/>
      <c r="D357"/>
      <c r="E357" t="n">
        <v>0.0</v>
      </c>
      <c r="F357"/>
      <c r="G357"/>
      <c r="H357" t="n">
        <v>9.12</v>
      </c>
      <c r="I357"/>
      <c r="J357"/>
      <c r="K357" t="n">
        <v>7.472051781949975</v>
      </c>
    </row>
    <row r="358" spans="1:2" ht="13.5" customHeight="true" x14ac:dyDescent="0.15" hidden="false">
      <c r="A358" t="s">
        <v>7003</v>
      </c>
      <c r="B358" t="n">
        <v>31.0</v>
      </c>
      <c r="C358" t="n">
        <v>1.26</v>
      </c>
      <c r="D358"/>
      <c r="E358"/>
      <c r="F358" t="n">
        <v>8.36</v>
      </c>
      <c r="G358"/>
      <c r="H358"/>
      <c r="I358" t="n">
        <v>3.0448689145702543</v>
      </c>
      <c r="J358"/>
      <c r="K358"/>
    </row>
    <row r="359" spans="1:2" ht="13.5" customHeight="true" x14ac:dyDescent="0.15" hidden="false">
      <c r="A359" t="s">
        <v>7003</v>
      </c>
      <c r="B359" t="n">
        <v>32.0</v>
      </c>
      <c r="C359" t="n">
        <v>0.0</v>
      </c>
      <c r="D359"/>
      <c r="E359"/>
      <c r="F359" t="n">
        <v>7.02</v>
      </c>
      <c r="G359"/>
      <c r="H359"/>
      <c r="I359" t="n">
        <v>5.089521732916075</v>
      </c>
      <c r="J359"/>
      <c r="K359"/>
    </row>
    <row r="360" spans="1:2" ht="13.5" customHeight="true" x14ac:dyDescent="0.15" hidden="false">
      <c r="A360" t="s">
        <v>7003</v>
      </c>
      <c r="B360" t="n">
        <v>33.0</v>
      </c>
      <c r="C360"/>
      <c r="D360" t="n">
        <v>1.53</v>
      </c>
      <c r="E360"/>
      <c r="F360"/>
      <c r="G360" t="n">
        <v>5.14</v>
      </c>
      <c r="H360"/>
      <c r="I360"/>
      <c r="J360" t="n">
        <v>2.384645558458097</v>
      </c>
      <c r="K360"/>
    </row>
    <row r="361" spans="1:2" ht="13.5" customHeight="true" x14ac:dyDescent="0.15" hidden="false">
      <c r="A361" t="s">
        <v>7003</v>
      </c>
      <c r="B361" t="n">
        <v>34.0</v>
      </c>
      <c r="C361"/>
      <c r="D361" t="n">
        <v>0.0</v>
      </c>
      <c r="E361"/>
      <c r="F361"/>
      <c r="G361" t="n">
        <v>0.0</v>
      </c>
      <c r="H361"/>
      <c r="I361"/>
      <c r="J361"/>
      <c r="K361"/>
    </row>
    <row r="362" spans="1:2" ht="13.5" customHeight="true" x14ac:dyDescent="0.15" hidden="false">
      <c r="A362" t="s">
        <v>7003</v>
      </c>
      <c r="B362" t="n">
        <v>35.0</v>
      </c>
      <c r="C362"/>
      <c r="D362"/>
      <c r="E362" t="n">
        <v>0.0</v>
      </c>
      <c r="F362"/>
      <c r="G362"/>
      <c r="H362" t="n">
        <v>0.69</v>
      </c>
      <c r="I362"/>
      <c r="J362"/>
      <c r="K362" t="n">
        <v>0.6683691803225886</v>
      </c>
    </row>
    <row r="363" spans="1:2" ht="13.5" customHeight="true" x14ac:dyDescent="0.15" hidden="false">
      <c r="A363" t="s">
        <v>7003</v>
      </c>
      <c r="B363" t="n">
        <v>36.0</v>
      </c>
      <c r="C363"/>
      <c r="D363"/>
      <c r="E363" t="n">
        <v>0.0</v>
      </c>
      <c r="F363"/>
      <c r="G363"/>
      <c r="H363" t="n">
        <v>1.11</v>
      </c>
      <c r="I363"/>
      <c r="J363"/>
      <c r="K363" t="n">
        <v>1.005290877986426</v>
      </c>
    </row>
    <row r="364" spans="1:2" ht="13.5" customHeight="true" x14ac:dyDescent="0.15" hidden="false">
      <c r="A364" t="s">
        <v>7003</v>
      </c>
      <c r="B364" t="n">
        <v>37.0</v>
      </c>
      <c r="C364" t="n">
        <v>0.0</v>
      </c>
      <c r="D364"/>
      <c r="E364"/>
      <c r="F364" t="n">
        <v>0.0</v>
      </c>
      <c r="G364"/>
      <c r="H364"/>
      <c r="I364"/>
      <c r="J364"/>
      <c r="K364"/>
    </row>
    <row r="365" spans="1:2" ht="13.5" customHeight="true" x14ac:dyDescent="0.15" hidden="false">
      <c r="A365" t="s">
        <v>7003</v>
      </c>
      <c r="B365" t="n">
        <v>38.0</v>
      </c>
      <c r="C365" t="n">
        <v>0.0</v>
      </c>
      <c r="D365"/>
      <c r="E365"/>
      <c r="F365" t="n">
        <v>0.0</v>
      </c>
      <c r="G365"/>
      <c r="H365"/>
      <c r="I365"/>
      <c r="J365"/>
      <c r="K365"/>
    </row>
    <row r="366" spans="1:2" ht="13.5" customHeight="true" x14ac:dyDescent="0.15" hidden="false">
      <c r="A366" t="s">
        <v>7003</v>
      </c>
      <c r="B366" t="n">
        <v>39.0</v>
      </c>
      <c r="C366"/>
      <c r="D366" t="n">
        <v>0.0</v>
      </c>
      <c r="E366"/>
      <c r="F366"/>
      <c r="G366" t="n">
        <v>0.35</v>
      </c>
      <c r="H366"/>
      <c r="I366"/>
      <c r="J366" t="n">
        <v>0.2317139608449841</v>
      </c>
      <c r="K366"/>
    </row>
    <row r="367" spans="1:2" ht="13.5" customHeight="true" x14ac:dyDescent="0.15" hidden="false">
      <c r="A367" t="s">
        <v>7003</v>
      </c>
      <c r="B367" t="n">
        <v>40.0</v>
      </c>
      <c r="C367"/>
      <c r="D367" t="n">
        <v>0.0</v>
      </c>
      <c r="E367"/>
      <c r="F367"/>
      <c r="G367" t="n">
        <v>0.0</v>
      </c>
      <c r="H367"/>
      <c r="I367"/>
      <c r="J367"/>
      <c r="K367"/>
    </row>
    <row r="368" spans="1:2" ht="13.5" customHeight="true" x14ac:dyDescent="0.15" hidden="false">
      <c r="A368" t="s">
        <v>7003</v>
      </c>
      <c r="B368" t="n">
        <v>41.0</v>
      </c>
      <c r="C368"/>
      <c r="D368"/>
      <c r="E368" t="n">
        <v>0.0</v>
      </c>
      <c r="F368"/>
      <c r="G368"/>
      <c r="H368" t="n">
        <v>0.99</v>
      </c>
      <c r="I368"/>
      <c r="J368"/>
      <c r="K368" t="n">
        <v>0.793084977320545</v>
      </c>
    </row>
    <row r="369" spans="1:2" ht="13.5" customHeight="true" x14ac:dyDescent="0.15" hidden="false">
      <c r="A369" t="s">
        <v>7003</v>
      </c>
      <c r="B369" t="n">
        <v>42.0</v>
      </c>
      <c r="C369"/>
      <c r="D369"/>
      <c r="E369" t="n">
        <v>0.0</v>
      </c>
      <c r="F369"/>
      <c r="G369"/>
      <c r="H369" t="n">
        <v>4.48</v>
      </c>
      <c r="I369"/>
      <c r="J369"/>
      <c r="K369" t="n">
        <v>3.799375694368051</v>
      </c>
    </row>
    <row r="370" spans="1:2" ht="13.5" customHeight="true" x14ac:dyDescent="0.15" hidden="false">
      <c r="A370" t="s">
        <v>7003</v>
      </c>
      <c r="B370" t="n">
        <v>43.0</v>
      </c>
      <c r="C370" t="n">
        <v>1.02</v>
      </c>
      <c r="D370"/>
      <c r="E370"/>
      <c r="F370" t="n">
        <v>5.6</v>
      </c>
      <c r="G370"/>
      <c r="H370"/>
      <c r="I370" t="n">
        <v>3.271857462344186</v>
      </c>
      <c r="J370"/>
      <c r="K370"/>
    </row>
    <row r="371" spans="1:2" ht="13.5" customHeight="true" x14ac:dyDescent="0.15" hidden="false">
      <c r="A371" t="s">
        <v>7003</v>
      </c>
      <c r="B371" t="n">
        <v>44.0</v>
      </c>
      <c r="C371" t="n">
        <v>0.0</v>
      </c>
      <c r="D371"/>
      <c r="E371"/>
      <c r="F371" t="n">
        <v>0.0</v>
      </c>
      <c r="G371"/>
      <c r="H371"/>
      <c r="I371"/>
      <c r="J371"/>
      <c r="K371"/>
    </row>
    <row r="372" spans="1:2" ht="13.5" customHeight="true" x14ac:dyDescent="0.15" hidden="false">
      <c r="A372" t="s">
        <v>7003</v>
      </c>
      <c r="B372" t="n">
        <v>45.0</v>
      </c>
      <c r="C372"/>
      <c r="D372" t="n">
        <v>0.0</v>
      </c>
      <c r="E372"/>
      <c r="F372"/>
      <c r="G372" t="n">
        <v>0.0</v>
      </c>
      <c r="H372"/>
      <c r="I372"/>
      <c r="J372"/>
      <c r="K372"/>
    </row>
    <row r="373" spans="1:2" ht="13.5" customHeight="true" x14ac:dyDescent="0.15" hidden="false">
      <c r="A373" t="s">
        <v>7003</v>
      </c>
      <c r="B373" t="n">
        <v>46.0</v>
      </c>
      <c r="C373"/>
      <c r="D373" t="n">
        <v>0.55</v>
      </c>
      <c r="E373"/>
      <c r="F373"/>
      <c r="G373" t="n">
        <v>4.38</v>
      </c>
      <c r="H373"/>
      <c r="I373"/>
      <c r="J373" t="n">
        <v>1.1849497888297433</v>
      </c>
      <c r="K373"/>
    </row>
    <row r="374" spans="1:2" ht="13.5" customHeight="true" x14ac:dyDescent="0.15" hidden="false">
      <c r="A374" t="s">
        <v>7003</v>
      </c>
      <c r="B374" t="n">
        <v>47.0</v>
      </c>
      <c r="C374"/>
      <c r="D374"/>
      <c r="E374" t="n">
        <v>0.0</v>
      </c>
      <c r="F374"/>
      <c r="G374"/>
      <c r="H374" t="n">
        <v>0.0</v>
      </c>
      <c r="I374"/>
      <c r="J374"/>
      <c r="K374"/>
    </row>
    <row r="375" spans="1:2" ht="13.5" customHeight="true" x14ac:dyDescent="0.15" hidden="false">
      <c r="A375" t="s">
        <v>7003</v>
      </c>
      <c r="B375" t="n">
        <v>48.0</v>
      </c>
      <c r="C375"/>
      <c r="D375"/>
      <c r="E375" t="n">
        <v>0.0</v>
      </c>
      <c r="F375"/>
      <c r="G375"/>
      <c r="H375" t="n">
        <v>0.57</v>
      </c>
      <c r="I375"/>
      <c r="J375"/>
      <c r="K375" t="n">
        <v>0.5376055371431975</v>
      </c>
    </row>
    <row r="376" spans="1:2" ht="13.5" customHeight="true" x14ac:dyDescent="0.15" hidden="false">
      <c r="A376" t="s">
        <v>7003</v>
      </c>
      <c r="B376" t="n">
        <v>49.0</v>
      </c>
      <c r="C376" t="n">
        <v>0.0</v>
      </c>
      <c r="D376"/>
      <c r="E376"/>
      <c r="F376" t="n">
        <v>9.67</v>
      </c>
      <c r="G376"/>
      <c r="H376"/>
      <c r="I376" t="n">
        <v>7.703388478181897</v>
      </c>
      <c r="J376"/>
      <c r="K376"/>
    </row>
    <row r="377" spans="1:2" ht="13.5" customHeight="true" x14ac:dyDescent="0.15" hidden="false">
      <c r="A377" t="s">
        <v>7003</v>
      </c>
      <c r="B377" t="n">
        <v>50.0</v>
      </c>
      <c r="C377" t="n">
        <v>0.0</v>
      </c>
      <c r="D377"/>
      <c r="E377"/>
      <c r="F377" t="n">
        <v>0.0</v>
      </c>
      <c r="G377"/>
      <c r="H377"/>
      <c r="I377"/>
      <c r="J377"/>
      <c r="K377"/>
    </row>
    <row r="378" spans="1:2" ht="13.5" customHeight="true" x14ac:dyDescent="0.15" hidden="false">
      <c r="A378" t="s">
        <v>7004</v>
      </c>
      <c r="B378" t="n">
        <v>1.0</v>
      </c>
      <c r="C378" t="n">
        <v>0.0</v>
      </c>
      <c r="D378"/>
      <c r="E378"/>
      <c r="F378" t="n">
        <v>0.0</v>
      </c>
      <c r="G378"/>
      <c r="H378"/>
      <c r="I378"/>
      <c r="J378"/>
      <c r="K378"/>
    </row>
    <row r="379" spans="1:2" ht="13.5" customHeight="true" x14ac:dyDescent="0.15" hidden="false">
      <c r="A379" t="s">
        <v>7004</v>
      </c>
      <c r="B379" t="n">
        <v>2.0</v>
      </c>
      <c r="C379" t="n">
        <v>0.0</v>
      </c>
      <c r="D379"/>
      <c r="E379"/>
      <c r="F379" t="n">
        <v>1.5</v>
      </c>
      <c r="G379"/>
      <c r="H379"/>
      <c r="I379" t="n">
        <v>1.4396973769962196</v>
      </c>
      <c r="J379"/>
      <c r="K379"/>
    </row>
    <row r="380" spans="1:2" ht="13.5" customHeight="true" x14ac:dyDescent="0.15" hidden="false">
      <c r="A380" t="s">
        <v>7004</v>
      </c>
      <c r="B380" t="n">
        <v>3.0</v>
      </c>
      <c r="C380"/>
      <c r="D380" t="n">
        <v>0.0</v>
      </c>
      <c r="E380"/>
      <c r="F380"/>
      <c r="G380" t="n">
        <v>0.0</v>
      </c>
      <c r="H380"/>
      <c r="I380"/>
      <c r="J380"/>
      <c r="K380"/>
    </row>
    <row r="381" spans="1:2" ht="13.5" customHeight="true" x14ac:dyDescent="0.15" hidden="false">
      <c r="A381" t="s">
        <v>7004</v>
      </c>
      <c r="B381" t="n">
        <v>4.0</v>
      </c>
      <c r="C381"/>
      <c r="D381" t="n">
        <v>0.0</v>
      </c>
      <c r="E381"/>
      <c r="F381"/>
      <c r="G381" t="n">
        <v>7.46</v>
      </c>
      <c r="H381"/>
      <c r="I381"/>
      <c r="J381" t="n">
        <v>2.2967714008920455</v>
      </c>
      <c r="K381"/>
    </row>
    <row r="382" spans="1:2" ht="13.5" customHeight="true" x14ac:dyDescent="0.15" hidden="false">
      <c r="A382" t="s">
        <v>7004</v>
      </c>
      <c r="B382" t="n">
        <v>5.0</v>
      </c>
      <c r="C382"/>
      <c r="D382"/>
      <c r="E382" t="n">
        <v>0.0</v>
      </c>
      <c r="F382"/>
      <c r="G382"/>
      <c r="H382" t="n">
        <v>0.0</v>
      </c>
      <c r="I382"/>
      <c r="J382"/>
      <c r="K382"/>
    </row>
    <row r="383" spans="1:2" ht="13.5" customHeight="true" x14ac:dyDescent="0.15" hidden="false">
      <c r="A383" t="s">
        <v>7004</v>
      </c>
      <c r="B383" t="n">
        <v>6.0</v>
      </c>
      <c r="C383"/>
      <c r="D383"/>
      <c r="E383" t="n">
        <v>0.0</v>
      </c>
      <c r="F383"/>
      <c r="G383"/>
      <c r="H383" t="n">
        <v>5.44</v>
      </c>
      <c r="I383"/>
      <c r="J383"/>
      <c r="K383" t="n">
        <v>5.040486006472661</v>
      </c>
    </row>
    <row r="384" spans="1:2" ht="13.5" customHeight="true" x14ac:dyDescent="0.15" hidden="false">
      <c r="A384" t="s">
        <v>7004</v>
      </c>
      <c r="B384" t="n">
        <v>7.0</v>
      </c>
      <c r="C384" t="n">
        <v>0.0</v>
      </c>
      <c r="D384"/>
      <c r="E384"/>
      <c r="F384" t="n">
        <v>0.0</v>
      </c>
      <c r="G384"/>
      <c r="H384"/>
      <c r="I384"/>
      <c r="J384"/>
      <c r="K384"/>
    </row>
    <row r="385" spans="1:2" ht="13.5" customHeight="true" x14ac:dyDescent="0.15" hidden="false">
      <c r="A385" t="s">
        <v>7004</v>
      </c>
      <c r="B385" t="n">
        <v>8.0</v>
      </c>
      <c r="C385" t="n">
        <v>0.0</v>
      </c>
      <c r="D385"/>
      <c r="E385"/>
      <c r="F385" t="n">
        <v>3.32</v>
      </c>
      <c r="G385"/>
      <c r="H385"/>
      <c r="I385" t="n">
        <v>3.1140513282483524</v>
      </c>
      <c r="J385"/>
      <c r="K385"/>
    </row>
    <row r="386" spans="1:2" ht="13.5" customHeight="true" x14ac:dyDescent="0.15" hidden="false">
      <c r="A386" t="s">
        <v>7004</v>
      </c>
      <c r="B386" t="n">
        <v>9.0</v>
      </c>
      <c r="C386"/>
      <c r="D386" t="n">
        <v>0.0</v>
      </c>
      <c r="E386"/>
      <c r="F386"/>
      <c r="G386" t="n">
        <v>0.0</v>
      </c>
      <c r="H386"/>
      <c r="I386"/>
      <c r="J386"/>
      <c r="K386"/>
    </row>
    <row r="387" spans="1:2" ht="13.5" customHeight="true" x14ac:dyDescent="0.15" hidden="false">
      <c r="A387" t="s">
        <v>7004</v>
      </c>
      <c r="B387" t="n">
        <v>10.0</v>
      </c>
      <c r="C387"/>
      <c r="D387" t="n">
        <v>0.0</v>
      </c>
      <c r="E387"/>
      <c r="F387"/>
      <c r="G387" t="n">
        <v>8.78</v>
      </c>
      <c r="H387"/>
      <c r="I387"/>
      <c r="J387" t="n">
        <v>7.376555179174838</v>
      </c>
      <c r="K387"/>
    </row>
    <row r="388" spans="1:2" ht="13.5" customHeight="true" x14ac:dyDescent="0.15" hidden="false">
      <c r="A388" t="s">
        <v>7004</v>
      </c>
      <c r="B388" t="n">
        <v>11.0</v>
      </c>
      <c r="C388"/>
      <c r="D388"/>
      <c r="E388" t="n">
        <v>0.0</v>
      </c>
      <c r="F388"/>
      <c r="G388"/>
      <c r="H388" t="n">
        <v>0.0</v>
      </c>
      <c r="I388"/>
      <c r="J388"/>
      <c r="K388"/>
    </row>
    <row r="389" spans="1:2" ht="13.5" customHeight="true" x14ac:dyDescent="0.15" hidden="false">
      <c r="A389" t="s">
        <v>7004</v>
      </c>
      <c r="B389" t="n">
        <v>12.0</v>
      </c>
      <c r="C389"/>
      <c r="D389"/>
      <c r="E389" t="n">
        <v>0.0</v>
      </c>
      <c r="F389"/>
      <c r="G389"/>
      <c r="H389" t="n">
        <v>10.66</v>
      </c>
      <c r="I389"/>
      <c r="J389"/>
      <c r="K389" t="n">
        <v>9.17697798421514</v>
      </c>
    </row>
    <row r="390" spans="1:2" ht="13.5" customHeight="true" x14ac:dyDescent="0.15" hidden="false">
      <c r="A390" t="s">
        <v>7004</v>
      </c>
      <c r="B390" t="n">
        <v>13.0</v>
      </c>
      <c r="C390" t="n">
        <v>0.0</v>
      </c>
      <c r="D390"/>
      <c r="E390"/>
      <c r="F390" t="n">
        <v>2.41</v>
      </c>
      <c r="G390"/>
      <c r="H390"/>
      <c r="I390" t="n">
        <v>2.1146760496982897</v>
      </c>
      <c r="J390"/>
      <c r="K390"/>
    </row>
    <row r="391" spans="1:2" ht="13.5" customHeight="true" x14ac:dyDescent="0.15" hidden="false">
      <c r="A391" t="s">
        <v>7004</v>
      </c>
      <c r="B391" t="n">
        <v>14.0</v>
      </c>
      <c r="C391" t="n">
        <v>1.3599999999999999</v>
      </c>
      <c r="D391"/>
      <c r="E391"/>
      <c r="F391" t="n">
        <v>8.72</v>
      </c>
      <c r="G391"/>
      <c r="H391"/>
      <c r="I391" t="n">
        <v>5.93255744339024</v>
      </c>
      <c r="J391"/>
      <c r="K391"/>
    </row>
    <row r="392" spans="1:2" ht="13.5" customHeight="true" x14ac:dyDescent="0.15" hidden="false">
      <c r="A392" t="s">
        <v>7004</v>
      </c>
      <c r="B392" t="n">
        <v>15.0</v>
      </c>
      <c r="C392"/>
      <c r="D392" t="n">
        <v>0.0</v>
      </c>
      <c r="E392"/>
      <c r="F392"/>
      <c r="G392" t="n">
        <v>0.0</v>
      </c>
      <c r="H392"/>
      <c r="I392"/>
      <c r="J392"/>
      <c r="K392"/>
    </row>
    <row r="393" spans="1:2" ht="13.5" customHeight="true" x14ac:dyDescent="0.15" hidden="false">
      <c r="A393" t="s">
        <v>7004</v>
      </c>
      <c r="B393" t="n">
        <v>16.0</v>
      </c>
      <c r="C393"/>
      <c r="D393" t="n">
        <v>2.04</v>
      </c>
      <c r="E393"/>
      <c r="F393"/>
      <c r="G393" t="n">
        <v>5.16</v>
      </c>
      <c r="H393"/>
      <c r="I393"/>
      <c r="J393" t="n">
        <v>4.399867998451929</v>
      </c>
      <c r="K393"/>
    </row>
    <row r="394" spans="1:2" ht="13.5" customHeight="true" x14ac:dyDescent="0.15" hidden="false">
      <c r="A394" t="s">
        <v>7004</v>
      </c>
      <c r="B394" t="n">
        <v>17.0</v>
      </c>
      <c r="C394"/>
      <c r="D394"/>
      <c r="E394" t="n">
        <v>0.0</v>
      </c>
      <c r="F394"/>
      <c r="G394"/>
      <c r="H394" t="n">
        <v>2.22</v>
      </c>
      <c r="I394"/>
      <c r="J394"/>
      <c r="K394" t="n">
        <v>1.844218819185544</v>
      </c>
    </row>
    <row r="395" spans="1:2" ht="13.5" customHeight="true" x14ac:dyDescent="0.15" hidden="false">
      <c r="A395" t="s">
        <v>7004</v>
      </c>
      <c r="B395" t="n">
        <v>18.0</v>
      </c>
      <c r="C395"/>
      <c r="D395"/>
      <c r="E395" t="n">
        <v>0.0</v>
      </c>
      <c r="F395"/>
      <c r="G395"/>
      <c r="H395" t="n">
        <v>0.64</v>
      </c>
      <c r="I395"/>
      <c r="J395"/>
      <c r="K395" t="n">
        <v>0.6014750089128574</v>
      </c>
    </row>
    <row r="396" spans="1:2" ht="13.5" customHeight="true" x14ac:dyDescent="0.15" hidden="false">
      <c r="A396" t="s">
        <v>7004</v>
      </c>
      <c r="B396" t="n">
        <v>19.0</v>
      </c>
      <c r="C396" t="n">
        <v>0.0</v>
      </c>
      <c r="D396"/>
      <c r="E396"/>
      <c r="F396" t="n">
        <v>0.0</v>
      </c>
      <c r="G396"/>
      <c r="H396"/>
      <c r="I396"/>
      <c r="J396"/>
      <c r="K396"/>
    </row>
    <row r="397" spans="1:2" ht="13.5" customHeight="true" x14ac:dyDescent="0.15" hidden="false">
      <c r="A397" t="s">
        <v>7004</v>
      </c>
      <c r="B397" t="n">
        <v>20.0</v>
      </c>
      <c r="C397" t="n">
        <v>0.0</v>
      </c>
      <c r="D397"/>
      <c r="E397"/>
      <c r="F397" t="n">
        <v>0.3</v>
      </c>
      <c r="G397"/>
      <c r="H397"/>
      <c r="I397" t="n">
        <v>0.20942276050046782</v>
      </c>
      <c r="J397"/>
      <c r="K397"/>
    </row>
    <row r="398" spans="1:2" ht="13.5" customHeight="true" x14ac:dyDescent="0.15" hidden="false">
      <c r="A398" t="s">
        <v>7004</v>
      </c>
      <c r="B398" t="n">
        <v>21.0</v>
      </c>
      <c r="C398"/>
      <c r="D398" t="n">
        <v>0.0</v>
      </c>
      <c r="E398"/>
      <c r="F398"/>
      <c r="G398" t="n">
        <v>0.79</v>
      </c>
      <c r="H398"/>
      <c r="I398"/>
      <c r="J398" t="n">
        <v>0.5953569941002278</v>
      </c>
      <c r="K398"/>
    </row>
    <row r="399" spans="1:2" ht="13.5" customHeight="true" x14ac:dyDescent="0.15" hidden="false">
      <c r="A399" t="s">
        <v>7004</v>
      </c>
      <c r="B399" t="n">
        <v>22.0</v>
      </c>
      <c r="C399"/>
      <c r="D399" t="n">
        <v>0.0</v>
      </c>
      <c r="E399"/>
      <c r="F399"/>
      <c r="G399" t="n">
        <v>4.53</v>
      </c>
      <c r="H399"/>
      <c r="I399"/>
      <c r="J399" t="n">
        <v>3.4016137390411365</v>
      </c>
      <c r="K399"/>
    </row>
    <row r="400" spans="1:2" ht="13.5" customHeight="true" x14ac:dyDescent="0.15" hidden="false">
      <c r="A400" t="s">
        <v>7004</v>
      </c>
      <c r="B400" t="n">
        <v>23.0</v>
      </c>
      <c r="C400"/>
      <c r="D400"/>
      <c r="E400" t="n">
        <v>0.0</v>
      </c>
      <c r="F400"/>
      <c r="G400"/>
      <c r="H400" t="n">
        <v>0.0</v>
      </c>
      <c r="I400"/>
      <c r="J400"/>
      <c r="K400"/>
    </row>
    <row r="401" spans="1:2" ht="13.5" customHeight="true" x14ac:dyDescent="0.15" hidden="false">
      <c r="A401" t="s">
        <v>7004</v>
      </c>
      <c r="B401" t="n">
        <v>24.0</v>
      </c>
      <c r="C401"/>
      <c r="D401"/>
      <c r="E401" t="n">
        <v>0.0</v>
      </c>
      <c r="F401"/>
      <c r="G401"/>
      <c r="H401" t="n">
        <v>0.0</v>
      </c>
      <c r="I401"/>
      <c r="J401"/>
      <c r="K401"/>
    </row>
    <row r="402" spans="1:2" ht="13.5" customHeight="true" x14ac:dyDescent="0.15" hidden="false">
      <c r="A402" t="s">
        <v>7004</v>
      </c>
      <c r="B402" t="n">
        <v>25.0</v>
      </c>
      <c r="C402" t="n">
        <v>0.0</v>
      </c>
      <c r="D402"/>
      <c r="E402"/>
      <c r="F402" t="n">
        <v>2.39</v>
      </c>
      <c r="G402"/>
      <c r="H402"/>
      <c r="I402" t="n">
        <v>2.1427040920548497</v>
      </c>
      <c r="J402"/>
      <c r="K402"/>
    </row>
    <row r="403" spans="1:2" ht="13.5" customHeight="true" x14ac:dyDescent="0.15" hidden="false">
      <c r="A403" t="s">
        <v>7004</v>
      </c>
      <c r="B403" t="n">
        <v>26.0</v>
      </c>
      <c r="C403" t="n">
        <v>0.0</v>
      </c>
      <c r="D403"/>
      <c r="E403"/>
      <c r="F403" t="n">
        <v>1.5</v>
      </c>
      <c r="G403"/>
      <c r="H403"/>
      <c r="I403" t="n">
        <v>1.403430419690342</v>
      </c>
      <c r="J403"/>
      <c r="K403"/>
    </row>
    <row r="404" spans="1:2" ht="13.5" customHeight="true" x14ac:dyDescent="0.15" hidden="false">
      <c r="A404" t="s">
        <v>7004</v>
      </c>
      <c r="B404" t="n">
        <v>27.0</v>
      </c>
      <c r="C404"/>
      <c r="D404" t="n">
        <v>1.3599999999999999</v>
      </c>
      <c r="E404"/>
      <c r="F404"/>
      <c r="G404" t="n">
        <v>4.46</v>
      </c>
      <c r="H404"/>
      <c r="I404"/>
      <c r="J404" t="n">
        <v>1.4932047947950835</v>
      </c>
      <c r="K404"/>
    </row>
    <row r="405" spans="1:2" ht="13.5" customHeight="true" x14ac:dyDescent="0.15" hidden="false">
      <c r="A405" t="s">
        <v>7004</v>
      </c>
      <c r="B405" t="n">
        <v>28.0</v>
      </c>
      <c r="C405"/>
      <c r="D405" t="n">
        <v>0.0</v>
      </c>
      <c r="E405"/>
      <c r="F405"/>
      <c r="G405" t="n">
        <v>5.46</v>
      </c>
      <c r="H405"/>
      <c r="I405"/>
      <c r="J405" t="n">
        <v>4.9424879403767035</v>
      </c>
      <c r="K405"/>
    </row>
    <row r="406" spans="1:2" ht="13.5" customHeight="true" x14ac:dyDescent="0.15" hidden="false">
      <c r="A406" t="s">
        <v>7004</v>
      </c>
      <c r="B406" t="n">
        <v>29.0</v>
      </c>
      <c r="C406"/>
      <c r="D406"/>
      <c r="E406" t="n">
        <v>0.0</v>
      </c>
      <c r="F406"/>
      <c r="G406"/>
      <c r="H406" t="n">
        <v>3.32</v>
      </c>
      <c r="I406"/>
      <c r="J406"/>
      <c r="K406" t="n">
        <v>3.042457809548502</v>
      </c>
    </row>
    <row r="407" spans="1:2" ht="13.5" customHeight="true" x14ac:dyDescent="0.15" hidden="false">
      <c r="A407" t="s">
        <v>7004</v>
      </c>
      <c r="B407" t="n">
        <v>30.0</v>
      </c>
      <c r="C407"/>
      <c r="D407"/>
      <c r="E407" t="n">
        <v>0.0</v>
      </c>
      <c r="F407"/>
      <c r="G407"/>
      <c r="H407" t="n">
        <v>9.38</v>
      </c>
      <c r="I407"/>
      <c r="J407"/>
      <c r="K407" t="n">
        <v>7.824738788359807</v>
      </c>
    </row>
    <row r="408" spans="1:2" ht="13.5" customHeight="true" x14ac:dyDescent="0.15" hidden="false">
      <c r="A408" t="s">
        <v>7004</v>
      </c>
      <c r="B408" t="n">
        <v>31.0</v>
      </c>
      <c r="C408" t="n">
        <v>1.29</v>
      </c>
      <c r="D408"/>
      <c r="E408"/>
      <c r="F408" t="n">
        <v>10.37</v>
      </c>
      <c r="G408"/>
      <c r="H408"/>
      <c r="I408" t="n">
        <v>3.3323179006452173</v>
      </c>
      <c r="J408"/>
      <c r="K408"/>
    </row>
    <row r="409" spans="1:2" ht="13.5" customHeight="true" x14ac:dyDescent="0.15" hidden="false">
      <c r="A409" t="s">
        <v>7004</v>
      </c>
      <c r="B409" t="n">
        <v>32.0</v>
      </c>
      <c r="C409" t="n">
        <v>0.0</v>
      </c>
      <c r="D409"/>
      <c r="E409"/>
      <c r="F409" t="n">
        <v>8.96</v>
      </c>
      <c r="G409"/>
      <c r="H409"/>
      <c r="I409" t="n">
        <v>6.6958492213770056</v>
      </c>
      <c r="J409"/>
      <c r="K409"/>
    </row>
    <row r="410" spans="1:2" ht="13.5" customHeight="true" x14ac:dyDescent="0.15" hidden="false">
      <c r="A410" t="s">
        <v>7004</v>
      </c>
      <c r="B410" t="n">
        <v>33.0</v>
      </c>
      <c r="C410"/>
      <c r="D410" t="n">
        <v>1.67</v>
      </c>
      <c r="E410"/>
      <c r="F410"/>
      <c r="G410" t="n">
        <v>5.08</v>
      </c>
      <c r="H410"/>
      <c r="I410"/>
      <c r="J410" t="n">
        <v>2.5159052478693273</v>
      </c>
      <c r="K410"/>
    </row>
    <row r="411" spans="1:2" ht="13.5" customHeight="true" x14ac:dyDescent="0.15" hidden="false">
      <c r="A411" t="s">
        <v>7004</v>
      </c>
      <c r="B411" t="n">
        <v>34.0</v>
      </c>
      <c r="C411"/>
      <c r="D411" t="n">
        <v>0.0</v>
      </c>
      <c r="E411"/>
      <c r="F411"/>
      <c r="G411" t="n">
        <v>0.0</v>
      </c>
      <c r="H411"/>
      <c r="I411"/>
      <c r="J411"/>
      <c r="K411"/>
    </row>
    <row r="412" spans="1:2" ht="13.5" customHeight="true" x14ac:dyDescent="0.15" hidden="false">
      <c r="A412" t="s">
        <v>7004</v>
      </c>
      <c r="B412" t="n">
        <v>35.0</v>
      </c>
      <c r="C412"/>
      <c r="D412"/>
      <c r="E412" t="n">
        <v>0.0</v>
      </c>
      <c r="F412"/>
      <c r="G412"/>
      <c r="H412" t="n">
        <v>0.64</v>
      </c>
      <c r="I412"/>
      <c r="J412"/>
      <c r="K412" t="n">
        <v>0.6202577670651693</v>
      </c>
    </row>
    <row r="413" spans="1:2" ht="13.5" customHeight="true" x14ac:dyDescent="0.15" hidden="false">
      <c r="A413" t="s">
        <v>7004</v>
      </c>
      <c r="B413" t="n">
        <v>36.0</v>
      </c>
      <c r="C413"/>
      <c r="D413"/>
      <c r="E413" t="n">
        <v>0.0</v>
      </c>
      <c r="F413"/>
      <c r="G413"/>
      <c r="H413" t="n">
        <v>2.4</v>
      </c>
      <c r="I413"/>
      <c r="J413"/>
      <c r="K413" t="n">
        <v>1.5560287422390295</v>
      </c>
    </row>
    <row r="414" spans="1:2" ht="13.5" customHeight="true" x14ac:dyDescent="0.15" hidden="false">
      <c r="A414" t="s">
        <v>7004</v>
      </c>
      <c r="B414" t="n">
        <v>37.0</v>
      </c>
      <c r="C414" t="n">
        <v>0.0</v>
      </c>
      <c r="D414"/>
      <c r="E414"/>
      <c r="F414" t="n">
        <v>0.0</v>
      </c>
      <c r="G414"/>
      <c r="H414"/>
      <c r="I414"/>
      <c r="J414"/>
      <c r="K414"/>
    </row>
    <row r="415" spans="1:2" ht="13.5" customHeight="true" x14ac:dyDescent="0.15" hidden="false">
      <c r="A415" t="s">
        <v>7004</v>
      </c>
      <c r="B415" t="n">
        <v>38.0</v>
      </c>
      <c r="C415" t="n">
        <v>0.0</v>
      </c>
      <c r="D415"/>
      <c r="E415"/>
      <c r="F415" t="n">
        <v>0.0</v>
      </c>
      <c r="G415"/>
      <c r="H415"/>
      <c r="I415"/>
      <c r="J415"/>
      <c r="K415"/>
    </row>
    <row r="416" spans="1:2" ht="13.5" customHeight="true" x14ac:dyDescent="0.15" hidden="false">
      <c r="A416" t="s">
        <v>7004</v>
      </c>
      <c r="B416" t="n">
        <v>39.0</v>
      </c>
      <c r="C416"/>
      <c r="D416" t="n">
        <v>0.0</v>
      </c>
      <c r="E416"/>
      <c r="F416"/>
      <c r="G416" t="n">
        <v>0.33</v>
      </c>
      <c r="H416"/>
      <c r="I416"/>
      <c r="J416" t="n">
        <v>0.21443277244834508</v>
      </c>
      <c r="K416"/>
    </row>
    <row r="417" spans="1:2" ht="13.5" customHeight="true" x14ac:dyDescent="0.15" hidden="false">
      <c r="A417" t="s">
        <v>7004</v>
      </c>
      <c r="B417" t="n">
        <v>40.0</v>
      </c>
      <c r="C417"/>
      <c r="D417" t="n">
        <v>0.0</v>
      </c>
      <c r="E417"/>
      <c r="F417"/>
      <c r="G417" t="n">
        <v>0.0</v>
      </c>
      <c r="H417"/>
      <c r="I417"/>
      <c r="J417"/>
      <c r="K417"/>
    </row>
    <row r="418" spans="1:2" ht="13.5" customHeight="true" x14ac:dyDescent="0.15" hidden="false">
      <c r="A418" t="s">
        <v>7004</v>
      </c>
      <c r="B418" t="n">
        <v>41.0</v>
      </c>
      <c r="C418"/>
      <c r="D418"/>
      <c r="E418" t="n">
        <v>0.0</v>
      </c>
      <c r="F418"/>
      <c r="G418"/>
      <c r="H418" t="n">
        <v>1.62</v>
      </c>
      <c r="I418"/>
      <c r="J418"/>
      <c r="K418" t="n">
        <v>0.6176879752155199</v>
      </c>
    </row>
    <row r="419" spans="1:2" ht="13.5" customHeight="true" x14ac:dyDescent="0.15" hidden="false">
      <c r="A419" t="s">
        <v>7004</v>
      </c>
      <c r="B419" t="n">
        <v>42.0</v>
      </c>
      <c r="C419"/>
      <c r="D419"/>
      <c r="E419" t="n">
        <v>0.0</v>
      </c>
      <c r="F419"/>
      <c r="G419"/>
      <c r="H419" t="n">
        <v>4.58</v>
      </c>
      <c r="I419"/>
      <c r="J419"/>
      <c r="K419" t="n">
        <v>3.956033369947676</v>
      </c>
    </row>
    <row r="420" spans="1:2" ht="13.5" customHeight="true" x14ac:dyDescent="0.15" hidden="false">
      <c r="A420" t="s">
        <v>7004</v>
      </c>
      <c r="B420" t="n">
        <v>43.0</v>
      </c>
      <c r="C420" t="n">
        <v>1.41</v>
      </c>
      <c r="D420"/>
      <c r="E420"/>
      <c r="F420" t="n">
        <v>5.99</v>
      </c>
      <c r="G420"/>
      <c r="H420"/>
      <c r="I420" t="n">
        <v>3.592147862029142</v>
      </c>
      <c r="J420"/>
      <c r="K420"/>
    </row>
    <row r="421" spans="1:2" ht="13.5" customHeight="true" x14ac:dyDescent="0.15" hidden="false">
      <c r="A421" t="s">
        <v>7004</v>
      </c>
      <c r="B421" t="n">
        <v>44.0</v>
      </c>
      <c r="C421" t="n">
        <v>0.0</v>
      </c>
      <c r="D421"/>
      <c r="E421"/>
      <c r="F421" t="n">
        <v>0.0</v>
      </c>
      <c r="G421"/>
      <c r="H421"/>
      <c r="I421"/>
      <c r="J421"/>
      <c r="K421"/>
    </row>
    <row r="422" spans="1:2" ht="13.5" customHeight="true" x14ac:dyDescent="0.15" hidden="false">
      <c r="A422" t="s">
        <v>7004</v>
      </c>
      <c r="B422" t="n">
        <v>45.0</v>
      </c>
      <c r="C422"/>
      <c r="D422" t="n">
        <v>0.0</v>
      </c>
      <c r="E422"/>
      <c r="F422"/>
      <c r="G422" t="n">
        <v>0.0</v>
      </c>
      <c r="H422"/>
      <c r="I422"/>
      <c r="J422"/>
      <c r="K422"/>
    </row>
    <row r="423" spans="1:2" ht="13.5" customHeight="true" x14ac:dyDescent="0.15" hidden="false">
      <c r="A423" t="s">
        <v>7004</v>
      </c>
      <c r="B423" t="n">
        <v>46.0</v>
      </c>
      <c r="C423"/>
      <c r="D423" t="n">
        <v>0.0</v>
      </c>
      <c r="E423"/>
      <c r="F423"/>
      <c r="G423" t="n">
        <v>4.5</v>
      </c>
      <c r="H423"/>
      <c r="I423"/>
      <c r="J423" t="n">
        <v>3.823464377758112</v>
      </c>
      <c r="K423"/>
    </row>
    <row r="424" spans="1:2" ht="13.5" customHeight="true" x14ac:dyDescent="0.15" hidden="false">
      <c r="A424" t="s">
        <v>7004</v>
      </c>
      <c r="B424" t="n">
        <v>47.0</v>
      </c>
      <c r="C424"/>
      <c r="D424"/>
      <c r="E424" t="n">
        <v>0.0</v>
      </c>
      <c r="F424"/>
      <c r="G424"/>
      <c r="H424" t="n">
        <v>0.0</v>
      </c>
      <c r="I424"/>
      <c r="J424"/>
      <c r="K424"/>
    </row>
    <row r="425" spans="1:2" ht="13.5" customHeight="true" x14ac:dyDescent="0.15" hidden="false">
      <c r="A425" t="s">
        <v>7004</v>
      </c>
      <c r="B425" t="n">
        <v>48.0</v>
      </c>
      <c r="C425"/>
      <c r="D425"/>
      <c r="E425" t="n">
        <v>0.0</v>
      </c>
      <c r="F425"/>
      <c r="G425"/>
      <c r="H425" t="n">
        <v>0.0</v>
      </c>
      <c r="I425"/>
      <c r="J425"/>
      <c r="K425"/>
    </row>
    <row r="426" spans="1:2" ht="13.5" customHeight="true" x14ac:dyDescent="0.15" hidden="false">
      <c r="A426" t="s">
        <v>7004</v>
      </c>
      <c r="B426" t="n">
        <v>49.0</v>
      </c>
      <c r="C426" t="n">
        <v>0.0</v>
      </c>
      <c r="D426"/>
      <c r="E426"/>
      <c r="F426" t="n">
        <v>0.0</v>
      </c>
      <c r="G426"/>
      <c r="H426"/>
      <c r="I426"/>
      <c r="J426"/>
      <c r="K426"/>
    </row>
    <row r="427" spans="1:2" ht="13.5" customHeight="true" x14ac:dyDescent="0.15" hidden="false">
      <c r="A427" t="s">
        <v>7004</v>
      </c>
      <c r="B427" t="n">
        <v>50.0</v>
      </c>
      <c r="C427" t="n">
        <v>0.0</v>
      </c>
      <c r="D427"/>
      <c r="E427"/>
      <c r="F427" t="n">
        <v>0.0</v>
      </c>
      <c r="G427"/>
      <c r="H427"/>
      <c r="I427"/>
      <c r="J427"/>
      <c r="K427"/>
    </row>
    <row r="428" spans="1:2" ht="13.5" customHeight="true" x14ac:dyDescent="0.15" hidden="false">
      <c r="A428" t="s">
        <v>7005</v>
      </c>
      <c r="B428" t="n">
        <v>1.0</v>
      </c>
      <c r="C428" t="n">
        <v>2.61</v>
      </c>
      <c r="D428"/>
      <c r="E428"/>
      <c r="F428" t="n">
        <v>6.75</v>
      </c>
      <c r="G428"/>
      <c r="H428"/>
      <c r="I428" t="n">
        <v>4.585554509970289</v>
      </c>
      <c r="J428"/>
      <c r="K428"/>
    </row>
    <row r="429" spans="1:2" ht="13.5" customHeight="true" x14ac:dyDescent="0.15" hidden="false">
      <c r="A429" t="s">
        <v>7005</v>
      </c>
      <c r="B429" t="n">
        <v>2.0</v>
      </c>
      <c r="C429" t="n">
        <v>0.0</v>
      </c>
      <c r="D429"/>
      <c r="E429"/>
      <c r="F429" t="n">
        <v>6.15</v>
      </c>
      <c r="G429"/>
      <c r="H429"/>
      <c r="I429" t="n">
        <v>4.154037696207758</v>
      </c>
      <c r="J429"/>
      <c r="K429"/>
    </row>
    <row r="430" spans="1:2" ht="13.5" customHeight="true" x14ac:dyDescent="0.15" hidden="false">
      <c r="A430" t="s">
        <v>7005</v>
      </c>
      <c r="B430" t="n">
        <v>3.0</v>
      </c>
      <c r="C430"/>
      <c r="D430" t="n">
        <v>0.8</v>
      </c>
      <c r="E430"/>
      <c r="F430"/>
      <c r="G430" t="n">
        <v>6.17</v>
      </c>
      <c r="H430"/>
      <c r="I430"/>
      <c r="J430" t="n">
        <v>3.38199466840998</v>
      </c>
      <c r="K430"/>
    </row>
    <row r="431" spans="1:2" ht="13.5" customHeight="true" x14ac:dyDescent="0.15" hidden="false">
      <c r="A431" t="s">
        <v>7005</v>
      </c>
      <c r="B431" t="n">
        <v>4.0</v>
      </c>
      <c r="C431"/>
      <c r="D431" t="n">
        <v>0.0</v>
      </c>
      <c r="E431"/>
      <c r="F431"/>
      <c r="G431" t="n">
        <v>4.1</v>
      </c>
      <c r="H431"/>
      <c r="I431"/>
      <c r="J431" t="n">
        <v>3.5319855744769413</v>
      </c>
      <c r="K431"/>
    </row>
    <row r="432" spans="1:2" ht="13.5" customHeight="true" x14ac:dyDescent="0.15" hidden="false">
      <c r="A432" t="s">
        <v>7005</v>
      </c>
      <c r="B432" t="n">
        <v>5.0</v>
      </c>
      <c r="C432"/>
      <c r="D432"/>
      <c r="E432" t="n">
        <v>0.79</v>
      </c>
      <c r="F432"/>
      <c r="G432"/>
      <c r="H432" t="n">
        <v>5.77</v>
      </c>
      <c r="I432"/>
      <c r="J432"/>
      <c r="K432" t="n">
        <v>1.2079645046393812</v>
      </c>
    </row>
    <row r="433" spans="1:2" ht="13.5" customHeight="true" x14ac:dyDescent="0.15" hidden="false">
      <c r="A433" t="s">
        <v>7005</v>
      </c>
      <c r="B433" t="n">
        <v>6.0</v>
      </c>
      <c r="C433"/>
      <c r="D433"/>
      <c r="E433" t="n">
        <v>0.0</v>
      </c>
      <c r="F433"/>
      <c r="G433"/>
      <c r="H433" t="n">
        <v>3.52</v>
      </c>
      <c r="I433"/>
      <c r="J433"/>
      <c r="K433" t="n">
        <v>2.6374086945981405</v>
      </c>
    </row>
    <row r="434" spans="1:2" ht="13.5" customHeight="true" x14ac:dyDescent="0.15" hidden="false">
      <c r="A434" t="s">
        <v>7005</v>
      </c>
      <c r="B434" t="n">
        <v>7.0</v>
      </c>
      <c r="C434" t="n">
        <v>3.6</v>
      </c>
      <c r="D434"/>
      <c r="E434"/>
      <c r="F434" t="n">
        <v>6.77</v>
      </c>
      <c r="G434"/>
      <c r="H434"/>
      <c r="I434" t="n">
        <v>4.038509556282127</v>
      </c>
      <c r="J434"/>
      <c r="K434"/>
    </row>
    <row r="435" spans="1:2" ht="13.5" customHeight="true" x14ac:dyDescent="0.15" hidden="false">
      <c r="A435" t="s">
        <v>7005</v>
      </c>
      <c r="B435" t="n">
        <v>8.0</v>
      </c>
      <c r="C435" t="n">
        <v>0.0</v>
      </c>
      <c r="D435"/>
      <c r="E435"/>
      <c r="F435" t="n">
        <v>4.27</v>
      </c>
      <c r="G435"/>
      <c r="H435"/>
      <c r="I435" t="n">
        <v>3.8164257573394083</v>
      </c>
      <c r="J435"/>
      <c r="K435"/>
    </row>
    <row r="436" spans="1:2" ht="13.5" customHeight="true" x14ac:dyDescent="0.15" hidden="false">
      <c r="A436" t="s">
        <v>7005</v>
      </c>
      <c r="B436" t="n">
        <v>9.0</v>
      </c>
      <c r="C436"/>
      <c r="D436" t="n">
        <v>2.03</v>
      </c>
      <c r="E436"/>
      <c r="F436"/>
      <c r="G436" t="n">
        <v>5.87</v>
      </c>
      <c r="H436"/>
      <c r="I436"/>
      <c r="J436" t="n">
        <v>3.4998799806360137</v>
      </c>
      <c r="K436"/>
    </row>
    <row r="437" spans="1:2" ht="13.5" customHeight="true" x14ac:dyDescent="0.15" hidden="false">
      <c r="A437" t="s">
        <v>7005</v>
      </c>
      <c r="B437" t="n">
        <v>10.0</v>
      </c>
      <c r="C437"/>
      <c r="D437" t="n">
        <v>0.0</v>
      </c>
      <c r="E437"/>
      <c r="F437"/>
      <c r="G437" t="n">
        <v>0.0</v>
      </c>
      <c r="H437"/>
      <c r="I437"/>
      <c r="J437"/>
      <c r="K437"/>
    </row>
    <row r="438" spans="1:2" ht="13.5" customHeight="true" x14ac:dyDescent="0.15" hidden="false">
      <c r="A438" t="s">
        <v>7005</v>
      </c>
      <c r="B438" t="n">
        <v>11.0</v>
      </c>
      <c r="C438"/>
      <c r="D438"/>
      <c r="E438" t="n">
        <v>0.0</v>
      </c>
      <c r="F438"/>
      <c r="G438"/>
      <c r="H438" t="n">
        <v>4.91</v>
      </c>
      <c r="I438"/>
      <c r="J438"/>
      <c r="K438" t="n">
        <v>2.8968455462412526</v>
      </c>
    </row>
    <row r="439" spans="1:2" ht="13.5" customHeight="true" x14ac:dyDescent="0.15" hidden="false">
      <c r="A439" t="s">
        <v>7005</v>
      </c>
      <c r="B439" t="n">
        <v>12.0</v>
      </c>
      <c r="C439"/>
      <c r="D439"/>
      <c r="E439" t="n">
        <v>0.0</v>
      </c>
      <c r="F439"/>
      <c r="G439"/>
      <c r="H439" t="n">
        <v>0.0</v>
      </c>
      <c r="I439"/>
      <c r="J439"/>
      <c r="K439"/>
    </row>
    <row r="440" spans="1:2" ht="13.5" customHeight="true" x14ac:dyDescent="0.15" hidden="false">
      <c r="A440" t="s">
        <v>7005</v>
      </c>
      <c r="B440" t="n">
        <v>13.0</v>
      </c>
      <c r="C440" t="n">
        <v>0.0</v>
      </c>
      <c r="D440"/>
      <c r="E440"/>
      <c r="F440" t="n">
        <v>8.12</v>
      </c>
      <c r="G440"/>
      <c r="H440"/>
      <c r="I440" t="n">
        <v>5.0606469601323285</v>
      </c>
      <c r="J440"/>
      <c r="K440"/>
    </row>
    <row r="441" spans="1:2" ht="13.5" customHeight="true" x14ac:dyDescent="0.15" hidden="false">
      <c r="A441" t="s">
        <v>7005</v>
      </c>
      <c r="B441" t="n">
        <v>14.0</v>
      </c>
      <c r="C441" t="n">
        <v>0.0</v>
      </c>
      <c r="D441"/>
      <c r="E441"/>
      <c r="F441" t="n">
        <v>0.0</v>
      </c>
      <c r="G441"/>
      <c r="H441"/>
      <c r="I441"/>
      <c r="J441"/>
      <c r="K441"/>
    </row>
    <row r="442" spans="1:2" ht="13.5" customHeight="true" x14ac:dyDescent="0.15" hidden="false">
      <c r="A442" t="s">
        <v>7005</v>
      </c>
      <c r="B442" t="n">
        <v>15.0</v>
      </c>
      <c r="C442"/>
      <c r="D442" t="n">
        <v>0.0</v>
      </c>
      <c r="E442"/>
      <c r="F442"/>
      <c r="G442" t="n">
        <v>4.25</v>
      </c>
      <c r="H442"/>
      <c r="I442"/>
      <c r="J442" t="n">
        <v>3.905615064809628</v>
      </c>
      <c r="K442"/>
    </row>
    <row r="443" spans="1:2" ht="13.5" customHeight="true" x14ac:dyDescent="0.15" hidden="false">
      <c r="A443" t="s">
        <v>7005</v>
      </c>
      <c r="B443" t="n">
        <v>16.0</v>
      </c>
      <c r="C443"/>
      <c r="D443" t="n">
        <v>0.0</v>
      </c>
      <c r="E443"/>
      <c r="F443"/>
      <c r="G443" t="n">
        <v>0.0</v>
      </c>
      <c r="H443"/>
      <c r="I443"/>
      <c r="J443"/>
      <c r="K443"/>
    </row>
    <row r="444" spans="1:2" ht="13.5" customHeight="true" x14ac:dyDescent="0.15" hidden="false">
      <c r="A444" t="s">
        <v>7005</v>
      </c>
      <c r="B444" t="n">
        <v>17.0</v>
      </c>
      <c r="C444"/>
      <c r="D444"/>
      <c r="E444" t="n">
        <v>0.0</v>
      </c>
      <c r="F444"/>
      <c r="G444"/>
      <c r="H444" t="n">
        <v>2.14</v>
      </c>
      <c r="I444"/>
      <c r="J444"/>
      <c r="K444" t="n">
        <v>1.9962047006365833</v>
      </c>
    </row>
    <row r="445" spans="1:2" ht="13.5" customHeight="true" x14ac:dyDescent="0.15" hidden="false">
      <c r="A445" t="s">
        <v>7005</v>
      </c>
      <c r="B445" t="n">
        <v>18.0</v>
      </c>
      <c r="C445"/>
      <c r="D445"/>
      <c r="E445" t="n">
        <v>0.0</v>
      </c>
      <c r="F445"/>
      <c r="G445"/>
      <c r="H445" t="n">
        <v>0.0</v>
      </c>
      <c r="I445"/>
      <c r="J445"/>
      <c r="K445"/>
    </row>
    <row r="446" spans="1:2" ht="13.5" customHeight="true" x14ac:dyDescent="0.15" hidden="false">
      <c r="A446" t="s">
        <v>7005</v>
      </c>
      <c r="B446" t="n">
        <v>19.0</v>
      </c>
      <c r="C446" t="n">
        <v>0.0</v>
      </c>
      <c r="D446"/>
      <c r="E446"/>
      <c r="F446" t="n">
        <v>0.0</v>
      </c>
      <c r="G446"/>
      <c r="H446"/>
      <c r="I446"/>
      <c r="J446"/>
      <c r="K446"/>
    </row>
    <row r="447" spans="1:2" ht="13.5" customHeight="true" x14ac:dyDescent="0.15" hidden="false">
      <c r="A447" t="s">
        <v>7005</v>
      </c>
      <c r="B447" t="n">
        <v>20.0</v>
      </c>
      <c r="C447" t="n">
        <v>0.0</v>
      </c>
      <c r="D447"/>
      <c r="E447"/>
      <c r="F447" t="n">
        <v>0.0</v>
      </c>
      <c r="G447"/>
      <c r="H447"/>
      <c r="I447"/>
      <c r="J447"/>
      <c r="K447"/>
    </row>
    <row r="448" spans="1:2" ht="13.5" customHeight="true" x14ac:dyDescent="0.15" hidden="false">
      <c r="A448" t="s">
        <v>7005</v>
      </c>
      <c r="B448" t="n">
        <v>21.0</v>
      </c>
      <c r="C448"/>
      <c r="D448" t="n">
        <v>0.0</v>
      </c>
      <c r="E448"/>
      <c r="F448"/>
      <c r="G448" t="n">
        <v>0.0</v>
      </c>
      <c r="H448"/>
      <c r="I448"/>
      <c r="J448"/>
      <c r="K448"/>
    </row>
    <row r="449" spans="1:2" ht="13.5" customHeight="true" x14ac:dyDescent="0.15" hidden="false">
      <c r="A449" t="s">
        <v>7005</v>
      </c>
      <c r="B449" t="n">
        <v>22.0</v>
      </c>
      <c r="C449"/>
      <c r="D449" t="n">
        <v>0.0</v>
      </c>
      <c r="E449"/>
      <c r="F449"/>
      <c r="G449" t="n">
        <v>0.0</v>
      </c>
      <c r="H449"/>
      <c r="I449"/>
      <c r="J449"/>
      <c r="K449"/>
    </row>
    <row r="450" spans="1:2" ht="13.5" customHeight="true" x14ac:dyDescent="0.15" hidden="false">
      <c r="A450" t="s">
        <v>7005</v>
      </c>
      <c r="B450" t="n">
        <v>23.0</v>
      </c>
      <c r="C450"/>
      <c r="D450"/>
      <c r="E450" t="n">
        <v>0.0</v>
      </c>
      <c r="F450"/>
      <c r="G450"/>
      <c r="H450" t="n">
        <v>0.0</v>
      </c>
      <c r="I450"/>
      <c r="J450"/>
      <c r="K450"/>
    </row>
    <row r="451" spans="1:2" ht="13.5" customHeight="true" x14ac:dyDescent="0.15" hidden="false">
      <c r="A451" t="s">
        <v>7005</v>
      </c>
      <c r="B451" t="n">
        <v>24.0</v>
      </c>
      <c r="C451"/>
      <c r="D451"/>
      <c r="E451" t="n">
        <v>0.0</v>
      </c>
      <c r="F451"/>
      <c r="G451"/>
      <c r="H451" t="n">
        <v>0.0</v>
      </c>
      <c r="I451"/>
      <c r="J451"/>
      <c r="K451"/>
    </row>
    <row r="452" spans="1:2" ht="13.5" customHeight="true" x14ac:dyDescent="0.15" hidden="false">
      <c r="A452" t="s">
        <v>7005</v>
      </c>
      <c r="B452" t="n">
        <v>25.0</v>
      </c>
      <c r="C452" t="n">
        <v>0.0</v>
      </c>
      <c r="D452"/>
      <c r="E452"/>
      <c r="F452" t="n">
        <v>0.0</v>
      </c>
      <c r="G452"/>
      <c r="H452"/>
      <c r="I452"/>
      <c r="J452"/>
      <c r="K452"/>
    </row>
    <row r="453" spans="1:2" ht="13.5" customHeight="true" x14ac:dyDescent="0.15" hidden="false">
      <c r="A453" t="s">
        <v>7005</v>
      </c>
      <c r="B453" t="n">
        <v>26.0</v>
      </c>
      <c r="C453" t="n">
        <v>0.0</v>
      </c>
      <c r="D453"/>
      <c r="E453"/>
      <c r="F453" t="n">
        <v>0.0</v>
      </c>
      <c r="G453"/>
      <c r="H453"/>
      <c r="I453"/>
      <c r="J453"/>
      <c r="K453"/>
    </row>
    <row r="454" spans="1:2" ht="13.5" customHeight="true" x14ac:dyDescent="0.15" hidden="false">
      <c r="A454" t="s">
        <v>7005</v>
      </c>
      <c r="B454" t="n">
        <v>27.0</v>
      </c>
      <c r="C454"/>
      <c r="D454" t="n">
        <v>0.0</v>
      </c>
      <c r="E454"/>
      <c r="F454"/>
      <c r="G454" t="n">
        <v>0.0</v>
      </c>
      <c r="H454"/>
      <c r="I454"/>
      <c r="J454"/>
      <c r="K454"/>
    </row>
    <row r="455" spans="1:2" ht="13.5" customHeight="true" x14ac:dyDescent="0.15" hidden="false">
      <c r="A455" t="s">
        <v>7005</v>
      </c>
      <c r="B455" t="n">
        <v>28.0</v>
      </c>
      <c r="C455"/>
      <c r="D455" t="n">
        <v>0.0</v>
      </c>
      <c r="E455"/>
      <c r="F455"/>
      <c r="G455" t="n">
        <v>0.0</v>
      </c>
      <c r="H455"/>
      <c r="I455"/>
      <c r="J455"/>
      <c r="K455"/>
    </row>
    <row r="456" spans="1:2" ht="13.5" customHeight="true" x14ac:dyDescent="0.15" hidden="false">
      <c r="A456" t="s">
        <v>7005</v>
      </c>
      <c r="B456" t="n">
        <v>29.0</v>
      </c>
      <c r="C456"/>
      <c r="D456"/>
      <c r="E456" t="n">
        <v>0.0</v>
      </c>
      <c r="F456"/>
      <c r="G456"/>
      <c r="H456" t="n">
        <v>0.0</v>
      </c>
      <c r="I456"/>
      <c r="J456"/>
      <c r="K456"/>
    </row>
    <row r="457" spans="1:2" ht="13.5" customHeight="true" x14ac:dyDescent="0.15" hidden="false">
      <c r="A457" t="s">
        <v>7005</v>
      </c>
      <c r="B457" t="n">
        <v>30.0</v>
      </c>
      <c r="C457"/>
      <c r="D457"/>
      <c r="E457" t="n">
        <v>0.0</v>
      </c>
      <c r="F457"/>
      <c r="G457"/>
      <c r="H457" t="n">
        <v>0.0</v>
      </c>
      <c r="I457"/>
      <c r="J457"/>
      <c r="K457"/>
    </row>
    <row r="458" spans="1:2" ht="13.5" customHeight="true" x14ac:dyDescent="0.15" hidden="false">
      <c r="A458" t="s">
        <v>7005</v>
      </c>
      <c r="B458" t="n">
        <v>31.0</v>
      </c>
      <c r="C458" t="n">
        <v>0.0</v>
      </c>
      <c r="D458"/>
      <c r="E458"/>
      <c r="F458" t="n">
        <v>0.0</v>
      </c>
      <c r="G458"/>
      <c r="H458"/>
      <c r="I458"/>
      <c r="J458"/>
      <c r="K458"/>
    </row>
    <row r="459" spans="1:2" ht="13.5" customHeight="true" x14ac:dyDescent="0.15" hidden="false">
      <c r="A459" t="s">
        <v>7005</v>
      </c>
      <c r="B459" t="n">
        <v>32.0</v>
      </c>
      <c r="C459" t="n">
        <v>0.0</v>
      </c>
      <c r="D459"/>
      <c r="E459"/>
      <c r="F459" t="n">
        <v>0.0</v>
      </c>
      <c r="G459"/>
      <c r="H459"/>
      <c r="I459"/>
      <c r="J459"/>
      <c r="K459"/>
    </row>
    <row r="460" spans="1:2" ht="13.5" customHeight="true" x14ac:dyDescent="0.15" hidden="false">
      <c r="A460" t="s">
        <v>7005</v>
      </c>
      <c r="B460" t="n">
        <v>33.0</v>
      </c>
      <c r="C460"/>
      <c r="D460" t="n">
        <v>0.0</v>
      </c>
      <c r="E460"/>
      <c r="F460"/>
      <c r="G460" t="n">
        <v>0.0</v>
      </c>
      <c r="H460"/>
      <c r="I460"/>
      <c r="J460"/>
      <c r="K460"/>
    </row>
    <row r="461" spans="1:2" ht="13.5" customHeight="true" x14ac:dyDescent="0.15" hidden="false">
      <c r="A461" t="s">
        <v>7005</v>
      </c>
      <c r="B461" t="n">
        <v>34.0</v>
      </c>
      <c r="C461"/>
      <c r="D461" t="n">
        <v>0.0</v>
      </c>
      <c r="E461"/>
      <c r="F461"/>
      <c r="G461" t="n">
        <v>0.0</v>
      </c>
      <c r="H461"/>
      <c r="I461"/>
      <c r="J461"/>
      <c r="K461"/>
    </row>
    <row r="462" spans="1:2" ht="13.5" customHeight="true" x14ac:dyDescent="0.15" hidden="false">
      <c r="A462" t="s">
        <v>7005</v>
      </c>
      <c r="B462" t="n">
        <v>35.0</v>
      </c>
      <c r="C462"/>
      <c r="D462"/>
      <c r="E462" t="n">
        <v>0.0</v>
      </c>
      <c r="F462"/>
      <c r="G462"/>
      <c r="H462" t="n">
        <v>0.0</v>
      </c>
      <c r="I462"/>
      <c r="J462"/>
      <c r="K462"/>
    </row>
    <row r="463" spans="1:2" ht="13.5" customHeight="true" x14ac:dyDescent="0.15" hidden="false">
      <c r="A463" t="s">
        <v>7005</v>
      </c>
      <c r="B463" t="n">
        <v>36.0</v>
      </c>
      <c r="C463"/>
      <c r="D463"/>
      <c r="E463" t="n">
        <v>0.0</v>
      </c>
      <c r="F463"/>
      <c r="G463"/>
      <c r="H463" t="n">
        <v>0.0</v>
      </c>
      <c r="I463"/>
      <c r="J463"/>
      <c r="K463"/>
    </row>
    <row r="464" spans="1:2" ht="13.5" customHeight="true" x14ac:dyDescent="0.15" hidden="false">
      <c r="A464" t="s">
        <v>7005</v>
      </c>
      <c r="B464" t="n">
        <v>37.0</v>
      </c>
      <c r="C464" t="n">
        <v>0.0</v>
      </c>
      <c r="D464"/>
      <c r="E464"/>
      <c r="F464" t="n">
        <v>0.0</v>
      </c>
      <c r="G464"/>
      <c r="H464"/>
      <c r="I464"/>
      <c r="J464"/>
      <c r="K464"/>
    </row>
    <row r="465" spans="1:2" ht="13.5" customHeight="true" x14ac:dyDescent="0.15" hidden="false">
      <c r="A465" t="s">
        <v>7005</v>
      </c>
      <c r="B465" t="n">
        <v>38.0</v>
      </c>
      <c r="C465" t="n">
        <v>0.0</v>
      </c>
      <c r="D465"/>
      <c r="E465"/>
      <c r="F465" t="n">
        <v>0.0</v>
      </c>
      <c r="G465"/>
      <c r="H465"/>
      <c r="I465"/>
      <c r="J465"/>
      <c r="K465"/>
    </row>
    <row r="466" spans="1:2" ht="13.5" customHeight="true" x14ac:dyDescent="0.15" hidden="false">
      <c r="A466" t="s">
        <v>7005</v>
      </c>
      <c r="B466" t="n">
        <v>39.0</v>
      </c>
      <c r="C466"/>
      <c r="D466" t="n">
        <v>0.0</v>
      </c>
      <c r="E466"/>
      <c r="F466"/>
      <c r="G466" t="n">
        <v>0.0</v>
      </c>
      <c r="H466"/>
      <c r="I466"/>
      <c r="J466"/>
      <c r="K466"/>
    </row>
    <row r="467" spans="1:2" ht="13.5" customHeight="true" x14ac:dyDescent="0.15" hidden="false">
      <c r="A467" t="s">
        <v>7005</v>
      </c>
      <c r="B467" t="n">
        <v>40.0</v>
      </c>
      <c r="C467"/>
      <c r="D467" t="n">
        <v>0.0</v>
      </c>
      <c r="E467"/>
      <c r="F467"/>
      <c r="G467" t="n">
        <v>0.0</v>
      </c>
      <c r="H467"/>
      <c r="I467"/>
      <c r="J467"/>
      <c r="K467"/>
    </row>
    <row r="468" spans="1:2" ht="13.5" customHeight="true" x14ac:dyDescent="0.15" hidden="false">
      <c r="A468" t="s">
        <v>7005</v>
      </c>
      <c r="B468" t="n">
        <v>41.0</v>
      </c>
      <c r="C468"/>
      <c r="D468"/>
      <c r="E468" t="n">
        <v>0.0</v>
      </c>
      <c r="F468"/>
      <c r="G468"/>
      <c r="H468" t="n">
        <v>0.0</v>
      </c>
      <c r="I468"/>
      <c r="J468"/>
      <c r="K468"/>
    </row>
    <row r="469" spans="1:2" ht="13.5" customHeight="true" x14ac:dyDescent="0.15" hidden="false">
      <c r="A469" t="s">
        <v>7005</v>
      </c>
      <c r="B469" t="n">
        <v>42.0</v>
      </c>
      <c r="C469"/>
      <c r="D469"/>
      <c r="E469" t="n">
        <v>0.0</v>
      </c>
      <c r="F469"/>
      <c r="G469"/>
      <c r="H469" t="n">
        <v>0.0</v>
      </c>
      <c r="I469"/>
      <c r="J469"/>
      <c r="K469"/>
    </row>
    <row r="470" spans="1:2" ht="13.5" customHeight="true" x14ac:dyDescent="0.15" hidden="false">
      <c r="A470" t="s">
        <v>7005</v>
      </c>
      <c r="B470" t="n">
        <v>43.0</v>
      </c>
      <c r="C470" t="n">
        <v>0.0</v>
      </c>
      <c r="D470"/>
      <c r="E470"/>
      <c r="F470" t="n">
        <v>0.0</v>
      </c>
      <c r="G470"/>
      <c r="H470"/>
      <c r="I470"/>
      <c r="J470"/>
      <c r="K470"/>
    </row>
    <row r="471" spans="1:2" ht="13.5" customHeight="true" x14ac:dyDescent="0.15" hidden="false">
      <c r="A471" t="s">
        <v>7005</v>
      </c>
      <c r="B471" t="n">
        <v>44.0</v>
      </c>
      <c r="C471" t="n">
        <v>0.0</v>
      </c>
      <c r="D471"/>
      <c r="E471"/>
      <c r="F471" t="n">
        <v>0.0</v>
      </c>
      <c r="G471"/>
      <c r="H471"/>
      <c r="I471"/>
      <c r="J471"/>
      <c r="K471"/>
    </row>
    <row r="472" spans="1:2" ht="13.5" customHeight="true" x14ac:dyDescent="0.15" hidden="false">
      <c r="A472" t="s">
        <v>7005</v>
      </c>
      <c r="B472" t="n">
        <v>45.0</v>
      </c>
      <c r="C472"/>
      <c r="D472" t="n">
        <v>0.0</v>
      </c>
      <c r="E472"/>
      <c r="F472"/>
      <c r="G472" t="n">
        <v>0.0</v>
      </c>
      <c r="H472"/>
      <c r="I472"/>
      <c r="J472"/>
      <c r="K472"/>
    </row>
    <row r="473" spans="1:2" ht="13.5" customHeight="true" x14ac:dyDescent="0.15" hidden="false">
      <c r="A473" t="s">
        <v>7005</v>
      </c>
      <c r="B473" t="n">
        <v>46.0</v>
      </c>
      <c r="C473"/>
      <c r="D473" t="n">
        <v>0.0</v>
      </c>
      <c r="E473"/>
      <c r="F473"/>
      <c r="G473" t="n">
        <v>0.0</v>
      </c>
      <c r="H473"/>
      <c r="I473"/>
      <c r="J473"/>
      <c r="K473"/>
    </row>
    <row r="474" spans="1:2" ht="13.5" customHeight="true" x14ac:dyDescent="0.15" hidden="false">
      <c r="A474" t="s">
        <v>7005</v>
      </c>
      <c r="B474" t="n">
        <v>47.0</v>
      </c>
      <c r="C474"/>
      <c r="D474"/>
      <c r="E474" t="n">
        <v>0.0</v>
      </c>
      <c r="F474"/>
      <c r="G474"/>
      <c r="H474" t="n">
        <v>0.0</v>
      </c>
      <c r="I474"/>
      <c r="J474"/>
      <c r="K474"/>
    </row>
    <row r="475" spans="1:2" ht="13.5" customHeight="true" x14ac:dyDescent="0.15" hidden="false">
      <c r="A475" t="s">
        <v>7005</v>
      </c>
      <c r="B475" t="n">
        <v>48.0</v>
      </c>
      <c r="C475"/>
      <c r="D475"/>
      <c r="E475" t="n">
        <v>0.0</v>
      </c>
      <c r="F475"/>
      <c r="G475"/>
      <c r="H475" t="n">
        <v>0.0</v>
      </c>
      <c r="I475"/>
      <c r="J475"/>
      <c r="K475"/>
    </row>
    <row r="476" spans="1:2" ht="13.5" customHeight="true" x14ac:dyDescent="0.15" hidden="false">
      <c r="A476" t="s">
        <v>7005</v>
      </c>
      <c r="B476" t="n">
        <v>49.0</v>
      </c>
      <c r="C476" t="n">
        <v>0.0</v>
      </c>
      <c r="D476"/>
      <c r="E476"/>
      <c r="F476" t="n">
        <v>0.0</v>
      </c>
      <c r="G476"/>
      <c r="H476"/>
      <c r="I476"/>
      <c r="J476"/>
      <c r="K476"/>
    </row>
    <row r="477" spans="1:2" ht="13.5" customHeight="true" x14ac:dyDescent="0.15" hidden="false">
      <c r="A477" t="s">
        <v>7005</v>
      </c>
      <c r="B477" t="n">
        <v>50.0</v>
      </c>
      <c r="C477" t="n">
        <v>0.0</v>
      </c>
      <c r="D477"/>
      <c r="E477"/>
      <c r="F477" t="n">
        <v>0.0</v>
      </c>
      <c r="G477"/>
      <c r="H477"/>
      <c r="I477"/>
      <c r="J477"/>
      <c r="K477"/>
    </row>
    <row r="478" spans="1:2" ht="13.5" customHeight="true" x14ac:dyDescent="0.15" hidden="false">
      <c r="A478" t="s">
        <v>7006</v>
      </c>
      <c r="B478" t="n">
        <v>1.0</v>
      </c>
      <c r="C478" t="n">
        <v>2.2</v>
      </c>
      <c r="D478"/>
      <c r="E478"/>
      <c r="F478" t="n">
        <v>5.46</v>
      </c>
      <c r="G478"/>
      <c r="H478"/>
      <c r="I478" t="n">
        <v>3.4110275072707483</v>
      </c>
      <c r="J478"/>
      <c r="K478"/>
    </row>
    <row r="479" spans="1:2" ht="13.5" customHeight="true" x14ac:dyDescent="0.15" hidden="false">
      <c r="A479" t="s">
        <v>7006</v>
      </c>
      <c r="B479" t="n">
        <v>2.0</v>
      </c>
      <c r="C479" t="n">
        <v>0.0</v>
      </c>
      <c r="D479"/>
      <c r="E479"/>
      <c r="F479" t="n">
        <v>6.6899999999999995</v>
      </c>
      <c r="G479"/>
      <c r="H479"/>
      <c r="I479" t="n">
        <v>4.551708126024627</v>
      </c>
      <c r="J479"/>
      <c r="K479"/>
    </row>
    <row r="480" spans="1:2" ht="13.5" customHeight="true" x14ac:dyDescent="0.15" hidden="false">
      <c r="A480" t="s">
        <v>7006</v>
      </c>
      <c r="B480" t="n">
        <v>3.0</v>
      </c>
      <c r="C480"/>
      <c r="D480" t="n">
        <v>0.85</v>
      </c>
      <c r="E480"/>
      <c r="F480"/>
      <c r="G480" t="n">
        <v>6.39</v>
      </c>
      <c r="H480"/>
      <c r="I480"/>
      <c r="J480" t="n">
        <v>3.681532228062914</v>
      </c>
      <c r="K480"/>
    </row>
    <row r="481" spans="1:2" ht="13.5" customHeight="true" x14ac:dyDescent="0.15" hidden="false">
      <c r="A481" t="s">
        <v>7006</v>
      </c>
      <c r="B481" t="n">
        <v>4.0</v>
      </c>
      <c r="C481"/>
      <c r="D481" t="n">
        <v>0.0</v>
      </c>
      <c r="E481"/>
      <c r="F481"/>
      <c r="G481" t="n">
        <v>4.28</v>
      </c>
      <c r="H481"/>
      <c r="I481"/>
      <c r="J481" t="n">
        <v>3.707268990197321</v>
      </c>
      <c r="K481"/>
    </row>
    <row r="482" spans="1:2" ht="13.5" customHeight="true" x14ac:dyDescent="0.15" hidden="false">
      <c r="A482" t="s">
        <v>7006</v>
      </c>
      <c r="B482" t="n">
        <v>5.0</v>
      </c>
      <c r="C482"/>
      <c r="D482"/>
      <c r="E482" t="n">
        <v>0.83</v>
      </c>
      <c r="F482"/>
      <c r="G482"/>
      <c r="H482" t="n">
        <v>6.22</v>
      </c>
      <c r="I482"/>
      <c r="J482"/>
      <c r="K482" t="n">
        <v>1.3534738941436142</v>
      </c>
    </row>
    <row r="483" spans="1:2" ht="13.5" customHeight="true" x14ac:dyDescent="0.15" hidden="false">
      <c r="A483" t="s">
        <v>7006</v>
      </c>
      <c r="B483" t="n">
        <v>6.0</v>
      </c>
      <c r="C483"/>
      <c r="D483"/>
      <c r="E483" t="n">
        <v>0.0</v>
      </c>
      <c r="F483"/>
      <c r="G483"/>
      <c r="H483" t="n">
        <v>5.68</v>
      </c>
      <c r="I483"/>
      <c r="J483"/>
      <c r="K483" t="n">
        <v>4.330521184728203</v>
      </c>
    </row>
    <row r="484" spans="1:2" ht="13.5" customHeight="true" x14ac:dyDescent="0.15" hidden="false">
      <c r="A484" t="s">
        <v>7006</v>
      </c>
      <c r="B484" t="n">
        <v>7.0</v>
      </c>
      <c r="C484" t="n">
        <v>1.74</v>
      </c>
      <c r="D484"/>
      <c r="E484"/>
      <c r="F484" t="n">
        <v>4.48</v>
      </c>
      <c r="G484"/>
      <c r="H484"/>
      <c r="I484" t="n">
        <v>3.708118547281813</v>
      </c>
      <c r="J484"/>
      <c r="K484"/>
    </row>
    <row r="485" spans="1:2" ht="13.5" customHeight="true" x14ac:dyDescent="0.15" hidden="false">
      <c r="A485" t="s">
        <v>7006</v>
      </c>
      <c r="B485" t="n">
        <v>8.0</v>
      </c>
      <c r="C485" t="n">
        <v>0.0</v>
      </c>
      <c r="D485"/>
      <c r="E485"/>
      <c r="F485" t="n">
        <v>3.98</v>
      </c>
      <c r="G485"/>
      <c r="H485"/>
      <c r="I485" t="n">
        <v>3.549507864096279</v>
      </c>
      <c r="J485"/>
      <c r="K485"/>
    </row>
    <row r="486" spans="1:2" ht="13.5" customHeight="true" x14ac:dyDescent="0.15" hidden="false">
      <c r="A486" t="s">
        <v>7006</v>
      </c>
      <c r="B486" t="n">
        <v>9.0</v>
      </c>
      <c r="C486"/>
      <c r="D486" t="n">
        <v>1.81</v>
      </c>
      <c r="E486"/>
      <c r="F486"/>
      <c r="G486" t="n">
        <v>6.19</v>
      </c>
      <c r="H486"/>
      <c r="I486"/>
      <c r="J486" t="n">
        <v>3.7826846440147364</v>
      </c>
      <c r="K486"/>
    </row>
    <row r="487" spans="1:2" ht="13.5" customHeight="true" x14ac:dyDescent="0.15" hidden="false">
      <c r="A487" t="s">
        <v>7006</v>
      </c>
      <c r="B487" t="n">
        <v>10.0</v>
      </c>
      <c r="C487"/>
      <c r="D487" t="n">
        <v>0.0</v>
      </c>
      <c r="E487"/>
      <c r="F487"/>
      <c r="G487" t="n">
        <v>0.0</v>
      </c>
      <c r="H487"/>
      <c r="I487"/>
      <c r="J487"/>
      <c r="K487"/>
    </row>
    <row r="488" spans="1:2" ht="13.5" customHeight="true" x14ac:dyDescent="0.15" hidden="false">
      <c r="A488" t="s">
        <v>7006</v>
      </c>
      <c r="B488" t="n">
        <v>11.0</v>
      </c>
      <c r="C488"/>
      <c r="D488"/>
      <c r="E488" t="n">
        <v>0.0</v>
      </c>
      <c r="F488"/>
      <c r="G488"/>
      <c r="H488" t="n">
        <v>6.43</v>
      </c>
      <c r="I488"/>
      <c r="J488"/>
      <c r="K488" t="n">
        <v>4.3490375026493915</v>
      </c>
    </row>
    <row r="489" spans="1:2" ht="13.5" customHeight="true" x14ac:dyDescent="0.15" hidden="false">
      <c r="A489" t="s">
        <v>7006</v>
      </c>
      <c r="B489" t="n">
        <v>12.0</v>
      </c>
      <c r="C489"/>
      <c r="D489"/>
      <c r="E489" t="n">
        <v>0.0</v>
      </c>
      <c r="F489"/>
      <c r="G489"/>
      <c r="H489" t="n">
        <v>0.0</v>
      </c>
      <c r="I489"/>
      <c r="J489"/>
      <c r="K489"/>
    </row>
    <row r="490" spans="1:2" ht="13.5" customHeight="true" x14ac:dyDescent="0.15" hidden="false">
      <c r="A490" t="s">
        <v>7006</v>
      </c>
      <c r="B490" t="n">
        <v>13.0</v>
      </c>
      <c r="C490" t="n">
        <v>0.0</v>
      </c>
      <c r="D490"/>
      <c r="E490"/>
      <c r="F490" t="n">
        <v>5.76</v>
      </c>
      <c r="G490"/>
      <c r="H490"/>
      <c r="I490" t="n">
        <v>2.7069253839166856</v>
      </c>
      <c r="J490"/>
      <c r="K490"/>
    </row>
    <row r="491" spans="1:2" ht="13.5" customHeight="true" x14ac:dyDescent="0.15" hidden="false">
      <c r="A491" t="s">
        <v>7006</v>
      </c>
      <c r="B491" t="n">
        <v>14.0</v>
      </c>
      <c r="C491" t="n">
        <v>0.0</v>
      </c>
      <c r="D491"/>
      <c r="E491"/>
      <c r="F491" t="n">
        <v>0.0</v>
      </c>
      <c r="G491"/>
      <c r="H491"/>
      <c r="I491"/>
      <c r="J491"/>
      <c r="K491"/>
    </row>
    <row r="492" spans="1:2" ht="13.5" customHeight="true" x14ac:dyDescent="0.15" hidden="false">
      <c r="A492" t="s">
        <v>7006</v>
      </c>
      <c r="B492" t="n">
        <v>15.0</v>
      </c>
      <c r="C492"/>
      <c r="D492" t="n">
        <v>0.0</v>
      </c>
      <c r="E492"/>
      <c r="F492"/>
      <c r="G492" t="n">
        <v>4.01</v>
      </c>
      <c r="H492"/>
      <c r="I492"/>
      <c r="J492" t="n">
        <v>3.624065911812693</v>
      </c>
      <c r="K492"/>
    </row>
    <row r="493" spans="1:2" ht="13.5" customHeight="true" x14ac:dyDescent="0.15" hidden="false">
      <c r="A493" t="s">
        <v>7006</v>
      </c>
      <c r="B493" t="n">
        <v>16.0</v>
      </c>
      <c r="C493"/>
      <c r="D493" t="n">
        <v>0.0</v>
      </c>
      <c r="E493"/>
      <c r="F493"/>
      <c r="G493" t="n">
        <v>0.0</v>
      </c>
      <c r="H493"/>
      <c r="I493"/>
      <c r="J493"/>
      <c r="K493"/>
    </row>
    <row r="494" spans="1:2" ht="13.5" customHeight="true" x14ac:dyDescent="0.15" hidden="false">
      <c r="A494" t="s">
        <v>7006</v>
      </c>
      <c r="B494" t="n">
        <v>17.0</v>
      </c>
      <c r="C494"/>
      <c r="D494"/>
      <c r="E494" t="n">
        <v>0.0</v>
      </c>
      <c r="F494"/>
      <c r="G494"/>
      <c r="H494" t="n">
        <v>1.94</v>
      </c>
      <c r="I494"/>
      <c r="J494"/>
      <c r="K494" t="n">
        <v>1.794012204819564</v>
      </c>
    </row>
    <row r="495" spans="1:2" ht="13.5" customHeight="true" x14ac:dyDescent="0.15" hidden="false">
      <c r="A495" t="s">
        <v>7006</v>
      </c>
      <c r="B495" t="n">
        <v>18.0</v>
      </c>
      <c r="C495"/>
      <c r="D495"/>
      <c r="E495" t="n">
        <v>0.0</v>
      </c>
      <c r="F495"/>
      <c r="G495"/>
      <c r="H495" t="n">
        <v>0.0</v>
      </c>
      <c r="I495"/>
      <c r="J495"/>
      <c r="K495"/>
    </row>
    <row r="496" spans="1:2" ht="13.5" customHeight="true" x14ac:dyDescent="0.15" hidden="false">
      <c r="A496" t="s">
        <v>7006</v>
      </c>
      <c r="B496" t="n">
        <v>19.0</v>
      </c>
      <c r="C496" t="n">
        <v>0.0</v>
      </c>
      <c r="D496"/>
      <c r="E496"/>
      <c r="F496" t="n">
        <v>0.0</v>
      </c>
      <c r="G496"/>
      <c r="H496"/>
      <c r="I496"/>
      <c r="J496"/>
      <c r="K496"/>
    </row>
    <row r="497" spans="1:2" ht="13.5" customHeight="true" x14ac:dyDescent="0.15" hidden="false">
      <c r="A497" t="s">
        <v>7006</v>
      </c>
      <c r="B497" t="n">
        <v>20.0</v>
      </c>
      <c r="C497" t="n">
        <v>0.0</v>
      </c>
      <c r="D497"/>
      <c r="E497"/>
      <c r="F497" t="n">
        <v>0.0</v>
      </c>
      <c r="G497"/>
      <c r="H497"/>
      <c r="I497"/>
      <c r="J497"/>
      <c r="K497"/>
    </row>
    <row r="498" spans="1:2" ht="13.5" customHeight="true" x14ac:dyDescent="0.15" hidden="false">
      <c r="A498" t="s">
        <v>7006</v>
      </c>
      <c r="B498" t="n">
        <v>21.0</v>
      </c>
      <c r="C498"/>
      <c r="D498" t="n">
        <v>0.0</v>
      </c>
      <c r="E498"/>
      <c r="F498"/>
      <c r="G498" t="n">
        <v>0.0</v>
      </c>
      <c r="H498"/>
      <c r="I498"/>
      <c r="J498"/>
      <c r="K498"/>
    </row>
    <row r="499" spans="1:2" ht="13.5" customHeight="true" x14ac:dyDescent="0.15" hidden="false">
      <c r="A499" t="s">
        <v>7006</v>
      </c>
      <c r="B499" t="n">
        <v>22.0</v>
      </c>
      <c r="C499"/>
      <c r="D499" t="n">
        <v>0.0</v>
      </c>
      <c r="E499"/>
      <c r="F499"/>
      <c r="G499" t="n">
        <v>0.0</v>
      </c>
      <c r="H499"/>
      <c r="I499"/>
      <c r="J499"/>
      <c r="K499"/>
    </row>
    <row r="500" spans="1:2" ht="13.5" customHeight="true" x14ac:dyDescent="0.15" hidden="false">
      <c r="A500" t="s">
        <v>7006</v>
      </c>
      <c r="B500" t="n">
        <v>23.0</v>
      </c>
      <c r="C500"/>
      <c r="D500"/>
      <c r="E500" t="n">
        <v>0.0</v>
      </c>
      <c r="F500"/>
      <c r="G500"/>
      <c r="H500" t="n">
        <v>0.0</v>
      </c>
      <c r="I500"/>
      <c r="J500"/>
      <c r="K500"/>
    </row>
    <row r="501" spans="1:2" ht="13.5" customHeight="true" x14ac:dyDescent="0.15" hidden="false">
      <c r="A501" t="s">
        <v>7006</v>
      </c>
      <c r="B501" t="n">
        <v>24.0</v>
      </c>
      <c r="C501"/>
      <c r="D501"/>
      <c r="E501" t="n">
        <v>0.0</v>
      </c>
      <c r="F501"/>
      <c r="G501"/>
      <c r="H501" t="n">
        <v>0.0</v>
      </c>
      <c r="I501"/>
      <c r="J501"/>
      <c r="K501"/>
    </row>
    <row r="502" spans="1:2" ht="13.5" customHeight="true" x14ac:dyDescent="0.15" hidden="false">
      <c r="A502" t="s">
        <v>7006</v>
      </c>
      <c r="B502" t="n">
        <v>25.0</v>
      </c>
      <c r="C502" t="n">
        <v>0.0</v>
      </c>
      <c r="D502"/>
      <c r="E502"/>
      <c r="F502" t="n">
        <v>0.0</v>
      </c>
      <c r="G502"/>
      <c r="H502"/>
      <c r="I502"/>
      <c r="J502"/>
      <c r="K502"/>
    </row>
    <row r="503" spans="1:2" ht="13.5" customHeight="true" x14ac:dyDescent="0.15" hidden="false">
      <c r="A503" t="s">
        <v>7006</v>
      </c>
      <c r="B503" t="n">
        <v>26.0</v>
      </c>
      <c r="C503" t="n">
        <v>0.0</v>
      </c>
      <c r="D503"/>
      <c r="E503"/>
      <c r="F503" t="n">
        <v>0.0</v>
      </c>
      <c r="G503"/>
      <c r="H503"/>
      <c r="I503"/>
      <c r="J503"/>
      <c r="K503"/>
    </row>
    <row r="504" spans="1:2" ht="13.5" customHeight="true" x14ac:dyDescent="0.15" hidden="false">
      <c r="A504" t="s">
        <v>7006</v>
      </c>
      <c r="B504" t="n">
        <v>27.0</v>
      </c>
      <c r="C504"/>
      <c r="D504" t="n">
        <v>0.0</v>
      </c>
      <c r="E504"/>
      <c r="F504"/>
      <c r="G504" t="n">
        <v>0.0</v>
      </c>
      <c r="H504"/>
      <c r="I504"/>
      <c r="J504"/>
      <c r="K504"/>
    </row>
    <row r="505" spans="1:2" ht="13.5" customHeight="true" x14ac:dyDescent="0.15" hidden="false">
      <c r="A505" t="s">
        <v>7006</v>
      </c>
      <c r="B505" t="n">
        <v>28.0</v>
      </c>
      <c r="C505"/>
      <c r="D505" t="n">
        <v>0.0</v>
      </c>
      <c r="E505"/>
      <c r="F505"/>
      <c r="G505" t="n">
        <v>0.0</v>
      </c>
      <c r="H505"/>
      <c r="I505"/>
      <c r="J505"/>
      <c r="K505"/>
    </row>
    <row r="506" spans="1:2" ht="13.5" customHeight="true" x14ac:dyDescent="0.15" hidden="false">
      <c r="A506" t="s">
        <v>7006</v>
      </c>
      <c r="B506" t="n">
        <v>29.0</v>
      </c>
      <c r="C506"/>
      <c r="D506"/>
      <c r="E506" t="n">
        <v>0.0</v>
      </c>
      <c r="F506"/>
      <c r="G506"/>
      <c r="H506" t="n">
        <v>0.0</v>
      </c>
      <c r="I506"/>
      <c r="J506"/>
      <c r="K506"/>
    </row>
    <row r="507" spans="1:2" ht="13.5" customHeight="true" x14ac:dyDescent="0.15" hidden="false">
      <c r="A507" t="s">
        <v>7006</v>
      </c>
      <c r="B507" t="n">
        <v>30.0</v>
      </c>
      <c r="C507"/>
      <c r="D507"/>
      <c r="E507" t="n">
        <v>0.0</v>
      </c>
      <c r="F507"/>
      <c r="G507"/>
      <c r="H507" t="n">
        <v>0.0</v>
      </c>
      <c r="I507"/>
      <c r="J507"/>
      <c r="K507"/>
    </row>
    <row r="508" spans="1:2" ht="13.5" customHeight="true" x14ac:dyDescent="0.15" hidden="false">
      <c r="A508" t="s">
        <v>7006</v>
      </c>
      <c r="B508" t="n">
        <v>31.0</v>
      </c>
      <c r="C508" t="n">
        <v>0.0</v>
      </c>
      <c r="D508"/>
      <c r="E508"/>
      <c r="F508" t="n">
        <v>0.0</v>
      </c>
      <c r="G508"/>
      <c r="H508"/>
      <c r="I508"/>
      <c r="J508"/>
      <c r="K508"/>
    </row>
    <row r="509" spans="1:2" ht="13.5" customHeight="true" x14ac:dyDescent="0.15" hidden="false">
      <c r="A509" t="s">
        <v>7006</v>
      </c>
      <c r="B509" t="n">
        <v>32.0</v>
      </c>
      <c r="C509" t="n">
        <v>0.0</v>
      </c>
      <c r="D509"/>
      <c r="E509"/>
      <c r="F509" t="n">
        <v>0.0</v>
      </c>
      <c r="G509"/>
      <c r="H509"/>
      <c r="I509"/>
      <c r="J509"/>
      <c r="K509"/>
    </row>
    <row r="510" spans="1:2" ht="13.5" customHeight="true" x14ac:dyDescent="0.15" hidden="false">
      <c r="A510" t="s">
        <v>7006</v>
      </c>
      <c r="B510" t="n">
        <v>33.0</v>
      </c>
      <c r="C510"/>
      <c r="D510" t="n">
        <v>0.0</v>
      </c>
      <c r="E510"/>
      <c r="F510"/>
      <c r="G510" t="n">
        <v>0.0</v>
      </c>
      <c r="H510"/>
      <c r="I510"/>
      <c r="J510"/>
      <c r="K510"/>
    </row>
    <row r="511" spans="1:2" ht="13.5" customHeight="true" x14ac:dyDescent="0.15" hidden="false">
      <c r="A511" t="s">
        <v>7006</v>
      </c>
      <c r="B511" t="n">
        <v>34.0</v>
      </c>
      <c r="C511"/>
      <c r="D511" t="n">
        <v>0.0</v>
      </c>
      <c r="E511"/>
      <c r="F511"/>
      <c r="G511" t="n">
        <v>0.0</v>
      </c>
      <c r="H511"/>
      <c r="I511"/>
      <c r="J511"/>
      <c r="K511"/>
    </row>
    <row r="512" spans="1:2" ht="13.5" customHeight="true" x14ac:dyDescent="0.15" hidden="false">
      <c r="A512" t="s">
        <v>7006</v>
      </c>
      <c r="B512" t="n">
        <v>35.0</v>
      </c>
      <c r="C512"/>
      <c r="D512"/>
      <c r="E512" t="n">
        <v>0.0</v>
      </c>
      <c r="F512"/>
      <c r="G512"/>
      <c r="H512" t="n">
        <v>0.0</v>
      </c>
      <c r="I512"/>
      <c r="J512"/>
      <c r="K512"/>
    </row>
    <row r="513" spans="1:2" ht="13.5" customHeight="true" x14ac:dyDescent="0.15" hidden="false">
      <c r="A513" t="s">
        <v>7006</v>
      </c>
      <c r="B513" t="n">
        <v>36.0</v>
      </c>
      <c r="C513"/>
      <c r="D513"/>
      <c r="E513" t="n">
        <v>0.0</v>
      </c>
      <c r="F513"/>
      <c r="G513"/>
      <c r="H513" t="n">
        <v>0.0</v>
      </c>
      <c r="I513"/>
      <c r="J513"/>
      <c r="K513"/>
    </row>
    <row r="514" spans="1:2" ht="13.5" customHeight="true" x14ac:dyDescent="0.15" hidden="false">
      <c r="A514" t="s">
        <v>7006</v>
      </c>
      <c r="B514" t="n">
        <v>37.0</v>
      </c>
      <c r="C514" t="n">
        <v>0.0</v>
      </c>
      <c r="D514"/>
      <c r="E514"/>
      <c r="F514" t="n">
        <v>0.0</v>
      </c>
      <c r="G514"/>
      <c r="H514"/>
      <c r="I514"/>
      <c r="J514"/>
      <c r="K514"/>
    </row>
    <row r="515" spans="1:2" ht="13.5" customHeight="true" x14ac:dyDescent="0.15" hidden="false">
      <c r="A515" t="s">
        <v>7006</v>
      </c>
      <c r="B515" t="n">
        <v>38.0</v>
      </c>
      <c r="C515" t="n">
        <v>0.0</v>
      </c>
      <c r="D515"/>
      <c r="E515"/>
      <c r="F515" t="n">
        <v>0.0</v>
      </c>
      <c r="G515"/>
      <c r="H515"/>
      <c r="I515"/>
      <c r="J515"/>
      <c r="K515"/>
    </row>
    <row r="516" spans="1:2" ht="13.5" customHeight="true" x14ac:dyDescent="0.15" hidden="false">
      <c r="A516" t="s">
        <v>7006</v>
      </c>
      <c r="B516" t="n">
        <v>39.0</v>
      </c>
      <c r="C516"/>
      <c r="D516" t="n">
        <v>0.0</v>
      </c>
      <c r="E516"/>
      <c r="F516"/>
      <c r="G516" t="n">
        <v>0.0</v>
      </c>
      <c r="H516"/>
      <c r="I516"/>
      <c r="J516"/>
      <c r="K516"/>
    </row>
    <row r="517" spans="1:2" ht="13.5" customHeight="true" x14ac:dyDescent="0.15" hidden="false">
      <c r="A517" t="s">
        <v>7006</v>
      </c>
      <c r="B517" t="n">
        <v>40.0</v>
      </c>
      <c r="C517"/>
      <c r="D517" t="n">
        <v>0.0</v>
      </c>
      <c r="E517"/>
      <c r="F517"/>
      <c r="G517" t="n">
        <v>0.0</v>
      </c>
      <c r="H517"/>
      <c r="I517"/>
      <c r="J517"/>
      <c r="K517"/>
    </row>
    <row r="518" spans="1:2" ht="13.5" customHeight="true" x14ac:dyDescent="0.15" hidden="false">
      <c r="A518" t="s">
        <v>7006</v>
      </c>
      <c r="B518" t="n">
        <v>41.0</v>
      </c>
      <c r="C518"/>
      <c r="D518"/>
      <c r="E518" t="n">
        <v>0.0</v>
      </c>
      <c r="F518"/>
      <c r="G518"/>
      <c r="H518" t="n">
        <v>0.0</v>
      </c>
      <c r="I518"/>
      <c r="J518"/>
      <c r="K518"/>
    </row>
    <row r="519" spans="1:2" ht="13.5" customHeight="true" x14ac:dyDescent="0.15" hidden="false">
      <c r="A519" t="s">
        <v>7006</v>
      </c>
      <c r="B519" t="n">
        <v>42.0</v>
      </c>
      <c r="C519"/>
      <c r="D519"/>
      <c r="E519" t="n">
        <v>0.0</v>
      </c>
      <c r="F519"/>
      <c r="G519"/>
      <c r="H519" t="n">
        <v>0.0</v>
      </c>
      <c r="I519"/>
      <c r="J519"/>
      <c r="K519"/>
    </row>
    <row r="520" spans="1:2" ht="13.5" customHeight="true" x14ac:dyDescent="0.15" hidden="false">
      <c r="A520" t="s">
        <v>7006</v>
      </c>
      <c r="B520" t="n">
        <v>43.0</v>
      </c>
      <c r="C520" t="n">
        <v>0.0</v>
      </c>
      <c r="D520"/>
      <c r="E520"/>
      <c r="F520" t="n">
        <v>0.0</v>
      </c>
      <c r="G520"/>
      <c r="H520"/>
      <c r="I520"/>
      <c r="J520"/>
      <c r="K520"/>
    </row>
    <row r="521" spans="1:2" ht="13.5" customHeight="true" x14ac:dyDescent="0.15" hidden="false">
      <c r="A521" t="s">
        <v>7006</v>
      </c>
      <c r="B521" t="n">
        <v>44.0</v>
      </c>
      <c r="C521" t="n">
        <v>0.0</v>
      </c>
      <c r="D521"/>
      <c r="E521"/>
      <c r="F521" t="n">
        <v>0.0</v>
      </c>
      <c r="G521"/>
      <c r="H521"/>
      <c r="I521"/>
      <c r="J521"/>
      <c r="K521"/>
    </row>
    <row r="522" spans="1:2" ht="13.5" customHeight="true" x14ac:dyDescent="0.15" hidden="false">
      <c r="A522" t="s">
        <v>7006</v>
      </c>
      <c r="B522" t="n">
        <v>45.0</v>
      </c>
      <c r="C522"/>
      <c r="D522" t="n">
        <v>0.0</v>
      </c>
      <c r="E522"/>
      <c r="F522"/>
      <c r="G522" t="n">
        <v>0.0</v>
      </c>
      <c r="H522"/>
      <c r="I522"/>
      <c r="J522"/>
      <c r="K522"/>
    </row>
    <row r="523" spans="1:2" ht="13.5" customHeight="true" x14ac:dyDescent="0.15" hidden="false">
      <c r="A523" t="s">
        <v>7006</v>
      </c>
      <c r="B523" t="n">
        <v>46.0</v>
      </c>
      <c r="C523"/>
      <c r="D523" t="n">
        <v>0.0</v>
      </c>
      <c r="E523"/>
      <c r="F523"/>
      <c r="G523" t="n">
        <v>0.0</v>
      </c>
      <c r="H523"/>
      <c r="I523"/>
      <c r="J523"/>
      <c r="K523"/>
    </row>
    <row r="524" spans="1:2" ht="13.5" customHeight="true" x14ac:dyDescent="0.15" hidden="false">
      <c r="A524" t="s">
        <v>7006</v>
      </c>
      <c r="B524" t="n">
        <v>47.0</v>
      </c>
      <c r="C524"/>
      <c r="D524"/>
      <c r="E524" t="n">
        <v>0.0</v>
      </c>
      <c r="F524"/>
      <c r="G524"/>
      <c r="H524" t="n">
        <v>0.0</v>
      </c>
      <c r="I524"/>
      <c r="J524"/>
      <c r="K524"/>
    </row>
    <row r="525" spans="1:2" ht="13.5" customHeight="true" x14ac:dyDescent="0.15" hidden="false">
      <c r="A525" t="s">
        <v>7006</v>
      </c>
      <c r="B525" t="n">
        <v>48.0</v>
      </c>
      <c r="C525"/>
      <c r="D525"/>
      <c r="E525" t="n">
        <v>0.0</v>
      </c>
      <c r="F525"/>
      <c r="G525"/>
      <c r="H525" t="n">
        <v>0.0</v>
      </c>
      <c r="I525"/>
      <c r="J525"/>
      <c r="K525"/>
    </row>
    <row r="526" spans="1:2" ht="13.5" customHeight="true" x14ac:dyDescent="0.15" hidden="false">
      <c r="A526" t="s">
        <v>7006</v>
      </c>
      <c r="B526" t="n">
        <v>49.0</v>
      </c>
      <c r="C526" t="n">
        <v>0.0</v>
      </c>
      <c r="D526"/>
      <c r="E526"/>
      <c r="F526" t="n">
        <v>0.0</v>
      </c>
      <c r="G526"/>
      <c r="H526"/>
      <c r="I526"/>
      <c r="J526"/>
      <c r="K526"/>
    </row>
    <row r="527" spans="1:2" ht="13.5" customHeight="true" x14ac:dyDescent="0.15" hidden="false">
      <c r="A527" t="s">
        <v>7006</v>
      </c>
      <c r="B527" t="n">
        <v>50.0</v>
      </c>
      <c r="C527" t="n">
        <v>0.0</v>
      </c>
      <c r="D527"/>
      <c r="E527"/>
      <c r="F527" t="n">
        <v>0.0</v>
      </c>
      <c r="G527"/>
      <c r="H527"/>
      <c r="I527"/>
      <c r="J527"/>
      <c r="K527"/>
    </row>
    <row r="528" spans="1:2" ht="13.5" customHeight="true" x14ac:dyDescent="0.15" hidden="false">
      <c r="A528" t="s">
        <v>7007</v>
      </c>
      <c r="B528" t="n">
        <v>1.0</v>
      </c>
      <c r="C528"/>
      <c r="D528" t="n">
        <v>0.0</v>
      </c>
      <c r="E528"/>
      <c r="F528"/>
      <c r="G528" t="n">
        <v>0.0</v>
      </c>
      <c r="H528"/>
      <c r="I528"/>
      <c r="J528"/>
      <c r="K528"/>
    </row>
    <row r="529" spans="1:2" ht="13.5" customHeight="true" x14ac:dyDescent="0.15" hidden="false">
      <c r="A529" t="s">
        <v>7007</v>
      </c>
      <c r="B529" t="n">
        <v>2.0</v>
      </c>
      <c r="C529"/>
      <c r="D529" t="n">
        <v>0.0</v>
      </c>
      <c r="E529"/>
      <c r="F529"/>
      <c r="G529" t="n">
        <v>13.0</v>
      </c>
      <c r="H529"/>
      <c r="I529"/>
      <c r="J529" t="n">
        <v>11.23827724277424</v>
      </c>
      <c r="K529"/>
    </row>
    <row r="530" spans="1:2" ht="13.5" customHeight="true" x14ac:dyDescent="0.15" hidden="false">
      <c r="A530" t="s">
        <v>7007</v>
      </c>
      <c r="B530" t="n">
        <v>3.0</v>
      </c>
      <c r="C530"/>
      <c r="D530"/>
      <c r="E530" t="n">
        <v>0.0</v>
      </c>
      <c r="F530"/>
      <c r="G530"/>
      <c r="H530" t="n">
        <v>0.0</v>
      </c>
      <c r="I530"/>
      <c r="J530"/>
      <c r="K530"/>
    </row>
    <row r="531" spans="1:2" ht="13.5" customHeight="true" x14ac:dyDescent="0.15" hidden="false">
      <c r="A531" t="s">
        <v>7007</v>
      </c>
      <c r="B531" t="n">
        <v>4.0</v>
      </c>
      <c r="C531"/>
      <c r="D531"/>
      <c r="E531" t="n">
        <v>0.0</v>
      </c>
      <c r="F531"/>
      <c r="G531"/>
      <c r="H531" t="n">
        <v>5.74</v>
      </c>
      <c r="I531"/>
      <c r="J531"/>
      <c r="K531" t="n">
        <v>5.057212697595213</v>
      </c>
    </row>
    <row r="532" spans="1:2" ht="13.5" customHeight="true" x14ac:dyDescent="0.15" hidden="false">
      <c r="A532" t="s">
        <v>7007</v>
      </c>
      <c r="B532" t="n">
        <v>5.0</v>
      </c>
      <c r="C532" t="n">
        <v>0.0</v>
      </c>
      <c r="D532"/>
      <c r="E532"/>
      <c r="F532" t="n">
        <v>0.0</v>
      </c>
      <c r="G532"/>
      <c r="H532"/>
      <c r="I532"/>
      <c r="J532"/>
      <c r="K532"/>
    </row>
    <row r="533" spans="1:2" ht="13.5" customHeight="true" x14ac:dyDescent="0.15" hidden="false">
      <c r="A533" t="s">
        <v>7007</v>
      </c>
      <c r="B533" t="n">
        <v>6.0</v>
      </c>
      <c r="C533" t="n">
        <v>0.7</v>
      </c>
      <c r="D533"/>
      <c r="E533"/>
      <c r="F533" t="n">
        <v>1.76</v>
      </c>
      <c r="G533"/>
      <c r="H533"/>
      <c r="I533" t="n">
        <v>0.9013545329225355</v>
      </c>
      <c r="J533"/>
      <c r="K533"/>
    </row>
    <row r="534" spans="1:2" ht="13.5" customHeight="true" x14ac:dyDescent="0.15" hidden="false">
      <c r="A534" t="s">
        <v>7007</v>
      </c>
      <c r="B534" t="n">
        <v>7.0</v>
      </c>
      <c r="C534"/>
      <c r="D534" t="n">
        <v>0.0</v>
      </c>
      <c r="E534"/>
      <c r="F534"/>
      <c r="G534" t="n">
        <v>2.15</v>
      </c>
      <c r="H534"/>
      <c r="I534"/>
      <c r="J534" t="n">
        <v>1.9102991508416194</v>
      </c>
      <c r="K534"/>
    </row>
    <row r="535" spans="1:2" ht="13.5" customHeight="true" x14ac:dyDescent="0.15" hidden="false">
      <c r="A535" t="s">
        <v>7007</v>
      </c>
      <c r="B535" t="n">
        <v>8.0</v>
      </c>
      <c r="C535"/>
      <c r="D535" t="n">
        <v>2.38</v>
      </c>
      <c r="E535"/>
      <c r="F535"/>
      <c r="G535" t="n">
        <v>3.94</v>
      </c>
      <c r="H535"/>
      <c r="I535"/>
      <c r="J535" t="n">
        <v>2.876906975681374</v>
      </c>
      <c r="K535"/>
    </row>
    <row r="536" spans="1:2" ht="13.5" customHeight="true" x14ac:dyDescent="0.15" hidden="false">
      <c r="A536" t="s">
        <v>7007</v>
      </c>
      <c r="B536" t="n">
        <v>9.0</v>
      </c>
      <c r="C536"/>
      <c r="D536"/>
      <c r="E536" t="n">
        <v>0.0</v>
      </c>
      <c r="F536"/>
      <c r="G536"/>
      <c r="H536" t="n">
        <v>1.04</v>
      </c>
      <c r="I536"/>
      <c r="J536"/>
      <c r="K536" t="n">
        <v>0.8920721343496524</v>
      </c>
    </row>
    <row r="537" spans="1:2" ht="13.5" customHeight="true" x14ac:dyDescent="0.15" hidden="false">
      <c r="A537" t="s">
        <v>7007</v>
      </c>
      <c r="B537" t="n">
        <v>10.0</v>
      </c>
      <c r="C537"/>
      <c r="D537"/>
      <c r="E537" t="n">
        <v>0.0</v>
      </c>
      <c r="F537"/>
      <c r="G537"/>
      <c r="H537" t="n">
        <v>0.86</v>
      </c>
      <c r="I537"/>
      <c r="J537"/>
      <c r="K537" t="n">
        <v>0.8107594660605024</v>
      </c>
    </row>
    <row r="538" spans="1:2" ht="13.5" customHeight="true" x14ac:dyDescent="0.15" hidden="false">
      <c r="A538" t="s">
        <v>7007</v>
      </c>
      <c r="B538" t="n">
        <v>11.0</v>
      </c>
      <c r="C538" t="n">
        <v>0.0</v>
      </c>
      <c r="D538"/>
      <c r="E538"/>
      <c r="F538" t="n">
        <v>1.78</v>
      </c>
      <c r="G538"/>
      <c r="H538"/>
      <c r="I538" t="n">
        <v>1.678963652185743</v>
      </c>
      <c r="J538"/>
      <c r="K538"/>
    </row>
    <row r="539" spans="1:2" ht="13.5" customHeight="true" x14ac:dyDescent="0.15" hidden="false">
      <c r="A539" t="s">
        <v>7007</v>
      </c>
      <c r="B539" t="n">
        <v>12.0</v>
      </c>
      <c r="C539" t="n">
        <v>0.0</v>
      </c>
      <c r="D539"/>
      <c r="E539"/>
      <c r="F539" t="n">
        <v>1.5</v>
      </c>
      <c r="G539"/>
      <c r="H539"/>
      <c r="I539" t="n">
        <v>1.3706399795982511</v>
      </c>
      <c r="J539"/>
      <c r="K539"/>
    </row>
    <row r="540" spans="1:2" ht="13.5" customHeight="true" x14ac:dyDescent="0.15" hidden="false">
      <c r="A540" t="s">
        <v>7007</v>
      </c>
      <c r="B540" t="n">
        <v>13.0</v>
      </c>
      <c r="C540"/>
      <c r="D540" t="n">
        <v>2.0</v>
      </c>
      <c r="E540"/>
      <c r="F540"/>
      <c r="G540" t="n">
        <v>7.43</v>
      </c>
      <c r="H540"/>
      <c r="I540"/>
      <c r="J540" t="n">
        <v>2.157735109808472</v>
      </c>
      <c r="K540"/>
    </row>
    <row r="541" spans="1:2" ht="13.5" customHeight="true" x14ac:dyDescent="0.15" hidden="false">
      <c r="A541" t="s">
        <v>7007</v>
      </c>
      <c r="B541" t="n">
        <v>14.0</v>
      </c>
      <c r="C541"/>
      <c r="D541" t="n">
        <v>3.2</v>
      </c>
      <c r="E541"/>
      <c r="F541"/>
      <c r="G541" t="n">
        <v>5.6</v>
      </c>
      <c r="H541"/>
      <c r="I541"/>
      <c r="J541" t="n">
        <v>4.642571869055514</v>
      </c>
      <c r="K541"/>
    </row>
    <row r="542" spans="1:2" ht="13.5" customHeight="true" x14ac:dyDescent="0.15" hidden="false">
      <c r="A542" t="s">
        <v>7007</v>
      </c>
      <c r="B542" t="n">
        <v>15.0</v>
      </c>
      <c r="C542"/>
      <c r="D542"/>
      <c r="E542" t="n">
        <v>2.5</v>
      </c>
      <c r="F542"/>
      <c r="G542"/>
      <c r="H542" t="n">
        <v>3.95</v>
      </c>
      <c r="I542"/>
      <c r="J542"/>
      <c r="K542" t="n">
        <v>3.4769115196668476</v>
      </c>
    </row>
    <row r="543" spans="1:2" ht="13.5" customHeight="true" x14ac:dyDescent="0.15" hidden="false">
      <c r="A543" t="s">
        <v>7007</v>
      </c>
      <c r="B543" t="n">
        <v>16.0</v>
      </c>
      <c r="C543"/>
      <c r="D543"/>
      <c r="E543" t="n">
        <v>1.53</v>
      </c>
      <c r="F543"/>
      <c r="G543"/>
      <c r="H543" t="n">
        <v>3.82</v>
      </c>
      <c r="I543"/>
      <c r="J543"/>
      <c r="K543" t="n">
        <v>3.0141033377941526</v>
      </c>
    </row>
    <row r="544" spans="1:2" ht="13.5" customHeight="true" x14ac:dyDescent="0.15" hidden="false">
      <c r="A544" t="s">
        <v>7007</v>
      </c>
      <c r="B544" t="n">
        <v>17.0</v>
      </c>
      <c r="C544" t="n">
        <v>0.86</v>
      </c>
      <c r="D544"/>
      <c r="E544"/>
      <c r="F544" t="n">
        <v>1.13</v>
      </c>
      <c r="G544"/>
      <c r="H544"/>
      <c r="I544" t="n">
        <v>0.9846491174410603</v>
      </c>
      <c r="J544"/>
      <c r="K544"/>
    </row>
    <row r="545" spans="1:2" ht="13.5" customHeight="true" x14ac:dyDescent="0.15" hidden="false">
      <c r="A545" t="s">
        <v>7007</v>
      </c>
      <c r="B545" t="n">
        <v>18.0</v>
      </c>
      <c r="C545" t="n">
        <v>0.0</v>
      </c>
      <c r="D545"/>
      <c r="E545"/>
      <c r="F545" t="n">
        <v>0.68</v>
      </c>
      <c r="G545"/>
      <c r="H545"/>
      <c r="I545" t="n">
        <v>0.6426559962885641</v>
      </c>
      <c r="J545"/>
      <c r="K545"/>
    </row>
    <row r="546" spans="1:2" ht="13.5" customHeight="true" x14ac:dyDescent="0.15" hidden="false">
      <c r="A546" t="s">
        <v>7007</v>
      </c>
      <c r="B546" t="n">
        <v>19.0</v>
      </c>
      <c r="C546"/>
      <c r="D546" t="n">
        <v>0.0</v>
      </c>
      <c r="E546"/>
      <c r="F546"/>
      <c r="G546" t="n">
        <v>8.47</v>
      </c>
      <c r="H546"/>
      <c r="I546"/>
      <c r="J546" t="n">
        <v>6.016757214596122</v>
      </c>
      <c r="K546"/>
    </row>
    <row r="547" spans="1:2" ht="13.5" customHeight="true" x14ac:dyDescent="0.15" hidden="false">
      <c r="A547" t="s">
        <v>7007</v>
      </c>
      <c r="B547" t="n">
        <v>20.0</v>
      </c>
      <c r="C547"/>
      <c r="D547" t="n">
        <v>0.0</v>
      </c>
      <c r="E547"/>
      <c r="F547"/>
      <c r="G547" t="n">
        <v>2.21</v>
      </c>
      <c r="H547"/>
      <c r="I547"/>
      <c r="J547" t="n">
        <v>1.9901868998014143</v>
      </c>
      <c r="K547"/>
    </row>
    <row r="548" spans="1:2" ht="13.5" customHeight="true" x14ac:dyDescent="0.15" hidden="false">
      <c r="A548" t="s">
        <v>7007</v>
      </c>
      <c r="B548" t="n">
        <v>21.0</v>
      </c>
      <c r="C548"/>
      <c r="D548"/>
      <c r="E548" t="n">
        <v>0.0</v>
      </c>
      <c r="F548"/>
      <c r="G548"/>
      <c r="H548" t="n">
        <v>2.08</v>
      </c>
      <c r="I548"/>
      <c r="J548"/>
      <c r="K548" t="n">
        <v>1.7327360623943953</v>
      </c>
    </row>
    <row r="549" spans="1:2" ht="13.5" customHeight="true" x14ac:dyDescent="0.15" hidden="false">
      <c r="A549" t="s">
        <v>7007</v>
      </c>
      <c r="B549" t="n">
        <v>22.0</v>
      </c>
      <c r="C549"/>
      <c r="D549"/>
      <c r="E549" t="n">
        <v>0.0</v>
      </c>
      <c r="F549"/>
      <c r="G549"/>
      <c r="H549" t="n">
        <v>6.08</v>
      </c>
      <c r="I549"/>
      <c r="J549"/>
      <c r="K549" t="n">
        <v>5.458110540472899</v>
      </c>
    </row>
    <row r="550" spans="1:2" ht="13.5" customHeight="true" x14ac:dyDescent="0.15" hidden="false">
      <c r="A550" t="s">
        <v>7007</v>
      </c>
      <c r="B550" t="n">
        <v>23.0</v>
      </c>
      <c r="C550" t="n">
        <v>0.0</v>
      </c>
      <c r="D550"/>
      <c r="E550"/>
      <c r="F550" t="n">
        <v>5.29</v>
      </c>
      <c r="G550"/>
      <c r="H550"/>
      <c r="I550" t="n">
        <v>4.600304043410945</v>
      </c>
      <c r="J550"/>
      <c r="K550"/>
    </row>
    <row r="551" spans="1:2" ht="13.5" customHeight="true" x14ac:dyDescent="0.15" hidden="false">
      <c r="A551" t="s">
        <v>7007</v>
      </c>
      <c r="B551" t="n">
        <v>24.0</v>
      </c>
      <c r="C551" t="n">
        <v>0.0</v>
      </c>
      <c r="D551"/>
      <c r="E551"/>
      <c r="F551" t="n">
        <v>7.33</v>
      </c>
      <c r="G551"/>
      <c r="H551"/>
      <c r="I551" t="n">
        <v>3.981119202023048</v>
      </c>
      <c r="J551"/>
      <c r="K551"/>
    </row>
    <row r="552" spans="1:2" ht="13.5" customHeight="true" x14ac:dyDescent="0.15" hidden="false">
      <c r="A552" t="s">
        <v>7007</v>
      </c>
      <c r="B552" t="n">
        <v>25.0</v>
      </c>
      <c r="C552"/>
      <c r="D552" t="n">
        <v>0.0</v>
      </c>
      <c r="E552"/>
      <c r="F552"/>
      <c r="G552" t="n">
        <v>9.25</v>
      </c>
      <c r="H552"/>
      <c r="I552"/>
      <c r="J552" t="n">
        <v>4.056361230175299</v>
      </c>
      <c r="K552"/>
    </row>
    <row r="553" spans="1:2" ht="13.5" customHeight="true" x14ac:dyDescent="0.15" hidden="false">
      <c r="A553" t="s">
        <v>7007</v>
      </c>
      <c r="B553" t="n">
        <v>26.0</v>
      </c>
      <c r="C553"/>
      <c r="D553" t="n">
        <v>0.0</v>
      </c>
      <c r="E553"/>
      <c r="F553"/>
      <c r="G553" t="n">
        <v>4.97</v>
      </c>
      <c r="H553"/>
      <c r="I553"/>
      <c r="J553" t="n">
        <v>4.0684076382517285</v>
      </c>
      <c r="K553"/>
    </row>
    <row r="554" spans="1:2" ht="13.5" customHeight="true" x14ac:dyDescent="0.15" hidden="false">
      <c r="A554" t="s">
        <v>7007</v>
      </c>
      <c r="B554" t="n">
        <v>27.0</v>
      </c>
      <c r="C554"/>
      <c r="D554"/>
      <c r="E554" t="n">
        <v>0.25</v>
      </c>
      <c r="F554"/>
      <c r="G554"/>
      <c r="H554" t="n">
        <v>6.68</v>
      </c>
      <c r="I554"/>
      <c r="J554"/>
      <c r="K554" t="n">
        <v>3.8297947642080503</v>
      </c>
    </row>
    <row r="555" spans="1:2" ht="13.5" customHeight="true" x14ac:dyDescent="0.15" hidden="false">
      <c r="A555" t="s">
        <v>7007</v>
      </c>
      <c r="B555" t="n">
        <v>28.0</v>
      </c>
      <c r="C555"/>
      <c r="D555"/>
      <c r="E555" t="n">
        <v>0.0</v>
      </c>
      <c r="F555"/>
      <c r="G555"/>
      <c r="H555" t="n">
        <v>13.31</v>
      </c>
      <c r="I555"/>
      <c r="J555"/>
      <c r="K555" t="n">
        <v>11.291059469104349</v>
      </c>
    </row>
    <row r="556" spans="1:2" ht="13.5" customHeight="true" x14ac:dyDescent="0.15" hidden="false">
      <c r="A556" t="s">
        <v>7007</v>
      </c>
      <c r="B556" t="n">
        <v>29.0</v>
      </c>
      <c r="C556" t="n">
        <v>0.0</v>
      </c>
      <c r="D556"/>
      <c r="E556"/>
      <c r="F556" t="n">
        <v>5.59</v>
      </c>
      <c r="G556"/>
      <c r="H556"/>
      <c r="I556" t="n">
        <v>3.0855642270049155</v>
      </c>
      <c r="J556"/>
      <c r="K556"/>
    </row>
    <row r="557" spans="1:2" ht="13.5" customHeight="true" x14ac:dyDescent="0.15" hidden="false">
      <c r="A557" t="s">
        <v>7007</v>
      </c>
      <c r="B557" t="n">
        <v>30.0</v>
      </c>
      <c r="C557" t="n">
        <v>0.0</v>
      </c>
      <c r="D557"/>
      <c r="E557"/>
      <c r="F557" t="n">
        <v>0.72</v>
      </c>
      <c r="G557"/>
      <c r="H557"/>
      <c r="I557" t="n">
        <v>0.6708666279581109</v>
      </c>
      <c r="J557"/>
      <c r="K557"/>
    </row>
    <row r="558" spans="1:2" ht="13.5" customHeight="true" x14ac:dyDescent="0.15" hidden="false">
      <c r="A558" t="s">
        <v>7007</v>
      </c>
      <c r="B558" t="n">
        <v>31.0</v>
      </c>
      <c r="C558"/>
      <c r="D558" t="n">
        <v>1.52</v>
      </c>
      <c r="E558"/>
      <c r="F558"/>
      <c r="G558" t="n">
        <v>3.68</v>
      </c>
      <c r="H558"/>
      <c r="I558"/>
      <c r="J558" t="n">
        <v>1.747170333581677</v>
      </c>
      <c r="K558"/>
    </row>
    <row r="559" spans="1:2" ht="13.5" customHeight="true" x14ac:dyDescent="0.15" hidden="false">
      <c r="A559" t="s">
        <v>7007</v>
      </c>
      <c r="B559" t="n">
        <v>32.0</v>
      </c>
      <c r="C559"/>
      <c r="D559" t="n">
        <v>0.0</v>
      </c>
      <c r="E559"/>
      <c r="F559"/>
      <c r="G559" t="n">
        <v>0.86</v>
      </c>
      <c r="H559"/>
      <c r="I559"/>
      <c r="J559" t="n">
        <v>0.8033246306909622</v>
      </c>
      <c r="K559"/>
    </row>
    <row r="560" spans="1:2" ht="13.5" customHeight="true" x14ac:dyDescent="0.15" hidden="false">
      <c r="A560" t="s">
        <v>7007</v>
      </c>
      <c r="B560" t="n">
        <v>33.0</v>
      </c>
      <c r="C560"/>
      <c r="D560"/>
      <c r="E560" t="n">
        <v>1.11</v>
      </c>
      <c r="F560"/>
      <c r="G560"/>
      <c r="H560" t="n">
        <v>1.49</v>
      </c>
      <c r="I560"/>
      <c r="J560"/>
      <c r="K560" t="n">
        <v>1.1757908615639248</v>
      </c>
    </row>
    <row r="561" spans="1:2" ht="13.5" customHeight="true" x14ac:dyDescent="0.15" hidden="false">
      <c r="A561" t="s">
        <v>7007</v>
      </c>
      <c r="B561" t="n">
        <v>34.0</v>
      </c>
      <c r="C561"/>
      <c r="D561"/>
      <c r="E561" t="n">
        <v>0.0</v>
      </c>
      <c r="F561"/>
      <c r="G561"/>
      <c r="H561" t="n">
        <v>5.38</v>
      </c>
      <c r="I561"/>
      <c r="J561"/>
      <c r="K561" t="n">
        <v>4.603319303668875</v>
      </c>
    </row>
    <row r="562" spans="1:2" ht="13.5" customHeight="true" x14ac:dyDescent="0.15" hidden="false">
      <c r="A562" t="s">
        <v>7007</v>
      </c>
      <c r="B562" t="n">
        <v>35.0</v>
      </c>
      <c r="C562" t="n">
        <v>0.67</v>
      </c>
      <c r="D562"/>
      <c r="E562"/>
      <c r="F562" t="n">
        <v>3.7199999999999998</v>
      </c>
      <c r="G562"/>
      <c r="H562"/>
      <c r="I562" t="n">
        <v>1.2188816967823872</v>
      </c>
      <c r="J562"/>
      <c r="K562"/>
    </row>
    <row r="563" spans="1:2" ht="13.5" customHeight="true" x14ac:dyDescent="0.15" hidden="false">
      <c r="A563" t="s">
        <v>7007</v>
      </c>
      <c r="B563" t="n">
        <v>36.0</v>
      </c>
      <c r="C563" t="n">
        <v>0.0</v>
      </c>
      <c r="D563"/>
      <c r="E563"/>
      <c r="F563" t="n">
        <v>0.0</v>
      </c>
      <c r="G563"/>
      <c r="H563"/>
      <c r="I563"/>
      <c r="J563"/>
      <c r="K563"/>
    </row>
    <row r="564" spans="1:2" ht="13.5" customHeight="true" x14ac:dyDescent="0.15" hidden="false">
      <c r="A564" t="s">
        <v>7007</v>
      </c>
      <c r="B564" t="n">
        <v>37.0</v>
      </c>
      <c r="C564"/>
      <c r="D564" t="n">
        <v>0.0</v>
      </c>
      <c r="E564"/>
      <c r="F564"/>
      <c r="G564" t="n">
        <v>7.58</v>
      </c>
      <c r="H564"/>
      <c r="I564"/>
      <c r="J564" t="n">
        <v>2.896299747140026</v>
      </c>
      <c r="K564"/>
    </row>
    <row r="565" spans="1:2" ht="13.5" customHeight="true" x14ac:dyDescent="0.15" hidden="false">
      <c r="A565" t="s">
        <v>7007</v>
      </c>
      <c r="B565" t="n">
        <v>38.0</v>
      </c>
      <c r="C565"/>
      <c r="D565" t="n">
        <v>0.0</v>
      </c>
      <c r="E565"/>
      <c r="F565"/>
      <c r="G565" t="n">
        <v>0.0</v>
      </c>
      <c r="H565"/>
      <c r="I565"/>
      <c r="J565"/>
      <c r="K565"/>
    </row>
    <row r="566" spans="1:2" ht="13.5" customHeight="true" x14ac:dyDescent="0.15" hidden="false">
      <c r="A566" t="s">
        <v>7007</v>
      </c>
      <c r="B566" t="n">
        <v>39.0</v>
      </c>
      <c r="C566"/>
      <c r="D566"/>
      <c r="E566" t="n">
        <v>0.0</v>
      </c>
      <c r="F566"/>
      <c r="G566"/>
      <c r="H566" t="n">
        <v>2.27</v>
      </c>
      <c r="I566"/>
      <c r="J566"/>
      <c r="K566" t="n">
        <v>2.048466671758551</v>
      </c>
    </row>
    <row r="567" spans="1:2" ht="13.5" customHeight="true" x14ac:dyDescent="0.15" hidden="false">
      <c r="A567" t="s">
        <v>7007</v>
      </c>
      <c r="B567" t="n">
        <v>40.0</v>
      </c>
      <c r="C567"/>
      <c r="D567"/>
      <c r="E567" t="n">
        <v>0.0</v>
      </c>
      <c r="F567"/>
      <c r="G567"/>
      <c r="H567" t="n">
        <v>0.0</v>
      </c>
      <c r="I567"/>
      <c r="J567"/>
      <c r="K567"/>
    </row>
    <row r="568" spans="1:2" ht="13.5" customHeight="true" x14ac:dyDescent="0.15" hidden="false">
      <c r="A568" t="s">
        <v>7007</v>
      </c>
      <c r="B568" t="n">
        <v>41.0</v>
      </c>
      <c r="C568" t="n">
        <v>0.0</v>
      </c>
      <c r="D568"/>
      <c r="E568"/>
      <c r="F568" t="n">
        <v>2.17</v>
      </c>
      <c r="G568"/>
      <c r="H568"/>
      <c r="I568" t="n">
        <v>1.6433896386927698</v>
      </c>
      <c r="J568"/>
      <c r="K568"/>
    </row>
    <row r="569" spans="1:2" ht="13.5" customHeight="true" x14ac:dyDescent="0.15" hidden="false">
      <c r="A569" t="s">
        <v>7007</v>
      </c>
      <c r="B569" t="n">
        <v>42.0</v>
      </c>
      <c r="C569" t="n">
        <v>0.0</v>
      </c>
      <c r="D569"/>
      <c r="E569"/>
      <c r="F569" t="n">
        <v>0.0</v>
      </c>
      <c r="G569"/>
      <c r="H569"/>
      <c r="I569"/>
      <c r="J569"/>
      <c r="K569"/>
    </row>
    <row r="570" spans="1:2" ht="13.5" customHeight="true" x14ac:dyDescent="0.15" hidden="false">
      <c r="A570" t="s">
        <v>7007</v>
      </c>
      <c r="B570" t="n">
        <v>43.0</v>
      </c>
      <c r="C570"/>
      <c r="D570" t="n">
        <v>0.0</v>
      </c>
      <c r="E570"/>
      <c r="F570"/>
      <c r="G570" t="n">
        <v>6.41</v>
      </c>
      <c r="H570"/>
      <c r="I570"/>
      <c r="J570" t="n">
        <v>5.6121085274497435</v>
      </c>
      <c r="K570"/>
    </row>
    <row r="571" spans="1:2" ht="13.5" customHeight="true" x14ac:dyDescent="0.15" hidden="false">
      <c r="A571" t="s">
        <v>7007</v>
      </c>
      <c r="B571" t="n">
        <v>44.0</v>
      </c>
      <c r="C571"/>
      <c r="D571" t="n">
        <v>0.0</v>
      </c>
      <c r="E571"/>
      <c r="F571"/>
      <c r="G571" t="n">
        <v>0.0</v>
      </c>
      <c r="H571"/>
      <c r="I571"/>
      <c r="J571"/>
      <c r="K571"/>
    </row>
    <row r="572" spans="1:2" ht="13.5" customHeight="true" x14ac:dyDescent="0.15" hidden="false">
      <c r="A572" t="s">
        <v>7007</v>
      </c>
      <c r="B572" t="n">
        <v>45.0</v>
      </c>
      <c r="C572"/>
      <c r="D572"/>
      <c r="E572" t="n">
        <v>0.0</v>
      </c>
      <c r="F572"/>
      <c r="G572"/>
      <c r="H572" t="n">
        <v>5.46</v>
      </c>
      <c r="I572"/>
      <c r="J572"/>
      <c r="K572" t="n">
        <v>4.832759028573322</v>
      </c>
    </row>
    <row r="573" spans="1:2" ht="13.5" customHeight="true" x14ac:dyDescent="0.15" hidden="false">
      <c r="A573" t="s">
        <v>7007</v>
      </c>
      <c r="B573" t="n">
        <v>46.0</v>
      </c>
      <c r="C573"/>
      <c r="D573"/>
      <c r="E573" t="n">
        <v>0.0</v>
      </c>
      <c r="F573"/>
      <c r="G573"/>
      <c r="H573" t="n">
        <v>0.0</v>
      </c>
      <c r="I573"/>
      <c r="J573"/>
      <c r="K573"/>
    </row>
    <row r="574" spans="1:2" ht="13.5" customHeight="true" x14ac:dyDescent="0.15" hidden="false">
      <c r="A574" t="s">
        <v>7007</v>
      </c>
      <c r="B574" t="n">
        <v>47.0</v>
      </c>
      <c r="C574" t="n">
        <v>0.0</v>
      </c>
      <c r="D574"/>
      <c r="E574"/>
      <c r="F574" t="n">
        <v>5.85</v>
      </c>
      <c r="G574"/>
      <c r="H574"/>
      <c r="I574" t="n">
        <v>4.058154138543116</v>
      </c>
      <c r="J574"/>
      <c r="K574"/>
    </row>
    <row r="575" spans="1:2" ht="13.5" customHeight="true" x14ac:dyDescent="0.15" hidden="false">
      <c r="A575" t="s">
        <v>7007</v>
      </c>
      <c r="B575" t="n">
        <v>48.0</v>
      </c>
      <c r="C575" t="n">
        <v>0.0</v>
      </c>
      <c r="D575"/>
      <c r="E575"/>
      <c r="F575" t="n">
        <v>0.0</v>
      </c>
      <c r="G575"/>
      <c r="H575"/>
      <c r="I575"/>
      <c r="J575"/>
      <c r="K575"/>
    </row>
    <row r="576" spans="1:2" ht="13.5" customHeight="true" x14ac:dyDescent="0.15" hidden="false">
      <c r="A576" t="s">
        <v>7007</v>
      </c>
      <c r="B576" t="n">
        <v>49.0</v>
      </c>
      <c r="C576"/>
      <c r="D576" t="n">
        <v>0.0</v>
      </c>
      <c r="E576"/>
      <c r="F576"/>
      <c r="G576" t="n">
        <v>9.31</v>
      </c>
      <c r="H576"/>
      <c r="I576"/>
      <c r="J576" t="n">
        <v>8.007320668488973</v>
      </c>
      <c r="K576"/>
    </row>
    <row r="577" spans="1:2" ht="13.5" customHeight="true" x14ac:dyDescent="0.15" hidden="false">
      <c r="A577" t="s">
        <v>7007</v>
      </c>
      <c r="B577" t="n">
        <v>50.0</v>
      </c>
      <c r="C577"/>
      <c r="D577" t="n">
        <v>0.0</v>
      </c>
      <c r="E577"/>
      <c r="F577"/>
      <c r="G577" t="n">
        <v>0.0</v>
      </c>
      <c r="H577"/>
      <c r="I577"/>
      <c r="J577"/>
      <c r="K577"/>
    </row>
    <row r="578" spans="1:2" ht="13.5" customHeight="true" x14ac:dyDescent="0.15" hidden="false">
      <c r="A578" t="s">
        <v>7007</v>
      </c>
      <c r="B578" t="n">
        <v>51.0</v>
      </c>
      <c r="C578"/>
      <c r="D578"/>
      <c r="E578" t="n">
        <v>0.0</v>
      </c>
      <c r="F578"/>
      <c r="G578"/>
      <c r="H578" t="n">
        <v>5.0</v>
      </c>
      <c r="I578"/>
      <c r="J578"/>
      <c r="K578" t="n">
        <v>3.9896537291310765</v>
      </c>
    </row>
    <row r="579" spans="1:2" ht="13.5" customHeight="true" x14ac:dyDescent="0.15" hidden="false">
      <c r="A579" t="s">
        <v>7007</v>
      </c>
      <c r="B579" t="n">
        <v>52.0</v>
      </c>
      <c r="C579"/>
      <c r="D579"/>
      <c r="E579" t="n">
        <v>0.0</v>
      </c>
      <c r="F579"/>
      <c r="G579"/>
      <c r="H579" t="n">
        <v>0.0</v>
      </c>
      <c r="I579"/>
      <c r="J579"/>
      <c r="K579"/>
    </row>
    <row r="580" spans="1:2" ht="13.5" customHeight="true" x14ac:dyDescent="0.15" hidden="false">
      <c r="A580" t="s">
        <v>7007</v>
      </c>
      <c r="B580" t="n">
        <v>53.0</v>
      </c>
      <c r="C580" t="n">
        <v>0.0</v>
      </c>
      <c r="D580"/>
      <c r="E580"/>
      <c r="F580" t="n">
        <v>7.24</v>
      </c>
      <c r="G580"/>
      <c r="H580"/>
      <c r="I580" t="n">
        <v>5.393365032462852</v>
      </c>
      <c r="J580"/>
      <c r="K580"/>
    </row>
    <row r="581" spans="1:2" ht="13.5" customHeight="true" x14ac:dyDescent="0.15" hidden="false">
      <c r="A581" t="s">
        <v>7007</v>
      </c>
      <c r="B581" t="n">
        <v>54.0</v>
      </c>
      <c r="C581" t="n">
        <v>4.15</v>
      </c>
      <c r="D581"/>
      <c r="E581"/>
      <c r="F581" t="n">
        <v>4.51</v>
      </c>
      <c r="G581"/>
      <c r="H581"/>
      <c r="I581" t="n">
        <v>4.220377321272683</v>
      </c>
      <c r="J581"/>
      <c r="K581"/>
    </row>
    <row r="582" spans="1:2" ht="13.5" customHeight="true" x14ac:dyDescent="0.15" hidden="false">
      <c r="A582" t="s">
        <v>7008</v>
      </c>
      <c r="B582" t="n">
        <v>1.0</v>
      </c>
      <c r="C582"/>
      <c r="D582" t="n">
        <v>0.0</v>
      </c>
      <c r="E582"/>
      <c r="F582"/>
      <c r="G582" t="n">
        <v>0.0</v>
      </c>
      <c r="H582"/>
      <c r="I582"/>
      <c r="J582"/>
      <c r="K582"/>
    </row>
    <row r="583" spans="1:2" ht="13.5" customHeight="true" x14ac:dyDescent="0.15" hidden="false">
      <c r="A583" t="s">
        <v>7008</v>
      </c>
      <c r="B583" t="n">
        <v>2.0</v>
      </c>
      <c r="C583"/>
      <c r="D583" t="n">
        <v>0.0</v>
      </c>
      <c r="E583"/>
      <c r="F583"/>
      <c r="G583" t="n">
        <v>11.95</v>
      </c>
      <c r="H583"/>
      <c r="I583"/>
      <c r="J583" t="n">
        <v>10.169192931811594</v>
      </c>
      <c r="K583"/>
    </row>
    <row r="584" spans="1:2" ht="13.5" customHeight="true" x14ac:dyDescent="0.15" hidden="false">
      <c r="A584" t="s">
        <v>7008</v>
      </c>
      <c r="B584" t="n">
        <v>3.0</v>
      </c>
      <c r="C584"/>
      <c r="D584"/>
      <c r="E584" t="n">
        <v>0.0</v>
      </c>
      <c r="F584"/>
      <c r="G584"/>
      <c r="H584" t="n">
        <v>0.0</v>
      </c>
      <c r="I584"/>
      <c r="J584"/>
      <c r="K584"/>
    </row>
    <row r="585" spans="1:2" ht="13.5" customHeight="true" x14ac:dyDescent="0.15" hidden="false">
      <c r="A585" t="s">
        <v>7008</v>
      </c>
      <c r="B585" t="n">
        <v>4.0</v>
      </c>
      <c r="C585"/>
      <c r="D585"/>
      <c r="E585" t="n">
        <v>0.0</v>
      </c>
      <c r="F585"/>
      <c r="G585"/>
      <c r="H585" t="n">
        <v>4.53</v>
      </c>
      <c r="I585"/>
      <c r="J585"/>
      <c r="K585" t="n">
        <v>3.9770839679891967</v>
      </c>
    </row>
    <row r="586" spans="1:2" ht="13.5" customHeight="true" x14ac:dyDescent="0.15" hidden="false">
      <c r="A586" t="s">
        <v>7008</v>
      </c>
      <c r="B586" t="n">
        <v>5.0</v>
      </c>
      <c r="C586" t="n">
        <v>0.0</v>
      </c>
      <c r="D586"/>
      <c r="E586"/>
      <c r="F586" t="n">
        <v>0.0</v>
      </c>
      <c r="G586"/>
      <c r="H586"/>
      <c r="I586"/>
      <c r="J586"/>
      <c r="K586"/>
    </row>
    <row r="587" spans="1:2" ht="13.5" customHeight="true" x14ac:dyDescent="0.15" hidden="false">
      <c r="A587" t="s">
        <v>7008</v>
      </c>
      <c r="B587" t="n">
        <v>6.0</v>
      </c>
      <c r="C587" t="n">
        <v>0.68</v>
      </c>
      <c r="D587"/>
      <c r="E587"/>
      <c r="F587" t="n">
        <v>1.9100000000000001</v>
      </c>
      <c r="G587"/>
      <c r="H587"/>
      <c r="I587" t="n">
        <v>0.91603646536539</v>
      </c>
      <c r="J587"/>
      <c r="K587"/>
    </row>
    <row r="588" spans="1:2" ht="13.5" customHeight="true" x14ac:dyDescent="0.15" hidden="false">
      <c r="A588" t="s">
        <v>7008</v>
      </c>
      <c r="B588" t="n">
        <v>7.0</v>
      </c>
      <c r="C588"/>
      <c r="D588" t="n">
        <v>0.0</v>
      </c>
      <c r="E588"/>
      <c r="F588"/>
      <c r="G588" t="n">
        <v>3.66</v>
      </c>
      <c r="H588"/>
      <c r="I588"/>
      <c r="J588" t="n">
        <v>3.3355694378171914</v>
      </c>
      <c r="K588"/>
    </row>
    <row r="589" spans="1:2" ht="13.5" customHeight="true" x14ac:dyDescent="0.15" hidden="false">
      <c r="A589" t="s">
        <v>7008</v>
      </c>
      <c r="B589" t="n">
        <v>8.0</v>
      </c>
      <c r="C589"/>
      <c r="D589" t="n">
        <v>3.09</v>
      </c>
      <c r="E589"/>
      <c r="F589"/>
      <c r="G589" t="n">
        <v>4.5</v>
      </c>
      <c r="H589"/>
      <c r="I589"/>
      <c r="J589" t="n">
        <v>3.354490991593231</v>
      </c>
      <c r="K589"/>
    </row>
    <row r="590" spans="1:2" ht="13.5" customHeight="true" x14ac:dyDescent="0.15" hidden="false">
      <c r="A590" t="s">
        <v>7008</v>
      </c>
      <c r="B590" t="n">
        <v>9.0</v>
      </c>
      <c r="C590"/>
      <c r="D590"/>
      <c r="E590" t="n">
        <v>0.0</v>
      </c>
      <c r="F590"/>
      <c r="G590"/>
      <c r="H590" t="n">
        <v>1.02</v>
      </c>
      <c r="I590"/>
      <c r="J590"/>
      <c r="K590" t="n">
        <v>0.855618565758128</v>
      </c>
    </row>
    <row r="591" spans="1:2" ht="13.5" customHeight="true" x14ac:dyDescent="0.15" hidden="false">
      <c r="A591" t="s">
        <v>7008</v>
      </c>
      <c r="B591" t="n">
        <v>10.0</v>
      </c>
      <c r="C591"/>
      <c r="D591"/>
      <c r="E591" t="n">
        <v>0.0</v>
      </c>
      <c r="F591"/>
      <c r="G591"/>
      <c r="H591" t="n">
        <v>0.55</v>
      </c>
      <c r="I591"/>
      <c r="J591"/>
      <c r="K591" t="n">
        <v>0.525556811340634</v>
      </c>
    </row>
    <row r="592" spans="1:2" ht="13.5" customHeight="true" x14ac:dyDescent="0.15" hidden="false">
      <c r="A592" t="s">
        <v>7008</v>
      </c>
      <c r="B592" t="n">
        <v>11.0</v>
      </c>
      <c r="C592" t="n">
        <v>0.0</v>
      </c>
      <c r="D592"/>
      <c r="E592"/>
      <c r="F592" t="n">
        <v>2.01</v>
      </c>
      <c r="G592"/>
      <c r="H592"/>
      <c r="I592" t="n">
        <v>1.844045002231885</v>
      </c>
      <c r="J592"/>
      <c r="K592"/>
    </row>
    <row r="593" spans="1:2" ht="13.5" customHeight="true" x14ac:dyDescent="0.15" hidden="false">
      <c r="A593" t="s">
        <v>7008</v>
      </c>
      <c r="B593" t="n">
        <v>12.0</v>
      </c>
      <c r="C593" t="n">
        <v>0.0</v>
      </c>
      <c r="D593"/>
      <c r="E593"/>
      <c r="F593" t="n">
        <v>0.0</v>
      </c>
      <c r="G593"/>
      <c r="H593"/>
      <c r="I593"/>
      <c r="J593"/>
      <c r="K593"/>
    </row>
    <row r="594" spans="1:2" ht="13.5" customHeight="true" x14ac:dyDescent="0.15" hidden="false">
      <c r="A594" t="s">
        <v>7008</v>
      </c>
      <c r="B594" t="n">
        <v>13.0</v>
      </c>
      <c r="C594"/>
      <c r="D594" t="n">
        <v>1.96</v>
      </c>
      <c r="E594"/>
      <c r="F594"/>
      <c r="G594" t="n">
        <v>6.67</v>
      </c>
      <c r="H594"/>
      <c r="I594"/>
      <c r="J594" t="n">
        <v>3.296479507291262</v>
      </c>
      <c r="K594"/>
    </row>
    <row r="595" spans="1:2" ht="13.5" customHeight="true" x14ac:dyDescent="0.15" hidden="false">
      <c r="A595" t="s">
        <v>7008</v>
      </c>
      <c r="B595" t="n">
        <v>14.0</v>
      </c>
      <c r="C595"/>
      <c r="D595" t="n">
        <v>1.33</v>
      </c>
      <c r="E595"/>
      <c r="F595"/>
      <c r="G595" t="n">
        <v>4.28</v>
      </c>
      <c r="H595"/>
      <c r="I595"/>
      <c r="J595" t="n">
        <v>2.899333633533138</v>
      </c>
      <c r="K595"/>
    </row>
    <row r="596" spans="1:2" ht="13.5" customHeight="true" x14ac:dyDescent="0.15" hidden="false">
      <c r="A596" t="s">
        <v>7008</v>
      </c>
      <c r="B596" t="n">
        <v>15.0</v>
      </c>
      <c r="C596"/>
      <c r="D596"/>
      <c r="E596" t="n">
        <v>0.66</v>
      </c>
      <c r="F596"/>
      <c r="G596"/>
      <c r="H596" t="n">
        <v>3.49</v>
      </c>
      <c r="I596"/>
      <c r="J596"/>
      <c r="K596" t="n">
        <v>2.8371860546714234</v>
      </c>
    </row>
    <row r="597" spans="1:2" ht="13.5" customHeight="true" x14ac:dyDescent="0.15" hidden="false">
      <c r="A597" t="s">
        <v>7008</v>
      </c>
      <c r="B597" t="n">
        <v>16.0</v>
      </c>
      <c r="C597"/>
      <c r="D597"/>
      <c r="E597" t="n">
        <v>0.38</v>
      </c>
      <c r="F597"/>
      <c r="G597"/>
      <c r="H597" t="n">
        <v>4.77</v>
      </c>
      <c r="I597"/>
      <c r="J597"/>
      <c r="K597" t="n">
        <v>3.5159798181865822</v>
      </c>
    </row>
    <row r="598" spans="1:2" ht="13.5" customHeight="true" x14ac:dyDescent="0.15" hidden="false">
      <c r="A598" t="s">
        <v>7008</v>
      </c>
      <c r="B598" t="n">
        <v>17.0</v>
      </c>
      <c r="C598" t="n">
        <v>0.82</v>
      </c>
      <c r="D598"/>
      <c r="E598"/>
      <c r="F598" t="n">
        <v>1.19</v>
      </c>
      <c r="G598"/>
      <c r="H598"/>
      <c r="I598" t="n">
        <v>0.9603581504804399</v>
      </c>
      <c r="J598"/>
      <c r="K598"/>
    </row>
    <row r="599" spans="1:2" ht="13.5" customHeight="true" x14ac:dyDescent="0.15" hidden="false">
      <c r="A599" t="s">
        <v>7008</v>
      </c>
      <c r="B599" t="n">
        <v>18.0</v>
      </c>
      <c r="C599" t="n">
        <v>0.0</v>
      </c>
      <c r="D599"/>
      <c r="E599"/>
      <c r="F599" t="n">
        <v>0.39</v>
      </c>
      <c r="G599"/>
      <c r="H599"/>
      <c r="I599" t="n">
        <v>0.36841879350348045</v>
      </c>
      <c r="J599"/>
      <c r="K599"/>
    </row>
    <row r="600" spans="1:2" ht="13.5" customHeight="true" x14ac:dyDescent="0.15" hidden="false">
      <c r="A600" t="s">
        <v>7008</v>
      </c>
      <c r="B600" t="n">
        <v>19.0</v>
      </c>
      <c r="C600"/>
      <c r="D600" t="n">
        <v>0.0</v>
      </c>
      <c r="E600"/>
      <c r="F600"/>
      <c r="G600" t="n">
        <v>8.69</v>
      </c>
      <c r="H600"/>
      <c r="I600"/>
      <c r="J600" t="n">
        <v>6.257557258402925</v>
      </c>
      <c r="K600"/>
    </row>
    <row r="601" spans="1:2" ht="13.5" customHeight="true" x14ac:dyDescent="0.15" hidden="false">
      <c r="A601" t="s">
        <v>7008</v>
      </c>
      <c r="B601" t="n">
        <v>20.0</v>
      </c>
      <c r="C601"/>
      <c r="D601" t="n">
        <v>0.0</v>
      </c>
      <c r="E601"/>
      <c r="F601"/>
      <c r="G601" t="n">
        <v>1.9300000000000002</v>
      </c>
      <c r="H601"/>
      <c r="I601"/>
      <c r="J601" t="n">
        <v>1.810296220005115</v>
      </c>
      <c r="K601"/>
    </row>
    <row r="602" spans="1:2" ht="13.5" customHeight="true" x14ac:dyDescent="0.15" hidden="false">
      <c r="A602" t="s">
        <v>7008</v>
      </c>
      <c r="B602" t="n">
        <v>21.0</v>
      </c>
      <c r="C602"/>
      <c r="D602"/>
      <c r="E602" t="n">
        <v>0.0</v>
      </c>
      <c r="F602"/>
      <c r="G602"/>
      <c r="H602" t="n">
        <v>0.45</v>
      </c>
      <c r="I602"/>
      <c r="J602"/>
      <c r="K602" t="n">
        <v>0.3586134723521153</v>
      </c>
    </row>
    <row r="603" spans="1:2" ht="13.5" customHeight="true" x14ac:dyDescent="0.15" hidden="false">
      <c r="A603" t="s">
        <v>7008</v>
      </c>
      <c r="B603" t="n">
        <v>22.0</v>
      </c>
      <c r="C603"/>
      <c r="D603"/>
      <c r="E603" t="n">
        <v>0.0</v>
      </c>
      <c r="F603"/>
      <c r="G603"/>
      <c r="H603" t="n">
        <v>5.29</v>
      </c>
      <c r="I603"/>
      <c r="J603"/>
      <c r="K603" t="n">
        <v>4.6349360958656165</v>
      </c>
    </row>
    <row r="604" spans="1:2" ht="13.5" customHeight="true" x14ac:dyDescent="0.15" hidden="false">
      <c r="A604" t="s">
        <v>7008</v>
      </c>
      <c r="B604" t="n">
        <v>23.0</v>
      </c>
      <c r="C604" t="n">
        <v>0.0</v>
      </c>
      <c r="D604"/>
      <c r="E604"/>
      <c r="F604" t="n">
        <v>5.39</v>
      </c>
      <c r="G604"/>
      <c r="H604"/>
      <c r="I604" t="n">
        <v>4.679894708461411</v>
      </c>
      <c r="J604"/>
      <c r="K604"/>
    </row>
    <row r="605" spans="1:2" ht="13.5" customHeight="true" x14ac:dyDescent="0.15" hidden="false">
      <c r="A605" t="s">
        <v>7008</v>
      </c>
      <c r="B605" t="n">
        <v>24.0</v>
      </c>
      <c r="C605" t="n">
        <v>0.0</v>
      </c>
      <c r="D605"/>
      <c r="E605"/>
      <c r="F605" t="n">
        <v>5.46</v>
      </c>
      <c r="G605"/>
      <c r="H605"/>
      <c r="I605" t="n">
        <v>3.66190963945832</v>
      </c>
      <c r="J605"/>
      <c r="K605"/>
    </row>
    <row r="606" spans="1:2" ht="13.5" customHeight="true" x14ac:dyDescent="0.15" hidden="false">
      <c r="A606" t="s">
        <v>7008</v>
      </c>
      <c r="B606" t="n">
        <v>25.0</v>
      </c>
      <c r="C606"/>
      <c r="D606" t="n">
        <v>0.39</v>
      </c>
      <c r="E606"/>
      <c r="F606"/>
      <c r="G606" t="n">
        <v>6.73</v>
      </c>
      <c r="H606"/>
      <c r="I606"/>
      <c r="J606" t="n">
        <v>2.3915937472663003</v>
      </c>
      <c r="K606"/>
    </row>
    <row r="607" spans="1:2" ht="13.5" customHeight="true" x14ac:dyDescent="0.15" hidden="false">
      <c r="A607" t="s">
        <v>7008</v>
      </c>
      <c r="B607" t="n">
        <v>26.0</v>
      </c>
      <c r="C607"/>
      <c r="D607" t="n">
        <v>0.0</v>
      </c>
      <c r="E607"/>
      <c r="F607"/>
      <c r="G607" t="n">
        <v>6.29</v>
      </c>
      <c r="H607"/>
      <c r="I607"/>
      <c r="J607" t="n">
        <v>4.627262528836272</v>
      </c>
      <c r="K607"/>
    </row>
    <row r="608" spans="1:2" ht="13.5" customHeight="true" x14ac:dyDescent="0.15" hidden="false">
      <c r="A608" t="s">
        <v>7008</v>
      </c>
      <c r="B608" t="n">
        <v>27.0</v>
      </c>
      <c r="C608"/>
      <c r="D608"/>
      <c r="E608" t="n">
        <v>0.23</v>
      </c>
      <c r="F608"/>
      <c r="G608"/>
      <c r="H608" t="n">
        <v>5.13</v>
      </c>
      <c r="I608"/>
      <c r="J608"/>
      <c r="K608" t="n">
        <v>1.7875910226850256</v>
      </c>
    </row>
    <row r="609" spans="1:2" ht="13.5" customHeight="true" x14ac:dyDescent="0.15" hidden="false">
      <c r="A609" t="s">
        <v>7008</v>
      </c>
      <c r="B609" t="n">
        <v>28.0</v>
      </c>
      <c r="C609"/>
      <c r="D609"/>
      <c r="E609" t="n">
        <v>0.0</v>
      </c>
      <c r="F609"/>
      <c r="G609"/>
      <c r="H609" t="n">
        <v>12.07</v>
      </c>
      <c r="I609"/>
      <c r="J609"/>
      <c r="K609" t="n">
        <v>10.200220316751064</v>
      </c>
    </row>
    <row r="610" spans="1:2" ht="13.5" customHeight="true" x14ac:dyDescent="0.15" hidden="false">
      <c r="A610" t="s">
        <v>7008</v>
      </c>
      <c r="B610" t="n">
        <v>29.0</v>
      </c>
      <c r="C610" t="n">
        <v>0.0</v>
      </c>
      <c r="D610"/>
      <c r="E610"/>
      <c r="F610" t="n">
        <v>4.54</v>
      </c>
      <c r="G610"/>
      <c r="H610"/>
      <c r="I610" t="n">
        <v>1.938283441148581</v>
      </c>
      <c r="J610"/>
      <c r="K610"/>
    </row>
    <row r="611" spans="1:2" ht="13.5" customHeight="true" x14ac:dyDescent="0.15" hidden="false">
      <c r="A611" t="s">
        <v>7008</v>
      </c>
      <c r="B611" t="n">
        <v>30.0</v>
      </c>
      <c r="C611" t="n">
        <v>0.0</v>
      </c>
      <c r="D611"/>
      <c r="E611"/>
      <c r="F611" t="n">
        <v>0.72</v>
      </c>
      <c r="G611"/>
      <c r="H611"/>
      <c r="I611" t="n">
        <v>0.6533433738880324</v>
      </c>
      <c r="J611"/>
      <c r="K611"/>
    </row>
    <row r="612" spans="1:2" ht="13.5" customHeight="true" x14ac:dyDescent="0.15" hidden="false">
      <c r="A612" t="s">
        <v>7008</v>
      </c>
      <c r="B612" t="n">
        <v>31.0</v>
      </c>
      <c r="C612"/>
      <c r="D612" t="n">
        <v>0.38</v>
      </c>
      <c r="E612"/>
      <c r="F612"/>
      <c r="G612" t="n">
        <v>4.47</v>
      </c>
      <c r="H612"/>
      <c r="I612"/>
      <c r="J612" t="n">
        <v>0.9421666006967918</v>
      </c>
      <c r="K612"/>
    </row>
    <row r="613" spans="1:2" ht="13.5" customHeight="true" x14ac:dyDescent="0.15" hidden="false">
      <c r="A613" t="s">
        <v>7008</v>
      </c>
      <c r="B613" t="n">
        <v>32.0</v>
      </c>
      <c r="C613"/>
      <c r="D613" t="n">
        <v>0.0</v>
      </c>
      <c r="E613"/>
      <c r="F613"/>
      <c r="G613" t="n">
        <v>0.55</v>
      </c>
      <c r="H613"/>
      <c r="I613"/>
      <c r="J613" t="n">
        <v>0.5102239134309489</v>
      </c>
      <c r="K613"/>
    </row>
    <row r="614" spans="1:2" ht="13.5" customHeight="true" x14ac:dyDescent="0.15" hidden="false">
      <c r="A614" t="s">
        <v>7008</v>
      </c>
      <c r="B614" t="n">
        <v>33.0</v>
      </c>
      <c r="C614"/>
      <c r="D614"/>
      <c r="E614" t="n">
        <v>0.0</v>
      </c>
      <c r="F614"/>
      <c r="G614"/>
      <c r="H614" t="n">
        <v>1.19</v>
      </c>
      <c r="I614"/>
      <c r="J614"/>
      <c r="K614" t="n">
        <v>1.1484818323195223</v>
      </c>
    </row>
    <row r="615" spans="1:2" ht="13.5" customHeight="true" x14ac:dyDescent="0.15" hidden="false">
      <c r="A615" t="s">
        <v>7008</v>
      </c>
      <c r="B615" t="n">
        <v>34.0</v>
      </c>
      <c r="C615"/>
      <c r="D615"/>
      <c r="E615" t="n">
        <v>0.0</v>
      </c>
      <c r="F615"/>
      <c r="G615"/>
      <c r="H615" t="n">
        <v>3.45</v>
      </c>
      <c r="I615"/>
      <c r="J615"/>
      <c r="K615" t="n">
        <v>3.060201147579967</v>
      </c>
    </row>
    <row r="616" spans="1:2" ht="13.5" customHeight="true" x14ac:dyDescent="0.15" hidden="false">
      <c r="A616" t="s">
        <v>7008</v>
      </c>
      <c r="B616" t="n">
        <v>35.0</v>
      </c>
      <c r="C616" t="n">
        <v>0.39</v>
      </c>
      <c r="D616"/>
      <c r="E616"/>
      <c r="F616" t="n">
        <v>4.7</v>
      </c>
      <c r="G616"/>
      <c r="H616"/>
      <c r="I616" t="n">
        <v>1.08423251029554</v>
      </c>
      <c r="J616"/>
      <c r="K616"/>
    </row>
    <row r="617" spans="1:2" ht="13.5" customHeight="true" x14ac:dyDescent="0.15" hidden="false">
      <c r="A617" t="s">
        <v>7008</v>
      </c>
      <c r="B617" t="n">
        <v>36.0</v>
      </c>
      <c r="C617" t="n">
        <v>0.0</v>
      </c>
      <c r="D617"/>
      <c r="E617"/>
      <c r="F617" t="n">
        <v>0.0</v>
      </c>
      <c r="G617"/>
      <c r="H617"/>
      <c r="I617"/>
      <c r="J617"/>
      <c r="K617"/>
    </row>
    <row r="618" spans="1:2" ht="13.5" customHeight="true" x14ac:dyDescent="0.15" hidden="false">
      <c r="A618" t="s">
        <v>7008</v>
      </c>
      <c r="B618" t="n">
        <v>37.0</v>
      </c>
      <c r="C618"/>
      <c r="D618" t="n">
        <v>0.0</v>
      </c>
      <c r="E618"/>
      <c r="F618"/>
      <c r="G618" t="n">
        <v>7.8</v>
      </c>
      <c r="H618"/>
      <c r="I618"/>
      <c r="J618" t="n">
        <v>2.7648304260769123</v>
      </c>
      <c r="K618"/>
    </row>
    <row r="619" spans="1:2" ht="13.5" customHeight="true" x14ac:dyDescent="0.15" hidden="false">
      <c r="A619" t="s">
        <v>7008</v>
      </c>
      <c r="B619" t="n">
        <v>38.0</v>
      </c>
      <c r="C619"/>
      <c r="D619" t="n">
        <v>0.0</v>
      </c>
      <c r="E619"/>
      <c r="F619"/>
      <c r="G619" t="n">
        <v>0.0</v>
      </c>
      <c r="H619"/>
      <c r="I619"/>
      <c r="J619"/>
      <c r="K619"/>
    </row>
    <row r="620" spans="1:2" ht="13.5" customHeight="true" x14ac:dyDescent="0.15" hidden="false">
      <c r="A620" t="s">
        <v>7008</v>
      </c>
      <c r="B620" t="n">
        <v>39.0</v>
      </c>
      <c r="C620"/>
      <c r="D620"/>
      <c r="E620" t="n">
        <v>0.0</v>
      </c>
      <c r="F620"/>
      <c r="G620"/>
      <c r="H620" t="n">
        <v>1.9300000000000002</v>
      </c>
      <c r="I620"/>
      <c r="J620"/>
      <c r="K620" t="n">
        <v>1.860547461023661</v>
      </c>
    </row>
    <row r="621" spans="1:2" ht="13.5" customHeight="true" x14ac:dyDescent="0.15" hidden="false">
      <c r="A621" t="s">
        <v>7008</v>
      </c>
      <c r="B621" t="n">
        <v>40.0</v>
      </c>
      <c r="C621"/>
      <c r="D621"/>
      <c r="E621" t="n">
        <v>0.0</v>
      </c>
      <c r="F621"/>
      <c r="G621"/>
      <c r="H621" t="n">
        <v>0.0</v>
      </c>
      <c r="I621"/>
      <c r="J621"/>
      <c r="K621"/>
    </row>
    <row r="622" spans="1:2" ht="13.5" customHeight="true" x14ac:dyDescent="0.15" hidden="false">
      <c r="A622" t="s">
        <v>7008</v>
      </c>
      <c r="B622" t="n">
        <v>41.0</v>
      </c>
      <c r="C622" t="n">
        <v>0.0</v>
      </c>
      <c r="D622"/>
      <c r="E622"/>
      <c r="F622" t="n">
        <v>1.07</v>
      </c>
      <c r="G622"/>
      <c r="H622"/>
      <c r="I622" t="n">
        <v>0.5280262912583201</v>
      </c>
      <c r="J622"/>
      <c r="K622"/>
    </row>
    <row r="623" spans="1:2" ht="13.5" customHeight="true" x14ac:dyDescent="0.15" hidden="false">
      <c r="A623" t="s">
        <v>7008</v>
      </c>
      <c r="B623" t="n">
        <v>42.0</v>
      </c>
      <c r="C623" t="n">
        <v>0.0</v>
      </c>
      <c r="D623"/>
      <c r="E623"/>
      <c r="F623" t="n">
        <v>0.0</v>
      </c>
      <c r="G623"/>
      <c r="H623"/>
      <c r="I623"/>
      <c r="J623"/>
      <c r="K623"/>
    </row>
    <row r="624" spans="1:2" ht="13.5" customHeight="true" x14ac:dyDescent="0.15" hidden="false">
      <c r="A624" t="s">
        <v>7008</v>
      </c>
      <c r="B624" t="n">
        <v>43.0</v>
      </c>
      <c r="C624"/>
      <c r="D624" t="n">
        <v>0.0</v>
      </c>
      <c r="E624"/>
      <c r="F624"/>
      <c r="G624" t="n">
        <v>5.67</v>
      </c>
      <c r="H624"/>
      <c r="I624"/>
      <c r="J624" t="n">
        <v>4.7700040873720635</v>
      </c>
      <c r="K624"/>
    </row>
    <row r="625" spans="1:2" ht="13.5" customHeight="true" x14ac:dyDescent="0.15" hidden="false">
      <c r="A625" t="s">
        <v>7008</v>
      </c>
      <c r="B625" t="n">
        <v>44.0</v>
      </c>
      <c r="C625"/>
      <c r="D625" t="n">
        <v>0.0</v>
      </c>
      <c r="E625"/>
      <c r="F625"/>
      <c r="G625" t="n">
        <v>0.0</v>
      </c>
      <c r="H625"/>
      <c r="I625"/>
      <c r="J625"/>
      <c r="K625"/>
    </row>
    <row r="626" spans="1:2" ht="13.5" customHeight="true" x14ac:dyDescent="0.15" hidden="false">
      <c r="A626" t="s">
        <v>7008</v>
      </c>
      <c r="B626" t="n">
        <v>45.0</v>
      </c>
      <c r="C626"/>
      <c r="D626"/>
      <c r="E626" t="n">
        <v>0.0</v>
      </c>
      <c r="F626"/>
      <c r="G626"/>
      <c r="H626" t="n">
        <v>5.53</v>
      </c>
      <c r="I626"/>
      <c r="J626"/>
      <c r="K626" t="n">
        <v>4.924312780575548</v>
      </c>
    </row>
    <row r="627" spans="1:2" ht="13.5" customHeight="true" x14ac:dyDescent="0.15" hidden="false">
      <c r="A627" t="s">
        <v>7008</v>
      </c>
      <c r="B627" t="n">
        <v>46.0</v>
      </c>
      <c r="C627"/>
      <c r="D627"/>
      <c r="E627" t="n">
        <v>0.0</v>
      </c>
      <c r="F627"/>
      <c r="G627"/>
      <c r="H627" t="n">
        <v>0.0</v>
      </c>
      <c r="I627"/>
      <c r="J627"/>
      <c r="K627"/>
    </row>
    <row r="628" spans="1:2" ht="13.5" customHeight="true" x14ac:dyDescent="0.15" hidden="false">
      <c r="A628" t="s">
        <v>7008</v>
      </c>
      <c r="B628" t="n">
        <v>47.0</v>
      </c>
      <c r="C628" t="n">
        <v>0.0</v>
      </c>
      <c r="D628"/>
      <c r="E628"/>
      <c r="F628" t="n">
        <v>5.44</v>
      </c>
      <c r="G628"/>
      <c r="H628"/>
      <c r="I628" t="n">
        <v>3.7378973240676587</v>
      </c>
      <c r="J628"/>
      <c r="K628"/>
    </row>
    <row r="629" spans="1:2" ht="13.5" customHeight="true" x14ac:dyDescent="0.15" hidden="false">
      <c r="A629" t="s">
        <v>7008</v>
      </c>
      <c r="B629" t="n">
        <v>48.0</v>
      </c>
      <c r="C629" t="n">
        <v>0.0</v>
      </c>
      <c r="D629"/>
      <c r="E629"/>
      <c r="F629" t="n">
        <v>0.0</v>
      </c>
      <c r="G629"/>
      <c r="H629"/>
      <c r="I629"/>
      <c r="J629"/>
      <c r="K629"/>
    </row>
    <row r="630" spans="1:2" ht="13.5" customHeight="true" x14ac:dyDescent="0.15" hidden="false">
      <c r="A630" t="s">
        <v>7008</v>
      </c>
      <c r="B630" t="n">
        <v>49.0</v>
      </c>
      <c r="C630"/>
      <c r="D630" t="n">
        <v>0.0</v>
      </c>
      <c r="E630"/>
      <c r="F630"/>
      <c r="G630" t="n">
        <v>1.49</v>
      </c>
      <c r="H630"/>
      <c r="I630"/>
      <c r="J630" t="n">
        <v>1.3017880648648068</v>
      </c>
      <c r="K630"/>
    </row>
    <row r="631" spans="1:2" ht="13.5" customHeight="true" x14ac:dyDescent="0.15" hidden="false">
      <c r="A631" t="s">
        <v>7008</v>
      </c>
      <c r="B631" t="n">
        <v>50.0</v>
      </c>
      <c r="C631"/>
      <c r="D631" t="n">
        <v>0.0</v>
      </c>
      <c r="E631"/>
      <c r="F631"/>
      <c r="G631" t="n">
        <v>0.0</v>
      </c>
      <c r="H631"/>
      <c r="I631"/>
      <c r="J631"/>
      <c r="K631"/>
    </row>
    <row r="632" spans="1:2" ht="13.5" customHeight="true" x14ac:dyDescent="0.15" hidden="false">
      <c r="A632" t="s">
        <v>7008</v>
      </c>
      <c r="B632" t="n">
        <v>51.0</v>
      </c>
      <c r="C632"/>
      <c r="D632"/>
      <c r="E632" t="n">
        <v>0.0</v>
      </c>
      <c r="F632"/>
      <c r="G632"/>
      <c r="H632" t="n">
        <v>5.77</v>
      </c>
      <c r="I632"/>
      <c r="J632"/>
      <c r="K632" t="n">
        <v>4.552255512957185</v>
      </c>
    </row>
    <row r="633" spans="1:2" ht="13.5" customHeight="true" x14ac:dyDescent="0.15" hidden="false">
      <c r="A633" t="s">
        <v>7008</v>
      </c>
      <c r="B633" t="n">
        <v>52.0</v>
      </c>
      <c r="C633"/>
      <c r="D633"/>
      <c r="E633" t="n">
        <v>0.0</v>
      </c>
      <c r="F633"/>
      <c r="G633"/>
      <c r="H633" t="n">
        <v>0.0</v>
      </c>
      <c r="I633"/>
      <c r="J633"/>
      <c r="K633"/>
    </row>
    <row r="634" spans="1:2" ht="13.5" customHeight="true" x14ac:dyDescent="0.15" hidden="false">
      <c r="A634" t="s">
        <v>7008</v>
      </c>
      <c r="B634" t="n">
        <v>53.0</v>
      </c>
      <c r="C634" t="n">
        <v>0.0</v>
      </c>
      <c r="D634"/>
      <c r="E634"/>
      <c r="F634" t="n">
        <v>1.0</v>
      </c>
      <c r="G634"/>
      <c r="H634"/>
      <c r="I634" t="n">
        <v>0.5747520159780852</v>
      </c>
      <c r="J634"/>
      <c r="K634"/>
    </row>
    <row r="635" spans="1:2" ht="13.5" customHeight="true" x14ac:dyDescent="0.15" hidden="false">
      <c r="A635" t="s">
        <v>7008</v>
      </c>
      <c r="B635" t="n">
        <v>54.0</v>
      </c>
      <c r="C635" t="n">
        <v>2.31</v>
      </c>
      <c r="D635"/>
      <c r="E635"/>
      <c r="F635" t="n">
        <v>2.9</v>
      </c>
      <c r="G635"/>
      <c r="H635"/>
      <c r="I635" t="n">
        <v>2.4267372394180073</v>
      </c>
      <c r="J635"/>
      <c r="K635"/>
    </row>
    <row r="636" spans="1:2" ht="13.5" customHeight="true" x14ac:dyDescent="0.15" hidden="false">
      <c r="A636" t="s">
        <v>7009</v>
      </c>
      <c r="B636" t="n">
        <v>1.0</v>
      </c>
      <c r="C636"/>
      <c r="D636" t="n">
        <v>0.0</v>
      </c>
      <c r="E636"/>
      <c r="F636"/>
      <c r="G636" t="n">
        <v>0.0</v>
      </c>
      <c r="H636"/>
      <c r="I636"/>
      <c r="J636"/>
      <c r="K636"/>
    </row>
    <row r="637" spans="1:2" ht="13.5" customHeight="true" x14ac:dyDescent="0.15" hidden="false">
      <c r="A637" t="s">
        <v>7009</v>
      </c>
      <c r="B637" t="n">
        <v>2.0</v>
      </c>
      <c r="C637"/>
      <c r="D637" t="n">
        <v>0.0</v>
      </c>
      <c r="E637"/>
      <c r="F637"/>
      <c r="G637" t="n">
        <v>0.0</v>
      </c>
      <c r="H637"/>
      <c r="I637"/>
      <c r="J637"/>
      <c r="K637"/>
    </row>
    <row r="638" spans="1:2" ht="13.5" customHeight="true" x14ac:dyDescent="0.15" hidden="false">
      <c r="A638" t="s">
        <v>7009</v>
      </c>
      <c r="B638" t="n">
        <v>3.0</v>
      </c>
      <c r="C638"/>
      <c r="D638"/>
      <c r="E638" t="n">
        <v>0.0</v>
      </c>
      <c r="F638"/>
      <c r="G638"/>
      <c r="H638" t="n">
        <v>0.0</v>
      </c>
      <c r="I638"/>
      <c r="J638"/>
      <c r="K638"/>
    </row>
    <row r="639" spans="1:2" ht="13.5" customHeight="true" x14ac:dyDescent="0.15" hidden="false">
      <c r="A639" t="s">
        <v>7009</v>
      </c>
      <c r="B639" t="n">
        <v>4.0</v>
      </c>
      <c r="C639"/>
      <c r="D639"/>
      <c r="E639" t="n">
        <v>0.0</v>
      </c>
      <c r="F639"/>
      <c r="G639"/>
      <c r="H639" t="n">
        <v>0.0</v>
      </c>
      <c r="I639"/>
      <c r="J639"/>
      <c r="K639"/>
    </row>
    <row r="640" spans="1:2" ht="13.5" customHeight="true" x14ac:dyDescent="0.15" hidden="false">
      <c r="A640" t="s">
        <v>7009</v>
      </c>
      <c r="B640" t="n">
        <v>5.0</v>
      </c>
      <c r="C640" t="n">
        <v>0.0</v>
      </c>
      <c r="D640"/>
      <c r="E640"/>
      <c r="F640" t="n">
        <v>0.0</v>
      </c>
      <c r="G640"/>
      <c r="H640"/>
      <c r="I640"/>
      <c r="J640"/>
      <c r="K640"/>
    </row>
    <row r="641" spans="1:2" ht="13.5" customHeight="true" x14ac:dyDescent="0.15" hidden="false">
      <c r="A641" t="s">
        <v>7009</v>
      </c>
      <c r="B641" t="n">
        <v>6.0</v>
      </c>
      <c r="C641" t="n">
        <v>0.0</v>
      </c>
      <c r="D641"/>
      <c r="E641"/>
      <c r="F641" t="n">
        <v>0.0</v>
      </c>
      <c r="G641"/>
      <c r="H641"/>
      <c r="I641"/>
      <c r="J641"/>
      <c r="K641"/>
    </row>
    <row r="642" spans="1:2" ht="13.5" customHeight="true" x14ac:dyDescent="0.15" hidden="false">
      <c r="A642" t="s">
        <v>7009</v>
      </c>
      <c r="B642" t="n">
        <v>7.0</v>
      </c>
      <c r="C642"/>
      <c r="D642" t="n">
        <v>0.0</v>
      </c>
      <c r="E642"/>
      <c r="F642"/>
      <c r="G642" t="n">
        <v>0.0</v>
      </c>
      <c r="H642"/>
      <c r="I642"/>
      <c r="J642"/>
      <c r="K642"/>
    </row>
    <row r="643" spans="1:2" ht="13.5" customHeight="true" x14ac:dyDescent="0.15" hidden="false">
      <c r="A643" t="s">
        <v>7009</v>
      </c>
      <c r="B643" t="n">
        <v>8.0</v>
      </c>
      <c r="C643"/>
      <c r="D643" t="n">
        <v>0.0</v>
      </c>
      <c r="E643"/>
      <c r="F643"/>
      <c r="G643" t="n">
        <v>0.0</v>
      </c>
      <c r="H643"/>
      <c r="I643"/>
      <c r="J643"/>
      <c r="K643"/>
    </row>
    <row r="644" spans="1:2" ht="13.5" customHeight="true" x14ac:dyDescent="0.15" hidden="false">
      <c r="A644" t="s">
        <v>7009</v>
      </c>
      <c r="B644" t="n">
        <v>9.0</v>
      </c>
      <c r="C644"/>
      <c r="D644"/>
      <c r="E644" t="n">
        <v>0.0</v>
      </c>
      <c r="F644"/>
      <c r="G644"/>
      <c r="H644" t="n">
        <v>0.0</v>
      </c>
      <c r="I644"/>
      <c r="J644"/>
      <c r="K644"/>
    </row>
    <row r="645" spans="1:2" ht="13.5" customHeight="true" x14ac:dyDescent="0.15" hidden="false">
      <c r="A645" t="s">
        <v>7009</v>
      </c>
      <c r="B645" t="n">
        <v>10.0</v>
      </c>
      <c r="C645"/>
      <c r="D645"/>
      <c r="E645" t="n">
        <v>0.0</v>
      </c>
      <c r="F645"/>
      <c r="G645"/>
      <c r="H645" t="n">
        <v>0.0</v>
      </c>
      <c r="I645"/>
      <c r="J645"/>
      <c r="K645"/>
    </row>
    <row r="646" spans="1:2" ht="13.5" customHeight="true" x14ac:dyDescent="0.15" hidden="false">
      <c r="A646" t="s">
        <v>7009</v>
      </c>
      <c r="B646" t="n">
        <v>11.0</v>
      </c>
      <c r="C646" t="n">
        <v>0.0</v>
      </c>
      <c r="D646"/>
      <c r="E646"/>
      <c r="F646" t="n">
        <v>0.0</v>
      </c>
      <c r="G646"/>
      <c r="H646"/>
      <c r="I646"/>
      <c r="J646"/>
      <c r="K646"/>
    </row>
    <row r="647" spans="1:2" ht="13.5" customHeight="true" x14ac:dyDescent="0.15" hidden="false">
      <c r="A647" t="s">
        <v>7009</v>
      </c>
      <c r="B647" t="n">
        <v>12.0</v>
      </c>
      <c r="C647" t="n">
        <v>0.0</v>
      </c>
      <c r="D647"/>
      <c r="E647"/>
      <c r="F647" t="n">
        <v>0.0</v>
      </c>
      <c r="G647"/>
      <c r="H647"/>
      <c r="I647"/>
      <c r="J647"/>
      <c r="K647"/>
    </row>
    <row r="648" spans="1:2" ht="13.5" customHeight="true" x14ac:dyDescent="0.15" hidden="false">
      <c r="A648" t="s">
        <v>7009</v>
      </c>
      <c r="B648" t="n">
        <v>13.0</v>
      </c>
      <c r="C648"/>
      <c r="D648" t="n">
        <v>0.0</v>
      </c>
      <c r="E648"/>
      <c r="F648"/>
      <c r="G648" t="n">
        <v>0.0</v>
      </c>
      <c r="H648"/>
      <c r="I648"/>
      <c r="J648"/>
      <c r="K648"/>
    </row>
    <row r="649" spans="1:2" ht="13.5" customHeight="true" x14ac:dyDescent="0.15" hidden="false">
      <c r="A649" t="s">
        <v>7009</v>
      </c>
      <c r="B649" t="n">
        <v>14.0</v>
      </c>
      <c r="C649"/>
      <c r="D649" t="n">
        <v>0.0</v>
      </c>
      <c r="E649"/>
      <c r="F649"/>
      <c r="G649" t="n">
        <v>0.0</v>
      </c>
      <c r="H649"/>
      <c r="I649"/>
      <c r="J649"/>
      <c r="K649"/>
    </row>
    <row r="650" spans="1:2" ht="13.5" customHeight="true" x14ac:dyDescent="0.15" hidden="false">
      <c r="A650" t="s">
        <v>7009</v>
      </c>
      <c r="B650" t="n">
        <v>15.0</v>
      </c>
      <c r="C650"/>
      <c r="D650"/>
      <c r="E650" t="n">
        <v>0.0</v>
      </c>
      <c r="F650"/>
      <c r="G650"/>
      <c r="H650" t="n">
        <v>0.0</v>
      </c>
      <c r="I650"/>
      <c r="J650"/>
      <c r="K650"/>
    </row>
    <row r="651" spans="1:2" ht="13.5" customHeight="true" x14ac:dyDescent="0.15" hidden="false">
      <c r="A651" t="s">
        <v>7009</v>
      </c>
      <c r="B651" t="n">
        <v>16.0</v>
      </c>
      <c r="C651"/>
      <c r="D651"/>
      <c r="E651" t="n">
        <v>0.0</v>
      </c>
      <c r="F651"/>
      <c r="G651"/>
      <c r="H651" t="n">
        <v>0.0</v>
      </c>
      <c r="I651"/>
      <c r="J651"/>
      <c r="K651"/>
    </row>
    <row r="652" spans="1:2" ht="13.5" customHeight="true" x14ac:dyDescent="0.15" hidden="false">
      <c r="A652" t="s">
        <v>7009</v>
      </c>
      <c r="B652" t="n">
        <v>17.0</v>
      </c>
      <c r="C652" t="n">
        <v>0.0</v>
      </c>
      <c r="D652"/>
      <c r="E652"/>
      <c r="F652" t="n">
        <v>0.0</v>
      </c>
      <c r="G652"/>
      <c r="H652"/>
      <c r="I652"/>
      <c r="J652"/>
      <c r="K652"/>
    </row>
    <row r="653" spans="1:2" ht="13.5" customHeight="true" x14ac:dyDescent="0.15" hidden="false">
      <c r="A653" t="s">
        <v>7009</v>
      </c>
      <c r="B653" t="n">
        <v>18.0</v>
      </c>
      <c r="C653" t="n">
        <v>0.0</v>
      </c>
      <c r="D653"/>
      <c r="E653"/>
      <c r="F653" t="n">
        <v>0.0</v>
      </c>
      <c r="G653"/>
      <c r="H653"/>
      <c r="I653"/>
      <c r="J653"/>
      <c r="K653"/>
    </row>
    <row r="654" spans="1:2" ht="13.5" customHeight="true" x14ac:dyDescent="0.15" hidden="false">
      <c r="A654" t="s">
        <v>7009</v>
      </c>
      <c r="B654" t="n">
        <v>19.0</v>
      </c>
      <c r="C654"/>
      <c r="D654" t="n">
        <v>0.0</v>
      </c>
      <c r="E654"/>
      <c r="F654"/>
      <c r="G654" t="n">
        <v>0.0</v>
      </c>
      <c r="H654"/>
      <c r="I654"/>
      <c r="J654"/>
      <c r="K654"/>
    </row>
    <row r="655" spans="1:2" ht="13.5" customHeight="true" x14ac:dyDescent="0.15" hidden="false">
      <c r="A655" t="s">
        <v>7009</v>
      </c>
      <c r="B655" t="n">
        <v>20.0</v>
      </c>
      <c r="C655"/>
      <c r="D655" t="n">
        <v>0.0</v>
      </c>
      <c r="E655"/>
      <c r="F655"/>
      <c r="G655" t="n">
        <v>0.0</v>
      </c>
      <c r="H655"/>
      <c r="I655"/>
      <c r="J655"/>
      <c r="K655"/>
    </row>
    <row r="656" spans="1:2" ht="13.5" customHeight="true" x14ac:dyDescent="0.15" hidden="false">
      <c r="A656" t="s">
        <v>7009</v>
      </c>
      <c r="B656" t="n">
        <v>21.0</v>
      </c>
      <c r="C656"/>
      <c r="D656"/>
      <c r="E656" t="n">
        <v>0.0</v>
      </c>
      <c r="F656"/>
      <c r="G656"/>
      <c r="H656" t="n">
        <v>0.0</v>
      </c>
      <c r="I656"/>
      <c r="J656"/>
      <c r="K656"/>
    </row>
    <row r="657" spans="1:2" ht="13.5" customHeight="true" x14ac:dyDescent="0.15" hidden="false">
      <c r="A657" t="s">
        <v>7009</v>
      </c>
      <c r="B657" t="n">
        <v>22.0</v>
      </c>
      <c r="C657"/>
      <c r="D657"/>
      <c r="E657" t="n">
        <v>0.0</v>
      </c>
      <c r="F657"/>
      <c r="G657"/>
      <c r="H657" t="n">
        <v>0.0</v>
      </c>
      <c r="I657"/>
      <c r="J657"/>
      <c r="K657"/>
    </row>
    <row r="658" spans="1:2" ht="13.5" customHeight="true" x14ac:dyDescent="0.15" hidden="false">
      <c r="A658" t="s">
        <v>7009</v>
      </c>
      <c r="B658" t="n">
        <v>23.0</v>
      </c>
      <c r="C658" t="n">
        <v>0.0</v>
      </c>
      <c r="D658"/>
      <c r="E658"/>
      <c r="F658" t="n">
        <v>0.0</v>
      </c>
      <c r="G658"/>
      <c r="H658"/>
      <c r="I658"/>
      <c r="J658"/>
      <c r="K658"/>
    </row>
    <row r="659" spans="1:2" ht="13.5" customHeight="true" x14ac:dyDescent="0.15" hidden="false">
      <c r="A659" t="s">
        <v>7009</v>
      </c>
      <c r="B659" t="n">
        <v>24.0</v>
      </c>
      <c r="C659" t="n">
        <v>0.0</v>
      </c>
      <c r="D659"/>
      <c r="E659"/>
      <c r="F659" t="n">
        <v>0.0</v>
      </c>
      <c r="G659"/>
      <c r="H659"/>
      <c r="I659"/>
      <c r="J659"/>
      <c r="K659"/>
    </row>
    <row r="660" spans="1:2" ht="13.5" customHeight="true" x14ac:dyDescent="0.15" hidden="false">
      <c r="A660" t="s">
        <v>7009</v>
      </c>
      <c r="B660" t="n">
        <v>25.0</v>
      </c>
      <c r="C660"/>
      <c r="D660" t="n">
        <v>0.0</v>
      </c>
      <c r="E660"/>
      <c r="F660"/>
      <c r="G660" t="n">
        <v>0.0</v>
      </c>
      <c r="H660"/>
      <c r="I660"/>
      <c r="J660"/>
      <c r="K660"/>
    </row>
    <row r="661" spans="1:2" ht="13.5" customHeight="true" x14ac:dyDescent="0.15" hidden="false">
      <c r="A661" t="s">
        <v>7009</v>
      </c>
      <c r="B661" t="n">
        <v>26.0</v>
      </c>
      <c r="C661"/>
      <c r="D661" t="n">
        <v>0.0</v>
      </c>
      <c r="E661"/>
      <c r="F661"/>
      <c r="G661" t="n">
        <v>0.0</v>
      </c>
      <c r="H661"/>
      <c r="I661"/>
      <c r="J661"/>
      <c r="K661"/>
    </row>
    <row r="662" spans="1:2" ht="13.5" customHeight="true" x14ac:dyDescent="0.15" hidden="false">
      <c r="A662" t="s">
        <v>7009</v>
      </c>
      <c r="B662" t="n">
        <v>27.0</v>
      </c>
      <c r="C662"/>
      <c r="D662"/>
      <c r="E662" t="n">
        <v>0.0</v>
      </c>
      <c r="F662"/>
      <c r="G662"/>
      <c r="H662" t="n">
        <v>0.0</v>
      </c>
      <c r="I662"/>
      <c r="J662"/>
      <c r="K662"/>
    </row>
    <row r="663" spans="1:2" ht="13.5" customHeight="true" x14ac:dyDescent="0.15" hidden="false">
      <c r="A663" t="s">
        <v>7009</v>
      </c>
      <c r="B663" t="n">
        <v>28.0</v>
      </c>
      <c r="C663"/>
      <c r="D663"/>
      <c r="E663" t="n">
        <v>0.0</v>
      </c>
      <c r="F663"/>
      <c r="G663"/>
      <c r="H663" t="n">
        <v>0.0</v>
      </c>
      <c r="I663"/>
      <c r="J663"/>
      <c r="K663"/>
    </row>
    <row r="664" spans="1:2" ht="13.5" customHeight="true" x14ac:dyDescent="0.15" hidden="false">
      <c r="A664" t="s">
        <v>7009</v>
      </c>
      <c r="B664" t="n">
        <v>29.0</v>
      </c>
      <c r="C664" t="n">
        <v>0.0</v>
      </c>
      <c r="D664"/>
      <c r="E664"/>
      <c r="F664" t="n">
        <v>0.0</v>
      </c>
      <c r="G664"/>
      <c r="H664"/>
      <c r="I664"/>
      <c r="J664"/>
      <c r="K664"/>
    </row>
    <row r="665" spans="1:2" ht="13.5" customHeight="true" x14ac:dyDescent="0.15" hidden="false">
      <c r="A665" t="s">
        <v>7009</v>
      </c>
      <c r="B665" t="n">
        <v>30.0</v>
      </c>
      <c r="C665" t="n">
        <v>0.0</v>
      </c>
      <c r="D665"/>
      <c r="E665"/>
      <c r="F665" t="n">
        <v>0.0</v>
      </c>
      <c r="G665"/>
      <c r="H665"/>
      <c r="I665"/>
      <c r="J665"/>
      <c r="K665"/>
    </row>
    <row r="666" spans="1:2" ht="13.5" customHeight="true" x14ac:dyDescent="0.15" hidden="false">
      <c r="A666" t="s">
        <v>7009</v>
      </c>
      <c r="B666" t="n">
        <v>31.0</v>
      </c>
      <c r="C666"/>
      <c r="D666" t="n">
        <v>0.0</v>
      </c>
      <c r="E666"/>
      <c r="F666"/>
      <c r="G666" t="n">
        <v>0.0</v>
      </c>
      <c r="H666"/>
      <c r="I666"/>
      <c r="J666"/>
      <c r="K666"/>
    </row>
    <row r="667" spans="1:2" ht="13.5" customHeight="true" x14ac:dyDescent="0.15" hidden="false">
      <c r="A667" t="s">
        <v>7009</v>
      </c>
      <c r="B667" t="n">
        <v>32.0</v>
      </c>
      <c r="C667"/>
      <c r="D667" t="n">
        <v>0.0</v>
      </c>
      <c r="E667"/>
      <c r="F667"/>
      <c r="G667" t="n">
        <v>0.0</v>
      </c>
      <c r="H667"/>
      <c r="I667"/>
      <c r="J667"/>
      <c r="K667"/>
    </row>
    <row r="668" spans="1:2" ht="13.5" customHeight="true" x14ac:dyDescent="0.15" hidden="false">
      <c r="A668" t="s">
        <v>7009</v>
      </c>
      <c r="B668" t="n">
        <v>33.0</v>
      </c>
      <c r="C668"/>
      <c r="D668"/>
      <c r="E668" t="n">
        <v>0.0</v>
      </c>
      <c r="F668"/>
      <c r="G668"/>
      <c r="H668" t="n">
        <v>0.0</v>
      </c>
      <c r="I668"/>
      <c r="J668"/>
      <c r="K668"/>
    </row>
    <row r="669" spans="1:2" ht="13.5" customHeight="true" x14ac:dyDescent="0.15" hidden="false">
      <c r="A669" t="s">
        <v>7009</v>
      </c>
      <c r="B669" t="n">
        <v>34.0</v>
      </c>
      <c r="C669"/>
      <c r="D669"/>
      <c r="E669" t="n">
        <v>0.0</v>
      </c>
      <c r="F669"/>
      <c r="G669"/>
      <c r="H669" t="n">
        <v>0.0</v>
      </c>
      <c r="I669"/>
      <c r="J669"/>
      <c r="K669"/>
    </row>
    <row r="670" spans="1:2" ht="13.5" customHeight="true" x14ac:dyDescent="0.15" hidden="false">
      <c r="A670" t="s">
        <v>7009</v>
      </c>
      <c r="B670" t="n">
        <v>35.0</v>
      </c>
      <c r="C670" t="n">
        <v>0.0</v>
      </c>
      <c r="D670"/>
      <c r="E670"/>
      <c r="F670" t="n">
        <v>0.0</v>
      </c>
      <c r="G670"/>
      <c r="H670"/>
      <c r="I670"/>
      <c r="J670"/>
      <c r="K670"/>
    </row>
    <row r="671" spans="1:2" ht="13.5" customHeight="true" x14ac:dyDescent="0.15" hidden="false">
      <c r="A671" t="s">
        <v>7009</v>
      </c>
      <c r="B671" t="n">
        <v>36.0</v>
      </c>
      <c r="C671" t="n">
        <v>0.0</v>
      </c>
      <c r="D671"/>
      <c r="E671"/>
      <c r="F671" t="n">
        <v>0.0</v>
      </c>
      <c r="G671"/>
      <c r="H671"/>
      <c r="I671"/>
      <c r="J671"/>
      <c r="K671"/>
    </row>
    <row r="672" spans="1:2" ht="13.5" customHeight="true" x14ac:dyDescent="0.15" hidden="false">
      <c r="A672" t="s">
        <v>7009</v>
      </c>
      <c r="B672" t="n">
        <v>37.0</v>
      </c>
      <c r="C672"/>
      <c r="D672" t="n">
        <v>0.0</v>
      </c>
      <c r="E672"/>
      <c r="F672"/>
      <c r="G672" t="n">
        <v>0.0</v>
      </c>
      <c r="H672"/>
      <c r="I672"/>
      <c r="J672"/>
      <c r="K672"/>
    </row>
    <row r="673" spans="1:2" ht="13.5" customHeight="true" x14ac:dyDescent="0.15" hidden="false">
      <c r="A673" t="s">
        <v>7009</v>
      </c>
      <c r="B673" t="n">
        <v>38.0</v>
      </c>
      <c r="C673"/>
      <c r="D673" t="n">
        <v>0.0</v>
      </c>
      <c r="E673"/>
      <c r="F673"/>
      <c r="G673" t="n">
        <v>0.0</v>
      </c>
      <c r="H673"/>
      <c r="I673"/>
      <c r="J673"/>
      <c r="K673"/>
    </row>
    <row r="674" spans="1:2" ht="13.5" customHeight="true" x14ac:dyDescent="0.15" hidden="false">
      <c r="A674" t="s">
        <v>7009</v>
      </c>
      <c r="B674" t="n">
        <v>39.0</v>
      </c>
      <c r="C674"/>
      <c r="D674"/>
      <c r="E674" t="n">
        <v>0.0</v>
      </c>
      <c r="F674"/>
      <c r="G674"/>
      <c r="H674" t="n">
        <v>0.0</v>
      </c>
      <c r="I674"/>
      <c r="J674"/>
      <c r="K674"/>
    </row>
    <row r="675" spans="1:2" ht="13.5" customHeight="true" x14ac:dyDescent="0.15" hidden="false">
      <c r="A675" t="s">
        <v>7009</v>
      </c>
      <c r="B675" t="n">
        <v>40.0</v>
      </c>
      <c r="C675"/>
      <c r="D675"/>
      <c r="E675" t="n">
        <v>0.0</v>
      </c>
      <c r="F675"/>
      <c r="G675"/>
      <c r="H675" t="n">
        <v>0.0</v>
      </c>
      <c r="I675"/>
      <c r="J675"/>
      <c r="K675"/>
    </row>
    <row r="676" spans="1:2" ht="13.5" customHeight="true" x14ac:dyDescent="0.15" hidden="false">
      <c r="A676" t="s">
        <v>7009</v>
      </c>
      <c r="B676" t="n">
        <v>41.0</v>
      </c>
      <c r="C676" t="n">
        <v>0.0</v>
      </c>
      <c r="D676"/>
      <c r="E676"/>
      <c r="F676" t="n">
        <v>0.0</v>
      </c>
      <c r="G676"/>
      <c r="H676"/>
      <c r="I676"/>
      <c r="J676"/>
      <c r="K676"/>
    </row>
    <row r="677" spans="1:2" ht="13.5" customHeight="true" x14ac:dyDescent="0.15" hidden="false">
      <c r="A677" t="s">
        <v>7009</v>
      </c>
      <c r="B677" t="n">
        <v>42.0</v>
      </c>
      <c r="C677" t="n">
        <v>0.0</v>
      </c>
      <c r="D677"/>
      <c r="E677"/>
      <c r="F677" t="n">
        <v>0.0</v>
      </c>
      <c r="G677"/>
      <c r="H677"/>
      <c r="I677"/>
      <c r="J677"/>
      <c r="K677"/>
    </row>
    <row r="678" spans="1:2" ht="13.5" customHeight="true" x14ac:dyDescent="0.15" hidden="false">
      <c r="A678" t="s">
        <v>7009</v>
      </c>
      <c r="B678" t="n">
        <v>43.0</v>
      </c>
      <c r="C678"/>
      <c r="D678" t="n">
        <v>0.0</v>
      </c>
      <c r="E678"/>
      <c r="F678"/>
      <c r="G678" t="n">
        <v>0.0</v>
      </c>
      <c r="H678"/>
      <c r="I678"/>
      <c r="J678"/>
      <c r="K678"/>
    </row>
    <row r="679" spans="1:2" ht="13.5" customHeight="true" x14ac:dyDescent="0.15" hidden="false">
      <c r="A679" t="s">
        <v>7009</v>
      </c>
      <c r="B679" t="n">
        <v>44.0</v>
      </c>
      <c r="C679"/>
      <c r="D679" t="n">
        <v>0.0</v>
      </c>
      <c r="E679"/>
      <c r="F679"/>
      <c r="G679" t="n">
        <v>0.0</v>
      </c>
      <c r="H679"/>
      <c r="I679"/>
      <c r="J679"/>
      <c r="K679"/>
    </row>
    <row r="680" spans="1:2" ht="13.5" customHeight="true" x14ac:dyDescent="0.15" hidden="false">
      <c r="A680" t="s">
        <v>7009</v>
      </c>
      <c r="B680" t="n">
        <v>45.0</v>
      </c>
      <c r="C680"/>
      <c r="D680"/>
      <c r="E680" t="n">
        <v>0.0</v>
      </c>
      <c r="F680"/>
      <c r="G680"/>
      <c r="H680" t="n">
        <v>0.0</v>
      </c>
      <c r="I680"/>
      <c r="J680"/>
      <c r="K680"/>
    </row>
    <row r="681" spans="1:2" ht="13.5" customHeight="true" x14ac:dyDescent="0.15" hidden="false">
      <c r="A681" t="s">
        <v>7009</v>
      </c>
      <c r="B681" t="n">
        <v>46.0</v>
      </c>
      <c r="C681"/>
      <c r="D681"/>
      <c r="E681" t="n">
        <v>0.0</v>
      </c>
      <c r="F681"/>
      <c r="G681"/>
      <c r="H681" t="n">
        <v>0.0</v>
      </c>
      <c r="I681"/>
      <c r="J681"/>
      <c r="K681"/>
    </row>
    <row r="682" spans="1:2" ht="13.5" customHeight="true" x14ac:dyDescent="0.15" hidden="false">
      <c r="A682" t="s">
        <v>7009</v>
      </c>
      <c r="B682" t="n">
        <v>47.0</v>
      </c>
      <c r="C682" t="n">
        <v>0.0</v>
      </c>
      <c r="D682"/>
      <c r="E682"/>
      <c r="F682" t="n">
        <v>0.0</v>
      </c>
      <c r="G682"/>
      <c r="H682"/>
      <c r="I682"/>
      <c r="J682"/>
      <c r="K682"/>
    </row>
    <row r="683" spans="1:2" ht="13.5" customHeight="true" x14ac:dyDescent="0.15" hidden="false">
      <c r="A683" t="s">
        <v>7009</v>
      </c>
      <c r="B683" t="n">
        <v>48.0</v>
      </c>
      <c r="C683" t="n">
        <v>0.0</v>
      </c>
      <c r="D683"/>
      <c r="E683"/>
      <c r="F683" t="n">
        <v>0.0</v>
      </c>
      <c r="G683"/>
      <c r="H683"/>
      <c r="I683"/>
      <c r="J683"/>
      <c r="K683"/>
    </row>
    <row r="684" spans="1:2" ht="13.5" customHeight="true" x14ac:dyDescent="0.15" hidden="false">
      <c r="A684" t="s">
        <v>7009</v>
      </c>
      <c r="B684" t="n">
        <v>49.0</v>
      </c>
      <c r="C684"/>
      <c r="D684" t="n">
        <v>0.0</v>
      </c>
      <c r="E684"/>
      <c r="F684"/>
      <c r="G684" t="n">
        <v>0.0</v>
      </c>
      <c r="H684"/>
      <c r="I684"/>
      <c r="J684"/>
      <c r="K684"/>
    </row>
    <row r="685" spans="1:2" ht="13.5" customHeight="true" x14ac:dyDescent="0.15" hidden="false">
      <c r="A685" t="s">
        <v>7009</v>
      </c>
      <c r="B685" t="n">
        <v>50.0</v>
      </c>
      <c r="C685"/>
      <c r="D685" t="n">
        <v>0.0</v>
      </c>
      <c r="E685"/>
      <c r="F685"/>
      <c r="G685" t="n">
        <v>0.0</v>
      </c>
      <c r="H685"/>
      <c r="I685"/>
      <c r="J685"/>
      <c r="K685"/>
    </row>
    <row r="686" spans="1:2" ht="13.5" customHeight="true" x14ac:dyDescent="0.15" hidden="false">
      <c r="A686" t="s">
        <v>7009</v>
      </c>
      <c r="B686" t="n">
        <v>51.0</v>
      </c>
      <c r="C686"/>
      <c r="D686"/>
      <c r="E686" t="n">
        <v>0.0</v>
      </c>
      <c r="F686"/>
      <c r="G686"/>
      <c r="H686" t="n">
        <v>0.0</v>
      </c>
      <c r="I686"/>
      <c r="J686"/>
      <c r="K686"/>
    </row>
    <row r="687" spans="1:2" ht="13.5" customHeight="true" x14ac:dyDescent="0.15" hidden="false">
      <c r="A687" t="s">
        <v>7009</v>
      </c>
      <c r="B687" t="n">
        <v>52.0</v>
      </c>
      <c r="C687"/>
      <c r="D687"/>
      <c r="E687" t="n">
        <v>0.0</v>
      </c>
      <c r="F687"/>
      <c r="G687"/>
      <c r="H687" t="n">
        <v>0.0</v>
      </c>
      <c r="I687"/>
      <c r="J687"/>
      <c r="K687"/>
    </row>
    <row r="688" spans="1:2" ht="13.5" customHeight="true" x14ac:dyDescent="0.15" hidden="false">
      <c r="A688" t="s">
        <v>7009</v>
      </c>
      <c r="B688" t="n">
        <v>53.0</v>
      </c>
      <c r="C688" t="n">
        <v>0.0</v>
      </c>
      <c r="D688"/>
      <c r="E688"/>
      <c r="F688" t="n">
        <v>0.0</v>
      </c>
      <c r="G688"/>
      <c r="H688"/>
      <c r="I688"/>
      <c r="J688"/>
      <c r="K688"/>
    </row>
    <row r="689" spans="1:2" ht="13.5" customHeight="true" x14ac:dyDescent="0.15" hidden="false">
      <c r="A689" t="s">
        <v>7009</v>
      </c>
      <c r="B689" t="n">
        <v>54.0</v>
      </c>
      <c r="C689" t="n">
        <v>0.0</v>
      </c>
      <c r="D689"/>
      <c r="E689"/>
      <c r="F689" t="n">
        <v>0.0</v>
      </c>
      <c r="G689"/>
      <c r="H689"/>
      <c r="I689"/>
      <c r="J689"/>
      <c r="K689"/>
    </row>
    <row r="690" spans="1:2" ht="13.5" customHeight="true" x14ac:dyDescent="0.15" hidden="false">
      <c r="A690" t="s">
        <v>7010</v>
      </c>
      <c r="B690" t="n">
        <v>1.0</v>
      </c>
      <c r="C690"/>
      <c r="D690" t="n">
        <v>0.0</v>
      </c>
      <c r="E690"/>
      <c r="F690"/>
      <c r="G690" t="n">
        <v>0.0</v>
      </c>
      <c r="H690"/>
      <c r="I690"/>
      <c r="J690"/>
      <c r="K690"/>
    </row>
    <row r="691" spans="1:2" ht="13.5" customHeight="true" x14ac:dyDescent="0.15" hidden="false">
      <c r="A691" t="s">
        <v>7010</v>
      </c>
      <c r="B691" t="n">
        <v>2.0</v>
      </c>
      <c r="C691"/>
      <c r="D691" t="n">
        <v>0.0</v>
      </c>
      <c r="E691"/>
      <c r="F691"/>
      <c r="G691" t="n">
        <v>0.0</v>
      </c>
      <c r="H691"/>
      <c r="I691"/>
      <c r="J691"/>
      <c r="K691"/>
    </row>
    <row r="692" spans="1:2" ht="13.5" customHeight="true" x14ac:dyDescent="0.15" hidden="false">
      <c r="A692" t="s">
        <v>7010</v>
      </c>
      <c r="B692" t="n">
        <v>3.0</v>
      </c>
      <c r="C692"/>
      <c r="D692"/>
      <c r="E692" t="n">
        <v>0.0</v>
      </c>
      <c r="F692"/>
      <c r="G692"/>
      <c r="H692" t="n">
        <v>0.0</v>
      </c>
      <c r="I692"/>
      <c r="J692"/>
      <c r="K692"/>
    </row>
    <row r="693" spans="1:2" ht="13.5" customHeight="true" x14ac:dyDescent="0.15" hidden="false">
      <c r="A693" t="s">
        <v>7010</v>
      </c>
      <c r="B693" t="n">
        <v>4.0</v>
      </c>
      <c r="C693"/>
      <c r="D693"/>
      <c r="E693" t="n">
        <v>0.0</v>
      </c>
      <c r="F693"/>
      <c r="G693"/>
      <c r="H693" t="n">
        <v>0.0</v>
      </c>
      <c r="I693"/>
      <c r="J693"/>
      <c r="K693"/>
    </row>
    <row r="694" spans="1:2" ht="13.5" customHeight="true" x14ac:dyDescent="0.15" hidden="false">
      <c r="A694" t="s">
        <v>7010</v>
      </c>
      <c r="B694" t="n">
        <v>5.0</v>
      </c>
      <c r="C694" t="n">
        <v>0.0</v>
      </c>
      <c r="D694"/>
      <c r="E694"/>
      <c r="F694" t="n">
        <v>0.0</v>
      </c>
      <c r="G694"/>
      <c r="H694"/>
      <c r="I694"/>
      <c r="J694"/>
      <c r="K694"/>
    </row>
    <row r="695" spans="1:2" ht="13.5" customHeight="true" x14ac:dyDescent="0.15" hidden="false">
      <c r="A695" t="s">
        <v>7010</v>
      </c>
      <c r="B695" t="n">
        <v>6.0</v>
      </c>
      <c r="C695" t="n">
        <v>0.0</v>
      </c>
      <c r="D695"/>
      <c r="E695"/>
      <c r="F695" t="n">
        <v>0.0</v>
      </c>
      <c r="G695"/>
      <c r="H695"/>
      <c r="I695"/>
      <c r="J695"/>
      <c r="K695"/>
    </row>
    <row r="696" spans="1:2" ht="13.5" customHeight="true" x14ac:dyDescent="0.15" hidden="false">
      <c r="A696" t="s">
        <v>7010</v>
      </c>
      <c r="B696" t="n">
        <v>7.0</v>
      </c>
      <c r="C696"/>
      <c r="D696" t="n">
        <v>0.0</v>
      </c>
      <c r="E696"/>
      <c r="F696"/>
      <c r="G696" t="n">
        <v>0.0</v>
      </c>
      <c r="H696"/>
      <c r="I696"/>
      <c r="J696"/>
      <c r="K696"/>
    </row>
    <row r="697" spans="1:2" ht="13.5" customHeight="true" x14ac:dyDescent="0.15" hidden="false">
      <c r="A697" t="s">
        <v>7010</v>
      </c>
      <c r="B697" t="n">
        <v>8.0</v>
      </c>
      <c r="C697"/>
      <c r="D697" t="n">
        <v>0.0</v>
      </c>
      <c r="E697"/>
      <c r="F697"/>
      <c r="G697" t="n">
        <v>0.0</v>
      </c>
      <c r="H697"/>
      <c r="I697"/>
      <c r="J697"/>
      <c r="K697"/>
    </row>
    <row r="698" spans="1:2" ht="13.5" customHeight="true" x14ac:dyDescent="0.15" hidden="false">
      <c r="A698" t="s">
        <v>7010</v>
      </c>
      <c r="B698" t="n">
        <v>9.0</v>
      </c>
      <c r="C698"/>
      <c r="D698"/>
      <c r="E698" t="n">
        <v>0.0</v>
      </c>
      <c r="F698"/>
      <c r="G698"/>
      <c r="H698" t="n">
        <v>0.0</v>
      </c>
      <c r="I698"/>
      <c r="J698"/>
      <c r="K698"/>
    </row>
    <row r="699" spans="1:2" ht="13.5" customHeight="true" x14ac:dyDescent="0.15" hidden="false">
      <c r="A699" t="s">
        <v>7010</v>
      </c>
      <c r="B699" t="n">
        <v>10.0</v>
      </c>
      <c r="C699"/>
      <c r="D699"/>
      <c r="E699" t="n">
        <v>0.0</v>
      </c>
      <c r="F699"/>
      <c r="G699"/>
      <c r="H699" t="n">
        <v>0.0</v>
      </c>
      <c r="I699"/>
      <c r="J699"/>
      <c r="K699"/>
    </row>
    <row r="700" spans="1:2" ht="13.5" customHeight="true" x14ac:dyDescent="0.15" hidden="false">
      <c r="A700" t="s">
        <v>7010</v>
      </c>
      <c r="B700" t="n">
        <v>11.0</v>
      </c>
      <c r="C700" t="n">
        <v>0.0</v>
      </c>
      <c r="D700"/>
      <c r="E700"/>
      <c r="F700" t="n">
        <v>0.0</v>
      </c>
      <c r="G700"/>
      <c r="H700"/>
      <c r="I700"/>
      <c r="J700"/>
      <c r="K700"/>
    </row>
    <row r="701" spans="1:2" ht="13.5" customHeight="true" x14ac:dyDescent="0.15" hidden="false">
      <c r="A701" t="s">
        <v>7010</v>
      </c>
      <c r="B701" t="n">
        <v>12.0</v>
      </c>
      <c r="C701" t="n">
        <v>0.0</v>
      </c>
      <c r="D701"/>
      <c r="E701"/>
      <c r="F701" t="n">
        <v>0.0</v>
      </c>
      <c r="G701"/>
      <c r="H701"/>
      <c r="I701"/>
      <c r="J701"/>
      <c r="K701"/>
    </row>
    <row r="702" spans="1:2" ht="13.5" customHeight="true" x14ac:dyDescent="0.15" hidden="false">
      <c r="A702" t="s">
        <v>7010</v>
      </c>
      <c r="B702" t="n">
        <v>13.0</v>
      </c>
      <c r="C702"/>
      <c r="D702" t="n">
        <v>0.0</v>
      </c>
      <c r="E702"/>
      <c r="F702"/>
      <c r="G702" t="n">
        <v>0.0</v>
      </c>
      <c r="H702"/>
      <c r="I702"/>
      <c r="J702"/>
      <c r="K702"/>
    </row>
    <row r="703" spans="1:2" ht="13.5" customHeight="true" x14ac:dyDescent="0.15" hidden="false">
      <c r="A703" t="s">
        <v>7010</v>
      </c>
      <c r="B703" t="n">
        <v>14.0</v>
      </c>
      <c r="C703"/>
      <c r="D703" t="n">
        <v>0.0</v>
      </c>
      <c r="E703"/>
      <c r="F703"/>
      <c r="G703" t="n">
        <v>0.0</v>
      </c>
      <c r="H703"/>
      <c r="I703"/>
      <c r="J703"/>
      <c r="K703"/>
    </row>
    <row r="704" spans="1:2" ht="13.5" customHeight="true" x14ac:dyDescent="0.15" hidden="false">
      <c r="A704" t="s">
        <v>7010</v>
      </c>
      <c r="B704" t="n">
        <v>15.0</v>
      </c>
      <c r="C704"/>
      <c r="D704"/>
      <c r="E704" t="n">
        <v>0.0</v>
      </c>
      <c r="F704"/>
      <c r="G704"/>
      <c r="H704" t="n">
        <v>0.0</v>
      </c>
      <c r="I704"/>
      <c r="J704"/>
      <c r="K704"/>
    </row>
    <row r="705" spans="1:2" ht="13.5" customHeight="true" x14ac:dyDescent="0.15" hidden="false">
      <c r="A705" t="s">
        <v>7010</v>
      </c>
      <c r="B705" t="n">
        <v>16.0</v>
      </c>
      <c r="C705"/>
      <c r="D705"/>
      <c r="E705" t="n">
        <v>0.0</v>
      </c>
      <c r="F705"/>
      <c r="G705"/>
      <c r="H705" t="n">
        <v>0.0</v>
      </c>
      <c r="I705"/>
      <c r="J705"/>
      <c r="K705"/>
    </row>
    <row r="706" spans="1:2" ht="13.5" customHeight="true" x14ac:dyDescent="0.15" hidden="false">
      <c r="A706" t="s">
        <v>7010</v>
      </c>
      <c r="B706" t="n">
        <v>17.0</v>
      </c>
      <c r="C706" t="n">
        <v>0.0</v>
      </c>
      <c r="D706"/>
      <c r="E706"/>
      <c r="F706" t="n">
        <v>0.0</v>
      </c>
      <c r="G706"/>
      <c r="H706"/>
      <c r="I706"/>
      <c r="J706"/>
      <c r="K706"/>
    </row>
    <row r="707" spans="1:2" ht="13.5" customHeight="true" x14ac:dyDescent="0.15" hidden="false">
      <c r="A707" t="s">
        <v>7010</v>
      </c>
      <c r="B707" t="n">
        <v>18.0</v>
      </c>
      <c r="C707" t="n">
        <v>0.0</v>
      </c>
      <c r="D707"/>
      <c r="E707"/>
      <c r="F707" t="n">
        <v>0.0</v>
      </c>
      <c r="G707"/>
      <c r="H707"/>
      <c r="I707"/>
      <c r="J707"/>
      <c r="K707"/>
    </row>
    <row r="708" spans="1:2" ht="13.5" customHeight="true" x14ac:dyDescent="0.15" hidden="false">
      <c r="A708" t="s">
        <v>7010</v>
      </c>
      <c r="B708" t="n">
        <v>19.0</v>
      </c>
      <c r="C708"/>
      <c r="D708" t="n">
        <v>0.0</v>
      </c>
      <c r="E708"/>
      <c r="F708"/>
      <c r="G708" t="n">
        <v>0.0</v>
      </c>
      <c r="H708"/>
      <c r="I708"/>
      <c r="J708"/>
      <c r="K708"/>
    </row>
    <row r="709" spans="1:2" ht="13.5" customHeight="true" x14ac:dyDescent="0.15" hidden="false">
      <c r="A709" t="s">
        <v>7010</v>
      </c>
      <c r="B709" t="n">
        <v>20.0</v>
      </c>
      <c r="C709"/>
      <c r="D709" t="n">
        <v>0.0</v>
      </c>
      <c r="E709"/>
      <c r="F709"/>
      <c r="G709" t="n">
        <v>0.0</v>
      </c>
      <c r="H709"/>
      <c r="I709"/>
      <c r="J709"/>
      <c r="K709"/>
    </row>
    <row r="710" spans="1:2" ht="13.5" customHeight="true" x14ac:dyDescent="0.15" hidden="false">
      <c r="A710" t="s">
        <v>7010</v>
      </c>
      <c r="B710" t="n">
        <v>21.0</v>
      </c>
      <c r="C710"/>
      <c r="D710"/>
      <c r="E710" t="n">
        <v>0.0</v>
      </c>
      <c r="F710"/>
      <c r="G710"/>
      <c r="H710" t="n">
        <v>0.0</v>
      </c>
      <c r="I710"/>
      <c r="J710"/>
      <c r="K710"/>
    </row>
    <row r="711" spans="1:2" ht="13.5" customHeight="true" x14ac:dyDescent="0.15" hidden="false">
      <c r="A711" t="s">
        <v>7010</v>
      </c>
      <c r="B711" t="n">
        <v>22.0</v>
      </c>
      <c r="C711"/>
      <c r="D711"/>
      <c r="E711" t="n">
        <v>0.0</v>
      </c>
      <c r="F711"/>
      <c r="G711"/>
      <c r="H711" t="n">
        <v>0.0</v>
      </c>
      <c r="I711"/>
      <c r="J711"/>
      <c r="K711"/>
    </row>
    <row r="712" spans="1:2" ht="13.5" customHeight="true" x14ac:dyDescent="0.15" hidden="false">
      <c r="A712" t="s">
        <v>7010</v>
      </c>
      <c r="B712" t="n">
        <v>23.0</v>
      </c>
      <c r="C712" t="n">
        <v>0.0</v>
      </c>
      <c r="D712"/>
      <c r="E712"/>
      <c r="F712" t="n">
        <v>0.0</v>
      </c>
      <c r="G712"/>
      <c r="H712"/>
      <c r="I712"/>
      <c r="J712"/>
      <c r="K712"/>
    </row>
    <row r="713" spans="1:2" ht="13.5" customHeight="true" x14ac:dyDescent="0.15" hidden="false">
      <c r="A713" t="s">
        <v>7010</v>
      </c>
      <c r="B713" t="n">
        <v>24.0</v>
      </c>
      <c r="C713" t="n">
        <v>0.0</v>
      </c>
      <c r="D713"/>
      <c r="E713"/>
      <c r="F713" t="n">
        <v>0.0</v>
      </c>
      <c r="G713"/>
      <c r="H713"/>
      <c r="I713"/>
      <c r="J713"/>
      <c r="K713"/>
    </row>
    <row r="714" spans="1:2" ht="13.5" customHeight="true" x14ac:dyDescent="0.15" hidden="false">
      <c r="A714" t="s">
        <v>7010</v>
      </c>
      <c r="B714" t="n">
        <v>25.0</v>
      </c>
      <c r="C714"/>
      <c r="D714" t="n">
        <v>0.0</v>
      </c>
      <c r="E714"/>
      <c r="F714"/>
      <c r="G714" t="n">
        <v>0.0</v>
      </c>
      <c r="H714"/>
      <c r="I714"/>
      <c r="J714"/>
      <c r="K714"/>
    </row>
    <row r="715" spans="1:2" ht="13.5" customHeight="true" x14ac:dyDescent="0.15" hidden="false">
      <c r="A715" t="s">
        <v>7010</v>
      </c>
      <c r="B715" t="n">
        <v>26.0</v>
      </c>
      <c r="C715"/>
      <c r="D715" t="n">
        <v>0.0</v>
      </c>
      <c r="E715"/>
      <c r="F715"/>
      <c r="G715" t="n">
        <v>0.0</v>
      </c>
      <c r="H715"/>
      <c r="I715"/>
      <c r="J715"/>
      <c r="K715"/>
    </row>
    <row r="716" spans="1:2" ht="13.5" customHeight="true" x14ac:dyDescent="0.15" hidden="false">
      <c r="A716" t="s">
        <v>7010</v>
      </c>
      <c r="B716" t="n">
        <v>27.0</v>
      </c>
      <c r="C716"/>
      <c r="D716"/>
      <c r="E716" t="n">
        <v>0.0</v>
      </c>
      <c r="F716"/>
      <c r="G716"/>
      <c r="H716" t="n">
        <v>0.0</v>
      </c>
      <c r="I716"/>
      <c r="J716"/>
      <c r="K716"/>
    </row>
    <row r="717" spans="1:2" ht="13.5" customHeight="true" x14ac:dyDescent="0.15" hidden="false">
      <c r="A717" t="s">
        <v>7010</v>
      </c>
      <c r="B717" t="n">
        <v>28.0</v>
      </c>
      <c r="C717"/>
      <c r="D717"/>
      <c r="E717" t="n">
        <v>0.0</v>
      </c>
      <c r="F717"/>
      <c r="G717"/>
      <c r="H717" t="n">
        <v>0.0</v>
      </c>
      <c r="I717"/>
      <c r="J717"/>
      <c r="K717"/>
    </row>
    <row r="718" spans="1:2" ht="13.5" customHeight="true" x14ac:dyDescent="0.15" hidden="false">
      <c r="A718" t="s">
        <v>7010</v>
      </c>
      <c r="B718" t="n">
        <v>29.0</v>
      </c>
      <c r="C718" t="n">
        <v>0.0</v>
      </c>
      <c r="D718"/>
      <c r="E718"/>
      <c r="F718" t="n">
        <v>0.0</v>
      </c>
      <c r="G718"/>
      <c r="H718"/>
      <c r="I718"/>
      <c r="J718"/>
      <c r="K718"/>
    </row>
    <row r="719" spans="1:2" ht="13.5" customHeight="true" x14ac:dyDescent="0.15" hidden="false">
      <c r="A719" t="s">
        <v>7010</v>
      </c>
      <c r="B719" t="n">
        <v>30.0</v>
      </c>
      <c r="C719" t="n">
        <v>0.0</v>
      </c>
      <c r="D719"/>
      <c r="E719"/>
      <c r="F719" t="n">
        <v>0.0</v>
      </c>
      <c r="G719"/>
      <c r="H719"/>
      <c r="I719"/>
      <c r="J719"/>
      <c r="K719"/>
    </row>
    <row r="720" spans="1:2" ht="13.5" customHeight="true" x14ac:dyDescent="0.15" hidden="false">
      <c r="A720" t="s">
        <v>7010</v>
      </c>
      <c r="B720" t="n">
        <v>31.0</v>
      </c>
      <c r="C720"/>
      <c r="D720" t="n">
        <v>0.0</v>
      </c>
      <c r="E720"/>
      <c r="F720"/>
      <c r="G720" t="n">
        <v>0.0</v>
      </c>
      <c r="H720"/>
      <c r="I720"/>
      <c r="J720"/>
      <c r="K720"/>
    </row>
    <row r="721" spans="1:2" ht="13.5" customHeight="true" x14ac:dyDescent="0.15" hidden="false">
      <c r="A721" t="s">
        <v>7010</v>
      </c>
      <c r="B721" t="n">
        <v>32.0</v>
      </c>
      <c r="C721"/>
      <c r="D721" t="n">
        <v>0.0</v>
      </c>
      <c r="E721"/>
      <c r="F721"/>
      <c r="G721" t="n">
        <v>0.0</v>
      </c>
      <c r="H721"/>
      <c r="I721"/>
      <c r="J721"/>
      <c r="K721"/>
    </row>
    <row r="722" spans="1:2" ht="13.5" customHeight="true" x14ac:dyDescent="0.15" hidden="false">
      <c r="A722" t="s">
        <v>7010</v>
      </c>
      <c r="B722" t="n">
        <v>33.0</v>
      </c>
      <c r="C722"/>
      <c r="D722"/>
      <c r="E722" t="n">
        <v>0.0</v>
      </c>
      <c r="F722"/>
      <c r="G722"/>
      <c r="H722" t="n">
        <v>0.0</v>
      </c>
      <c r="I722"/>
      <c r="J722"/>
      <c r="K722"/>
    </row>
    <row r="723" spans="1:2" ht="13.5" customHeight="true" x14ac:dyDescent="0.15" hidden="false">
      <c r="A723" t="s">
        <v>7010</v>
      </c>
      <c r="B723" t="n">
        <v>34.0</v>
      </c>
      <c r="C723"/>
      <c r="D723"/>
      <c r="E723" t="n">
        <v>0.0</v>
      </c>
      <c r="F723"/>
      <c r="G723"/>
      <c r="H723" t="n">
        <v>0.0</v>
      </c>
      <c r="I723"/>
      <c r="J723"/>
      <c r="K723"/>
    </row>
    <row r="724" spans="1:2" ht="13.5" customHeight="true" x14ac:dyDescent="0.15" hidden="false">
      <c r="A724" t="s">
        <v>7010</v>
      </c>
      <c r="B724" t="n">
        <v>35.0</v>
      </c>
      <c r="C724" t="n">
        <v>0.0</v>
      </c>
      <c r="D724"/>
      <c r="E724"/>
      <c r="F724" t="n">
        <v>0.0</v>
      </c>
      <c r="G724"/>
      <c r="H724"/>
      <c r="I724"/>
      <c r="J724"/>
      <c r="K724"/>
    </row>
    <row r="725" spans="1:2" ht="13.5" customHeight="true" x14ac:dyDescent="0.15" hidden="false">
      <c r="A725" t="s">
        <v>7010</v>
      </c>
      <c r="B725" t="n">
        <v>36.0</v>
      </c>
      <c r="C725" t="n">
        <v>0.0</v>
      </c>
      <c r="D725"/>
      <c r="E725"/>
      <c r="F725" t="n">
        <v>0.0</v>
      </c>
      <c r="G725"/>
      <c r="H725"/>
      <c r="I725"/>
      <c r="J725"/>
      <c r="K725"/>
    </row>
    <row r="726" spans="1:2" ht="13.5" customHeight="true" x14ac:dyDescent="0.15" hidden="false">
      <c r="A726" t="s">
        <v>7010</v>
      </c>
      <c r="B726" t="n">
        <v>37.0</v>
      </c>
      <c r="C726"/>
      <c r="D726" t="n">
        <v>0.0</v>
      </c>
      <c r="E726"/>
      <c r="F726"/>
      <c r="G726" t="n">
        <v>0.0</v>
      </c>
      <c r="H726"/>
      <c r="I726"/>
      <c r="J726"/>
      <c r="K726"/>
    </row>
    <row r="727" spans="1:2" ht="13.5" customHeight="true" x14ac:dyDescent="0.15" hidden="false">
      <c r="A727" t="s">
        <v>7010</v>
      </c>
      <c r="B727" t="n">
        <v>38.0</v>
      </c>
      <c r="C727"/>
      <c r="D727" t="n">
        <v>0.0</v>
      </c>
      <c r="E727"/>
      <c r="F727"/>
      <c r="G727" t="n">
        <v>0.0</v>
      </c>
      <c r="H727"/>
      <c r="I727"/>
      <c r="J727"/>
      <c r="K727"/>
    </row>
    <row r="728" spans="1:2" ht="13.5" customHeight="true" x14ac:dyDescent="0.15" hidden="false">
      <c r="A728" t="s">
        <v>7010</v>
      </c>
      <c r="B728" t="n">
        <v>39.0</v>
      </c>
      <c r="C728"/>
      <c r="D728"/>
      <c r="E728" t="n">
        <v>0.0</v>
      </c>
      <c r="F728"/>
      <c r="G728"/>
      <c r="H728" t="n">
        <v>0.0</v>
      </c>
      <c r="I728"/>
      <c r="J728"/>
      <c r="K728"/>
    </row>
    <row r="729" spans="1:2" ht="13.5" customHeight="true" x14ac:dyDescent="0.15" hidden="false">
      <c r="A729" t="s">
        <v>7010</v>
      </c>
      <c r="B729" t="n">
        <v>40.0</v>
      </c>
      <c r="C729"/>
      <c r="D729"/>
      <c r="E729" t="n">
        <v>0.0</v>
      </c>
      <c r="F729"/>
      <c r="G729"/>
      <c r="H729" t="n">
        <v>0.0</v>
      </c>
      <c r="I729"/>
      <c r="J729"/>
      <c r="K729"/>
    </row>
    <row r="730" spans="1:2" ht="13.5" customHeight="true" x14ac:dyDescent="0.15" hidden="false">
      <c r="A730" t="s">
        <v>7010</v>
      </c>
      <c r="B730" t="n">
        <v>41.0</v>
      </c>
      <c r="C730" t="n">
        <v>0.0</v>
      </c>
      <c r="D730"/>
      <c r="E730"/>
      <c r="F730" t="n">
        <v>0.0</v>
      </c>
      <c r="G730"/>
      <c r="H730"/>
      <c r="I730"/>
      <c r="J730"/>
      <c r="K730"/>
    </row>
    <row r="731" spans="1:2" ht="13.5" customHeight="true" x14ac:dyDescent="0.15" hidden="false">
      <c r="A731" t="s">
        <v>7010</v>
      </c>
      <c r="B731" t="n">
        <v>42.0</v>
      </c>
      <c r="C731" t="n">
        <v>0.0</v>
      </c>
      <c r="D731"/>
      <c r="E731"/>
      <c r="F731" t="n">
        <v>0.0</v>
      </c>
      <c r="G731"/>
      <c r="H731"/>
      <c r="I731"/>
      <c r="J731"/>
      <c r="K731"/>
    </row>
    <row r="732" spans="1:2" ht="13.5" customHeight="true" x14ac:dyDescent="0.15" hidden="false">
      <c r="A732" t="s">
        <v>7010</v>
      </c>
      <c r="B732" t="n">
        <v>43.0</v>
      </c>
      <c r="C732"/>
      <c r="D732" t="n">
        <v>0.0</v>
      </c>
      <c r="E732"/>
      <c r="F732"/>
      <c r="G732" t="n">
        <v>0.0</v>
      </c>
      <c r="H732"/>
      <c r="I732"/>
      <c r="J732"/>
      <c r="K732"/>
    </row>
    <row r="733" spans="1:2" ht="13.5" customHeight="true" x14ac:dyDescent="0.15" hidden="false">
      <c r="A733" t="s">
        <v>7010</v>
      </c>
      <c r="B733" t="n">
        <v>44.0</v>
      </c>
      <c r="C733"/>
      <c r="D733" t="n">
        <v>0.0</v>
      </c>
      <c r="E733"/>
      <c r="F733"/>
      <c r="G733" t="n">
        <v>0.0</v>
      </c>
      <c r="H733"/>
      <c r="I733"/>
      <c r="J733"/>
      <c r="K733"/>
    </row>
    <row r="734" spans="1:2" ht="13.5" customHeight="true" x14ac:dyDescent="0.15" hidden="false">
      <c r="A734" t="s">
        <v>7010</v>
      </c>
      <c r="B734" t="n">
        <v>45.0</v>
      </c>
      <c r="C734"/>
      <c r="D734"/>
      <c r="E734" t="n">
        <v>0.0</v>
      </c>
      <c r="F734"/>
      <c r="G734"/>
      <c r="H734" t="n">
        <v>0.0</v>
      </c>
      <c r="I734"/>
      <c r="J734"/>
      <c r="K734"/>
    </row>
    <row r="735" spans="1:2" ht="13.5" customHeight="true" x14ac:dyDescent="0.15" hidden="false">
      <c r="A735" t="s">
        <v>7010</v>
      </c>
      <c r="B735" t="n">
        <v>46.0</v>
      </c>
      <c r="C735"/>
      <c r="D735"/>
      <c r="E735" t="n">
        <v>0.0</v>
      </c>
      <c r="F735"/>
      <c r="G735"/>
      <c r="H735" t="n">
        <v>0.0</v>
      </c>
      <c r="I735"/>
      <c r="J735"/>
      <c r="K735"/>
    </row>
    <row r="736" spans="1:2" ht="13.5" customHeight="true" x14ac:dyDescent="0.15" hidden="false">
      <c r="A736" t="s">
        <v>7010</v>
      </c>
      <c r="B736" t="n">
        <v>47.0</v>
      </c>
      <c r="C736" t="n">
        <v>0.0</v>
      </c>
      <c r="D736"/>
      <c r="E736"/>
      <c r="F736" t="n">
        <v>0.0</v>
      </c>
      <c r="G736"/>
      <c r="H736"/>
      <c r="I736"/>
      <c r="J736"/>
      <c r="K736"/>
    </row>
    <row r="737" spans="1:2" ht="13.5" customHeight="true" x14ac:dyDescent="0.15" hidden="false">
      <c r="A737" t="s">
        <v>7010</v>
      </c>
      <c r="B737" t="n">
        <v>48.0</v>
      </c>
      <c r="C737" t="n">
        <v>0.0</v>
      </c>
      <c r="D737"/>
      <c r="E737"/>
      <c r="F737" t="n">
        <v>0.0</v>
      </c>
      <c r="G737"/>
      <c r="H737"/>
      <c r="I737"/>
      <c r="J737"/>
      <c r="K737"/>
    </row>
    <row r="738" spans="1:2" ht="13.5" customHeight="true" x14ac:dyDescent="0.15" hidden="false">
      <c r="A738" t="s">
        <v>7010</v>
      </c>
      <c r="B738" t="n">
        <v>49.0</v>
      </c>
      <c r="C738"/>
      <c r="D738" t="n">
        <v>0.0</v>
      </c>
      <c r="E738"/>
      <c r="F738"/>
      <c r="G738" t="n">
        <v>0.0</v>
      </c>
      <c r="H738"/>
      <c r="I738"/>
      <c r="J738"/>
      <c r="K738"/>
    </row>
    <row r="739" spans="1:2" ht="13.5" customHeight="true" x14ac:dyDescent="0.15" hidden="false">
      <c r="A739" t="s">
        <v>7010</v>
      </c>
      <c r="B739" t="n">
        <v>50.0</v>
      </c>
      <c r="C739"/>
      <c r="D739" t="n">
        <v>0.0</v>
      </c>
      <c r="E739"/>
      <c r="F739"/>
      <c r="G739" t="n">
        <v>0.0</v>
      </c>
      <c r="H739"/>
      <c r="I739"/>
      <c r="J739"/>
      <c r="K739"/>
    </row>
    <row r="740" spans="1:2" ht="13.5" customHeight="true" x14ac:dyDescent="0.15" hidden="false">
      <c r="A740" t="s">
        <v>7010</v>
      </c>
      <c r="B740" t="n">
        <v>51.0</v>
      </c>
      <c r="C740"/>
      <c r="D740"/>
      <c r="E740" t="n">
        <v>0.0</v>
      </c>
      <c r="F740"/>
      <c r="G740"/>
      <c r="H740" t="n">
        <v>0.0</v>
      </c>
      <c r="I740"/>
      <c r="J740"/>
      <c r="K740"/>
    </row>
    <row r="741" spans="1:2" ht="13.5" customHeight="true" x14ac:dyDescent="0.15" hidden="false">
      <c r="A741" t="s">
        <v>7010</v>
      </c>
      <c r="B741" t="n">
        <v>52.0</v>
      </c>
      <c r="C741"/>
      <c r="D741"/>
      <c r="E741" t="n">
        <v>0.0</v>
      </c>
      <c r="F741"/>
      <c r="G741"/>
      <c r="H741" t="n">
        <v>0.0</v>
      </c>
      <c r="I741"/>
      <c r="J741"/>
      <c r="K741"/>
    </row>
    <row r="742" spans="1:2" ht="13.5" customHeight="true" x14ac:dyDescent="0.15" hidden="false">
      <c r="A742" t="s">
        <v>7010</v>
      </c>
      <c r="B742" t="n">
        <v>53.0</v>
      </c>
      <c r="C742" t="n">
        <v>0.0</v>
      </c>
      <c r="D742"/>
      <c r="E742"/>
      <c r="F742" t="n">
        <v>0.0</v>
      </c>
      <c r="G742"/>
      <c r="H742"/>
      <c r="I742"/>
      <c r="J742"/>
      <c r="K742"/>
    </row>
    <row r="743" spans="1:2" ht="13.5" customHeight="true" x14ac:dyDescent="0.15" hidden="false">
      <c r="A743" t="s">
        <v>7010</v>
      </c>
      <c r="B743" t="n">
        <v>54.0</v>
      </c>
      <c r="C743" t="n">
        <v>0.0</v>
      </c>
      <c r="D743"/>
      <c r="E743"/>
      <c r="F743" t="n">
        <v>0.0</v>
      </c>
      <c r="G743"/>
      <c r="H743"/>
      <c r="I743"/>
      <c r="J743"/>
      <c r="K743"/>
    </row>
  </sheetData>
  <mergeCells count="5">
    <mergeCell ref="A1:A2"/>
    <mergeCell ref="B1:B2"/>
    <mergeCell ref="C1:E1"/>
    <mergeCell ref="F1:H1"/>
    <mergeCell ref="I1:K1"/>
  </mergeCells>
  <phoneticPr fontId="1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C3" sqref="C3:K764"/>
    </sheetView>
  </sheetViews>
  <sheetFormatPr defaultRowHeight="13.5" x14ac:dyDescent="0.15"/>
  <cols>
    <col min="1" max="1" customWidth="true" width="30.77734375" collapsed="false"/>
    <col min="2" max="2" customWidth="true" width="10.77734375" collapsed="false"/>
    <col min="3" max="11" customWidth="true" width="12.77734375" collapsed="false"/>
  </cols>
  <sheetData>
    <row r="1" spans="1:11" ht="16.5" x14ac:dyDescent="0.15">
      <c r="A1" s="3672" t="s">
        <v>9144</v>
      </c>
      <c r="B1" s="3672" t="s">
        <v>9145</v>
      </c>
      <c r="C1" s="3672" t="s">
        <v>9146</v>
      </c>
      <c r="D1" s="3672"/>
      <c r="E1" s="3672"/>
      <c r="F1" s="3672" t="s">
        <v>9147</v>
      </c>
      <c r="G1" s="3672"/>
      <c r="H1" s="3672"/>
      <c r="I1" s="3672" t="s">
        <v>9148</v>
      </c>
      <c r="J1" s="3672"/>
      <c r="K1" s="3672"/>
    </row>
    <row r="2" spans="1:11" ht="16.5" x14ac:dyDescent="0.15">
      <c r="A2" s="3672"/>
      <c r="B2" s="3672"/>
      <c r="C2" s="2698" t="s">
        <v>4567</v>
      </c>
      <c r="D2" s="2698" t="s">
        <v>4568</v>
      </c>
      <c r="E2" s="2698" t="s">
        <v>4569</v>
      </c>
      <c r="F2" s="2698" t="s">
        <v>4567</v>
      </c>
      <c r="G2" s="2698" t="s">
        <v>4568</v>
      </c>
      <c r="H2" s="2698" t="s">
        <v>4569</v>
      </c>
      <c r="I2" s="2698" t="s">
        <v>4567</v>
      </c>
      <c r="J2" s="2698" t="s">
        <v>4568</v>
      </c>
      <c r="K2" s="2698" t="s">
        <v>4569</v>
      </c>
    </row>
    <row r="3" spans="1:11" x14ac:dyDescent="0.15">
      <c r="A3" t="s">
        <v>6943</v>
      </c>
      <c r="B3" t="n">
        <v>1.0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/>
      <c r="J3"/>
      <c r="K3"/>
    </row>
    <row r="4" spans="1:11" ht="13.5" customHeight="true" x14ac:dyDescent="0.15" hidden="false">
      <c r="A4" t="s">
        <v>6943</v>
      </c>
      <c r="B4" t="n">
        <v>2.0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/>
      <c r="J4"/>
      <c r="K4"/>
    </row>
    <row r="5" spans="1:11" ht="13.5" customHeight="true" x14ac:dyDescent="0.15" hidden="false">
      <c r="A5" t="s">
        <v>6943</v>
      </c>
      <c r="B5" t="n">
        <v>3.0</v>
      </c>
      <c r="C5" t="n">
        <v>0.0</v>
      </c>
      <c r="D5" t="n">
        <v>0.0</v>
      </c>
      <c r="E5" t="n">
        <v>0.0</v>
      </c>
      <c r="F5" t="n">
        <v>21.31</v>
      </c>
      <c r="G5" t="n">
        <v>21.47</v>
      </c>
      <c r="H5" t="n">
        <v>20.96</v>
      </c>
      <c r="I5" t="n">
        <v>0.0789479166666667</v>
      </c>
      <c r="J5" t="n">
        <v>0.07961111111111112</v>
      </c>
      <c r="K5" t="n">
        <v>0.07861111111111113</v>
      </c>
    </row>
    <row r="6" spans="1:11" ht="13.5" customHeight="true" x14ac:dyDescent="0.15" hidden="false">
      <c r="A6" t="s">
        <v>6943</v>
      </c>
      <c r="B6" t="n">
        <v>4.0</v>
      </c>
      <c r="C6" t="n">
        <v>0.0</v>
      </c>
      <c r="D6" t="n">
        <v>0.0</v>
      </c>
      <c r="E6" t="n">
        <v>0.0</v>
      </c>
      <c r="F6" t="n">
        <v>23.99</v>
      </c>
      <c r="G6" t="n">
        <v>23.98</v>
      </c>
      <c r="H6" t="n">
        <v>23.54</v>
      </c>
      <c r="I6" t="n">
        <v>18.152304442878556</v>
      </c>
      <c r="J6" t="n">
        <v>18.256911004976228</v>
      </c>
      <c r="K6" t="n">
        <v>17.931887396626927</v>
      </c>
    </row>
    <row r="7" spans="1:11" ht="13.5" customHeight="true" x14ac:dyDescent="0.15" hidden="false">
      <c r="A7" t="s">
        <v>6943</v>
      </c>
      <c r="B7" t="n">
        <v>5.0</v>
      </c>
      <c r="C7" t="n">
        <v>0.0</v>
      </c>
      <c r="D7" t="n">
        <v>0.0</v>
      </c>
      <c r="E7" t="n">
        <v>0.0</v>
      </c>
      <c r="F7" t="n">
        <v>22.58</v>
      </c>
      <c r="G7" t="n">
        <v>22.85</v>
      </c>
      <c r="H7" t="n">
        <v>22.19</v>
      </c>
      <c r="I7" t="n">
        <v>0.14981944444444448</v>
      </c>
      <c r="J7" t="n">
        <v>0.15171527777777777</v>
      </c>
      <c r="K7" t="n">
        <v>0.14852777777777773</v>
      </c>
    </row>
    <row r="8" spans="1:11" ht="13.5" customHeight="true" x14ac:dyDescent="0.15" hidden="false">
      <c r="A8" t="s">
        <v>6943</v>
      </c>
      <c r="B8" t="n">
        <v>6.0</v>
      </c>
      <c r="C8" t="n">
        <v>0.0</v>
      </c>
      <c r="D8" t="n">
        <v>0.0</v>
      </c>
      <c r="E8" t="n">
        <v>0.0</v>
      </c>
      <c r="F8" t="n">
        <v>25.26</v>
      </c>
      <c r="G8" t="n">
        <v>24.86</v>
      </c>
      <c r="H8" t="n">
        <v>25.16</v>
      </c>
      <c r="I8" t="n">
        <v>19.790479508687437</v>
      </c>
      <c r="J8" t="n">
        <v>19.381226243635</v>
      </c>
      <c r="K8" t="n">
        <v>19.707168067734365</v>
      </c>
    </row>
    <row r="9" spans="1:11" ht="13.5" customHeight="true" x14ac:dyDescent="0.15" hidden="false">
      <c r="A9" t="s">
        <v>6943</v>
      </c>
      <c r="B9" t="n">
        <v>7.0</v>
      </c>
      <c r="C9" t="n">
        <v>0.0</v>
      </c>
      <c r="D9" t="n">
        <v>0.0</v>
      </c>
      <c r="E9" t="n">
        <v>0.0</v>
      </c>
      <c r="F9" t="n">
        <v>24.42</v>
      </c>
      <c r="G9" t="n">
        <v>24.4</v>
      </c>
      <c r="H9" t="n">
        <v>24.07</v>
      </c>
      <c r="I9" t="n">
        <v>14.923737281689718</v>
      </c>
      <c r="J9" t="n">
        <v>14.913178796047207</v>
      </c>
      <c r="K9" t="n">
        <v>14.665902683997837</v>
      </c>
    </row>
    <row r="10" spans="1:11" ht="13.5" customHeight="true" x14ac:dyDescent="0.15" hidden="false">
      <c r="A10" t="s">
        <v>6943</v>
      </c>
      <c r="B10" t="n">
        <v>8.0</v>
      </c>
      <c r="C10" t="n">
        <v>0.0</v>
      </c>
      <c r="D10" t="n">
        <v>0.0</v>
      </c>
      <c r="E10" t="n">
        <v>0.0</v>
      </c>
      <c r="F10" t="n">
        <v>24.3</v>
      </c>
      <c r="G10" t="n">
        <v>24.7</v>
      </c>
      <c r="H10" t="n">
        <v>24.07</v>
      </c>
      <c r="I10" t="n">
        <v>11.690780006113663</v>
      </c>
      <c r="J10" t="n">
        <v>11.795756119337428</v>
      </c>
      <c r="K10" t="n">
        <v>11.683922917426246</v>
      </c>
    </row>
    <row r="11" spans="1:11" ht="13.5" customHeight="true" x14ac:dyDescent="0.15" hidden="false">
      <c r="A11" t="s">
        <v>6943</v>
      </c>
      <c r="B11" t="n">
        <v>9.0</v>
      </c>
      <c r="C11" t="n">
        <v>0.0</v>
      </c>
      <c r="D11" t="n">
        <v>0.0</v>
      </c>
      <c r="E11" t="n">
        <v>0.0</v>
      </c>
      <c r="F11" t="n">
        <v>20.68</v>
      </c>
      <c r="G11" t="n">
        <v>21.0</v>
      </c>
      <c r="H11" t="n">
        <v>20.43</v>
      </c>
      <c r="I11" t="n">
        <v>0.1223888888888889</v>
      </c>
      <c r="J11" t="n">
        <v>0.12429166666666666</v>
      </c>
      <c r="K11" t="n">
        <v>0.12131944444444441</v>
      </c>
    </row>
    <row r="12" spans="1:11" ht="13.5" customHeight="true" x14ac:dyDescent="0.15" hidden="false">
      <c r="A12" t="s">
        <v>6943</v>
      </c>
      <c r="B12" t="n">
        <v>10.0</v>
      </c>
      <c r="C12" t="n">
        <v>0.0</v>
      </c>
      <c r="D12" t="n">
        <v>0.0</v>
      </c>
      <c r="E12" t="n">
        <v>0.0</v>
      </c>
      <c r="F12" t="n">
        <v>20.46</v>
      </c>
      <c r="G12" t="n">
        <v>20.84</v>
      </c>
      <c r="H12" t="n">
        <v>20.36</v>
      </c>
      <c r="I12" t="n">
        <v>0.1335486111111111</v>
      </c>
      <c r="J12" t="n">
        <v>0.1366111111111111</v>
      </c>
      <c r="K12" t="n">
        <v>0.13361111111111112</v>
      </c>
    </row>
    <row r="13" spans="1:11" ht="13.5" customHeight="true" x14ac:dyDescent="0.15" hidden="false">
      <c r="A13" t="s">
        <v>6943</v>
      </c>
      <c r="B13" t="n">
        <v>11.0</v>
      </c>
      <c r="C13" t="n">
        <v>0.0</v>
      </c>
      <c r="D13" t="n">
        <v>0.0</v>
      </c>
      <c r="E13" t="n">
        <v>0.0</v>
      </c>
      <c r="F13" t="n">
        <v>22.85</v>
      </c>
      <c r="G13" t="n">
        <v>23.52</v>
      </c>
      <c r="H13" t="n">
        <v>22.77</v>
      </c>
      <c r="I13" t="n">
        <v>16.253085265372206</v>
      </c>
      <c r="J13" t="n">
        <v>16.356309430779497</v>
      </c>
      <c r="K13" t="n">
        <v>16.145946800834793</v>
      </c>
    </row>
    <row r="14" spans="1:11" ht="13.5" customHeight="true" x14ac:dyDescent="0.15" hidden="false">
      <c r="A14" t="s">
        <v>6943</v>
      </c>
      <c r="B14" t="n">
        <v>12.0</v>
      </c>
      <c r="C14" t="n">
        <v>0.0</v>
      </c>
      <c r="D14" t="n">
        <v>0.0</v>
      </c>
      <c r="E14" t="n">
        <v>0.0</v>
      </c>
      <c r="F14" t="n">
        <v>24.59</v>
      </c>
      <c r="G14" t="n">
        <v>23.85</v>
      </c>
      <c r="H14" t="n">
        <v>24.56</v>
      </c>
      <c r="I14" t="n">
        <v>16.872289468572305</v>
      </c>
      <c r="J14" t="n">
        <v>16.547889638395702</v>
      </c>
      <c r="K14" t="n">
        <v>16.898952046817744</v>
      </c>
    </row>
    <row r="15" spans="1:11" ht="13.5" customHeight="true" x14ac:dyDescent="0.15" hidden="false">
      <c r="A15" t="s">
        <v>6943</v>
      </c>
      <c r="B15" t="n">
        <v>13.0</v>
      </c>
      <c r="C15" t="n">
        <v>0.0</v>
      </c>
      <c r="D15"/>
      <c r="E15"/>
      <c r="F15" t="n">
        <v>72.62</v>
      </c>
      <c r="G15"/>
      <c r="H15"/>
      <c r="I15" t="n">
        <v>24.7097111657945</v>
      </c>
      <c r="J15"/>
      <c r="K15"/>
    </row>
    <row r="16" spans="1:11" ht="13.5" customHeight="true" x14ac:dyDescent="0.15" hidden="false">
      <c r="A16" t="s">
        <v>6943</v>
      </c>
      <c r="B16" t="n">
        <v>14.0</v>
      </c>
      <c r="C16" t="n">
        <v>0.0</v>
      </c>
      <c r="D16"/>
      <c r="E16"/>
      <c r="F16" t="n">
        <v>0.0</v>
      </c>
      <c r="G16"/>
      <c r="H16"/>
      <c r="I16"/>
      <c r="J16"/>
      <c r="K16"/>
    </row>
    <row r="17" spans="1:2" ht="13.5" customHeight="true" x14ac:dyDescent="0.15" hidden="false">
      <c r="A17" t="s">
        <v>6943</v>
      </c>
      <c r="B17" t="n">
        <v>15.0</v>
      </c>
      <c r="C17"/>
      <c r="D17" t="n">
        <v>0.0</v>
      </c>
      <c r="E17"/>
      <c r="F17"/>
      <c r="G17" t="n">
        <v>0.0</v>
      </c>
      <c r="H17"/>
      <c r="I17"/>
      <c r="J17"/>
      <c r="K17"/>
    </row>
    <row r="18" spans="1:2" ht="13.5" customHeight="true" x14ac:dyDescent="0.15" hidden="false">
      <c r="A18" t="s">
        <v>6943</v>
      </c>
      <c r="B18" t="n">
        <v>16.0</v>
      </c>
      <c r="C18"/>
      <c r="D18" t="n">
        <v>0.0</v>
      </c>
      <c r="E18"/>
      <c r="F18"/>
      <c r="G18" t="n">
        <v>14.37</v>
      </c>
      <c r="H18"/>
      <c r="I18"/>
      <c r="J18" t="n">
        <v>12.87126933119365</v>
      </c>
      <c r="K18"/>
    </row>
    <row r="19" spans="1:2" ht="13.5" customHeight="true" x14ac:dyDescent="0.15" hidden="false">
      <c r="A19" t="s">
        <v>6943</v>
      </c>
      <c r="B19" t="n">
        <v>17.0</v>
      </c>
      <c r="C19"/>
      <c r="D19"/>
      <c r="E19" t="n">
        <v>0.0</v>
      </c>
      <c r="F19"/>
      <c r="G19"/>
      <c r="H19" t="n">
        <v>13.92</v>
      </c>
      <c r="I19"/>
      <c r="J19"/>
      <c r="K19" t="n">
        <v>12.312882835334126</v>
      </c>
    </row>
    <row r="20" spans="1:2" ht="13.5" customHeight="true" x14ac:dyDescent="0.15" hidden="false">
      <c r="A20" t="s">
        <v>6943</v>
      </c>
      <c r="B20" t="n">
        <v>18.0</v>
      </c>
      <c r="C20"/>
      <c r="D20"/>
      <c r="E20" t="n">
        <v>5.82</v>
      </c>
      <c r="F20"/>
      <c r="G20"/>
      <c r="H20" t="n">
        <v>17.77</v>
      </c>
      <c r="I20"/>
      <c r="J20"/>
      <c r="K20" t="n">
        <v>9.850664529824225</v>
      </c>
    </row>
    <row r="21" spans="1:2" ht="13.5" customHeight="true" x14ac:dyDescent="0.15" hidden="false">
      <c r="A21" t="s">
        <v>6944</v>
      </c>
      <c r="B21" t="n">
        <v>1.0</v>
      </c>
      <c r="C21" t="n">
        <v>0.24</v>
      </c>
      <c r="D21" t="n">
        <v>0.0</v>
      </c>
      <c r="E21" t="n">
        <v>0.23</v>
      </c>
      <c r="F21" t="n">
        <v>20.19</v>
      </c>
      <c r="G21" t="n">
        <v>19.6</v>
      </c>
      <c r="H21" t="n">
        <v>19.23</v>
      </c>
      <c r="I21" t="n">
        <v>0.24227657743627906</v>
      </c>
      <c r="J21" t="n">
        <v>0.057746641963872185</v>
      </c>
      <c r="K21" t="n">
        <v>0.2464424375218607</v>
      </c>
    </row>
    <row r="22" spans="1:2" ht="13.5" customHeight="true" x14ac:dyDescent="0.15" hidden="false">
      <c r="A22" t="s">
        <v>6944</v>
      </c>
      <c r="B22" t="n">
        <v>2.0</v>
      </c>
      <c r="C22" t="n">
        <v>0.24</v>
      </c>
      <c r="D22" t="n">
        <v>0.0</v>
      </c>
      <c r="E22" t="n">
        <v>0.23</v>
      </c>
      <c r="F22" t="n">
        <v>20.8</v>
      </c>
      <c r="G22" t="n">
        <v>20.48</v>
      </c>
      <c r="H22" t="n">
        <v>20.24</v>
      </c>
      <c r="I22" t="n">
        <v>0.2425708041608252</v>
      </c>
      <c r="J22" t="n">
        <v>0.060039370078740155</v>
      </c>
      <c r="K22" t="n">
        <v>0.24743766067117934</v>
      </c>
    </row>
    <row r="23" spans="1:2" ht="13.5" customHeight="true" x14ac:dyDescent="0.15" hidden="false">
      <c r="A23" t="s">
        <v>6944</v>
      </c>
      <c r="B23" t="n">
        <v>3.0</v>
      </c>
      <c r="C23" t="n">
        <v>0.24</v>
      </c>
      <c r="D23" t="n">
        <v>0.0</v>
      </c>
      <c r="E23" t="n">
        <v>0.22</v>
      </c>
      <c r="F23" t="n">
        <v>20.05</v>
      </c>
      <c r="G23" t="n">
        <v>19.64</v>
      </c>
      <c r="H23" t="n">
        <v>19.62</v>
      </c>
      <c r="I23" t="n">
        <v>0.24339598146336275</v>
      </c>
      <c r="J23" t="n">
        <v>0.06380500231588698</v>
      </c>
      <c r="K23" t="n">
        <v>0.23458723803620174</v>
      </c>
    </row>
    <row r="24" spans="1:2" ht="13.5" customHeight="true" x14ac:dyDescent="0.15" hidden="false">
      <c r="A24" t="s">
        <v>6944</v>
      </c>
      <c r="B24" t="n">
        <v>4.0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/>
      <c r="J24"/>
      <c r="K24"/>
    </row>
    <row r="25" spans="1:2" ht="13.5" customHeight="true" x14ac:dyDescent="0.15" hidden="false">
      <c r="A25" t="s">
        <v>6945</v>
      </c>
      <c r="B25" t="n">
        <v>1.0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/>
      <c r="J25"/>
      <c r="K25"/>
    </row>
    <row r="26" spans="1:2" ht="13.5" customHeight="true" x14ac:dyDescent="0.15" hidden="false">
      <c r="A26" t="s">
        <v>6945</v>
      </c>
      <c r="B26" t="n">
        <v>2.0</v>
      </c>
      <c r="C26" t="n">
        <v>0.0</v>
      </c>
      <c r="D26"/>
      <c r="E26"/>
      <c r="F26" t="n">
        <v>0.0</v>
      </c>
      <c r="G26"/>
      <c r="H26"/>
      <c r="I26"/>
      <c r="J26"/>
      <c r="K26"/>
    </row>
    <row r="27" spans="1:2" ht="13.5" customHeight="true" x14ac:dyDescent="0.15" hidden="false">
      <c r="A27" t="s">
        <v>6945</v>
      </c>
      <c r="B27" t="n">
        <v>3.0</v>
      </c>
      <c r="C27"/>
      <c r="D27" t="n">
        <v>0.0</v>
      </c>
      <c r="E27"/>
      <c r="F27"/>
      <c r="G27" t="n">
        <v>0.0</v>
      </c>
      <c r="H27"/>
      <c r="I27"/>
      <c r="J27"/>
      <c r="K27"/>
    </row>
    <row r="28" spans="1:2" ht="13.5" customHeight="true" x14ac:dyDescent="0.15" hidden="false">
      <c r="A28" t="s">
        <v>6945</v>
      </c>
      <c r="B28" t="n">
        <v>4.0</v>
      </c>
      <c r="C28"/>
      <c r="D28"/>
      <c r="E28" t="n">
        <v>0.0</v>
      </c>
      <c r="F28"/>
      <c r="G28"/>
      <c r="H28" t="n">
        <v>0.0</v>
      </c>
      <c r="I28"/>
      <c r="J28"/>
      <c r="K28"/>
    </row>
    <row r="29" spans="1:2" ht="13.5" customHeight="true" x14ac:dyDescent="0.15" hidden="false">
      <c r="A29" t="s">
        <v>6945</v>
      </c>
      <c r="B29" t="n">
        <v>5.0</v>
      </c>
      <c r="C29" t="n">
        <v>0.0</v>
      </c>
      <c r="D29"/>
      <c r="E29"/>
      <c r="F29" t="n">
        <v>0.0</v>
      </c>
      <c r="G29"/>
      <c r="H29"/>
      <c r="I29"/>
      <c r="J29"/>
      <c r="K29"/>
    </row>
    <row r="30" spans="1:2" ht="13.5" customHeight="true" x14ac:dyDescent="0.15" hidden="false">
      <c r="A30" t="s">
        <v>6945</v>
      </c>
      <c r="B30" t="n">
        <v>6.0</v>
      </c>
      <c r="C30"/>
      <c r="D30" t="n">
        <v>9.29</v>
      </c>
      <c r="E30"/>
      <c r="F30"/>
      <c r="G30" t="n">
        <v>15.96</v>
      </c>
      <c r="H30"/>
      <c r="I30"/>
      <c r="J30" t="n">
        <v>13.89762255167221</v>
      </c>
      <c r="K30"/>
    </row>
    <row r="31" spans="1:2" ht="13.5" customHeight="true" x14ac:dyDescent="0.15" hidden="false">
      <c r="A31" t="s">
        <v>6945</v>
      </c>
      <c r="B31" t="n">
        <v>7.0</v>
      </c>
      <c r="C31"/>
      <c r="D31"/>
      <c r="E31" t="n">
        <v>8.18</v>
      </c>
      <c r="F31"/>
      <c r="G31"/>
      <c r="H31" t="n">
        <v>12.94</v>
      </c>
      <c r="I31"/>
      <c r="J31"/>
      <c r="K31" t="n">
        <v>11.314896565673099</v>
      </c>
    </row>
    <row r="32" spans="1:2" ht="13.5" customHeight="true" x14ac:dyDescent="0.15" hidden="false">
      <c r="A32" t="s">
        <v>6945</v>
      </c>
      <c r="B32" t="n">
        <v>8.0</v>
      </c>
      <c r="C32" t="n">
        <v>9.79</v>
      </c>
      <c r="D32"/>
      <c r="E32"/>
      <c r="F32" t="n">
        <v>15.76</v>
      </c>
      <c r="G32"/>
      <c r="H32"/>
      <c r="I32" t="n">
        <v>13.768634480551226</v>
      </c>
      <c r="J32"/>
      <c r="K32"/>
    </row>
    <row r="33" spans="1:2" ht="13.5" customHeight="true" x14ac:dyDescent="0.15" hidden="false">
      <c r="A33" t="s">
        <v>6945</v>
      </c>
      <c r="B33" t="n">
        <v>9.0</v>
      </c>
      <c r="C33"/>
      <c r="D33" t="n">
        <v>0.0</v>
      </c>
      <c r="E33"/>
      <c r="F33"/>
      <c r="G33" t="n">
        <v>0.0</v>
      </c>
      <c r="H33"/>
      <c r="I33"/>
      <c r="J33"/>
      <c r="K33"/>
    </row>
    <row r="34" spans="1:2" ht="13.5" customHeight="true" x14ac:dyDescent="0.15" hidden="false">
      <c r="A34" t="s">
        <v>6945</v>
      </c>
      <c r="B34" t="n">
        <v>10.0</v>
      </c>
      <c r="C34"/>
      <c r="D34"/>
      <c r="E34" t="n">
        <v>0.0</v>
      </c>
      <c r="F34"/>
      <c r="G34"/>
      <c r="H34" t="n">
        <v>0.0</v>
      </c>
      <c r="I34"/>
      <c r="J34"/>
      <c r="K34"/>
    </row>
    <row r="35" spans="1:2" ht="13.5" customHeight="true" x14ac:dyDescent="0.15" hidden="false">
      <c r="A35" t="s">
        <v>6945</v>
      </c>
      <c r="B35" t="n">
        <v>11.0</v>
      </c>
      <c r="C35" t="n">
        <v>1.03</v>
      </c>
      <c r="D35"/>
      <c r="E35"/>
      <c r="F35" t="n">
        <v>1.06</v>
      </c>
      <c r="G35"/>
      <c r="H35"/>
      <c r="I35" t="n">
        <v>1.0404592106780213</v>
      </c>
      <c r="J35"/>
      <c r="K35"/>
    </row>
    <row r="36" spans="1:2" ht="13.5" customHeight="true" x14ac:dyDescent="0.15" hidden="false">
      <c r="A36" t="s">
        <v>6945</v>
      </c>
      <c r="B36" t="n">
        <v>12.0</v>
      </c>
      <c r="C36"/>
      <c r="D36" t="n">
        <v>1.3900000000000001</v>
      </c>
      <c r="E36"/>
      <c r="F36"/>
      <c r="G36" t="n">
        <v>1.55</v>
      </c>
      <c r="H36"/>
      <c r="I36"/>
      <c r="J36" t="n">
        <v>1.4766390512409004</v>
      </c>
      <c r="K36"/>
    </row>
    <row r="37" spans="1:2" ht="13.5" customHeight="true" x14ac:dyDescent="0.15" hidden="false">
      <c r="A37" t="s">
        <v>6945</v>
      </c>
      <c r="B37" t="n">
        <v>13.0</v>
      </c>
      <c r="C37"/>
      <c r="D37"/>
      <c r="E37" t="n">
        <v>1.48</v>
      </c>
      <c r="F37"/>
      <c r="G37"/>
      <c r="H37" t="n">
        <v>1.6099999999999999</v>
      </c>
      <c r="I37"/>
      <c r="J37"/>
      <c r="K37" t="n">
        <v>1.5397821950671495</v>
      </c>
    </row>
    <row r="38" spans="1:2" ht="13.5" customHeight="true" x14ac:dyDescent="0.15" hidden="false">
      <c r="A38" t="s">
        <v>6945</v>
      </c>
      <c r="B38" t="n">
        <v>14.0</v>
      </c>
      <c r="C38" t="n">
        <v>0.0</v>
      </c>
      <c r="D38"/>
      <c r="E38"/>
      <c r="F38" t="n">
        <v>0.0</v>
      </c>
      <c r="G38"/>
      <c r="H38"/>
      <c r="I38"/>
      <c r="J38"/>
      <c r="K38"/>
    </row>
    <row r="39" spans="1:2" ht="13.5" customHeight="true" x14ac:dyDescent="0.15" hidden="false">
      <c r="A39" t="s">
        <v>6945</v>
      </c>
      <c r="B39" t="n">
        <v>15.0</v>
      </c>
      <c r="C39"/>
      <c r="D39" t="n">
        <v>0.0</v>
      </c>
      <c r="E39"/>
      <c r="F39"/>
      <c r="G39" t="n">
        <v>0.0</v>
      </c>
      <c r="H39"/>
      <c r="I39"/>
      <c r="J39"/>
      <c r="K39"/>
    </row>
    <row r="40" spans="1:2" ht="13.5" customHeight="true" x14ac:dyDescent="0.15" hidden="false">
      <c r="A40" t="s">
        <v>6945</v>
      </c>
      <c r="B40" t="n">
        <v>16.0</v>
      </c>
      <c r="C40"/>
      <c r="D40"/>
      <c r="E40" t="n">
        <v>0.0</v>
      </c>
      <c r="F40"/>
      <c r="G40"/>
      <c r="H40" t="n">
        <v>0.0</v>
      </c>
      <c r="I40"/>
      <c r="J40"/>
      <c r="K40"/>
    </row>
    <row r="41" spans="1:2" ht="13.5" customHeight="true" x14ac:dyDescent="0.15" hidden="false">
      <c r="A41" t="s">
        <v>6945</v>
      </c>
      <c r="B41" t="n">
        <v>17.0</v>
      </c>
      <c r="C41" t="n">
        <v>8.84</v>
      </c>
      <c r="D41"/>
      <c r="E41"/>
      <c r="F41" t="n">
        <v>12.07</v>
      </c>
      <c r="G41"/>
      <c r="H41"/>
      <c r="I41" t="n">
        <v>11.099794491504518</v>
      </c>
      <c r="J41"/>
      <c r="K41"/>
    </row>
    <row r="42" spans="1:2" ht="13.5" customHeight="true" x14ac:dyDescent="0.15" hidden="false">
      <c r="A42" t="s">
        <v>6945</v>
      </c>
      <c r="B42" t="n">
        <v>18.0</v>
      </c>
      <c r="C42"/>
      <c r="D42" t="n">
        <v>6.91</v>
      </c>
      <c r="E42"/>
      <c r="F42"/>
      <c r="G42" t="n">
        <v>11.03</v>
      </c>
      <c r="H42"/>
      <c r="I42"/>
      <c r="J42" t="n">
        <v>9.94545336251787</v>
      </c>
      <c r="K42"/>
    </row>
    <row r="43" spans="1:2" ht="13.5" customHeight="true" x14ac:dyDescent="0.15" hidden="false">
      <c r="A43" t="s">
        <v>6945</v>
      </c>
      <c r="B43" t="n">
        <v>19.0</v>
      </c>
      <c r="C43"/>
      <c r="D43"/>
      <c r="E43" t="n">
        <v>7.84</v>
      </c>
      <c r="F43"/>
      <c r="G43"/>
      <c r="H43" t="n">
        <v>13.11</v>
      </c>
      <c r="I43"/>
      <c r="J43"/>
      <c r="K43" t="n">
        <v>11.698172648853305</v>
      </c>
    </row>
    <row r="44" spans="1:2" ht="13.5" customHeight="true" x14ac:dyDescent="0.15" hidden="false">
      <c r="A44" t="s">
        <v>6945</v>
      </c>
      <c r="B44" t="n">
        <v>20.0</v>
      </c>
      <c r="C44" t="n">
        <v>5.99</v>
      </c>
      <c r="D44"/>
      <c r="E44"/>
      <c r="F44" t="n">
        <v>10.53</v>
      </c>
      <c r="G44"/>
      <c r="H44"/>
      <c r="I44" t="n">
        <v>9.505542768936456</v>
      </c>
      <c r="J44"/>
      <c r="K44"/>
    </row>
    <row r="45" spans="1:2" ht="13.5" customHeight="true" x14ac:dyDescent="0.15" hidden="false">
      <c r="A45" t="s">
        <v>6945</v>
      </c>
      <c r="B45" t="n">
        <v>21.0</v>
      </c>
      <c r="C45"/>
      <c r="D45" t="n">
        <v>8.6</v>
      </c>
      <c r="E45"/>
      <c r="F45"/>
      <c r="G45" t="n">
        <v>13.42</v>
      </c>
      <c r="H45"/>
      <c r="I45"/>
      <c r="J45" t="n">
        <v>11.831716838274795</v>
      </c>
      <c r="K45"/>
    </row>
    <row r="46" spans="1:2" ht="13.5" customHeight="true" x14ac:dyDescent="0.15" hidden="false">
      <c r="A46" t="s">
        <v>6945</v>
      </c>
      <c r="B46" t="n">
        <v>22.0</v>
      </c>
      <c r="C46"/>
      <c r="D46"/>
      <c r="E46" t="n">
        <v>0.0</v>
      </c>
      <c r="F46"/>
      <c r="G46"/>
      <c r="H46" t="n">
        <v>0.0</v>
      </c>
      <c r="I46"/>
      <c r="J46"/>
      <c r="K46"/>
    </row>
    <row r="47" spans="1:2" ht="13.5" customHeight="true" x14ac:dyDescent="0.15" hidden="false">
      <c r="A47" t="s">
        <v>6945</v>
      </c>
      <c r="B47" t="n">
        <v>23.0</v>
      </c>
      <c r="C47" t="n">
        <v>0.0</v>
      </c>
      <c r="D47"/>
      <c r="E47"/>
      <c r="F47" t="n">
        <v>0.0</v>
      </c>
      <c r="G47"/>
      <c r="H47"/>
      <c r="I47"/>
      <c r="J47"/>
      <c r="K47"/>
    </row>
    <row r="48" spans="1:2" ht="13.5" customHeight="true" x14ac:dyDescent="0.15" hidden="false">
      <c r="A48" t="s">
        <v>6945</v>
      </c>
      <c r="B48" t="n">
        <v>24.0</v>
      </c>
      <c r="C48"/>
      <c r="D48" t="n">
        <v>0.0</v>
      </c>
      <c r="E48"/>
      <c r="F48"/>
      <c r="G48" t="n">
        <v>0.0</v>
      </c>
      <c r="H48"/>
      <c r="I48"/>
      <c r="J48"/>
      <c r="K48"/>
    </row>
    <row r="49" spans="1:2" ht="13.5" customHeight="true" x14ac:dyDescent="0.15" hidden="false">
      <c r="A49" t="s">
        <v>6945</v>
      </c>
      <c r="B49" t="n">
        <v>25.0</v>
      </c>
      <c r="C49"/>
      <c r="D49"/>
      <c r="E49" t="n">
        <v>0.0</v>
      </c>
      <c r="F49"/>
      <c r="G49"/>
      <c r="H49" t="n">
        <v>0.0</v>
      </c>
      <c r="I49"/>
      <c r="J49"/>
      <c r="K49"/>
    </row>
    <row r="50" spans="1:2" ht="13.5" customHeight="true" x14ac:dyDescent="0.15" hidden="false">
      <c r="A50" t="s">
        <v>6945</v>
      </c>
      <c r="B50" t="n">
        <v>26.0</v>
      </c>
      <c r="C50" t="n">
        <v>0.0</v>
      </c>
      <c r="D50"/>
      <c r="E50"/>
      <c r="F50" t="n">
        <v>0.0</v>
      </c>
      <c r="G50"/>
      <c r="H50"/>
      <c r="I50"/>
      <c r="J50"/>
      <c r="K50"/>
    </row>
    <row r="51" spans="1:2" ht="13.5" customHeight="true" x14ac:dyDescent="0.15" hidden="false">
      <c r="A51" t="s">
        <v>6945</v>
      </c>
      <c r="B51" t="n">
        <v>55.0</v>
      </c>
      <c r="C51" t="n">
        <v>0.0</v>
      </c>
      <c r="D51" t="n">
        <v>0.58</v>
      </c>
      <c r="E51" t="n">
        <v>0.73</v>
      </c>
      <c r="F51" t="n">
        <v>0.0</v>
      </c>
      <c r="G51" t="n">
        <v>0.6</v>
      </c>
      <c r="H51" t="n">
        <v>0.76</v>
      </c>
      <c r="I51"/>
      <c r="J51" t="n">
        <v>0.589960224390436</v>
      </c>
      <c r="K51" t="n">
        <v>0.7437054238784261</v>
      </c>
    </row>
    <row r="52" spans="1:2" ht="13.5" customHeight="true" x14ac:dyDescent="0.15" hidden="false">
      <c r="A52" t="s">
        <v>6945</v>
      </c>
      <c r="B52" t="n">
        <v>56.0</v>
      </c>
      <c r="C52" t="n">
        <v>0.0</v>
      </c>
      <c r="D52"/>
      <c r="E52"/>
      <c r="F52" t="n">
        <v>0.0</v>
      </c>
      <c r="G52"/>
      <c r="H52"/>
      <c r="I52"/>
      <c r="J52"/>
      <c r="K52"/>
    </row>
    <row r="53" spans="1:2" ht="13.5" customHeight="true" x14ac:dyDescent="0.15" hidden="false">
      <c r="A53" t="s">
        <v>6945</v>
      </c>
      <c r="B53" t="n">
        <v>57.0</v>
      </c>
      <c r="C53"/>
      <c r="D53" t="n">
        <v>0.0</v>
      </c>
      <c r="E53"/>
      <c r="F53"/>
      <c r="G53" t="n">
        <v>0.0</v>
      </c>
      <c r="H53"/>
      <c r="I53"/>
      <c r="J53"/>
      <c r="K53"/>
    </row>
    <row r="54" spans="1:2" ht="13.5" customHeight="true" x14ac:dyDescent="0.15" hidden="false">
      <c r="A54" t="s">
        <v>6945</v>
      </c>
      <c r="B54" t="n">
        <v>58.0</v>
      </c>
      <c r="C54"/>
      <c r="D54"/>
      <c r="E54" t="n">
        <v>1.52</v>
      </c>
      <c r="F54"/>
      <c r="G54"/>
      <c r="H54" t="n">
        <v>1.55</v>
      </c>
      <c r="I54"/>
      <c r="J54"/>
      <c r="K54" t="n">
        <v>1.5294429921063941</v>
      </c>
    </row>
    <row r="55" spans="1:2" ht="13.5" customHeight="true" x14ac:dyDescent="0.15" hidden="false">
      <c r="A55" t="s">
        <v>6945</v>
      </c>
      <c r="B55" t="n">
        <v>59.0</v>
      </c>
      <c r="C55" t="n">
        <v>0.0</v>
      </c>
      <c r="D55"/>
      <c r="E55"/>
      <c r="F55" t="n">
        <v>0.0</v>
      </c>
      <c r="G55"/>
      <c r="H55"/>
      <c r="I55"/>
      <c r="J55"/>
      <c r="K55"/>
    </row>
    <row r="56" spans="1:2" ht="13.5" customHeight="true" x14ac:dyDescent="0.15" hidden="false">
      <c r="A56" t="s">
        <v>6945</v>
      </c>
      <c r="B56" t="n">
        <v>60.0</v>
      </c>
      <c r="C56"/>
      <c r="D56" t="n">
        <v>0.0</v>
      </c>
      <c r="E56"/>
      <c r="F56"/>
      <c r="G56" t="n">
        <v>0.0</v>
      </c>
      <c r="H56"/>
      <c r="I56"/>
      <c r="J56"/>
      <c r="K56"/>
    </row>
    <row r="57" spans="1:2" ht="13.5" customHeight="true" x14ac:dyDescent="0.15" hidden="false">
      <c r="A57" t="s">
        <v>6945</v>
      </c>
      <c r="B57" t="n">
        <v>61.0</v>
      </c>
      <c r="C57"/>
      <c r="D57"/>
      <c r="E57" t="n">
        <v>0.0</v>
      </c>
      <c r="F57"/>
      <c r="G57"/>
      <c r="H57" t="n">
        <v>0.0</v>
      </c>
      <c r="I57"/>
      <c r="J57"/>
      <c r="K57"/>
    </row>
    <row r="58" spans="1:2" ht="13.5" customHeight="true" x14ac:dyDescent="0.15" hidden="false">
      <c r="A58" t="s">
        <v>6945</v>
      </c>
      <c r="B58" t="n">
        <v>62.0</v>
      </c>
      <c r="C58" t="n">
        <v>0.0</v>
      </c>
      <c r="D58"/>
      <c r="E58"/>
      <c r="F58" t="n">
        <v>0.0</v>
      </c>
      <c r="G58"/>
      <c r="H58"/>
      <c r="I58"/>
      <c r="J58"/>
      <c r="K58"/>
    </row>
    <row r="59" spans="1:2" ht="13.5" customHeight="true" x14ac:dyDescent="0.15" hidden="false">
      <c r="A59" t="s">
        <v>6945</v>
      </c>
      <c r="B59" t="n">
        <v>63.0</v>
      </c>
      <c r="C59"/>
      <c r="D59" t="n">
        <v>0.0</v>
      </c>
      <c r="E59"/>
      <c r="F59"/>
      <c r="G59" t="n">
        <v>0.0</v>
      </c>
      <c r="H59"/>
      <c r="I59"/>
      <c r="J59"/>
      <c r="K59"/>
    </row>
    <row r="60" spans="1:2" ht="13.5" customHeight="true" x14ac:dyDescent="0.15" hidden="false">
      <c r="A60" t="s">
        <v>6945</v>
      </c>
      <c r="B60" t="n">
        <v>64.0</v>
      </c>
      <c r="C60"/>
      <c r="D60"/>
      <c r="E60" t="n">
        <v>0.0</v>
      </c>
      <c r="F60"/>
      <c r="G60"/>
      <c r="H60" t="n">
        <v>0.0</v>
      </c>
      <c r="I60"/>
      <c r="J60"/>
      <c r="K60"/>
    </row>
    <row r="61" spans="1:2" ht="13.5" customHeight="true" x14ac:dyDescent="0.15" hidden="false">
      <c r="A61" t="s">
        <v>6945</v>
      </c>
      <c r="B61" t="n">
        <v>65.0</v>
      </c>
      <c r="C61" t="n">
        <v>0.0</v>
      </c>
      <c r="D61"/>
      <c r="E61"/>
      <c r="F61" t="n">
        <v>0.0</v>
      </c>
      <c r="G61"/>
      <c r="H61"/>
      <c r="I61"/>
      <c r="J61"/>
      <c r="K61"/>
    </row>
    <row r="62" spans="1:2" ht="13.5" customHeight="true" x14ac:dyDescent="0.15" hidden="false">
      <c r="A62" t="s">
        <v>6945</v>
      </c>
      <c r="B62" t="n">
        <v>66.0</v>
      </c>
      <c r="C62"/>
      <c r="D62" t="n">
        <v>0.0</v>
      </c>
      <c r="E62"/>
      <c r="F62"/>
      <c r="G62" t="n">
        <v>0.0</v>
      </c>
      <c r="H62"/>
      <c r="I62"/>
      <c r="J62"/>
      <c r="K62"/>
    </row>
    <row r="63" spans="1:2" ht="13.5" customHeight="true" x14ac:dyDescent="0.15" hidden="false">
      <c r="A63" t="s">
        <v>6945</v>
      </c>
      <c r="B63" t="n">
        <v>67.0</v>
      </c>
      <c r="C63"/>
      <c r="D63"/>
      <c r="E63" t="n">
        <v>0.0</v>
      </c>
      <c r="F63"/>
      <c r="G63"/>
      <c r="H63" t="n">
        <v>0.0</v>
      </c>
      <c r="I63"/>
      <c r="J63"/>
      <c r="K63"/>
    </row>
    <row r="64" spans="1:2" ht="13.5" customHeight="true" x14ac:dyDescent="0.15" hidden="false">
      <c r="A64" t="s">
        <v>6945</v>
      </c>
      <c r="B64" t="n">
        <v>68.0</v>
      </c>
      <c r="C64" t="n">
        <v>0.0</v>
      </c>
      <c r="D64"/>
      <c r="E64"/>
      <c r="F64" t="n">
        <v>0.0</v>
      </c>
      <c r="G64"/>
      <c r="H64"/>
      <c r="I64"/>
      <c r="J64"/>
      <c r="K64"/>
    </row>
    <row r="65" spans="1:2" ht="13.5" customHeight="true" x14ac:dyDescent="0.15" hidden="false">
      <c r="A65" t="s">
        <v>6945</v>
      </c>
      <c r="B65" t="n">
        <v>69.0</v>
      </c>
      <c r="C65"/>
      <c r="D65" t="n">
        <v>0.0</v>
      </c>
      <c r="E65"/>
      <c r="F65"/>
      <c r="G65" t="n">
        <v>0.0</v>
      </c>
      <c r="H65"/>
      <c r="I65"/>
      <c r="J65"/>
      <c r="K65"/>
    </row>
    <row r="66" spans="1:2" ht="13.5" customHeight="true" x14ac:dyDescent="0.15" hidden="false">
      <c r="A66" t="s">
        <v>6945</v>
      </c>
      <c r="B66" t="n">
        <v>70.0</v>
      </c>
      <c r="C66"/>
      <c r="D66"/>
      <c r="E66" t="n">
        <v>0.0</v>
      </c>
      <c r="F66"/>
      <c r="G66"/>
      <c r="H66" t="n">
        <v>0.0</v>
      </c>
      <c r="I66"/>
      <c r="J66"/>
      <c r="K66"/>
    </row>
    <row r="67" spans="1:2" ht="13.5" customHeight="true" x14ac:dyDescent="0.15" hidden="false">
      <c r="A67" t="s">
        <v>6945</v>
      </c>
      <c r="B67" t="n">
        <v>71.0</v>
      </c>
      <c r="C67" t="n">
        <v>0.0</v>
      </c>
      <c r="D67"/>
      <c r="E67"/>
      <c r="F67" t="n">
        <v>0.0</v>
      </c>
      <c r="G67"/>
      <c r="H67"/>
      <c r="I67"/>
      <c r="J67"/>
      <c r="K67"/>
    </row>
    <row r="68" spans="1:2" ht="13.5" customHeight="true" x14ac:dyDescent="0.15" hidden="false">
      <c r="A68" t="s">
        <v>6945</v>
      </c>
      <c r="B68" t="n">
        <v>72.0</v>
      </c>
      <c r="C68"/>
      <c r="D68" t="n">
        <v>0.0</v>
      </c>
      <c r="E68"/>
      <c r="F68"/>
      <c r="G68" t="n">
        <v>0.0</v>
      </c>
      <c r="H68"/>
      <c r="I68"/>
      <c r="J68"/>
      <c r="K68"/>
    </row>
    <row r="69" spans="1:2" ht="13.5" customHeight="true" x14ac:dyDescent="0.15" hidden="false">
      <c r="A69" t="s">
        <v>6945</v>
      </c>
      <c r="B69" t="n">
        <v>73.0</v>
      </c>
      <c r="C69"/>
      <c r="D69"/>
      <c r="E69" t="n">
        <v>0.0</v>
      </c>
      <c r="F69"/>
      <c r="G69"/>
      <c r="H69" t="n">
        <v>0.0</v>
      </c>
      <c r="I69"/>
      <c r="J69"/>
      <c r="K69"/>
    </row>
    <row r="70" spans="1:2" ht="13.5" customHeight="true" x14ac:dyDescent="0.15" hidden="false">
      <c r="A70" t="s">
        <v>6945</v>
      </c>
      <c r="B70" t="n">
        <v>74.0</v>
      </c>
      <c r="C70" t="n">
        <v>0.0</v>
      </c>
      <c r="D70"/>
      <c r="E70"/>
      <c r="F70" t="n">
        <v>0.0</v>
      </c>
      <c r="G70"/>
      <c r="H70"/>
      <c r="I70"/>
      <c r="J70"/>
      <c r="K70"/>
    </row>
    <row r="71" spans="1:2" ht="13.5" customHeight="true" x14ac:dyDescent="0.15" hidden="false">
      <c r="A71" t="s">
        <v>6945</v>
      </c>
      <c r="B71" t="n">
        <v>75.0</v>
      </c>
      <c r="C71"/>
      <c r="D71" t="n">
        <v>0.0</v>
      </c>
      <c r="E71"/>
      <c r="F71"/>
      <c r="G71" t="n">
        <v>0.0</v>
      </c>
      <c r="H71"/>
      <c r="I71"/>
      <c r="J71"/>
      <c r="K71"/>
    </row>
    <row r="72" spans="1:2" ht="13.5" customHeight="true" x14ac:dyDescent="0.15" hidden="false">
      <c r="A72" t="s">
        <v>6945</v>
      </c>
      <c r="B72" t="n">
        <v>76.0</v>
      </c>
      <c r="C72"/>
      <c r="D72"/>
      <c r="E72" t="n">
        <v>0.0</v>
      </c>
      <c r="F72"/>
      <c r="G72"/>
      <c r="H72" t="n">
        <v>0.0</v>
      </c>
      <c r="I72"/>
      <c r="J72"/>
      <c r="K72"/>
    </row>
    <row r="73" spans="1:2" ht="13.5" customHeight="true" x14ac:dyDescent="0.15" hidden="false">
      <c r="A73" t="s">
        <v>6945</v>
      </c>
      <c r="B73" t="n">
        <v>77.0</v>
      </c>
      <c r="C73" t="n">
        <v>0.0</v>
      </c>
      <c r="D73"/>
      <c r="E73"/>
      <c r="F73" t="n">
        <v>0.0</v>
      </c>
      <c r="G73"/>
      <c r="H73"/>
      <c r="I73"/>
      <c r="J73"/>
      <c r="K73"/>
    </row>
    <row r="74" spans="1:2" ht="13.5" customHeight="true" x14ac:dyDescent="0.15" hidden="false">
      <c r="A74" t="s">
        <v>6945</v>
      </c>
      <c r="B74" t="n">
        <v>78.0</v>
      </c>
      <c r="C74"/>
      <c r="D74" t="n">
        <v>0.35</v>
      </c>
      <c r="E74"/>
      <c r="F74"/>
      <c r="G74" t="n">
        <v>0.7</v>
      </c>
      <c r="H74"/>
      <c r="I74"/>
      <c r="J74" t="n">
        <v>0.6153702065407523</v>
      </c>
      <c r="K74"/>
    </row>
    <row r="75" spans="1:2" ht="13.5" customHeight="true" x14ac:dyDescent="0.15" hidden="false">
      <c r="A75" t="s">
        <v>6945</v>
      </c>
      <c r="B75" t="n">
        <v>79.0</v>
      </c>
      <c r="C75"/>
      <c r="D75"/>
      <c r="E75" t="n">
        <v>1.72</v>
      </c>
      <c r="F75"/>
      <c r="G75"/>
      <c r="H75" t="n">
        <v>1.76</v>
      </c>
      <c r="I75"/>
      <c r="J75"/>
      <c r="K75" t="n">
        <v>1.739229251584358</v>
      </c>
    </row>
    <row r="76" spans="1:2" ht="13.5" customHeight="true" x14ac:dyDescent="0.15" hidden="false">
      <c r="A76" t="s">
        <v>6945</v>
      </c>
      <c r="B76" t="n">
        <v>80.0</v>
      </c>
      <c r="C76" t="n">
        <v>0.0</v>
      </c>
      <c r="D76"/>
      <c r="E76"/>
      <c r="F76" t="n">
        <v>0.0</v>
      </c>
      <c r="G76"/>
      <c r="H76"/>
      <c r="I76"/>
      <c r="J76"/>
      <c r="K76"/>
    </row>
    <row r="77" spans="1:2" ht="13.5" customHeight="true" x14ac:dyDescent="0.15" hidden="false">
      <c r="A77" t="s">
        <v>6946</v>
      </c>
      <c r="B77" t="n">
        <v>1.0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/>
      <c r="J77"/>
      <c r="K77"/>
    </row>
    <row r="78" spans="1:2" ht="13.5" customHeight="true" x14ac:dyDescent="0.15" hidden="false">
      <c r="A78" t="s">
        <v>6946</v>
      </c>
      <c r="B78" t="n">
        <v>2.0</v>
      </c>
      <c r="C78" t="n">
        <v>0.0</v>
      </c>
      <c r="D78"/>
      <c r="E78"/>
      <c r="F78" t="n">
        <v>0.0</v>
      </c>
      <c r="G78"/>
      <c r="H78"/>
      <c r="I78"/>
      <c r="J78"/>
      <c r="K78"/>
    </row>
    <row r="79" spans="1:2" ht="13.5" customHeight="true" x14ac:dyDescent="0.15" hidden="false">
      <c r="A79" t="s">
        <v>6946</v>
      </c>
      <c r="B79" t="n">
        <v>3.0</v>
      </c>
      <c r="C79"/>
      <c r="D79" t="n">
        <v>0.0</v>
      </c>
      <c r="E79"/>
      <c r="F79"/>
      <c r="G79" t="n">
        <v>0.0</v>
      </c>
      <c r="H79"/>
      <c r="I79"/>
      <c r="J79"/>
      <c r="K79"/>
    </row>
    <row r="80" spans="1:2" ht="13.5" customHeight="true" x14ac:dyDescent="0.15" hidden="false">
      <c r="A80" t="s">
        <v>6946</v>
      </c>
      <c r="B80" t="n">
        <v>4.0</v>
      </c>
      <c r="C80"/>
      <c r="D80"/>
      <c r="E80" t="n">
        <v>0.0</v>
      </c>
      <c r="F80"/>
      <c r="G80"/>
      <c r="H80" t="n">
        <v>0.0</v>
      </c>
      <c r="I80"/>
      <c r="J80"/>
      <c r="K80"/>
    </row>
    <row r="81" spans="1:2" ht="13.5" customHeight="true" x14ac:dyDescent="0.15" hidden="false">
      <c r="A81" t="s">
        <v>6946</v>
      </c>
      <c r="B81" t="n">
        <v>5.0</v>
      </c>
      <c r="C81" t="n">
        <v>0.0</v>
      </c>
      <c r="D81"/>
      <c r="E81"/>
      <c r="F81" t="n">
        <v>0.0</v>
      </c>
      <c r="G81"/>
      <c r="H81"/>
      <c r="I81"/>
      <c r="J81"/>
      <c r="K81"/>
    </row>
    <row r="82" spans="1:2" ht="13.5" customHeight="true" x14ac:dyDescent="0.15" hidden="false">
      <c r="A82" t="s">
        <v>6946</v>
      </c>
      <c r="B82" t="n">
        <v>6.0</v>
      </c>
      <c r="C82"/>
      <c r="D82" t="n">
        <v>7.6899999999999995</v>
      </c>
      <c r="E82"/>
      <c r="F82"/>
      <c r="G82" t="n">
        <v>13.34</v>
      </c>
      <c r="H82"/>
      <c r="I82"/>
      <c r="J82" t="n">
        <v>11.658936882355096</v>
      </c>
      <c r="K82"/>
    </row>
    <row r="83" spans="1:2" ht="13.5" customHeight="true" x14ac:dyDescent="0.15" hidden="false">
      <c r="A83" t="s">
        <v>6946</v>
      </c>
      <c r="B83" t="n">
        <v>7.0</v>
      </c>
      <c r="C83"/>
      <c r="D83"/>
      <c r="E83" t="n">
        <v>9.17</v>
      </c>
      <c r="F83"/>
      <c r="G83"/>
      <c r="H83" t="n">
        <v>14.84</v>
      </c>
      <c r="I83"/>
      <c r="J83"/>
      <c r="K83" t="n">
        <v>12.873675877430891</v>
      </c>
    </row>
    <row r="84" spans="1:2" ht="13.5" customHeight="true" x14ac:dyDescent="0.15" hidden="false">
      <c r="A84" t="s">
        <v>6946</v>
      </c>
      <c r="B84" t="n">
        <v>8.0</v>
      </c>
      <c r="C84" t="n">
        <v>8.23</v>
      </c>
      <c r="D84"/>
      <c r="E84"/>
      <c r="F84" t="n">
        <v>13.06</v>
      </c>
      <c r="G84"/>
      <c r="H84"/>
      <c r="I84" t="n">
        <v>11.448344923623207</v>
      </c>
      <c r="J84"/>
      <c r="K84"/>
    </row>
    <row r="85" spans="1:2" ht="13.5" customHeight="true" x14ac:dyDescent="0.15" hidden="false">
      <c r="A85" t="s">
        <v>6946</v>
      </c>
      <c r="B85" t="n">
        <v>9.0</v>
      </c>
      <c r="C85"/>
      <c r="D85" t="n">
        <v>0.0</v>
      </c>
      <c r="E85"/>
      <c r="F85"/>
      <c r="G85" t="n">
        <v>0.0</v>
      </c>
      <c r="H85"/>
      <c r="I85"/>
      <c r="J85"/>
      <c r="K85"/>
    </row>
    <row r="86" spans="1:2" ht="13.5" customHeight="true" x14ac:dyDescent="0.15" hidden="false">
      <c r="A86" t="s">
        <v>6946</v>
      </c>
      <c r="B86" t="n">
        <v>10.0</v>
      </c>
      <c r="C86"/>
      <c r="D86"/>
      <c r="E86" t="n">
        <v>0.0</v>
      </c>
      <c r="F86"/>
      <c r="G86"/>
      <c r="H86" t="n">
        <v>0.0</v>
      </c>
      <c r="I86"/>
      <c r="J86"/>
      <c r="K86"/>
    </row>
    <row r="87" spans="1:2" ht="13.5" customHeight="true" x14ac:dyDescent="0.15" hidden="false">
      <c r="A87" t="s">
        <v>6946</v>
      </c>
      <c r="B87" t="n">
        <v>11.0</v>
      </c>
      <c r="C87" t="n">
        <v>0.0</v>
      </c>
      <c r="D87"/>
      <c r="E87"/>
      <c r="F87" t="n">
        <v>0.0</v>
      </c>
      <c r="G87"/>
      <c r="H87"/>
      <c r="I87"/>
      <c r="J87"/>
      <c r="K87"/>
    </row>
    <row r="88" spans="1:2" ht="13.5" customHeight="true" x14ac:dyDescent="0.15" hidden="false">
      <c r="A88" t="s">
        <v>6946</v>
      </c>
      <c r="B88" t="n">
        <v>12.0</v>
      </c>
      <c r="C88"/>
      <c r="D88" t="n">
        <v>1.53</v>
      </c>
      <c r="E88"/>
      <c r="F88"/>
      <c r="G88" t="n">
        <v>1.69</v>
      </c>
      <c r="H88"/>
      <c r="I88"/>
      <c r="J88" t="n">
        <v>1.6313262212672612</v>
      </c>
      <c r="K88"/>
    </row>
    <row r="89" spans="1:2" ht="13.5" customHeight="true" x14ac:dyDescent="0.15" hidden="false">
      <c r="A89" t="s">
        <v>6946</v>
      </c>
      <c r="B89" t="n">
        <v>13.0</v>
      </c>
      <c r="C89"/>
      <c r="D89"/>
      <c r="E89" t="n">
        <v>1.26</v>
      </c>
      <c r="F89"/>
      <c r="G89"/>
      <c r="H89" t="n">
        <v>1.34</v>
      </c>
      <c r="I89"/>
      <c r="J89"/>
      <c r="K89" t="n">
        <v>1.3209485905405873</v>
      </c>
    </row>
    <row r="90" spans="1:2" ht="13.5" customHeight="true" x14ac:dyDescent="0.15" hidden="false">
      <c r="A90" t="s">
        <v>6946</v>
      </c>
      <c r="B90" t="n">
        <v>14.0</v>
      </c>
      <c r="C90" t="n">
        <v>0.0</v>
      </c>
      <c r="D90"/>
      <c r="E90"/>
      <c r="F90" t="n">
        <v>0.0</v>
      </c>
      <c r="G90"/>
      <c r="H90"/>
      <c r="I90"/>
      <c r="J90"/>
      <c r="K90"/>
    </row>
    <row r="91" spans="1:2" ht="13.5" customHeight="true" x14ac:dyDescent="0.15" hidden="false">
      <c r="A91" t="s">
        <v>6946</v>
      </c>
      <c r="B91" t="n">
        <v>15.0</v>
      </c>
      <c r="C91"/>
      <c r="D91" t="n">
        <v>0.0</v>
      </c>
      <c r="E91"/>
      <c r="F91"/>
      <c r="G91" t="n">
        <v>0.0</v>
      </c>
      <c r="H91"/>
      <c r="I91"/>
      <c r="J91"/>
      <c r="K91"/>
    </row>
    <row r="92" spans="1:2" ht="13.5" customHeight="true" x14ac:dyDescent="0.15" hidden="false">
      <c r="A92" t="s">
        <v>6946</v>
      </c>
      <c r="B92" t="n">
        <v>16.0</v>
      </c>
      <c r="C92"/>
      <c r="D92"/>
      <c r="E92" t="n">
        <v>0.0</v>
      </c>
      <c r="F92"/>
      <c r="G92"/>
      <c r="H92" t="n">
        <v>0.0</v>
      </c>
      <c r="I92"/>
      <c r="J92"/>
      <c r="K92"/>
    </row>
    <row r="93" spans="1:2" ht="13.5" customHeight="true" x14ac:dyDescent="0.15" hidden="false">
      <c r="A93" t="s">
        <v>6946</v>
      </c>
      <c r="B93" t="n">
        <v>17.0</v>
      </c>
      <c r="C93" t="n">
        <v>9.82</v>
      </c>
      <c r="D93"/>
      <c r="E93"/>
      <c r="F93" t="n">
        <v>13.04</v>
      </c>
      <c r="G93"/>
      <c r="H93"/>
      <c r="I93" t="n">
        <v>11.464220573325287</v>
      </c>
      <c r="J93"/>
      <c r="K93"/>
    </row>
    <row r="94" spans="1:2" ht="13.5" customHeight="true" x14ac:dyDescent="0.15" hidden="false">
      <c r="A94" t="s">
        <v>6946</v>
      </c>
      <c r="B94" t="n">
        <v>18.0</v>
      </c>
      <c r="C94"/>
      <c r="D94" t="n">
        <v>8.12</v>
      </c>
      <c r="E94"/>
      <c r="F94"/>
      <c r="G94" t="n">
        <v>12.93</v>
      </c>
      <c r="H94"/>
      <c r="I94"/>
      <c r="J94" t="n">
        <v>11.570942756767701</v>
      </c>
      <c r="K94"/>
    </row>
    <row r="95" spans="1:2" ht="13.5" customHeight="true" x14ac:dyDescent="0.15" hidden="false">
      <c r="A95" t="s">
        <v>6946</v>
      </c>
      <c r="B95" t="n">
        <v>19.0</v>
      </c>
      <c r="C95"/>
      <c r="D95"/>
      <c r="E95" t="n">
        <v>6.21</v>
      </c>
      <c r="F95"/>
      <c r="G95"/>
      <c r="H95" t="n">
        <v>10.87</v>
      </c>
      <c r="I95"/>
      <c r="J95"/>
      <c r="K95" t="n">
        <v>9.730126795892065</v>
      </c>
    </row>
    <row r="96" spans="1:2" ht="13.5" customHeight="true" x14ac:dyDescent="0.15" hidden="false">
      <c r="A96" t="s">
        <v>6946</v>
      </c>
      <c r="B96" t="n">
        <v>20.0</v>
      </c>
      <c r="C96" t="n">
        <v>6.9</v>
      </c>
      <c r="D96"/>
      <c r="E96"/>
      <c r="F96" t="n">
        <v>12.53</v>
      </c>
      <c r="G96"/>
      <c r="H96"/>
      <c r="I96" t="n">
        <v>11.347981538483833</v>
      </c>
      <c r="J96"/>
      <c r="K96"/>
    </row>
    <row r="97" spans="1:2" ht="13.5" customHeight="true" x14ac:dyDescent="0.15" hidden="false">
      <c r="A97" t="s">
        <v>6946</v>
      </c>
      <c r="B97" t="n">
        <v>21.0</v>
      </c>
      <c r="C97"/>
      <c r="D97" t="n">
        <v>7.23</v>
      </c>
      <c r="E97"/>
      <c r="F97"/>
      <c r="G97" t="n">
        <v>10.71</v>
      </c>
      <c r="H97"/>
      <c r="I97"/>
      <c r="J97" t="n">
        <v>9.51549084765681</v>
      </c>
      <c r="K97"/>
    </row>
    <row r="98" spans="1:2" ht="13.5" customHeight="true" x14ac:dyDescent="0.15" hidden="false">
      <c r="A98" t="s">
        <v>6946</v>
      </c>
      <c r="B98" t="n">
        <v>22.0</v>
      </c>
      <c r="C98"/>
      <c r="D98"/>
      <c r="E98" t="n">
        <v>0.0</v>
      </c>
      <c r="F98"/>
      <c r="G98"/>
      <c r="H98" t="n">
        <v>0.0</v>
      </c>
      <c r="I98"/>
      <c r="J98"/>
      <c r="K98"/>
    </row>
    <row r="99" spans="1:2" ht="13.5" customHeight="true" x14ac:dyDescent="0.15" hidden="false">
      <c r="A99" t="s">
        <v>6946</v>
      </c>
      <c r="B99" t="n">
        <v>23.0</v>
      </c>
      <c r="C99" t="n">
        <v>0.0</v>
      </c>
      <c r="D99"/>
      <c r="E99"/>
      <c r="F99" t="n">
        <v>0.0</v>
      </c>
      <c r="G99"/>
      <c r="H99"/>
      <c r="I99"/>
      <c r="J99"/>
      <c r="K99"/>
    </row>
    <row r="100" spans="1:2" ht="13.5" customHeight="true" x14ac:dyDescent="0.15" hidden="false">
      <c r="A100" t="s">
        <v>6946</v>
      </c>
      <c r="B100" t="n">
        <v>24.0</v>
      </c>
      <c r="C100"/>
      <c r="D100" t="n">
        <v>0.0</v>
      </c>
      <c r="E100"/>
      <c r="F100"/>
      <c r="G100" t="n">
        <v>0.0</v>
      </c>
      <c r="H100"/>
      <c r="I100"/>
      <c r="J100"/>
      <c r="K100"/>
    </row>
    <row r="101" spans="1:2" ht="13.5" customHeight="true" x14ac:dyDescent="0.15" hidden="false">
      <c r="A101" t="s">
        <v>6946</v>
      </c>
      <c r="B101" t="n">
        <v>25.0</v>
      </c>
      <c r="C101"/>
      <c r="D101"/>
      <c r="E101" t="n">
        <v>0.0</v>
      </c>
      <c r="F101"/>
      <c r="G101"/>
      <c r="H101" t="n">
        <v>0.0</v>
      </c>
      <c r="I101"/>
      <c r="J101"/>
      <c r="K101"/>
    </row>
    <row r="102" spans="1:2" ht="13.5" customHeight="true" x14ac:dyDescent="0.15" hidden="false">
      <c r="A102" t="s">
        <v>6946</v>
      </c>
      <c r="B102" t="n">
        <v>26.0</v>
      </c>
      <c r="C102" t="n">
        <v>0.0</v>
      </c>
      <c r="D102"/>
      <c r="E102"/>
      <c r="F102" t="n">
        <v>0.0</v>
      </c>
      <c r="G102"/>
      <c r="H102"/>
      <c r="I102"/>
      <c r="J102"/>
      <c r="K102"/>
    </row>
    <row r="103" spans="1:2" ht="13.5" customHeight="true" x14ac:dyDescent="0.15" hidden="false">
      <c r="A103" t="s">
        <v>6946</v>
      </c>
      <c r="B103" t="n">
        <v>55.0</v>
      </c>
      <c r="C103" t="n">
        <v>0.0</v>
      </c>
      <c r="D103" t="n">
        <v>0.66</v>
      </c>
      <c r="E103" t="n">
        <v>0.73</v>
      </c>
      <c r="F103" t="n">
        <v>0.0</v>
      </c>
      <c r="G103" t="n">
        <v>0.67</v>
      </c>
      <c r="H103" t="n">
        <v>0.75</v>
      </c>
      <c r="I103"/>
      <c r="J103" t="n">
        <v>0.6651571884407421</v>
      </c>
      <c r="K103" t="n">
        <v>0.7406242904351426</v>
      </c>
    </row>
    <row r="104" spans="1:2" ht="13.5" customHeight="true" x14ac:dyDescent="0.15" hidden="false">
      <c r="A104" t="s">
        <v>6946</v>
      </c>
      <c r="B104" t="n">
        <v>56.0</v>
      </c>
      <c r="C104" t="n">
        <v>0.0</v>
      </c>
      <c r="D104"/>
      <c r="E104"/>
      <c r="F104" t="n">
        <v>0.0</v>
      </c>
      <c r="G104"/>
      <c r="H104"/>
      <c r="I104"/>
      <c r="J104"/>
      <c r="K104"/>
    </row>
    <row r="105" spans="1:2" ht="13.5" customHeight="true" x14ac:dyDescent="0.15" hidden="false">
      <c r="A105" t="s">
        <v>6946</v>
      </c>
      <c r="B105" t="n">
        <v>57.0</v>
      </c>
      <c r="C105"/>
      <c r="D105" t="n">
        <v>0.0</v>
      </c>
      <c r="E105"/>
      <c r="F105"/>
      <c r="G105" t="n">
        <v>0.0</v>
      </c>
      <c r="H105"/>
      <c r="I105"/>
      <c r="J105"/>
      <c r="K105"/>
    </row>
    <row r="106" spans="1:2" ht="13.5" customHeight="true" x14ac:dyDescent="0.15" hidden="false">
      <c r="A106" t="s">
        <v>6946</v>
      </c>
      <c r="B106" t="n">
        <v>58.0</v>
      </c>
      <c r="C106"/>
      <c r="D106"/>
      <c r="E106" t="n">
        <v>1.24</v>
      </c>
      <c r="F106"/>
      <c r="G106"/>
      <c r="H106" t="n">
        <v>1.26</v>
      </c>
      <c r="I106"/>
      <c r="J106"/>
      <c r="K106" t="n">
        <v>1.2520298467496198</v>
      </c>
    </row>
    <row r="107" spans="1:2" ht="13.5" customHeight="true" x14ac:dyDescent="0.15" hidden="false">
      <c r="A107" t="s">
        <v>6946</v>
      </c>
      <c r="B107" t="n">
        <v>59.0</v>
      </c>
      <c r="C107" t="n">
        <v>0.0</v>
      </c>
      <c r="D107"/>
      <c r="E107"/>
      <c r="F107" t="n">
        <v>0.0</v>
      </c>
      <c r="G107"/>
      <c r="H107"/>
      <c r="I107"/>
      <c r="J107"/>
      <c r="K107"/>
    </row>
    <row r="108" spans="1:2" ht="13.5" customHeight="true" x14ac:dyDescent="0.15" hidden="false">
      <c r="A108" t="s">
        <v>6946</v>
      </c>
      <c r="B108" t="n">
        <v>60.0</v>
      </c>
      <c r="C108"/>
      <c r="D108" t="n">
        <v>0.0</v>
      </c>
      <c r="E108"/>
      <c r="F108"/>
      <c r="G108" t="n">
        <v>0.0</v>
      </c>
      <c r="H108"/>
      <c r="I108"/>
      <c r="J108"/>
      <c r="K108"/>
    </row>
    <row r="109" spans="1:2" ht="13.5" customHeight="true" x14ac:dyDescent="0.15" hidden="false">
      <c r="A109" t="s">
        <v>6946</v>
      </c>
      <c r="B109" t="n">
        <v>61.0</v>
      </c>
      <c r="C109"/>
      <c r="D109"/>
      <c r="E109" t="n">
        <v>0.0</v>
      </c>
      <c r="F109"/>
      <c r="G109"/>
      <c r="H109" t="n">
        <v>0.0</v>
      </c>
      <c r="I109"/>
      <c r="J109"/>
      <c r="K109"/>
    </row>
    <row r="110" spans="1:2" ht="13.5" customHeight="true" x14ac:dyDescent="0.15" hidden="false">
      <c r="A110" t="s">
        <v>6946</v>
      </c>
      <c r="B110" t="n">
        <v>62.0</v>
      </c>
      <c r="C110" t="n">
        <v>0.0</v>
      </c>
      <c r="D110"/>
      <c r="E110"/>
      <c r="F110" t="n">
        <v>0.0</v>
      </c>
      <c r="G110"/>
      <c r="H110"/>
      <c r="I110"/>
      <c r="J110"/>
      <c r="K110"/>
    </row>
    <row r="111" spans="1:2" ht="13.5" customHeight="true" x14ac:dyDescent="0.15" hidden="false">
      <c r="A111" t="s">
        <v>6946</v>
      </c>
      <c r="B111" t="n">
        <v>63.0</v>
      </c>
      <c r="C111"/>
      <c r="D111" t="n">
        <v>0.0</v>
      </c>
      <c r="E111"/>
      <c r="F111"/>
      <c r="G111" t="n">
        <v>0.0</v>
      </c>
      <c r="H111"/>
      <c r="I111"/>
      <c r="J111"/>
      <c r="K111"/>
    </row>
    <row r="112" spans="1:2" ht="13.5" customHeight="true" x14ac:dyDescent="0.15" hidden="false">
      <c r="A112" t="s">
        <v>6946</v>
      </c>
      <c r="B112" t="n">
        <v>64.0</v>
      </c>
      <c r="C112"/>
      <c r="D112"/>
      <c r="E112" t="n">
        <v>0.0</v>
      </c>
      <c r="F112"/>
      <c r="G112"/>
      <c r="H112" t="n">
        <v>0.0</v>
      </c>
      <c r="I112"/>
      <c r="J112"/>
      <c r="K112"/>
    </row>
    <row r="113" spans="1:2" ht="13.5" customHeight="true" x14ac:dyDescent="0.15" hidden="false">
      <c r="A113" t="s">
        <v>6946</v>
      </c>
      <c r="B113" t="n">
        <v>65.0</v>
      </c>
      <c r="C113" t="n">
        <v>0.0</v>
      </c>
      <c r="D113"/>
      <c r="E113"/>
      <c r="F113" t="n">
        <v>0.0</v>
      </c>
      <c r="G113"/>
      <c r="H113"/>
      <c r="I113"/>
      <c r="J113"/>
      <c r="K113"/>
    </row>
    <row r="114" spans="1:2" ht="13.5" customHeight="true" x14ac:dyDescent="0.15" hidden="false">
      <c r="A114" t="s">
        <v>6946</v>
      </c>
      <c r="B114" t="n">
        <v>66.0</v>
      </c>
      <c r="C114"/>
      <c r="D114" t="n">
        <v>0.0</v>
      </c>
      <c r="E114"/>
      <c r="F114"/>
      <c r="G114" t="n">
        <v>0.0</v>
      </c>
      <c r="H114"/>
      <c r="I114"/>
      <c r="J114"/>
      <c r="K114"/>
    </row>
    <row r="115" spans="1:2" ht="13.5" customHeight="true" x14ac:dyDescent="0.15" hidden="false">
      <c r="A115" t="s">
        <v>6946</v>
      </c>
      <c r="B115" t="n">
        <v>67.0</v>
      </c>
      <c r="C115"/>
      <c r="D115"/>
      <c r="E115" t="n">
        <v>0.0</v>
      </c>
      <c r="F115"/>
      <c r="G115"/>
      <c r="H115" t="n">
        <v>0.0</v>
      </c>
      <c r="I115"/>
      <c r="J115"/>
      <c r="K115"/>
    </row>
    <row r="116" spans="1:2" ht="13.5" customHeight="true" x14ac:dyDescent="0.15" hidden="false">
      <c r="A116" t="s">
        <v>6946</v>
      </c>
      <c r="B116" t="n">
        <v>68.0</v>
      </c>
      <c r="C116" t="n">
        <v>0.0</v>
      </c>
      <c r="D116"/>
      <c r="E116"/>
      <c r="F116" t="n">
        <v>0.0</v>
      </c>
      <c r="G116"/>
      <c r="H116"/>
      <c r="I116"/>
      <c r="J116"/>
      <c r="K116"/>
    </row>
    <row r="117" spans="1:2" ht="13.5" customHeight="true" x14ac:dyDescent="0.15" hidden="false">
      <c r="A117" t="s">
        <v>6946</v>
      </c>
      <c r="B117" t="n">
        <v>69.0</v>
      </c>
      <c r="C117"/>
      <c r="D117" t="n">
        <v>0.0</v>
      </c>
      <c r="E117"/>
      <c r="F117"/>
      <c r="G117" t="n">
        <v>0.0</v>
      </c>
      <c r="H117"/>
      <c r="I117"/>
      <c r="J117"/>
      <c r="K117"/>
    </row>
    <row r="118" spans="1:2" ht="13.5" customHeight="true" x14ac:dyDescent="0.15" hidden="false">
      <c r="A118" t="s">
        <v>6946</v>
      </c>
      <c r="B118" t="n">
        <v>70.0</v>
      </c>
      <c r="C118"/>
      <c r="D118"/>
      <c r="E118" t="n">
        <v>0.0</v>
      </c>
      <c r="F118"/>
      <c r="G118"/>
      <c r="H118" t="n">
        <v>0.0</v>
      </c>
      <c r="I118"/>
      <c r="J118"/>
      <c r="K118"/>
    </row>
    <row r="119" spans="1:2" ht="13.5" customHeight="true" x14ac:dyDescent="0.15" hidden="false">
      <c r="A119" t="s">
        <v>6946</v>
      </c>
      <c r="B119" t="n">
        <v>71.0</v>
      </c>
      <c r="C119" t="n">
        <v>0.0</v>
      </c>
      <c r="D119"/>
      <c r="E119"/>
      <c r="F119" t="n">
        <v>0.0</v>
      </c>
      <c r="G119"/>
      <c r="H119"/>
      <c r="I119"/>
      <c r="J119"/>
      <c r="K119"/>
    </row>
    <row r="120" spans="1:2" ht="13.5" customHeight="true" x14ac:dyDescent="0.15" hidden="false">
      <c r="A120" t="s">
        <v>6946</v>
      </c>
      <c r="B120" t="n">
        <v>72.0</v>
      </c>
      <c r="C120"/>
      <c r="D120" t="n">
        <v>0.0</v>
      </c>
      <c r="E120"/>
      <c r="F120"/>
      <c r="G120" t="n">
        <v>0.0</v>
      </c>
      <c r="H120"/>
      <c r="I120"/>
      <c r="J120"/>
      <c r="K120"/>
    </row>
    <row r="121" spans="1:2" ht="13.5" customHeight="true" x14ac:dyDescent="0.15" hidden="false">
      <c r="A121" t="s">
        <v>6946</v>
      </c>
      <c r="B121" t="n">
        <v>73.0</v>
      </c>
      <c r="C121"/>
      <c r="D121"/>
      <c r="E121" t="n">
        <v>0.0</v>
      </c>
      <c r="F121"/>
      <c r="G121"/>
      <c r="H121" t="n">
        <v>0.0</v>
      </c>
      <c r="I121"/>
      <c r="J121"/>
      <c r="K121"/>
    </row>
    <row r="122" spans="1:2" ht="13.5" customHeight="true" x14ac:dyDescent="0.15" hidden="false">
      <c r="A122" t="s">
        <v>6946</v>
      </c>
      <c r="B122" t="n">
        <v>74.0</v>
      </c>
      <c r="C122" t="n">
        <v>0.0</v>
      </c>
      <c r="D122"/>
      <c r="E122"/>
      <c r="F122" t="n">
        <v>0.0</v>
      </c>
      <c r="G122"/>
      <c r="H122"/>
      <c r="I122"/>
      <c r="J122"/>
      <c r="K122"/>
    </row>
    <row r="123" spans="1:2" ht="13.5" customHeight="true" x14ac:dyDescent="0.15" hidden="false">
      <c r="A123" t="s">
        <v>6946</v>
      </c>
      <c r="B123" t="n">
        <v>75.0</v>
      </c>
      <c r="C123"/>
      <c r="D123" t="n">
        <v>0.0</v>
      </c>
      <c r="E123"/>
      <c r="F123"/>
      <c r="G123" t="n">
        <v>0.0</v>
      </c>
      <c r="H123"/>
      <c r="I123"/>
      <c r="J123"/>
      <c r="K123"/>
    </row>
    <row r="124" spans="1:2" ht="13.5" customHeight="true" x14ac:dyDescent="0.15" hidden="false">
      <c r="A124" t="s">
        <v>6946</v>
      </c>
      <c r="B124" t="n">
        <v>76.0</v>
      </c>
      <c r="C124"/>
      <c r="D124"/>
      <c r="E124" t="n">
        <v>0.0</v>
      </c>
      <c r="F124"/>
      <c r="G124"/>
      <c r="H124" t="n">
        <v>0.0</v>
      </c>
      <c r="I124"/>
      <c r="J124"/>
      <c r="K124"/>
    </row>
    <row r="125" spans="1:2" ht="13.5" customHeight="true" x14ac:dyDescent="0.15" hidden="false">
      <c r="A125" t="s">
        <v>6946</v>
      </c>
      <c r="B125" t="n">
        <v>77.0</v>
      </c>
      <c r="C125" t="n">
        <v>0.0</v>
      </c>
      <c r="D125"/>
      <c r="E125"/>
      <c r="F125" t="n">
        <v>0.0</v>
      </c>
      <c r="G125"/>
      <c r="H125"/>
      <c r="I125"/>
      <c r="J125"/>
      <c r="K125"/>
    </row>
    <row r="126" spans="1:2" ht="13.5" customHeight="true" x14ac:dyDescent="0.15" hidden="false">
      <c r="A126" t="s">
        <v>6946</v>
      </c>
      <c r="B126" t="n">
        <v>78.0</v>
      </c>
      <c r="C126"/>
      <c r="D126" t="n">
        <v>0.38</v>
      </c>
      <c r="E126"/>
      <c r="F126"/>
      <c r="G126" t="n">
        <v>0.99</v>
      </c>
      <c r="H126"/>
      <c r="I126"/>
      <c r="J126" t="n">
        <v>0.6574806847152386</v>
      </c>
      <c r="K126"/>
    </row>
    <row r="127" spans="1:2" ht="13.5" customHeight="true" x14ac:dyDescent="0.15" hidden="false">
      <c r="A127" t="s">
        <v>6946</v>
      </c>
      <c r="B127" t="n">
        <v>79.0</v>
      </c>
      <c r="C127"/>
      <c r="D127"/>
      <c r="E127" t="n">
        <v>1.09</v>
      </c>
      <c r="F127"/>
      <c r="G127"/>
      <c r="H127" t="n">
        <v>1.13</v>
      </c>
      <c r="I127"/>
      <c r="J127"/>
      <c r="K127" t="n">
        <v>1.1049281432531535</v>
      </c>
    </row>
    <row r="128" spans="1:2" ht="13.5" customHeight="true" x14ac:dyDescent="0.15" hidden="false">
      <c r="A128" t="s">
        <v>6946</v>
      </c>
      <c r="B128" t="n">
        <v>80.0</v>
      </c>
      <c r="C128" t="n">
        <v>0.0</v>
      </c>
      <c r="D128"/>
      <c r="E128"/>
      <c r="F128" t="n">
        <v>0.0</v>
      </c>
      <c r="G128"/>
      <c r="H128"/>
      <c r="I128"/>
      <c r="J128"/>
      <c r="K128"/>
    </row>
    <row r="129" spans="1:2" ht="13.5" customHeight="true" x14ac:dyDescent="0.15" hidden="false">
      <c r="A129" t="s">
        <v>6947</v>
      </c>
      <c r="B129" t="n">
        <v>1.0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/>
      <c r="J129"/>
      <c r="K129"/>
    </row>
    <row r="130" spans="1:2" ht="13.5" customHeight="true" x14ac:dyDescent="0.15" hidden="false">
      <c r="A130" t="s">
        <v>6947</v>
      </c>
      <c r="B130" t="n">
        <v>2.0</v>
      </c>
      <c r="C130" t="n">
        <v>0.0</v>
      </c>
      <c r="D130"/>
      <c r="E130"/>
      <c r="F130" t="n">
        <v>0.0</v>
      </c>
      <c r="G130"/>
      <c r="H130"/>
      <c r="I130"/>
      <c r="J130"/>
      <c r="K130"/>
    </row>
    <row r="131" spans="1:2" ht="13.5" customHeight="true" x14ac:dyDescent="0.15" hidden="false">
      <c r="A131" t="s">
        <v>6947</v>
      </c>
      <c r="B131" t="n">
        <v>3.0</v>
      </c>
      <c r="C131"/>
      <c r="D131" t="n">
        <v>0.0</v>
      </c>
      <c r="E131"/>
      <c r="F131"/>
      <c r="G131" t="n">
        <v>0.0</v>
      </c>
      <c r="H131"/>
      <c r="I131"/>
      <c r="J131"/>
      <c r="K131"/>
    </row>
    <row r="132" spans="1:2" ht="13.5" customHeight="true" x14ac:dyDescent="0.15" hidden="false">
      <c r="A132" t="s">
        <v>6947</v>
      </c>
      <c r="B132" t="n">
        <v>4.0</v>
      </c>
      <c r="C132"/>
      <c r="D132"/>
      <c r="E132" t="n">
        <v>0.0</v>
      </c>
      <c r="F132"/>
      <c r="G132"/>
      <c r="H132" t="n">
        <v>0.0</v>
      </c>
      <c r="I132"/>
      <c r="J132"/>
      <c r="K132"/>
    </row>
    <row r="133" spans="1:2" ht="13.5" customHeight="true" x14ac:dyDescent="0.15" hidden="false">
      <c r="A133" t="s">
        <v>6947</v>
      </c>
      <c r="B133" t="n">
        <v>5.0</v>
      </c>
      <c r="C133" t="n">
        <v>0.0</v>
      </c>
      <c r="D133"/>
      <c r="E133"/>
      <c r="F133" t="n">
        <v>0.0</v>
      </c>
      <c r="G133"/>
      <c r="H133"/>
      <c r="I133"/>
      <c r="J133"/>
      <c r="K133"/>
    </row>
    <row r="134" spans="1:2" ht="13.5" customHeight="true" x14ac:dyDescent="0.15" hidden="false">
      <c r="A134" t="s">
        <v>6947</v>
      </c>
      <c r="B134" t="n">
        <v>6.0</v>
      </c>
      <c r="C134"/>
      <c r="D134" t="n">
        <v>0.0</v>
      </c>
      <c r="E134"/>
      <c r="F134"/>
      <c r="G134" t="n">
        <v>0.0</v>
      </c>
      <c r="H134"/>
      <c r="I134"/>
      <c r="J134"/>
      <c r="K134"/>
    </row>
    <row r="135" spans="1:2" ht="13.5" customHeight="true" x14ac:dyDescent="0.15" hidden="false">
      <c r="A135" t="s">
        <v>6947</v>
      </c>
      <c r="B135" t="n">
        <v>7.0</v>
      </c>
      <c r="C135"/>
      <c r="D135"/>
      <c r="E135" t="n">
        <v>0.0</v>
      </c>
      <c r="F135"/>
      <c r="G135"/>
      <c r="H135" t="n">
        <v>0.0</v>
      </c>
      <c r="I135"/>
      <c r="J135"/>
      <c r="K135"/>
    </row>
    <row r="136" spans="1:2" ht="13.5" customHeight="true" x14ac:dyDescent="0.15" hidden="false">
      <c r="A136" t="s">
        <v>6947</v>
      </c>
      <c r="B136" t="n">
        <v>8.0</v>
      </c>
      <c r="C136" t="n">
        <v>0.0</v>
      </c>
      <c r="D136"/>
      <c r="E136"/>
      <c r="F136" t="n">
        <v>0.0</v>
      </c>
      <c r="G136"/>
      <c r="H136"/>
      <c r="I136"/>
      <c r="J136"/>
      <c r="K136"/>
    </row>
    <row r="137" spans="1:2" ht="13.5" customHeight="true" x14ac:dyDescent="0.15" hidden="false">
      <c r="A137" t="s">
        <v>6947</v>
      </c>
      <c r="B137" t="n">
        <v>9.0</v>
      </c>
      <c r="C137"/>
      <c r="D137" t="n">
        <v>0.0</v>
      </c>
      <c r="E137"/>
      <c r="F137"/>
      <c r="G137" t="n">
        <v>0.0</v>
      </c>
      <c r="H137"/>
      <c r="I137"/>
      <c r="J137"/>
      <c r="K137"/>
    </row>
    <row r="138" spans="1:2" ht="13.5" customHeight="true" x14ac:dyDescent="0.15" hidden="false">
      <c r="A138" t="s">
        <v>6947</v>
      </c>
      <c r="B138" t="n">
        <v>10.0</v>
      </c>
      <c r="C138"/>
      <c r="D138"/>
      <c r="E138" t="n">
        <v>0.0</v>
      </c>
      <c r="F138"/>
      <c r="G138"/>
      <c r="H138" t="n">
        <v>0.0</v>
      </c>
      <c r="I138"/>
      <c r="J138"/>
      <c r="K138"/>
    </row>
    <row r="139" spans="1:2" ht="13.5" customHeight="true" x14ac:dyDescent="0.15" hidden="false">
      <c r="A139" t="s">
        <v>6947</v>
      </c>
      <c r="B139" t="n">
        <v>11.0</v>
      </c>
      <c r="C139" t="n">
        <v>0.0</v>
      </c>
      <c r="D139"/>
      <c r="E139"/>
      <c r="F139" t="n">
        <v>0.0</v>
      </c>
      <c r="G139"/>
      <c r="H139"/>
      <c r="I139"/>
      <c r="J139"/>
      <c r="K139"/>
    </row>
    <row r="140" spans="1:2" ht="13.5" customHeight="true" x14ac:dyDescent="0.15" hidden="false">
      <c r="A140" t="s">
        <v>6947</v>
      </c>
      <c r="B140" t="n">
        <v>12.0</v>
      </c>
      <c r="C140"/>
      <c r="D140" t="n">
        <v>0.0</v>
      </c>
      <c r="E140"/>
      <c r="F140"/>
      <c r="G140" t="n">
        <v>0.0</v>
      </c>
      <c r="H140"/>
      <c r="I140"/>
      <c r="J140"/>
      <c r="K140"/>
    </row>
    <row r="141" spans="1:2" ht="13.5" customHeight="true" x14ac:dyDescent="0.15" hidden="false">
      <c r="A141" t="s">
        <v>6947</v>
      </c>
      <c r="B141" t="n">
        <v>13.0</v>
      </c>
      <c r="C141"/>
      <c r="D141"/>
      <c r="E141" t="n">
        <v>0.0</v>
      </c>
      <c r="F141"/>
      <c r="G141"/>
      <c r="H141" t="n">
        <v>0.0</v>
      </c>
      <c r="I141"/>
      <c r="J141"/>
      <c r="K141"/>
    </row>
    <row r="142" spans="1:2" ht="13.5" customHeight="true" x14ac:dyDescent="0.15" hidden="false">
      <c r="A142" t="s">
        <v>6947</v>
      </c>
      <c r="B142" t="n">
        <v>14.0</v>
      </c>
      <c r="C142" t="n">
        <v>0.0</v>
      </c>
      <c r="D142"/>
      <c r="E142"/>
      <c r="F142" t="n">
        <v>0.0</v>
      </c>
      <c r="G142"/>
      <c r="H142"/>
      <c r="I142"/>
      <c r="J142"/>
      <c r="K142"/>
    </row>
    <row r="143" spans="1:2" ht="13.5" customHeight="true" x14ac:dyDescent="0.15" hidden="false">
      <c r="A143" t="s">
        <v>6947</v>
      </c>
      <c r="B143" t="n">
        <v>15.0</v>
      </c>
      <c r="C143"/>
      <c r="D143" t="n">
        <v>0.0</v>
      </c>
      <c r="E143"/>
      <c r="F143"/>
      <c r="G143" t="n">
        <v>0.0</v>
      </c>
      <c r="H143"/>
      <c r="I143"/>
      <c r="J143"/>
      <c r="K143"/>
    </row>
    <row r="144" spans="1:2" ht="13.5" customHeight="true" x14ac:dyDescent="0.15" hidden="false">
      <c r="A144" t="s">
        <v>6947</v>
      </c>
      <c r="B144" t="n">
        <v>16.0</v>
      </c>
      <c r="C144"/>
      <c r="D144"/>
      <c r="E144" t="n">
        <v>0.0</v>
      </c>
      <c r="F144"/>
      <c r="G144"/>
      <c r="H144" t="n">
        <v>0.0</v>
      </c>
      <c r="I144"/>
      <c r="J144"/>
      <c r="K144"/>
    </row>
    <row r="145" spans="1:2" ht="13.5" customHeight="true" x14ac:dyDescent="0.15" hidden="false">
      <c r="A145" t="s">
        <v>6947</v>
      </c>
      <c r="B145" t="n">
        <v>17.0</v>
      </c>
      <c r="C145" t="n">
        <v>0.0</v>
      </c>
      <c r="D145"/>
      <c r="E145"/>
      <c r="F145" t="n">
        <v>0.0</v>
      </c>
      <c r="G145"/>
      <c r="H145"/>
      <c r="I145"/>
      <c r="J145"/>
      <c r="K145"/>
    </row>
    <row r="146" spans="1:2" ht="13.5" customHeight="true" x14ac:dyDescent="0.15" hidden="false">
      <c r="A146" t="s">
        <v>6947</v>
      </c>
      <c r="B146" t="n">
        <v>18.0</v>
      </c>
      <c r="C146"/>
      <c r="D146" t="n">
        <v>0.0</v>
      </c>
      <c r="E146"/>
      <c r="F146"/>
      <c r="G146" t="n">
        <v>0.0</v>
      </c>
      <c r="H146"/>
      <c r="I146"/>
      <c r="J146"/>
      <c r="K146"/>
    </row>
    <row r="147" spans="1:2" ht="13.5" customHeight="true" x14ac:dyDescent="0.15" hidden="false">
      <c r="A147" t="s">
        <v>6947</v>
      </c>
      <c r="B147" t="n">
        <v>19.0</v>
      </c>
      <c r="C147"/>
      <c r="D147"/>
      <c r="E147" t="n">
        <v>0.0</v>
      </c>
      <c r="F147"/>
      <c r="G147"/>
      <c r="H147" t="n">
        <v>0.0</v>
      </c>
      <c r="I147"/>
      <c r="J147"/>
      <c r="K147"/>
    </row>
    <row r="148" spans="1:2" ht="13.5" customHeight="true" x14ac:dyDescent="0.15" hidden="false">
      <c r="A148" t="s">
        <v>6947</v>
      </c>
      <c r="B148" t="n">
        <v>20.0</v>
      </c>
      <c r="C148" t="n">
        <v>2.59</v>
      </c>
      <c r="D148"/>
      <c r="E148"/>
      <c r="F148" t="n">
        <v>4.41</v>
      </c>
      <c r="G148"/>
      <c r="H148"/>
      <c r="I148" t="n">
        <v>3.3377469843580996</v>
      </c>
      <c r="J148"/>
      <c r="K148"/>
    </row>
    <row r="149" spans="1:2" ht="13.5" customHeight="true" x14ac:dyDescent="0.15" hidden="false">
      <c r="A149" t="s">
        <v>6947</v>
      </c>
      <c r="B149" t="n">
        <v>21.0</v>
      </c>
      <c r="C149"/>
      <c r="D149" t="n">
        <v>0.0</v>
      </c>
      <c r="E149"/>
      <c r="F149"/>
      <c r="G149" t="n">
        <v>2.45</v>
      </c>
      <c r="H149"/>
      <c r="I149"/>
      <c r="J149" t="n">
        <v>1.3726554167858736</v>
      </c>
      <c r="K149"/>
    </row>
    <row r="150" spans="1:2" ht="13.5" customHeight="true" x14ac:dyDescent="0.15" hidden="false">
      <c r="A150" t="s">
        <v>6947</v>
      </c>
      <c r="B150" t="n">
        <v>22.0</v>
      </c>
      <c r="C150"/>
      <c r="D150"/>
      <c r="E150" t="n">
        <v>0.0</v>
      </c>
      <c r="F150"/>
      <c r="G150"/>
      <c r="H150" t="n">
        <v>0.0</v>
      </c>
      <c r="I150"/>
      <c r="J150"/>
      <c r="K150"/>
    </row>
    <row r="151" spans="1:2" ht="13.5" customHeight="true" x14ac:dyDescent="0.15" hidden="false">
      <c r="A151" t="s">
        <v>6947</v>
      </c>
      <c r="B151" t="n">
        <v>23.0</v>
      </c>
      <c r="C151" t="n">
        <v>2.17</v>
      </c>
      <c r="D151"/>
      <c r="E151"/>
      <c r="F151" t="n">
        <v>3.38</v>
      </c>
      <c r="G151"/>
      <c r="H151"/>
      <c r="I151" t="n">
        <v>2.4187484624557674</v>
      </c>
      <c r="J151"/>
      <c r="K151"/>
    </row>
    <row r="152" spans="1:2" ht="13.5" customHeight="true" x14ac:dyDescent="0.15" hidden="false">
      <c r="A152" t="s">
        <v>6947</v>
      </c>
      <c r="B152" t="n">
        <v>24.0</v>
      </c>
      <c r="C152"/>
      <c r="D152" t="n">
        <v>0.0</v>
      </c>
      <c r="E152"/>
      <c r="F152"/>
      <c r="G152" t="n">
        <v>0.0</v>
      </c>
      <c r="H152"/>
      <c r="I152"/>
      <c r="J152"/>
      <c r="K152"/>
    </row>
    <row r="153" spans="1:2" ht="13.5" customHeight="true" x14ac:dyDescent="0.15" hidden="false">
      <c r="A153" t="s">
        <v>6947</v>
      </c>
      <c r="B153" t="n">
        <v>25.0</v>
      </c>
      <c r="C153"/>
      <c r="D153"/>
      <c r="E153" t="n">
        <v>3.58</v>
      </c>
      <c r="F153"/>
      <c r="G153"/>
      <c r="H153" t="n">
        <v>4.46</v>
      </c>
      <c r="I153"/>
      <c r="J153"/>
      <c r="K153" t="n">
        <v>4.0462433783372065</v>
      </c>
    </row>
    <row r="154" spans="1:2" ht="13.5" customHeight="true" x14ac:dyDescent="0.15" hidden="false">
      <c r="A154" t="s">
        <v>6947</v>
      </c>
      <c r="B154" t="n">
        <v>26.0</v>
      </c>
      <c r="C154" t="n">
        <v>5.58</v>
      </c>
      <c r="D154"/>
      <c r="E154"/>
      <c r="F154" t="n">
        <v>6.09</v>
      </c>
      <c r="G154"/>
      <c r="H154"/>
      <c r="I154" t="n">
        <v>5.699049943791124</v>
      </c>
      <c r="J154"/>
      <c r="K154"/>
    </row>
    <row r="155" spans="1:2" ht="13.5" customHeight="true" x14ac:dyDescent="0.15" hidden="false">
      <c r="A155" t="s">
        <v>6947</v>
      </c>
      <c r="B155" t="n">
        <v>55.0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/>
      <c r="J155"/>
      <c r="K155"/>
    </row>
    <row r="156" spans="1:2" ht="13.5" customHeight="true" x14ac:dyDescent="0.15" hidden="false">
      <c r="A156" t="s">
        <v>6947</v>
      </c>
      <c r="B156" t="n">
        <v>56.0</v>
      </c>
      <c r="C156" t="n">
        <v>0.0</v>
      </c>
      <c r="D156"/>
      <c r="E156"/>
      <c r="F156" t="n">
        <v>0.0</v>
      </c>
      <c r="G156"/>
      <c r="H156"/>
      <c r="I156"/>
      <c r="J156"/>
      <c r="K156"/>
    </row>
    <row r="157" spans="1:2" ht="13.5" customHeight="true" x14ac:dyDescent="0.15" hidden="false">
      <c r="A157" t="s">
        <v>6947</v>
      </c>
      <c r="B157" t="n">
        <v>57.0</v>
      </c>
      <c r="C157"/>
      <c r="D157" t="n">
        <v>0.0</v>
      </c>
      <c r="E157"/>
      <c r="F157"/>
      <c r="G157" t="n">
        <v>0.0</v>
      </c>
      <c r="H157"/>
      <c r="I157"/>
      <c r="J157"/>
      <c r="K157"/>
    </row>
    <row r="158" spans="1:2" ht="13.5" customHeight="true" x14ac:dyDescent="0.15" hidden="false">
      <c r="A158" t="s">
        <v>6947</v>
      </c>
      <c r="B158" t="n">
        <v>58.0</v>
      </c>
      <c r="C158"/>
      <c r="D158"/>
      <c r="E158" t="n">
        <v>0.53</v>
      </c>
      <c r="F158"/>
      <c r="G158"/>
      <c r="H158" t="n">
        <v>0.73</v>
      </c>
      <c r="I158"/>
      <c r="J158"/>
      <c r="K158" t="n">
        <v>0.5681509910120145</v>
      </c>
    </row>
    <row r="159" spans="1:2" ht="13.5" customHeight="true" x14ac:dyDescent="0.15" hidden="false">
      <c r="A159" t="s">
        <v>6947</v>
      </c>
      <c r="B159" t="n">
        <v>59.0</v>
      </c>
      <c r="C159" t="n">
        <v>1.26</v>
      </c>
      <c r="D159"/>
      <c r="E159"/>
      <c r="F159" t="n">
        <v>1.78</v>
      </c>
      <c r="G159"/>
      <c r="H159"/>
      <c r="I159" t="n">
        <v>1.4132966497392698</v>
      </c>
      <c r="J159"/>
      <c r="K159"/>
    </row>
    <row r="160" spans="1:2" ht="13.5" customHeight="true" x14ac:dyDescent="0.15" hidden="false">
      <c r="A160" t="s">
        <v>6947</v>
      </c>
      <c r="B160" t="n">
        <v>60.0</v>
      </c>
      <c r="C160"/>
      <c r="D160" t="n">
        <v>2.04</v>
      </c>
      <c r="E160"/>
      <c r="F160"/>
      <c r="G160" t="n">
        <v>4.61</v>
      </c>
      <c r="H160"/>
      <c r="I160"/>
      <c r="J160" t="n">
        <v>3.568724268181456</v>
      </c>
      <c r="K160"/>
    </row>
    <row r="161" spans="1:2" ht="13.5" customHeight="true" x14ac:dyDescent="0.15" hidden="false">
      <c r="A161" t="s">
        <v>6947</v>
      </c>
      <c r="B161" t="n">
        <v>61.0</v>
      </c>
      <c r="C161"/>
      <c r="D161"/>
      <c r="E161" t="n">
        <v>1.74</v>
      </c>
      <c r="F161"/>
      <c r="G161"/>
      <c r="H161" t="n">
        <v>2.06</v>
      </c>
      <c r="I161"/>
      <c r="J161"/>
      <c r="K161" t="n">
        <v>1.7761627061846361</v>
      </c>
    </row>
    <row r="162" spans="1:2" ht="13.5" customHeight="true" x14ac:dyDescent="0.15" hidden="false">
      <c r="A162" t="s">
        <v>6947</v>
      </c>
      <c r="B162" t="n">
        <v>62.0</v>
      </c>
      <c r="C162" t="n">
        <v>0.34</v>
      </c>
      <c r="D162"/>
      <c r="E162"/>
      <c r="F162" t="n">
        <v>2.6</v>
      </c>
      <c r="G162"/>
      <c r="H162"/>
      <c r="I162" t="n">
        <v>0.35629444439874774</v>
      </c>
      <c r="J162"/>
      <c r="K162"/>
    </row>
    <row r="163" spans="1:2" ht="13.5" customHeight="true" x14ac:dyDescent="0.15" hidden="false">
      <c r="A163" t="s">
        <v>6947</v>
      </c>
      <c r="B163" t="n">
        <v>63.0</v>
      </c>
      <c r="C163"/>
      <c r="D163" t="n">
        <v>3.69</v>
      </c>
      <c r="E163"/>
      <c r="F163"/>
      <c r="G163" t="n">
        <v>4.46</v>
      </c>
      <c r="H163"/>
      <c r="I163"/>
      <c r="J163" t="n">
        <v>3.8992714795506718</v>
      </c>
      <c r="K163"/>
    </row>
    <row r="164" spans="1:2" ht="13.5" customHeight="true" x14ac:dyDescent="0.15" hidden="false">
      <c r="A164" t="s">
        <v>6947</v>
      </c>
      <c r="B164" t="n">
        <v>64.0</v>
      </c>
      <c r="C164"/>
      <c r="D164"/>
      <c r="E164" t="n">
        <v>0.84</v>
      </c>
      <c r="F164"/>
      <c r="G164"/>
      <c r="H164" t="n">
        <v>5.6899999999999995</v>
      </c>
      <c r="I164"/>
      <c r="J164"/>
      <c r="K164" t="n">
        <v>4.647416136143483</v>
      </c>
    </row>
    <row r="165" spans="1:2" ht="13.5" customHeight="true" x14ac:dyDescent="0.15" hidden="false">
      <c r="A165" t="s">
        <v>6947</v>
      </c>
      <c r="B165" t="n">
        <v>65.0</v>
      </c>
      <c r="C165" t="n">
        <v>2.24</v>
      </c>
      <c r="D165"/>
      <c r="E165"/>
      <c r="F165" t="n">
        <v>2.96</v>
      </c>
      <c r="G165"/>
      <c r="H165"/>
      <c r="I165" t="n">
        <v>2.8040721877035906</v>
      </c>
      <c r="J165"/>
      <c r="K165"/>
    </row>
    <row r="166" spans="1:2" ht="13.5" customHeight="true" x14ac:dyDescent="0.15" hidden="false">
      <c r="A166" t="s">
        <v>6947</v>
      </c>
      <c r="B166" t="n">
        <v>66.0</v>
      </c>
      <c r="C166"/>
      <c r="D166" t="n">
        <v>2.81</v>
      </c>
      <c r="E166"/>
      <c r="F166"/>
      <c r="G166" t="n">
        <v>4.3</v>
      </c>
      <c r="H166"/>
      <c r="I166"/>
      <c r="J166" t="n">
        <v>3.3988581577840096</v>
      </c>
      <c r="K166"/>
    </row>
    <row r="167" spans="1:2" ht="13.5" customHeight="true" x14ac:dyDescent="0.15" hidden="false">
      <c r="A167" t="s">
        <v>6947</v>
      </c>
      <c r="B167" t="n">
        <v>67.0</v>
      </c>
      <c r="C167"/>
      <c r="D167"/>
      <c r="E167" t="n">
        <v>0.0</v>
      </c>
      <c r="F167"/>
      <c r="G167"/>
      <c r="H167" t="n">
        <v>0.0</v>
      </c>
      <c r="I167"/>
      <c r="J167"/>
      <c r="K167"/>
    </row>
    <row r="168" spans="1:2" ht="13.5" customHeight="true" x14ac:dyDescent="0.15" hidden="false">
      <c r="A168" t="s">
        <v>6947</v>
      </c>
      <c r="B168" t="n">
        <v>68.0</v>
      </c>
      <c r="C168" t="n">
        <v>0.0</v>
      </c>
      <c r="D168"/>
      <c r="E168"/>
      <c r="F168" t="n">
        <v>0.0</v>
      </c>
      <c r="G168"/>
      <c r="H168"/>
      <c r="I168"/>
      <c r="J168"/>
      <c r="K168"/>
    </row>
    <row r="169" spans="1:2" ht="13.5" customHeight="true" x14ac:dyDescent="0.15" hidden="false">
      <c r="A169" t="s">
        <v>6947</v>
      </c>
      <c r="B169" t="n">
        <v>69.0</v>
      </c>
      <c r="C169"/>
      <c r="D169" t="n">
        <v>0.0</v>
      </c>
      <c r="E169"/>
      <c r="F169"/>
      <c r="G169" t="n">
        <v>0.0</v>
      </c>
      <c r="H169"/>
      <c r="I169"/>
      <c r="J169"/>
      <c r="K169"/>
    </row>
    <row r="170" spans="1:2" ht="13.5" customHeight="true" x14ac:dyDescent="0.15" hidden="false">
      <c r="A170" t="s">
        <v>6947</v>
      </c>
      <c r="B170" t="n">
        <v>70.0</v>
      </c>
      <c r="C170"/>
      <c r="D170"/>
      <c r="E170" t="n">
        <v>0.0</v>
      </c>
      <c r="F170"/>
      <c r="G170"/>
      <c r="H170" t="n">
        <v>0.0</v>
      </c>
      <c r="I170"/>
      <c r="J170"/>
      <c r="K170"/>
    </row>
    <row r="171" spans="1:2" ht="13.5" customHeight="true" x14ac:dyDescent="0.15" hidden="false">
      <c r="A171" t="s">
        <v>6947</v>
      </c>
      <c r="B171" t="n">
        <v>71.0</v>
      </c>
      <c r="C171" t="n">
        <v>2.41</v>
      </c>
      <c r="D171"/>
      <c r="E171"/>
      <c r="F171" t="n">
        <v>2.55</v>
      </c>
      <c r="G171"/>
      <c r="H171"/>
      <c r="I171" t="n">
        <v>2.489822382497356</v>
      </c>
      <c r="J171"/>
      <c r="K171"/>
    </row>
    <row r="172" spans="1:2" ht="13.5" customHeight="true" x14ac:dyDescent="0.15" hidden="false">
      <c r="A172" t="s">
        <v>6947</v>
      </c>
      <c r="B172" t="n">
        <v>72.0</v>
      </c>
      <c r="C172"/>
      <c r="D172" t="n">
        <v>2.14</v>
      </c>
      <c r="E172"/>
      <c r="F172"/>
      <c r="G172" t="n">
        <v>2.41</v>
      </c>
      <c r="H172"/>
      <c r="I172"/>
      <c r="J172" t="n">
        <v>2.169628421291678</v>
      </c>
      <c r="K172"/>
    </row>
    <row r="173" spans="1:2" ht="13.5" customHeight="true" x14ac:dyDescent="0.15" hidden="false">
      <c r="A173" t="s">
        <v>6947</v>
      </c>
      <c r="B173" t="n">
        <v>73.0</v>
      </c>
      <c r="C173"/>
      <c r="D173"/>
      <c r="E173" t="n">
        <v>2.16</v>
      </c>
      <c r="F173"/>
      <c r="G173"/>
      <c r="H173" t="n">
        <v>2.2</v>
      </c>
      <c r="I173"/>
      <c r="J173"/>
      <c r="K173" t="n">
        <v>2.1700023080067807</v>
      </c>
    </row>
    <row r="174" spans="1:2" ht="13.5" customHeight="true" x14ac:dyDescent="0.15" hidden="false">
      <c r="A174" t="s">
        <v>6947</v>
      </c>
      <c r="B174" t="n">
        <v>74.0</v>
      </c>
      <c r="C174" t="n">
        <v>2.31</v>
      </c>
      <c r="D174"/>
      <c r="E174"/>
      <c r="F174" t="n">
        <v>2.55</v>
      </c>
      <c r="G174"/>
      <c r="H174"/>
      <c r="I174" t="n">
        <v>2.4349858424120545</v>
      </c>
      <c r="J174"/>
      <c r="K174"/>
    </row>
    <row r="175" spans="1:2" ht="13.5" customHeight="true" x14ac:dyDescent="0.15" hidden="false">
      <c r="A175" t="s">
        <v>6947</v>
      </c>
      <c r="B175" t="n">
        <v>75.0</v>
      </c>
      <c r="C175"/>
      <c r="D175" t="n">
        <v>1.35</v>
      </c>
      <c r="E175"/>
      <c r="F175"/>
      <c r="G175" t="n">
        <v>1.3900000000000001</v>
      </c>
      <c r="H175"/>
      <c r="I175"/>
      <c r="J175" t="n">
        <v>1.3682892382983567</v>
      </c>
      <c r="K175"/>
    </row>
    <row r="176" spans="1:2" ht="13.5" customHeight="true" x14ac:dyDescent="0.15" hidden="false">
      <c r="A176" t="s">
        <v>6947</v>
      </c>
      <c r="B176" t="n">
        <v>76.0</v>
      </c>
      <c r="C176"/>
      <c r="D176"/>
      <c r="E176" t="n">
        <v>1.77</v>
      </c>
      <c r="F176"/>
      <c r="G176"/>
      <c r="H176" t="n">
        <v>1.87</v>
      </c>
      <c r="I176"/>
      <c r="J176"/>
      <c r="K176" t="n">
        <v>1.789243954323277</v>
      </c>
    </row>
    <row r="177" spans="1:2" ht="13.5" customHeight="true" x14ac:dyDescent="0.15" hidden="false">
      <c r="A177" t="s">
        <v>6947</v>
      </c>
      <c r="B177" t="n">
        <v>77.0</v>
      </c>
      <c r="C177" t="n">
        <v>2.85</v>
      </c>
      <c r="D177"/>
      <c r="E177"/>
      <c r="F177" t="n">
        <v>3.37</v>
      </c>
      <c r="G177"/>
      <c r="H177"/>
      <c r="I177" t="n">
        <v>2.943622578608824</v>
      </c>
      <c r="J177"/>
      <c r="K177"/>
    </row>
    <row r="178" spans="1:2" ht="13.5" customHeight="true" x14ac:dyDescent="0.15" hidden="false">
      <c r="A178" t="s">
        <v>6947</v>
      </c>
      <c r="B178" t="n">
        <v>78.0</v>
      </c>
      <c r="C178"/>
      <c r="D178" t="n">
        <v>2.83</v>
      </c>
      <c r="E178"/>
      <c r="F178"/>
      <c r="G178" t="n">
        <v>3.15</v>
      </c>
      <c r="H178"/>
      <c r="I178"/>
      <c r="J178" t="n">
        <v>2.9119698279604025</v>
      </c>
      <c r="K178"/>
    </row>
    <row r="179" spans="1:2" ht="13.5" customHeight="true" x14ac:dyDescent="0.15" hidden="false">
      <c r="A179" t="s">
        <v>6947</v>
      </c>
      <c r="B179" t="n">
        <v>79.0</v>
      </c>
      <c r="C179"/>
      <c r="D179"/>
      <c r="E179" t="n">
        <v>3.42</v>
      </c>
      <c r="F179"/>
      <c r="G179"/>
      <c r="H179" t="n">
        <v>4.07</v>
      </c>
      <c r="I179"/>
      <c r="J179"/>
      <c r="K179" t="n">
        <v>3.719088539037483</v>
      </c>
    </row>
    <row r="180" spans="1:2" ht="13.5" customHeight="true" x14ac:dyDescent="0.15" hidden="false">
      <c r="A180" t="s">
        <v>6947</v>
      </c>
      <c r="B180" t="n">
        <v>80.0</v>
      </c>
      <c r="C180" t="n">
        <v>3.81</v>
      </c>
      <c r="D180"/>
      <c r="E180"/>
      <c r="F180" t="n">
        <v>4.62</v>
      </c>
      <c r="G180"/>
      <c r="H180"/>
      <c r="I180" t="n">
        <v>4.103068164488508</v>
      </c>
      <c r="J180"/>
      <c r="K180"/>
    </row>
    <row r="181" spans="1:2" ht="13.5" customHeight="true" x14ac:dyDescent="0.15" hidden="false">
      <c r="A181" t="s">
        <v>6948</v>
      </c>
      <c r="B181" t="n">
        <v>1.0</v>
      </c>
      <c r="C181" t="n">
        <v>0.0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/>
      <c r="J181"/>
      <c r="K181"/>
    </row>
    <row r="182" spans="1:2" ht="13.5" customHeight="true" x14ac:dyDescent="0.15" hidden="false">
      <c r="A182" t="s">
        <v>6948</v>
      </c>
      <c r="B182" t="n">
        <v>2.0</v>
      </c>
      <c r="C182" t="n">
        <v>0.0</v>
      </c>
      <c r="D182"/>
      <c r="E182"/>
      <c r="F182" t="n">
        <v>0.0</v>
      </c>
      <c r="G182"/>
      <c r="H182"/>
      <c r="I182"/>
      <c r="J182"/>
      <c r="K182"/>
    </row>
    <row r="183" spans="1:2" ht="13.5" customHeight="true" x14ac:dyDescent="0.15" hidden="false">
      <c r="A183" t="s">
        <v>6948</v>
      </c>
      <c r="B183" t="n">
        <v>3.0</v>
      </c>
      <c r="C183"/>
      <c r="D183" t="n">
        <v>0.0</v>
      </c>
      <c r="E183"/>
      <c r="F183"/>
      <c r="G183" t="n">
        <v>0.0</v>
      </c>
      <c r="H183"/>
      <c r="I183"/>
      <c r="J183"/>
      <c r="K183"/>
    </row>
    <row r="184" spans="1:2" ht="13.5" customHeight="true" x14ac:dyDescent="0.15" hidden="false">
      <c r="A184" t="s">
        <v>6948</v>
      </c>
      <c r="B184" t="n">
        <v>4.0</v>
      </c>
      <c r="C184"/>
      <c r="D184"/>
      <c r="E184" t="n">
        <v>0.0</v>
      </c>
      <c r="F184"/>
      <c r="G184"/>
      <c r="H184" t="n">
        <v>0.0</v>
      </c>
      <c r="I184"/>
      <c r="J184"/>
      <c r="K184"/>
    </row>
    <row r="185" spans="1:2" ht="13.5" customHeight="true" x14ac:dyDescent="0.15" hidden="false">
      <c r="A185" t="s">
        <v>6948</v>
      </c>
      <c r="B185" t="n">
        <v>5.0</v>
      </c>
      <c r="C185" t="n">
        <v>0.0</v>
      </c>
      <c r="D185"/>
      <c r="E185"/>
      <c r="F185" t="n">
        <v>0.0</v>
      </c>
      <c r="G185"/>
      <c r="H185"/>
      <c r="I185"/>
      <c r="J185"/>
      <c r="K185"/>
    </row>
    <row r="186" spans="1:2" ht="13.5" customHeight="true" x14ac:dyDescent="0.15" hidden="false">
      <c r="A186" t="s">
        <v>6948</v>
      </c>
      <c r="B186" t="n">
        <v>6.0</v>
      </c>
      <c r="C186"/>
      <c r="D186" t="n">
        <v>0.0</v>
      </c>
      <c r="E186"/>
      <c r="F186"/>
      <c r="G186" t="n">
        <v>0.0</v>
      </c>
      <c r="H186"/>
      <c r="I186"/>
      <c r="J186"/>
      <c r="K186"/>
    </row>
    <row r="187" spans="1:2" ht="13.5" customHeight="true" x14ac:dyDescent="0.15" hidden="false">
      <c r="A187" t="s">
        <v>6948</v>
      </c>
      <c r="B187" t="n">
        <v>7.0</v>
      </c>
      <c r="C187"/>
      <c r="D187"/>
      <c r="E187" t="n">
        <v>0.0</v>
      </c>
      <c r="F187"/>
      <c r="G187"/>
      <c r="H187" t="n">
        <v>0.0</v>
      </c>
      <c r="I187"/>
      <c r="J187"/>
      <c r="K187"/>
    </row>
    <row r="188" spans="1:2" ht="13.5" customHeight="true" x14ac:dyDescent="0.15" hidden="false">
      <c r="A188" t="s">
        <v>6948</v>
      </c>
      <c r="B188" t="n">
        <v>8.0</v>
      </c>
      <c r="C188" t="n">
        <v>0.0</v>
      </c>
      <c r="D188"/>
      <c r="E188"/>
      <c r="F188" t="n">
        <v>0.0</v>
      </c>
      <c r="G188"/>
      <c r="H188"/>
      <c r="I188"/>
      <c r="J188"/>
      <c r="K188"/>
    </row>
    <row r="189" spans="1:2" ht="13.5" customHeight="true" x14ac:dyDescent="0.15" hidden="false">
      <c r="A189" t="s">
        <v>6948</v>
      </c>
      <c r="B189" t="n">
        <v>9.0</v>
      </c>
      <c r="C189"/>
      <c r="D189" t="n">
        <v>0.0</v>
      </c>
      <c r="E189"/>
      <c r="F189"/>
      <c r="G189" t="n">
        <v>0.0</v>
      </c>
      <c r="H189"/>
      <c r="I189"/>
      <c r="J189"/>
      <c r="K189"/>
    </row>
    <row r="190" spans="1:2" ht="13.5" customHeight="true" x14ac:dyDescent="0.15" hidden="false">
      <c r="A190" t="s">
        <v>6948</v>
      </c>
      <c r="B190" t="n">
        <v>10.0</v>
      </c>
      <c r="C190"/>
      <c r="D190"/>
      <c r="E190" t="n">
        <v>0.0</v>
      </c>
      <c r="F190"/>
      <c r="G190"/>
      <c r="H190" t="n">
        <v>0.0</v>
      </c>
      <c r="I190"/>
      <c r="J190"/>
      <c r="K190"/>
    </row>
    <row r="191" spans="1:2" ht="13.5" customHeight="true" x14ac:dyDescent="0.15" hidden="false">
      <c r="A191" t="s">
        <v>6948</v>
      </c>
      <c r="B191" t="n">
        <v>11.0</v>
      </c>
      <c r="C191" t="n">
        <v>0.0</v>
      </c>
      <c r="D191"/>
      <c r="E191"/>
      <c r="F191" t="n">
        <v>0.0</v>
      </c>
      <c r="G191"/>
      <c r="H191"/>
      <c r="I191"/>
      <c r="J191"/>
      <c r="K191"/>
    </row>
    <row r="192" spans="1:2" ht="13.5" customHeight="true" x14ac:dyDescent="0.15" hidden="false">
      <c r="A192" t="s">
        <v>6948</v>
      </c>
      <c r="B192" t="n">
        <v>12.0</v>
      </c>
      <c r="C192"/>
      <c r="D192" t="n">
        <v>0.0</v>
      </c>
      <c r="E192"/>
      <c r="F192"/>
      <c r="G192" t="n">
        <v>0.0</v>
      </c>
      <c r="H192"/>
      <c r="I192"/>
      <c r="J192"/>
      <c r="K192"/>
    </row>
    <row r="193" spans="1:2" ht="13.5" customHeight="true" x14ac:dyDescent="0.15" hidden="false">
      <c r="A193" t="s">
        <v>6948</v>
      </c>
      <c r="B193" t="n">
        <v>13.0</v>
      </c>
      <c r="C193"/>
      <c r="D193"/>
      <c r="E193" t="n">
        <v>0.0</v>
      </c>
      <c r="F193"/>
      <c r="G193"/>
      <c r="H193" t="n">
        <v>0.0</v>
      </c>
      <c r="I193"/>
      <c r="J193"/>
      <c r="K193"/>
    </row>
    <row r="194" spans="1:2" ht="13.5" customHeight="true" x14ac:dyDescent="0.15" hidden="false">
      <c r="A194" t="s">
        <v>6948</v>
      </c>
      <c r="B194" t="n">
        <v>14.0</v>
      </c>
      <c r="C194" t="n">
        <v>0.0</v>
      </c>
      <c r="D194"/>
      <c r="E194"/>
      <c r="F194" t="n">
        <v>0.0</v>
      </c>
      <c r="G194"/>
      <c r="H194"/>
      <c r="I194"/>
      <c r="J194"/>
      <c r="K194"/>
    </row>
    <row r="195" spans="1:2" ht="13.5" customHeight="true" x14ac:dyDescent="0.15" hidden="false">
      <c r="A195" t="s">
        <v>6948</v>
      </c>
      <c r="B195" t="n">
        <v>15.0</v>
      </c>
      <c r="C195"/>
      <c r="D195" t="n">
        <v>0.0</v>
      </c>
      <c r="E195"/>
      <c r="F195"/>
      <c r="G195" t="n">
        <v>0.0</v>
      </c>
      <c r="H195"/>
      <c r="I195"/>
      <c r="J195"/>
      <c r="K195"/>
    </row>
    <row r="196" spans="1:2" ht="13.5" customHeight="true" x14ac:dyDescent="0.15" hidden="false">
      <c r="A196" t="s">
        <v>6948</v>
      </c>
      <c r="B196" t="n">
        <v>16.0</v>
      </c>
      <c r="C196"/>
      <c r="D196"/>
      <c r="E196" t="n">
        <v>0.0</v>
      </c>
      <c r="F196"/>
      <c r="G196"/>
      <c r="H196" t="n">
        <v>0.0</v>
      </c>
      <c r="I196"/>
      <c r="J196"/>
      <c r="K196"/>
    </row>
    <row r="197" spans="1:2" ht="13.5" customHeight="true" x14ac:dyDescent="0.15" hidden="false">
      <c r="A197" t="s">
        <v>6948</v>
      </c>
      <c r="B197" t="n">
        <v>17.0</v>
      </c>
      <c r="C197" t="n">
        <v>0.0</v>
      </c>
      <c r="D197"/>
      <c r="E197"/>
      <c r="F197" t="n">
        <v>0.0</v>
      </c>
      <c r="G197"/>
      <c r="H197"/>
      <c r="I197"/>
      <c r="J197"/>
      <c r="K197"/>
    </row>
    <row r="198" spans="1:2" ht="13.5" customHeight="true" x14ac:dyDescent="0.15" hidden="false">
      <c r="A198" t="s">
        <v>6948</v>
      </c>
      <c r="B198" t="n">
        <v>18.0</v>
      </c>
      <c r="C198"/>
      <c r="D198" t="n">
        <v>0.0</v>
      </c>
      <c r="E198"/>
      <c r="F198"/>
      <c r="G198" t="n">
        <v>0.0</v>
      </c>
      <c r="H198"/>
      <c r="I198"/>
      <c r="J198"/>
      <c r="K198"/>
    </row>
    <row r="199" spans="1:2" ht="13.5" customHeight="true" x14ac:dyDescent="0.15" hidden="false">
      <c r="A199" t="s">
        <v>6948</v>
      </c>
      <c r="B199" t="n">
        <v>19.0</v>
      </c>
      <c r="C199"/>
      <c r="D199"/>
      <c r="E199" t="n">
        <v>0.0</v>
      </c>
      <c r="F199"/>
      <c r="G199"/>
      <c r="H199" t="n">
        <v>0.0</v>
      </c>
      <c r="I199"/>
      <c r="J199"/>
      <c r="K199"/>
    </row>
    <row r="200" spans="1:2" ht="13.5" customHeight="true" x14ac:dyDescent="0.15" hidden="false">
      <c r="A200" t="s">
        <v>6948</v>
      </c>
      <c r="B200" t="n">
        <v>20.0</v>
      </c>
      <c r="C200" t="n">
        <v>3.22</v>
      </c>
      <c r="D200"/>
      <c r="E200"/>
      <c r="F200" t="n">
        <v>5.04</v>
      </c>
      <c r="G200"/>
      <c r="H200"/>
      <c r="I200" t="n">
        <v>3.8600145692115353</v>
      </c>
      <c r="J200"/>
      <c r="K200"/>
    </row>
    <row r="201" spans="1:2" ht="13.5" customHeight="true" x14ac:dyDescent="0.15" hidden="false">
      <c r="A201" t="s">
        <v>6948</v>
      </c>
      <c r="B201" t="n">
        <v>21.0</v>
      </c>
      <c r="C201"/>
      <c r="D201" t="n">
        <v>0.0</v>
      </c>
      <c r="E201"/>
      <c r="F201"/>
      <c r="G201" t="n">
        <v>2.14</v>
      </c>
      <c r="H201"/>
      <c r="I201"/>
      <c r="J201" t="n">
        <v>0.9132880202510728</v>
      </c>
      <c r="K201"/>
    </row>
    <row r="202" spans="1:2" ht="13.5" customHeight="true" x14ac:dyDescent="0.15" hidden="false">
      <c r="A202" t="s">
        <v>6948</v>
      </c>
      <c r="B202" t="n">
        <v>22.0</v>
      </c>
      <c r="C202"/>
      <c r="D202"/>
      <c r="E202" t="n">
        <v>0.0</v>
      </c>
      <c r="F202"/>
      <c r="G202"/>
      <c r="H202" t="n">
        <v>0.0</v>
      </c>
      <c r="I202"/>
      <c r="J202"/>
      <c r="K202"/>
    </row>
    <row r="203" spans="1:2" ht="13.5" customHeight="true" x14ac:dyDescent="0.15" hidden="false">
      <c r="A203" t="s">
        <v>6948</v>
      </c>
      <c r="B203" t="n">
        <v>23.0</v>
      </c>
      <c r="C203" t="n">
        <v>2.22</v>
      </c>
      <c r="D203"/>
      <c r="E203"/>
      <c r="F203" t="n">
        <v>3.41</v>
      </c>
      <c r="G203"/>
      <c r="H203"/>
      <c r="I203" t="n">
        <v>2.494019109883697</v>
      </c>
      <c r="J203"/>
      <c r="K203"/>
    </row>
    <row r="204" spans="1:2" ht="13.5" customHeight="true" x14ac:dyDescent="0.15" hidden="false">
      <c r="A204" t="s">
        <v>6948</v>
      </c>
      <c r="B204" t="n">
        <v>24.0</v>
      </c>
      <c r="C204"/>
      <c r="D204" t="n">
        <v>0.0</v>
      </c>
      <c r="E204"/>
      <c r="F204"/>
      <c r="G204" t="n">
        <v>0.0</v>
      </c>
      <c r="H204"/>
      <c r="I204"/>
      <c r="J204"/>
      <c r="K204"/>
    </row>
    <row r="205" spans="1:2" ht="13.5" customHeight="true" x14ac:dyDescent="0.15" hidden="false">
      <c r="A205" t="s">
        <v>6948</v>
      </c>
      <c r="B205" t="n">
        <v>25.0</v>
      </c>
      <c r="C205"/>
      <c r="D205"/>
      <c r="E205" t="n">
        <v>3.94</v>
      </c>
      <c r="F205"/>
      <c r="G205"/>
      <c r="H205" t="n">
        <v>4.78</v>
      </c>
      <c r="I205"/>
      <c r="J205"/>
      <c r="K205" t="n">
        <v>4.395310323347011</v>
      </c>
    </row>
    <row r="206" spans="1:2" ht="13.5" customHeight="true" x14ac:dyDescent="0.15" hidden="false">
      <c r="A206" t="s">
        <v>6948</v>
      </c>
      <c r="B206" t="n">
        <v>26.0</v>
      </c>
      <c r="C206" t="n">
        <v>5.3</v>
      </c>
      <c r="D206"/>
      <c r="E206"/>
      <c r="F206" t="n">
        <v>5.86</v>
      </c>
      <c r="G206"/>
      <c r="H206"/>
      <c r="I206" t="n">
        <v>5.428694756592056</v>
      </c>
      <c r="J206"/>
      <c r="K206"/>
    </row>
    <row r="207" spans="1:2" ht="13.5" customHeight="true" x14ac:dyDescent="0.15" hidden="false">
      <c r="A207" t="s">
        <v>6948</v>
      </c>
      <c r="B207" t="n">
        <v>55.0</v>
      </c>
      <c r="C207" t="n">
        <v>0.0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/>
      <c r="J207"/>
      <c r="K207"/>
    </row>
    <row r="208" spans="1:2" ht="13.5" customHeight="true" x14ac:dyDescent="0.15" hidden="false">
      <c r="A208" t="s">
        <v>6948</v>
      </c>
      <c r="B208" t="n">
        <v>56.0</v>
      </c>
      <c r="C208" t="n">
        <v>0.0</v>
      </c>
      <c r="D208"/>
      <c r="E208"/>
      <c r="F208" t="n">
        <v>0.0</v>
      </c>
      <c r="G208"/>
      <c r="H208"/>
      <c r="I208"/>
      <c r="J208"/>
      <c r="K208"/>
    </row>
    <row r="209" spans="1:2" ht="13.5" customHeight="true" x14ac:dyDescent="0.15" hidden="false">
      <c r="A209" t="s">
        <v>6948</v>
      </c>
      <c r="B209" t="n">
        <v>57.0</v>
      </c>
      <c r="C209"/>
      <c r="D209" t="n">
        <v>0.0</v>
      </c>
      <c r="E209"/>
      <c r="F209"/>
      <c r="G209" t="n">
        <v>0.0</v>
      </c>
      <c r="H209"/>
      <c r="I209"/>
      <c r="J209"/>
      <c r="K209"/>
    </row>
    <row r="210" spans="1:2" ht="13.5" customHeight="true" x14ac:dyDescent="0.15" hidden="false">
      <c r="A210" t="s">
        <v>6948</v>
      </c>
      <c r="B210" t="n">
        <v>58.0</v>
      </c>
      <c r="C210"/>
      <c r="D210"/>
      <c r="E210" t="n">
        <v>0.53</v>
      </c>
      <c r="F210"/>
      <c r="G210"/>
      <c r="H210" t="n">
        <v>0.73</v>
      </c>
      <c r="I210"/>
      <c r="J210"/>
      <c r="K210" t="n">
        <v>0.568306511411558</v>
      </c>
    </row>
    <row r="211" spans="1:2" ht="13.5" customHeight="true" x14ac:dyDescent="0.15" hidden="false">
      <c r="A211" t="s">
        <v>6948</v>
      </c>
      <c r="B211" t="n">
        <v>59.0</v>
      </c>
      <c r="C211" t="n">
        <v>1.5699999999999998</v>
      </c>
      <c r="D211"/>
      <c r="E211"/>
      <c r="F211" t="n">
        <v>2.08</v>
      </c>
      <c r="G211"/>
      <c r="H211"/>
      <c r="I211" t="n">
        <v>1.7195059115964118</v>
      </c>
      <c r="J211"/>
      <c r="K211"/>
    </row>
    <row r="212" spans="1:2" ht="13.5" customHeight="true" x14ac:dyDescent="0.15" hidden="false">
      <c r="A212" t="s">
        <v>6948</v>
      </c>
      <c r="B212" t="n">
        <v>60.0</v>
      </c>
      <c r="C212"/>
      <c r="D212" t="n">
        <v>1.98</v>
      </c>
      <c r="E212"/>
      <c r="F212"/>
      <c r="G212" t="n">
        <v>4.46</v>
      </c>
      <c r="H212"/>
      <c r="I212"/>
      <c r="J212" t="n">
        <v>3.546193543327264</v>
      </c>
      <c r="K212"/>
    </row>
    <row r="213" spans="1:2" ht="13.5" customHeight="true" x14ac:dyDescent="0.15" hidden="false">
      <c r="A213" t="s">
        <v>6948</v>
      </c>
      <c r="B213" t="n">
        <v>61.0</v>
      </c>
      <c r="C213"/>
      <c r="D213"/>
      <c r="E213" t="n">
        <v>1.78</v>
      </c>
      <c r="F213"/>
      <c r="G213"/>
      <c r="H213" t="n">
        <v>2.09</v>
      </c>
      <c r="I213"/>
      <c r="J213"/>
      <c r="K213" t="n">
        <v>1.8161798629610264</v>
      </c>
    </row>
    <row r="214" spans="1:2" ht="13.5" customHeight="true" x14ac:dyDescent="0.15" hidden="false">
      <c r="A214" t="s">
        <v>6948</v>
      </c>
      <c r="B214" t="n">
        <v>62.0</v>
      </c>
      <c r="C214" t="n">
        <v>0.4</v>
      </c>
      <c r="D214"/>
      <c r="E214"/>
      <c r="F214" t="n">
        <v>3.34</v>
      </c>
      <c r="G214"/>
      <c r="H214"/>
      <c r="I214" t="n">
        <v>0.6403613521648076</v>
      </c>
      <c r="J214"/>
      <c r="K214"/>
    </row>
    <row r="215" spans="1:2" ht="13.5" customHeight="true" x14ac:dyDescent="0.15" hidden="false">
      <c r="A215" t="s">
        <v>6948</v>
      </c>
      <c r="B215" t="n">
        <v>63.0</v>
      </c>
      <c r="C215"/>
      <c r="D215" t="n">
        <v>3.7199999999999998</v>
      </c>
      <c r="E215"/>
      <c r="F215"/>
      <c r="G215" t="n">
        <v>4.4</v>
      </c>
      <c r="H215"/>
      <c r="I215"/>
      <c r="J215" t="n">
        <v>3.8896422462041707</v>
      </c>
      <c r="K215"/>
    </row>
    <row r="216" spans="1:2" ht="13.5" customHeight="true" x14ac:dyDescent="0.15" hidden="false">
      <c r="A216" t="s">
        <v>6948</v>
      </c>
      <c r="B216" t="n">
        <v>64.0</v>
      </c>
      <c r="C216"/>
      <c r="D216"/>
      <c r="E216" t="n">
        <v>0.85</v>
      </c>
      <c r="F216"/>
      <c r="G216"/>
      <c r="H216" t="n">
        <v>5.5</v>
      </c>
      <c r="I216"/>
      <c r="J216"/>
      <c r="K216" t="n">
        <v>4.496556537529216</v>
      </c>
    </row>
    <row r="217" spans="1:2" ht="13.5" customHeight="true" x14ac:dyDescent="0.15" hidden="false">
      <c r="A217" t="s">
        <v>6948</v>
      </c>
      <c r="B217" t="n">
        <v>65.0</v>
      </c>
      <c r="C217" t="n">
        <v>1.3599999999999999</v>
      </c>
      <c r="D217"/>
      <c r="E217"/>
      <c r="F217" t="n">
        <v>1.9</v>
      </c>
      <c r="G217"/>
      <c r="H217"/>
      <c r="I217" t="n">
        <v>1.84413171977286</v>
      </c>
      <c r="J217"/>
      <c r="K217"/>
    </row>
    <row r="218" spans="1:2" ht="13.5" customHeight="true" x14ac:dyDescent="0.15" hidden="false">
      <c r="A218" t="s">
        <v>6948</v>
      </c>
      <c r="B218" t="n">
        <v>66.0</v>
      </c>
      <c r="C218"/>
      <c r="D218" t="n">
        <v>4.42</v>
      </c>
      <c r="E218"/>
      <c r="F218"/>
      <c r="G218" t="n">
        <v>5.47</v>
      </c>
      <c r="H218"/>
      <c r="I218"/>
      <c r="J218" t="n">
        <v>4.7165906482028985</v>
      </c>
      <c r="K218"/>
    </row>
    <row r="219" spans="1:2" ht="13.5" customHeight="true" x14ac:dyDescent="0.15" hidden="false">
      <c r="A219" t="s">
        <v>6948</v>
      </c>
      <c r="B219" t="n">
        <v>67.0</v>
      </c>
      <c r="C219"/>
      <c r="D219"/>
      <c r="E219" t="n">
        <v>0.0</v>
      </c>
      <c r="F219"/>
      <c r="G219"/>
      <c r="H219" t="n">
        <v>0.0</v>
      </c>
      <c r="I219"/>
      <c r="J219"/>
      <c r="K219"/>
    </row>
    <row r="220" spans="1:2" ht="13.5" customHeight="true" x14ac:dyDescent="0.15" hidden="false">
      <c r="A220" t="s">
        <v>6948</v>
      </c>
      <c r="B220" t="n">
        <v>68.0</v>
      </c>
      <c r="C220" t="n">
        <v>0.0</v>
      </c>
      <c r="D220"/>
      <c r="E220"/>
      <c r="F220" t="n">
        <v>0.0</v>
      </c>
      <c r="G220"/>
      <c r="H220"/>
      <c r="I220"/>
      <c r="J220"/>
      <c r="K220"/>
    </row>
    <row r="221" spans="1:2" ht="13.5" customHeight="true" x14ac:dyDescent="0.15" hidden="false">
      <c r="A221" t="s">
        <v>6948</v>
      </c>
      <c r="B221" t="n">
        <v>69.0</v>
      </c>
      <c r="C221"/>
      <c r="D221" t="n">
        <v>0.0</v>
      </c>
      <c r="E221"/>
      <c r="F221"/>
      <c r="G221" t="n">
        <v>0.0</v>
      </c>
      <c r="H221"/>
      <c r="I221"/>
      <c r="J221"/>
      <c r="K221"/>
    </row>
    <row r="222" spans="1:2" ht="13.5" customHeight="true" x14ac:dyDescent="0.15" hidden="false">
      <c r="A222" t="s">
        <v>6948</v>
      </c>
      <c r="B222" t="n">
        <v>70.0</v>
      </c>
      <c r="C222"/>
      <c r="D222"/>
      <c r="E222" t="n">
        <v>0.0</v>
      </c>
      <c r="F222"/>
      <c r="G222"/>
      <c r="H222" t="n">
        <v>0.0</v>
      </c>
      <c r="I222"/>
      <c r="J222"/>
      <c r="K222"/>
    </row>
    <row r="223" spans="1:2" ht="13.5" customHeight="true" x14ac:dyDescent="0.15" hidden="false">
      <c r="A223" t="s">
        <v>6948</v>
      </c>
      <c r="B223" t="n">
        <v>71.0</v>
      </c>
      <c r="C223" t="n">
        <v>0.26</v>
      </c>
      <c r="D223"/>
      <c r="E223"/>
      <c r="F223" t="n">
        <v>0.73</v>
      </c>
      <c r="G223"/>
      <c r="H223"/>
      <c r="I223" t="n">
        <v>0.2707407273898886</v>
      </c>
      <c r="J223"/>
      <c r="K223"/>
    </row>
    <row r="224" spans="1:2" ht="13.5" customHeight="true" x14ac:dyDescent="0.15" hidden="false">
      <c r="A224" t="s">
        <v>6948</v>
      </c>
      <c r="B224" t="n">
        <v>72.0</v>
      </c>
      <c r="C224"/>
      <c r="D224" t="n">
        <v>0.28</v>
      </c>
      <c r="E224"/>
      <c r="F224"/>
      <c r="G224" t="n">
        <v>0.29</v>
      </c>
      <c r="H224"/>
      <c r="I224"/>
      <c r="J224" t="n">
        <v>0.289905486120164</v>
      </c>
      <c r="K224"/>
    </row>
    <row r="225" spans="1:2" ht="13.5" customHeight="true" x14ac:dyDescent="0.15" hidden="false">
      <c r="A225" t="s">
        <v>6948</v>
      </c>
      <c r="B225" t="n">
        <v>73.0</v>
      </c>
      <c r="C225"/>
      <c r="D225"/>
      <c r="E225" t="n">
        <v>2.27</v>
      </c>
      <c r="F225"/>
      <c r="G225"/>
      <c r="H225" t="n">
        <v>2.32</v>
      </c>
      <c r="I225"/>
      <c r="J225"/>
      <c r="K225" t="n">
        <v>2.2938781804023103</v>
      </c>
    </row>
    <row r="226" spans="1:2" ht="13.5" customHeight="true" x14ac:dyDescent="0.15" hidden="false">
      <c r="A226" t="s">
        <v>6948</v>
      </c>
      <c r="B226" t="n">
        <v>74.0</v>
      </c>
      <c r="C226" t="n">
        <v>2.4699999999999998</v>
      </c>
      <c r="D226"/>
      <c r="E226"/>
      <c r="F226" t="n">
        <v>2.73</v>
      </c>
      <c r="G226"/>
      <c r="H226"/>
      <c r="I226" t="n">
        <v>2.5977847360827813</v>
      </c>
      <c r="J226"/>
      <c r="K226"/>
    </row>
    <row r="227" spans="1:2" ht="13.5" customHeight="true" x14ac:dyDescent="0.15" hidden="false">
      <c r="A227" t="s">
        <v>6948</v>
      </c>
      <c r="B227" t="n">
        <v>75.0</v>
      </c>
      <c r="C227"/>
      <c r="D227" t="n">
        <v>1.44</v>
      </c>
      <c r="E227"/>
      <c r="F227"/>
      <c r="G227" t="n">
        <v>1.48</v>
      </c>
      <c r="H227"/>
      <c r="I227"/>
      <c r="J227" t="n">
        <v>1.4562298837033556</v>
      </c>
      <c r="K227"/>
    </row>
    <row r="228" spans="1:2" ht="13.5" customHeight="true" x14ac:dyDescent="0.15" hidden="false">
      <c r="A228" t="s">
        <v>6948</v>
      </c>
      <c r="B228" t="n">
        <v>76.0</v>
      </c>
      <c r="C228"/>
      <c r="D228"/>
      <c r="E228" t="n">
        <v>1.5699999999999998</v>
      </c>
      <c r="F228"/>
      <c r="G228"/>
      <c r="H228" t="n">
        <v>1.62</v>
      </c>
      <c r="I228"/>
      <c r="J228"/>
      <c r="K228" t="n">
        <v>1.5857251799437317</v>
      </c>
    </row>
    <row r="229" spans="1:2" ht="13.5" customHeight="true" x14ac:dyDescent="0.15" hidden="false">
      <c r="A229" t="s">
        <v>6948</v>
      </c>
      <c r="B229" t="n">
        <v>77.0</v>
      </c>
      <c r="C229" t="n">
        <v>2.26</v>
      </c>
      <c r="D229"/>
      <c r="E229"/>
      <c r="F229" t="n">
        <v>2.59</v>
      </c>
      <c r="G229"/>
      <c r="H229"/>
      <c r="I229" t="n">
        <v>2.321453510476452</v>
      </c>
      <c r="J229"/>
      <c r="K229"/>
    </row>
    <row r="230" spans="1:2" ht="13.5" customHeight="true" x14ac:dyDescent="0.15" hidden="false">
      <c r="A230" t="s">
        <v>6948</v>
      </c>
      <c r="B230" t="n">
        <v>78.0</v>
      </c>
      <c r="C230"/>
      <c r="D230" t="n">
        <v>2.29</v>
      </c>
      <c r="E230"/>
      <c r="F230"/>
      <c r="G230" t="n">
        <v>2.5300000000000002</v>
      </c>
      <c r="H230"/>
      <c r="I230"/>
      <c r="J230" t="n">
        <v>2.3525020227136992</v>
      </c>
      <c r="K230"/>
    </row>
    <row r="231" spans="1:2" ht="13.5" customHeight="true" x14ac:dyDescent="0.15" hidden="false">
      <c r="A231" t="s">
        <v>6948</v>
      </c>
      <c r="B231" t="n">
        <v>79.0</v>
      </c>
      <c r="C231"/>
      <c r="D231"/>
      <c r="E231" t="n">
        <v>2.93</v>
      </c>
      <c r="F231"/>
      <c r="G231"/>
      <c r="H231" t="n">
        <v>3.54</v>
      </c>
      <c r="I231"/>
      <c r="J231"/>
      <c r="K231" t="n">
        <v>3.182275912445429</v>
      </c>
    </row>
    <row r="232" spans="1:2" ht="13.5" customHeight="true" x14ac:dyDescent="0.15" hidden="false">
      <c r="A232" t="s">
        <v>6948</v>
      </c>
      <c r="B232" t="n">
        <v>80.0</v>
      </c>
      <c r="C232" t="n">
        <v>3.63</v>
      </c>
      <c r="D232"/>
      <c r="E232"/>
      <c r="F232" t="n">
        <v>4.43</v>
      </c>
      <c r="G232"/>
      <c r="H232"/>
      <c r="I232" t="n">
        <v>3.9494071069674357</v>
      </c>
      <c r="J232"/>
      <c r="K232"/>
    </row>
    <row r="233" spans="1:2" ht="13.5" customHeight="true" x14ac:dyDescent="0.15" hidden="false">
      <c r="A233" t="s">
        <v>6949</v>
      </c>
      <c r="B233" t="n">
        <v>1.0</v>
      </c>
      <c r="C233"/>
      <c r="D233"/>
      <c r="E233" t="n">
        <v>0.0</v>
      </c>
      <c r="F233"/>
      <c r="G233"/>
      <c r="H233" t="n">
        <v>0.0</v>
      </c>
      <c r="I233"/>
      <c r="J233"/>
      <c r="K233"/>
    </row>
    <row r="234" spans="1:2" ht="13.5" customHeight="true" x14ac:dyDescent="0.15" hidden="false">
      <c r="A234" t="s">
        <v>6949</v>
      </c>
      <c r="B234" t="n">
        <v>2.0</v>
      </c>
      <c r="C234"/>
      <c r="D234"/>
      <c r="E234" t="n">
        <v>0.0</v>
      </c>
      <c r="F234"/>
      <c r="G234"/>
      <c r="H234" t="n">
        <v>0.0</v>
      </c>
      <c r="I234"/>
      <c r="J234"/>
      <c r="K234"/>
    </row>
    <row r="235" spans="1:2" ht="13.5" customHeight="true" x14ac:dyDescent="0.15" hidden="false">
      <c r="A235" t="s">
        <v>6949</v>
      </c>
      <c r="B235" t="n">
        <v>3.0</v>
      </c>
      <c r="C235" t="n">
        <v>0.0</v>
      </c>
      <c r="D235"/>
      <c r="E235"/>
      <c r="F235" t="n">
        <v>0.0</v>
      </c>
      <c r="G235"/>
      <c r="H235"/>
      <c r="I235"/>
      <c r="J235"/>
      <c r="K235"/>
    </row>
    <row r="236" spans="1:2" ht="13.5" customHeight="true" x14ac:dyDescent="0.15" hidden="false">
      <c r="A236" t="s">
        <v>6949</v>
      </c>
      <c r="B236" t="n">
        <v>4.0</v>
      </c>
      <c r="C236" t="n">
        <v>0.0</v>
      </c>
      <c r="D236"/>
      <c r="E236"/>
      <c r="F236" t="n">
        <v>0.0</v>
      </c>
      <c r="G236"/>
      <c r="H236"/>
      <c r="I236"/>
      <c r="J236"/>
      <c r="K236"/>
    </row>
    <row r="237" spans="1:2" ht="13.5" customHeight="true" x14ac:dyDescent="0.15" hidden="false">
      <c r="A237" t="s">
        <v>6949</v>
      </c>
      <c r="B237" t="n">
        <v>5.0</v>
      </c>
      <c r="C237"/>
      <c r="D237" t="n">
        <v>0.0</v>
      </c>
      <c r="E237"/>
      <c r="F237"/>
      <c r="G237" t="n">
        <v>0.0</v>
      </c>
      <c r="H237"/>
      <c r="I237"/>
      <c r="J237"/>
      <c r="K237"/>
    </row>
    <row r="238" spans="1:2" ht="13.5" customHeight="true" x14ac:dyDescent="0.15" hidden="false">
      <c r="A238" t="s">
        <v>6949</v>
      </c>
      <c r="B238" t="n">
        <v>6.0</v>
      </c>
      <c r="C238"/>
      <c r="D238" t="n">
        <v>0.0</v>
      </c>
      <c r="E238"/>
      <c r="F238"/>
      <c r="G238" t="n">
        <v>0.0</v>
      </c>
      <c r="H238"/>
      <c r="I238"/>
      <c r="J238"/>
      <c r="K238"/>
    </row>
    <row r="239" spans="1:2" ht="13.5" customHeight="true" x14ac:dyDescent="0.15" hidden="false">
      <c r="A239" t="s">
        <v>6949</v>
      </c>
      <c r="B239" t="n">
        <v>7.0</v>
      </c>
      <c r="C239"/>
      <c r="D239"/>
      <c r="E239" t="n">
        <v>0.0</v>
      </c>
      <c r="F239"/>
      <c r="G239"/>
      <c r="H239" t="n">
        <v>0.0</v>
      </c>
      <c r="I239"/>
      <c r="J239"/>
      <c r="K239"/>
    </row>
    <row r="240" spans="1:2" ht="13.5" customHeight="true" x14ac:dyDescent="0.15" hidden="false">
      <c r="A240" t="s">
        <v>6949</v>
      </c>
      <c r="B240" t="n">
        <v>8.0</v>
      </c>
      <c r="C240"/>
      <c r="D240"/>
      <c r="E240" t="n">
        <v>0.0</v>
      </c>
      <c r="F240"/>
      <c r="G240"/>
      <c r="H240" t="n">
        <v>0.0</v>
      </c>
      <c r="I240"/>
      <c r="J240"/>
      <c r="K240"/>
    </row>
    <row r="241" spans="1:2" ht="13.5" customHeight="true" x14ac:dyDescent="0.15" hidden="false">
      <c r="A241" t="s">
        <v>6949</v>
      </c>
      <c r="B241" t="n">
        <v>9.0</v>
      </c>
      <c r="C241" t="n">
        <v>0.0</v>
      </c>
      <c r="D241"/>
      <c r="E241"/>
      <c r="F241" t="n">
        <v>0.0</v>
      </c>
      <c r="G241"/>
      <c r="H241"/>
      <c r="I241"/>
      <c r="J241"/>
      <c r="K241"/>
    </row>
    <row r="242" spans="1:2" ht="13.5" customHeight="true" x14ac:dyDescent="0.15" hidden="false">
      <c r="A242" t="s">
        <v>6949</v>
      </c>
      <c r="B242" t="n">
        <v>10.0</v>
      </c>
      <c r="C242" t="n">
        <v>0.0</v>
      </c>
      <c r="D242"/>
      <c r="E242"/>
      <c r="F242" t="n">
        <v>0.0</v>
      </c>
      <c r="G242"/>
      <c r="H242"/>
      <c r="I242"/>
      <c r="J242"/>
      <c r="K242"/>
    </row>
    <row r="243" spans="1:2" ht="13.5" customHeight="true" x14ac:dyDescent="0.15" hidden="false">
      <c r="A243" t="s">
        <v>6949</v>
      </c>
      <c r="B243" t="n">
        <v>11.0</v>
      </c>
      <c r="C243"/>
      <c r="D243" t="n">
        <v>0.0</v>
      </c>
      <c r="E243"/>
      <c r="F243"/>
      <c r="G243" t="n">
        <v>0.0</v>
      </c>
      <c r="H243"/>
      <c r="I243"/>
      <c r="J243"/>
      <c r="K243"/>
    </row>
    <row r="244" spans="1:2" ht="13.5" customHeight="true" x14ac:dyDescent="0.15" hidden="false">
      <c r="A244" t="s">
        <v>6949</v>
      </c>
      <c r="B244" t="n">
        <v>12.0</v>
      </c>
      <c r="C244"/>
      <c r="D244" t="n">
        <v>0.0</v>
      </c>
      <c r="E244"/>
      <c r="F244"/>
      <c r="G244" t="n">
        <v>0.0</v>
      </c>
      <c r="H244"/>
      <c r="I244"/>
      <c r="J244"/>
      <c r="K244"/>
    </row>
    <row r="245" spans="1:2" ht="13.5" customHeight="true" x14ac:dyDescent="0.15" hidden="false">
      <c r="A245" t="s">
        <v>6949</v>
      </c>
      <c r="B245" t="n">
        <v>13.0</v>
      </c>
      <c r="C245"/>
      <c r="D245"/>
      <c r="E245" t="n">
        <v>0.0</v>
      </c>
      <c r="F245"/>
      <c r="G245"/>
      <c r="H245" t="n">
        <v>0.0</v>
      </c>
      <c r="I245"/>
      <c r="J245"/>
      <c r="K245"/>
    </row>
    <row r="246" spans="1:2" ht="13.5" customHeight="true" x14ac:dyDescent="0.15" hidden="false">
      <c r="A246" t="s">
        <v>6949</v>
      </c>
      <c r="B246" t="n">
        <v>14.0</v>
      </c>
      <c r="C246"/>
      <c r="D246"/>
      <c r="E246" t="n">
        <v>0.0</v>
      </c>
      <c r="F246"/>
      <c r="G246"/>
      <c r="H246" t="n">
        <v>0.0</v>
      </c>
      <c r="I246"/>
      <c r="J246"/>
      <c r="K246"/>
    </row>
    <row r="247" spans="1:2" ht="13.5" customHeight="true" x14ac:dyDescent="0.15" hidden="false">
      <c r="A247" t="s">
        <v>6949</v>
      </c>
      <c r="B247" t="n">
        <v>15.0</v>
      </c>
      <c r="C247" t="n">
        <v>0.0</v>
      </c>
      <c r="D247"/>
      <c r="E247"/>
      <c r="F247" t="n">
        <v>0.0</v>
      </c>
      <c r="G247"/>
      <c r="H247"/>
      <c r="I247"/>
      <c r="J247"/>
      <c r="K247"/>
    </row>
    <row r="248" spans="1:2" ht="13.5" customHeight="true" x14ac:dyDescent="0.15" hidden="false">
      <c r="A248" t="s">
        <v>6949</v>
      </c>
      <c r="B248" t="n">
        <v>16.0</v>
      </c>
      <c r="C248" t="n">
        <v>0.0</v>
      </c>
      <c r="D248"/>
      <c r="E248"/>
      <c r="F248" t="n">
        <v>0.0</v>
      </c>
      <c r="G248"/>
      <c r="H248"/>
      <c r="I248"/>
      <c r="J248"/>
      <c r="K248"/>
    </row>
    <row r="249" spans="1:2" ht="13.5" customHeight="true" x14ac:dyDescent="0.15" hidden="false">
      <c r="A249" t="s">
        <v>6949</v>
      </c>
      <c r="B249" t="n">
        <v>17.0</v>
      </c>
      <c r="C249"/>
      <c r="D249" t="n">
        <v>0.0</v>
      </c>
      <c r="E249"/>
      <c r="F249"/>
      <c r="G249" t="n">
        <v>0.0</v>
      </c>
      <c r="H249"/>
      <c r="I249"/>
      <c r="J249"/>
      <c r="K249"/>
    </row>
    <row r="250" spans="1:2" ht="13.5" customHeight="true" x14ac:dyDescent="0.15" hidden="false">
      <c r="A250" t="s">
        <v>6949</v>
      </c>
      <c r="B250" t="n">
        <v>18.0</v>
      </c>
      <c r="C250"/>
      <c r="D250" t="n">
        <v>0.0</v>
      </c>
      <c r="E250"/>
      <c r="F250"/>
      <c r="G250" t="n">
        <v>0.0</v>
      </c>
      <c r="H250"/>
      <c r="I250"/>
      <c r="J250"/>
      <c r="K250"/>
    </row>
    <row r="251" spans="1:2" ht="13.5" customHeight="true" x14ac:dyDescent="0.15" hidden="false">
      <c r="A251" t="s">
        <v>6949</v>
      </c>
      <c r="B251" t="n">
        <v>19.0</v>
      </c>
      <c r="C251"/>
      <c r="D251"/>
      <c r="E251" t="n">
        <v>0.0</v>
      </c>
      <c r="F251"/>
      <c r="G251"/>
      <c r="H251" t="n">
        <v>0.0</v>
      </c>
      <c r="I251"/>
      <c r="J251"/>
      <c r="K251"/>
    </row>
    <row r="252" spans="1:2" ht="13.5" customHeight="true" x14ac:dyDescent="0.15" hidden="false">
      <c r="A252" t="s">
        <v>6949</v>
      </c>
      <c r="B252" t="n">
        <v>20.0</v>
      </c>
      <c r="C252"/>
      <c r="D252"/>
      <c r="E252" t="n">
        <v>0.0</v>
      </c>
      <c r="F252"/>
      <c r="G252"/>
      <c r="H252" t="n">
        <v>0.0</v>
      </c>
      <c r="I252"/>
      <c r="J252"/>
      <c r="K252"/>
    </row>
    <row r="253" spans="1:2" ht="13.5" customHeight="true" x14ac:dyDescent="0.15" hidden="false">
      <c r="A253" t="s">
        <v>6949</v>
      </c>
      <c r="B253" t="n">
        <v>21.0</v>
      </c>
      <c r="C253" t="n">
        <v>0.0</v>
      </c>
      <c r="D253"/>
      <c r="E253"/>
      <c r="F253" t="n">
        <v>0.0</v>
      </c>
      <c r="G253"/>
      <c r="H253"/>
      <c r="I253"/>
      <c r="J253"/>
      <c r="K253"/>
    </row>
    <row r="254" spans="1:2" ht="13.5" customHeight="true" x14ac:dyDescent="0.15" hidden="false">
      <c r="A254" t="s">
        <v>6949</v>
      </c>
      <c r="B254" t="n">
        <v>22.0</v>
      </c>
      <c r="C254" t="n">
        <v>0.0</v>
      </c>
      <c r="D254"/>
      <c r="E254"/>
      <c r="F254" t="n">
        <v>0.0</v>
      </c>
      <c r="G254"/>
      <c r="H254"/>
      <c r="I254"/>
      <c r="J254"/>
      <c r="K254"/>
    </row>
    <row r="255" spans="1:2" ht="13.5" customHeight="true" x14ac:dyDescent="0.15" hidden="false">
      <c r="A255" t="s">
        <v>6949</v>
      </c>
      <c r="B255" t="n">
        <v>23.0</v>
      </c>
      <c r="C255"/>
      <c r="D255" t="n">
        <v>0.0</v>
      </c>
      <c r="E255"/>
      <c r="F255"/>
      <c r="G255" t="n">
        <v>0.0</v>
      </c>
      <c r="H255"/>
      <c r="I255"/>
      <c r="J255"/>
      <c r="K255"/>
    </row>
    <row r="256" spans="1:2" ht="13.5" customHeight="true" x14ac:dyDescent="0.15" hidden="false">
      <c r="A256" t="s">
        <v>6949</v>
      </c>
      <c r="B256" t="n">
        <v>24.0</v>
      </c>
      <c r="C256"/>
      <c r="D256" t="n">
        <v>0.0</v>
      </c>
      <c r="E256"/>
      <c r="F256"/>
      <c r="G256" t="n">
        <v>0.0</v>
      </c>
      <c r="H256"/>
      <c r="I256"/>
      <c r="J256"/>
      <c r="K256"/>
    </row>
    <row r="257" spans="1:2" ht="13.5" customHeight="true" x14ac:dyDescent="0.15" hidden="false">
      <c r="A257" t="s">
        <v>6949</v>
      </c>
      <c r="B257" t="n">
        <v>25.0</v>
      </c>
      <c r="C257"/>
      <c r="D257"/>
      <c r="E257" t="n">
        <v>0.0</v>
      </c>
      <c r="F257"/>
      <c r="G257"/>
      <c r="H257" t="n">
        <v>0.0</v>
      </c>
      <c r="I257"/>
      <c r="J257"/>
      <c r="K257"/>
    </row>
    <row r="258" spans="1:2" ht="13.5" customHeight="true" x14ac:dyDescent="0.15" hidden="false">
      <c r="A258" t="s">
        <v>6949</v>
      </c>
      <c r="B258" t="n">
        <v>26.0</v>
      </c>
      <c r="C258"/>
      <c r="D258"/>
      <c r="E258" t="n">
        <v>0.0</v>
      </c>
      <c r="F258"/>
      <c r="G258"/>
      <c r="H258" t="n">
        <v>0.0</v>
      </c>
      <c r="I258"/>
      <c r="J258"/>
      <c r="K258"/>
    </row>
    <row r="259" spans="1:2" ht="13.5" customHeight="true" x14ac:dyDescent="0.15" hidden="false">
      <c r="A259" t="s">
        <v>6949</v>
      </c>
      <c r="B259" t="n">
        <v>27.0</v>
      </c>
      <c r="C259" t="n">
        <v>0.0</v>
      </c>
      <c r="D259"/>
      <c r="E259"/>
      <c r="F259" t="n">
        <v>0.0</v>
      </c>
      <c r="G259"/>
      <c r="H259"/>
      <c r="I259"/>
      <c r="J259"/>
      <c r="K259"/>
    </row>
    <row r="260" spans="1:2" ht="13.5" customHeight="true" x14ac:dyDescent="0.15" hidden="false">
      <c r="A260" t="s">
        <v>6949</v>
      </c>
      <c r="B260" t="n">
        <v>28.0</v>
      </c>
      <c r="C260" t="n">
        <v>0.0</v>
      </c>
      <c r="D260"/>
      <c r="E260"/>
      <c r="F260" t="n">
        <v>0.0</v>
      </c>
      <c r="G260"/>
      <c r="H260"/>
      <c r="I260"/>
      <c r="J260"/>
      <c r="K260"/>
    </row>
    <row r="261" spans="1:2" ht="13.5" customHeight="true" x14ac:dyDescent="0.15" hidden="false">
      <c r="A261" t="s">
        <v>6949</v>
      </c>
      <c r="B261" t="n">
        <v>29.0</v>
      </c>
      <c r="C261"/>
      <c r="D261" t="n">
        <v>0.0</v>
      </c>
      <c r="E261"/>
      <c r="F261"/>
      <c r="G261" t="n">
        <v>0.0</v>
      </c>
      <c r="H261"/>
      <c r="I261"/>
      <c r="J261"/>
      <c r="K261"/>
    </row>
    <row r="262" spans="1:2" ht="13.5" customHeight="true" x14ac:dyDescent="0.15" hidden="false">
      <c r="A262" t="s">
        <v>6949</v>
      </c>
      <c r="B262" t="n">
        <v>30.0</v>
      </c>
      <c r="C262"/>
      <c r="D262" t="n">
        <v>0.0</v>
      </c>
      <c r="E262"/>
      <c r="F262"/>
      <c r="G262" t="n">
        <v>0.0</v>
      </c>
      <c r="H262"/>
      <c r="I262"/>
      <c r="J262"/>
      <c r="K262"/>
    </row>
    <row r="263" spans="1:2" ht="13.5" customHeight="true" x14ac:dyDescent="0.15" hidden="false">
      <c r="A263" t="s">
        <v>6949</v>
      </c>
      <c r="B263" t="n">
        <v>31.0</v>
      </c>
      <c r="C263"/>
      <c r="D263"/>
      <c r="E263" t="n">
        <v>0.0</v>
      </c>
      <c r="F263"/>
      <c r="G263"/>
      <c r="H263" t="n">
        <v>0.0</v>
      </c>
      <c r="I263"/>
      <c r="J263"/>
      <c r="K263"/>
    </row>
    <row r="264" spans="1:2" ht="13.5" customHeight="true" x14ac:dyDescent="0.15" hidden="false">
      <c r="A264" t="s">
        <v>6949</v>
      </c>
      <c r="B264" t="n">
        <v>32.0</v>
      </c>
      <c r="C264"/>
      <c r="D264"/>
      <c r="E264" t="n">
        <v>0.0</v>
      </c>
      <c r="F264"/>
      <c r="G264"/>
      <c r="H264" t="n">
        <v>0.0</v>
      </c>
      <c r="I264"/>
      <c r="J264"/>
      <c r="K264"/>
    </row>
    <row r="265" spans="1:2" ht="13.5" customHeight="true" x14ac:dyDescent="0.15" hidden="false">
      <c r="A265" t="s">
        <v>6949</v>
      </c>
      <c r="B265" t="n">
        <v>33.0</v>
      </c>
      <c r="C265" t="n">
        <v>0.0</v>
      </c>
      <c r="D265"/>
      <c r="E265"/>
      <c r="F265" t="n">
        <v>0.0</v>
      </c>
      <c r="G265"/>
      <c r="H265"/>
      <c r="I265"/>
      <c r="J265"/>
      <c r="K265"/>
    </row>
    <row r="266" spans="1:2" ht="13.5" customHeight="true" x14ac:dyDescent="0.15" hidden="false">
      <c r="A266" t="s">
        <v>6949</v>
      </c>
      <c r="B266" t="n">
        <v>34.0</v>
      </c>
      <c r="C266" t="n">
        <v>0.0</v>
      </c>
      <c r="D266"/>
      <c r="E266"/>
      <c r="F266" t="n">
        <v>0.0</v>
      </c>
      <c r="G266"/>
      <c r="H266"/>
      <c r="I266"/>
      <c r="J266"/>
      <c r="K266"/>
    </row>
    <row r="267" spans="1:2" ht="13.5" customHeight="true" x14ac:dyDescent="0.15" hidden="false">
      <c r="A267" t="s">
        <v>6949</v>
      </c>
      <c r="B267" t="n">
        <v>35.0</v>
      </c>
      <c r="C267"/>
      <c r="D267" t="n">
        <v>0.0</v>
      </c>
      <c r="E267"/>
      <c r="F267"/>
      <c r="G267" t="n">
        <v>0.0</v>
      </c>
      <c r="H267"/>
      <c r="I267"/>
      <c r="J267"/>
      <c r="K267"/>
    </row>
    <row r="268" spans="1:2" ht="13.5" customHeight="true" x14ac:dyDescent="0.15" hidden="false">
      <c r="A268" t="s">
        <v>6949</v>
      </c>
      <c r="B268" t="n">
        <v>36.0</v>
      </c>
      <c r="C268"/>
      <c r="D268" t="n">
        <v>0.0</v>
      </c>
      <c r="E268"/>
      <c r="F268"/>
      <c r="G268" t="n">
        <v>0.0</v>
      </c>
      <c r="H268"/>
      <c r="I268"/>
      <c r="J268"/>
      <c r="K268"/>
    </row>
    <row r="269" spans="1:2" ht="13.5" customHeight="true" x14ac:dyDescent="0.15" hidden="false">
      <c r="A269" t="s">
        <v>6949</v>
      </c>
      <c r="B269" t="n">
        <v>37.0</v>
      </c>
      <c r="C269"/>
      <c r="D269"/>
      <c r="E269" t="n">
        <v>0.0</v>
      </c>
      <c r="F269"/>
      <c r="G269"/>
      <c r="H269" t="n">
        <v>0.0</v>
      </c>
      <c r="I269"/>
      <c r="J269"/>
      <c r="K269"/>
    </row>
    <row r="270" spans="1:2" ht="13.5" customHeight="true" x14ac:dyDescent="0.15" hidden="false">
      <c r="A270" t="s">
        <v>6949</v>
      </c>
      <c r="B270" t="n">
        <v>38.0</v>
      </c>
      <c r="C270"/>
      <c r="D270"/>
      <c r="E270" t="n">
        <v>0.0</v>
      </c>
      <c r="F270"/>
      <c r="G270"/>
      <c r="H270" t="n">
        <v>0.0</v>
      </c>
      <c r="I270"/>
      <c r="J270"/>
      <c r="K270"/>
    </row>
    <row r="271" spans="1:2" ht="13.5" customHeight="true" x14ac:dyDescent="0.15" hidden="false">
      <c r="A271" t="s">
        <v>6949</v>
      </c>
      <c r="B271" t="n">
        <v>39.0</v>
      </c>
      <c r="C271" t="n">
        <v>0.0</v>
      </c>
      <c r="D271"/>
      <c r="E271"/>
      <c r="F271" t="n">
        <v>0.0</v>
      </c>
      <c r="G271"/>
      <c r="H271"/>
      <c r="I271"/>
      <c r="J271"/>
      <c r="K271"/>
    </row>
    <row r="272" spans="1:2" ht="13.5" customHeight="true" x14ac:dyDescent="0.15" hidden="false">
      <c r="A272" t="s">
        <v>6949</v>
      </c>
      <c r="B272" t="n">
        <v>40.0</v>
      </c>
      <c r="C272" t="n">
        <v>0.0</v>
      </c>
      <c r="D272"/>
      <c r="E272"/>
      <c r="F272" t="n">
        <v>0.0</v>
      </c>
      <c r="G272"/>
      <c r="H272"/>
      <c r="I272"/>
      <c r="J272"/>
      <c r="K272"/>
    </row>
    <row r="273" spans="1:2" ht="13.5" customHeight="true" x14ac:dyDescent="0.15" hidden="false">
      <c r="A273" t="s">
        <v>6949</v>
      </c>
      <c r="B273" t="n">
        <v>41.0</v>
      </c>
      <c r="C273"/>
      <c r="D273" t="n">
        <v>0.0</v>
      </c>
      <c r="E273"/>
      <c r="F273"/>
      <c r="G273" t="n">
        <v>0.0</v>
      </c>
      <c r="H273"/>
      <c r="I273"/>
      <c r="J273"/>
      <c r="K273"/>
    </row>
    <row r="274" spans="1:2" ht="13.5" customHeight="true" x14ac:dyDescent="0.15" hidden="false">
      <c r="A274" t="s">
        <v>6949</v>
      </c>
      <c r="B274" t="n">
        <v>42.0</v>
      </c>
      <c r="C274"/>
      <c r="D274" t="n">
        <v>0.0</v>
      </c>
      <c r="E274"/>
      <c r="F274"/>
      <c r="G274" t="n">
        <v>0.0</v>
      </c>
      <c r="H274"/>
      <c r="I274"/>
      <c r="J274"/>
      <c r="K274"/>
    </row>
    <row r="275" spans="1:2" ht="13.5" customHeight="true" x14ac:dyDescent="0.15" hidden="false">
      <c r="A275" t="s">
        <v>6949</v>
      </c>
      <c r="B275" t="n">
        <v>43.0</v>
      </c>
      <c r="C275"/>
      <c r="D275"/>
      <c r="E275" t="n">
        <v>0.0</v>
      </c>
      <c r="F275"/>
      <c r="G275"/>
      <c r="H275" t="n">
        <v>0.0</v>
      </c>
      <c r="I275"/>
      <c r="J275"/>
      <c r="K275"/>
    </row>
    <row r="276" spans="1:2" ht="13.5" customHeight="true" x14ac:dyDescent="0.15" hidden="false">
      <c r="A276" t="s">
        <v>6949</v>
      </c>
      <c r="B276" t="n">
        <v>44.0</v>
      </c>
      <c r="C276"/>
      <c r="D276"/>
      <c r="E276" t="n">
        <v>0.0</v>
      </c>
      <c r="F276"/>
      <c r="G276"/>
      <c r="H276" t="n">
        <v>0.0</v>
      </c>
      <c r="I276"/>
      <c r="J276"/>
      <c r="K276"/>
    </row>
    <row r="277" spans="1:2" ht="13.5" customHeight="true" x14ac:dyDescent="0.15" hidden="false">
      <c r="A277" t="s">
        <v>6949</v>
      </c>
      <c r="B277" t="n">
        <v>45.0</v>
      </c>
      <c r="C277" t="n">
        <v>0.0</v>
      </c>
      <c r="D277"/>
      <c r="E277"/>
      <c r="F277" t="n">
        <v>0.0</v>
      </c>
      <c r="G277"/>
      <c r="H277"/>
      <c r="I277"/>
      <c r="J277"/>
      <c r="K277"/>
    </row>
    <row r="278" spans="1:2" ht="13.5" customHeight="true" x14ac:dyDescent="0.15" hidden="false">
      <c r="A278" t="s">
        <v>6949</v>
      </c>
      <c r="B278" t="n">
        <v>46.0</v>
      </c>
      <c r="C278" t="n">
        <v>0.0</v>
      </c>
      <c r="D278"/>
      <c r="E278"/>
      <c r="F278" t="n">
        <v>0.0</v>
      </c>
      <c r="G278"/>
      <c r="H278"/>
      <c r="I278"/>
      <c r="J278"/>
      <c r="K278"/>
    </row>
    <row r="279" spans="1:2" ht="13.5" customHeight="true" x14ac:dyDescent="0.15" hidden="false">
      <c r="A279" t="s">
        <v>6949</v>
      </c>
      <c r="B279" t="n">
        <v>47.0</v>
      </c>
      <c r="C279"/>
      <c r="D279" t="n">
        <v>0.0</v>
      </c>
      <c r="E279"/>
      <c r="F279"/>
      <c r="G279" t="n">
        <v>0.0</v>
      </c>
      <c r="H279"/>
      <c r="I279"/>
      <c r="J279"/>
      <c r="K279"/>
    </row>
    <row r="280" spans="1:2" ht="13.5" customHeight="true" x14ac:dyDescent="0.15" hidden="false">
      <c r="A280" t="s">
        <v>6949</v>
      </c>
      <c r="B280" t="n">
        <v>48.0</v>
      </c>
      <c r="C280"/>
      <c r="D280" t="n">
        <v>0.0</v>
      </c>
      <c r="E280"/>
      <c r="F280"/>
      <c r="G280" t="n">
        <v>0.0</v>
      </c>
      <c r="H280"/>
      <c r="I280"/>
      <c r="J280"/>
      <c r="K280"/>
    </row>
    <row r="281" spans="1:2" ht="13.5" customHeight="true" x14ac:dyDescent="0.15" hidden="false">
      <c r="A281" t="s">
        <v>6949</v>
      </c>
      <c r="B281" t="n">
        <v>49.0</v>
      </c>
      <c r="C281"/>
      <c r="D281"/>
      <c r="E281" t="n">
        <v>0.0</v>
      </c>
      <c r="F281"/>
      <c r="G281"/>
      <c r="H281" t="n">
        <v>0.0</v>
      </c>
      <c r="I281"/>
      <c r="J281"/>
      <c r="K281"/>
    </row>
    <row r="282" spans="1:2" ht="13.5" customHeight="true" x14ac:dyDescent="0.15" hidden="false">
      <c r="A282" t="s">
        <v>6949</v>
      </c>
      <c r="B282" t="n">
        <v>50.0</v>
      </c>
      <c r="C282"/>
      <c r="D282"/>
      <c r="E282" t="n">
        <v>0.0</v>
      </c>
      <c r="F282"/>
      <c r="G282"/>
      <c r="H282" t="n">
        <v>0.0</v>
      </c>
      <c r="I282"/>
      <c r="J282"/>
      <c r="K282"/>
    </row>
    <row r="283" spans="1:2" ht="13.5" customHeight="true" x14ac:dyDescent="0.15" hidden="false">
      <c r="A283" t="s">
        <v>6949</v>
      </c>
      <c r="B283" t="n">
        <v>51.0</v>
      </c>
      <c r="C283" t="n">
        <v>0.0</v>
      </c>
      <c r="D283"/>
      <c r="E283"/>
      <c r="F283" t="n">
        <v>0.0</v>
      </c>
      <c r="G283"/>
      <c r="H283"/>
      <c r="I283"/>
      <c r="J283"/>
      <c r="K283"/>
    </row>
    <row r="284" spans="1:2" ht="13.5" customHeight="true" x14ac:dyDescent="0.15" hidden="false">
      <c r="A284" t="s">
        <v>6949</v>
      </c>
      <c r="B284" t="n">
        <v>52.0</v>
      </c>
      <c r="C284" t="n">
        <v>0.0</v>
      </c>
      <c r="D284"/>
      <c r="E284"/>
      <c r="F284" t="n">
        <v>0.0</v>
      </c>
      <c r="G284"/>
      <c r="H284"/>
      <c r="I284"/>
      <c r="J284"/>
      <c r="K284"/>
    </row>
    <row r="285" spans="1:2" ht="13.5" customHeight="true" x14ac:dyDescent="0.15" hidden="false">
      <c r="A285" t="s">
        <v>6949</v>
      </c>
      <c r="B285" t="n">
        <v>53.0</v>
      </c>
      <c r="C285"/>
      <c r="D285" t="n">
        <v>0.0</v>
      </c>
      <c r="E285"/>
      <c r="F285"/>
      <c r="G285" t="n">
        <v>0.0</v>
      </c>
      <c r="H285"/>
      <c r="I285"/>
      <c r="J285"/>
      <c r="K285"/>
    </row>
    <row r="286" spans="1:2" ht="13.5" customHeight="true" x14ac:dyDescent="0.15" hidden="false">
      <c r="A286" t="s">
        <v>6949</v>
      </c>
      <c r="B286" t="n">
        <v>54.0</v>
      </c>
      <c r="C286"/>
      <c r="D286" t="n">
        <v>0.0</v>
      </c>
      <c r="E286"/>
      <c r="F286"/>
      <c r="G286" t="n">
        <v>0.0</v>
      </c>
      <c r="H286"/>
      <c r="I286"/>
      <c r="J286"/>
      <c r="K286"/>
    </row>
    <row r="287" spans="1:2" ht="13.5" customHeight="true" x14ac:dyDescent="0.15" hidden="false">
      <c r="A287" t="s">
        <v>6950</v>
      </c>
      <c r="B287" t="n">
        <v>1.0</v>
      </c>
      <c r="C287"/>
      <c r="D287"/>
      <c r="E287" t="n">
        <v>0.0</v>
      </c>
      <c r="F287"/>
      <c r="G287"/>
      <c r="H287" t="n">
        <v>0.0</v>
      </c>
      <c r="I287"/>
      <c r="J287"/>
      <c r="K287"/>
    </row>
    <row r="288" spans="1:2" ht="13.5" customHeight="true" x14ac:dyDescent="0.15" hidden="false">
      <c r="A288" t="s">
        <v>6950</v>
      </c>
      <c r="B288" t="n">
        <v>2.0</v>
      </c>
      <c r="C288"/>
      <c r="D288"/>
      <c r="E288" t="n">
        <v>0.0</v>
      </c>
      <c r="F288"/>
      <c r="G288"/>
      <c r="H288" t="n">
        <v>0.0</v>
      </c>
      <c r="I288"/>
      <c r="J288"/>
      <c r="K288"/>
    </row>
    <row r="289" spans="1:2" ht="13.5" customHeight="true" x14ac:dyDescent="0.15" hidden="false">
      <c r="A289" t="s">
        <v>6950</v>
      </c>
      <c r="B289" t="n">
        <v>3.0</v>
      </c>
      <c r="C289" t="n">
        <v>0.0</v>
      </c>
      <c r="D289"/>
      <c r="E289"/>
      <c r="F289" t="n">
        <v>0.0</v>
      </c>
      <c r="G289"/>
      <c r="H289"/>
      <c r="I289"/>
      <c r="J289"/>
      <c r="K289"/>
    </row>
    <row r="290" spans="1:2" ht="13.5" customHeight="true" x14ac:dyDescent="0.15" hidden="false">
      <c r="A290" t="s">
        <v>6950</v>
      </c>
      <c r="B290" t="n">
        <v>4.0</v>
      </c>
      <c r="C290" t="n">
        <v>0.0</v>
      </c>
      <c r="D290"/>
      <c r="E290"/>
      <c r="F290" t="n">
        <v>0.0</v>
      </c>
      <c r="G290"/>
      <c r="H290"/>
      <c r="I290"/>
      <c r="J290"/>
      <c r="K290"/>
    </row>
    <row r="291" spans="1:2" ht="13.5" customHeight="true" x14ac:dyDescent="0.15" hidden="false">
      <c r="A291" t="s">
        <v>6950</v>
      </c>
      <c r="B291" t="n">
        <v>5.0</v>
      </c>
      <c r="C291"/>
      <c r="D291" t="n">
        <v>0.0</v>
      </c>
      <c r="E291"/>
      <c r="F291"/>
      <c r="G291" t="n">
        <v>0.0</v>
      </c>
      <c r="H291"/>
      <c r="I291"/>
      <c r="J291"/>
      <c r="K291"/>
    </row>
    <row r="292" spans="1:2" ht="13.5" customHeight="true" x14ac:dyDescent="0.15" hidden="false">
      <c r="A292" t="s">
        <v>6950</v>
      </c>
      <c r="B292" t="n">
        <v>6.0</v>
      </c>
      <c r="C292"/>
      <c r="D292" t="n">
        <v>0.0</v>
      </c>
      <c r="E292"/>
      <c r="F292"/>
      <c r="G292" t="n">
        <v>0.0</v>
      </c>
      <c r="H292"/>
      <c r="I292"/>
      <c r="J292"/>
      <c r="K292"/>
    </row>
    <row r="293" spans="1:2" ht="13.5" customHeight="true" x14ac:dyDescent="0.15" hidden="false">
      <c r="A293" t="s">
        <v>6950</v>
      </c>
      <c r="B293" t="n">
        <v>7.0</v>
      </c>
      <c r="C293"/>
      <c r="D293"/>
      <c r="E293" t="n">
        <v>0.0</v>
      </c>
      <c r="F293"/>
      <c r="G293"/>
      <c r="H293" t="n">
        <v>0.0</v>
      </c>
      <c r="I293"/>
      <c r="J293"/>
      <c r="K293"/>
    </row>
    <row r="294" spans="1:2" ht="13.5" customHeight="true" x14ac:dyDescent="0.15" hidden="false">
      <c r="A294" t="s">
        <v>6950</v>
      </c>
      <c r="B294" t="n">
        <v>8.0</v>
      </c>
      <c r="C294"/>
      <c r="D294"/>
      <c r="E294" t="n">
        <v>0.0</v>
      </c>
      <c r="F294"/>
      <c r="G294"/>
      <c r="H294" t="n">
        <v>0.0</v>
      </c>
      <c r="I294"/>
      <c r="J294"/>
      <c r="K294"/>
    </row>
    <row r="295" spans="1:2" ht="13.5" customHeight="true" x14ac:dyDescent="0.15" hidden="false">
      <c r="A295" t="s">
        <v>6950</v>
      </c>
      <c r="B295" t="n">
        <v>9.0</v>
      </c>
      <c r="C295" t="n">
        <v>0.0</v>
      </c>
      <c r="D295"/>
      <c r="E295"/>
      <c r="F295" t="n">
        <v>0.0</v>
      </c>
      <c r="G295"/>
      <c r="H295"/>
      <c r="I295"/>
      <c r="J295"/>
      <c r="K295"/>
    </row>
    <row r="296" spans="1:2" ht="13.5" customHeight="true" x14ac:dyDescent="0.15" hidden="false">
      <c r="A296" t="s">
        <v>6950</v>
      </c>
      <c r="B296" t="n">
        <v>10.0</v>
      </c>
      <c r="C296" t="n">
        <v>0.0</v>
      </c>
      <c r="D296"/>
      <c r="E296"/>
      <c r="F296" t="n">
        <v>0.0</v>
      </c>
      <c r="G296"/>
      <c r="H296"/>
      <c r="I296"/>
      <c r="J296"/>
      <c r="K296"/>
    </row>
    <row r="297" spans="1:2" ht="13.5" customHeight="true" x14ac:dyDescent="0.15" hidden="false">
      <c r="A297" t="s">
        <v>6950</v>
      </c>
      <c r="B297" t="n">
        <v>11.0</v>
      </c>
      <c r="C297"/>
      <c r="D297" t="n">
        <v>0.0</v>
      </c>
      <c r="E297"/>
      <c r="F297"/>
      <c r="G297" t="n">
        <v>0.0</v>
      </c>
      <c r="H297"/>
      <c r="I297"/>
      <c r="J297"/>
      <c r="K297"/>
    </row>
    <row r="298" spans="1:2" ht="13.5" customHeight="true" x14ac:dyDescent="0.15" hidden="false">
      <c r="A298" t="s">
        <v>6950</v>
      </c>
      <c r="B298" t="n">
        <v>12.0</v>
      </c>
      <c r="C298"/>
      <c r="D298" t="n">
        <v>0.0</v>
      </c>
      <c r="E298"/>
      <c r="F298"/>
      <c r="G298" t="n">
        <v>0.0</v>
      </c>
      <c r="H298"/>
      <c r="I298"/>
      <c r="J298"/>
      <c r="K298"/>
    </row>
    <row r="299" spans="1:2" ht="13.5" customHeight="true" x14ac:dyDescent="0.15" hidden="false">
      <c r="A299" t="s">
        <v>6950</v>
      </c>
      <c r="B299" t="n">
        <v>13.0</v>
      </c>
      <c r="C299"/>
      <c r="D299"/>
      <c r="E299" t="n">
        <v>0.0</v>
      </c>
      <c r="F299"/>
      <c r="G299"/>
      <c r="H299" t="n">
        <v>0.0</v>
      </c>
      <c r="I299"/>
      <c r="J299"/>
      <c r="K299"/>
    </row>
    <row r="300" spans="1:2" ht="13.5" customHeight="true" x14ac:dyDescent="0.15" hidden="false">
      <c r="A300" t="s">
        <v>6950</v>
      </c>
      <c r="B300" t="n">
        <v>14.0</v>
      </c>
      <c r="C300"/>
      <c r="D300"/>
      <c r="E300" t="n">
        <v>0.0</v>
      </c>
      <c r="F300"/>
      <c r="G300"/>
      <c r="H300" t="n">
        <v>0.0</v>
      </c>
      <c r="I300"/>
      <c r="J300"/>
      <c r="K300"/>
    </row>
    <row r="301" spans="1:2" ht="13.5" customHeight="true" x14ac:dyDescent="0.15" hidden="false">
      <c r="A301" t="s">
        <v>6950</v>
      </c>
      <c r="B301" t="n">
        <v>15.0</v>
      </c>
      <c r="C301" t="n">
        <v>0.0</v>
      </c>
      <c r="D301"/>
      <c r="E301"/>
      <c r="F301" t="n">
        <v>0.0</v>
      </c>
      <c r="G301"/>
      <c r="H301"/>
      <c r="I301"/>
      <c r="J301"/>
      <c r="K301"/>
    </row>
    <row r="302" spans="1:2" ht="13.5" customHeight="true" x14ac:dyDescent="0.15" hidden="false">
      <c r="A302" t="s">
        <v>6950</v>
      </c>
      <c r="B302" t="n">
        <v>16.0</v>
      </c>
      <c r="C302" t="n">
        <v>0.0</v>
      </c>
      <c r="D302"/>
      <c r="E302"/>
      <c r="F302" t="n">
        <v>0.0</v>
      </c>
      <c r="G302"/>
      <c r="H302"/>
      <c r="I302"/>
      <c r="J302"/>
      <c r="K302"/>
    </row>
    <row r="303" spans="1:2" ht="13.5" customHeight="true" x14ac:dyDescent="0.15" hidden="false">
      <c r="A303" t="s">
        <v>6950</v>
      </c>
      <c r="B303" t="n">
        <v>17.0</v>
      </c>
      <c r="C303"/>
      <c r="D303" t="n">
        <v>0.0</v>
      </c>
      <c r="E303"/>
      <c r="F303"/>
      <c r="G303" t="n">
        <v>0.0</v>
      </c>
      <c r="H303"/>
      <c r="I303"/>
      <c r="J303"/>
      <c r="K303"/>
    </row>
    <row r="304" spans="1:2" ht="13.5" customHeight="true" x14ac:dyDescent="0.15" hidden="false">
      <c r="A304" t="s">
        <v>6950</v>
      </c>
      <c r="B304" t="n">
        <v>18.0</v>
      </c>
      <c r="C304"/>
      <c r="D304" t="n">
        <v>0.0</v>
      </c>
      <c r="E304"/>
      <c r="F304"/>
      <c r="G304" t="n">
        <v>0.0</v>
      </c>
      <c r="H304"/>
      <c r="I304"/>
      <c r="J304"/>
      <c r="K304"/>
    </row>
    <row r="305" spans="1:2" ht="13.5" customHeight="true" x14ac:dyDescent="0.15" hidden="false">
      <c r="A305" t="s">
        <v>6950</v>
      </c>
      <c r="B305" t="n">
        <v>19.0</v>
      </c>
      <c r="C305"/>
      <c r="D305"/>
      <c r="E305" t="n">
        <v>0.0</v>
      </c>
      <c r="F305"/>
      <c r="G305"/>
      <c r="H305" t="n">
        <v>0.0</v>
      </c>
      <c r="I305"/>
      <c r="J305"/>
      <c r="K305"/>
    </row>
    <row r="306" spans="1:2" ht="13.5" customHeight="true" x14ac:dyDescent="0.15" hidden="false">
      <c r="A306" t="s">
        <v>6950</v>
      </c>
      <c r="B306" t="n">
        <v>20.0</v>
      </c>
      <c r="C306"/>
      <c r="D306"/>
      <c r="E306" t="n">
        <v>0.0</v>
      </c>
      <c r="F306"/>
      <c r="G306"/>
      <c r="H306" t="n">
        <v>0.0</v>
      </c>
      <c r="I306"/>
      <c r="J306"/>
      <c r="K306"/>
    </row>
    <row r="307" spans="1:2" ht="13.5" customHeight="true" x14ac:dyDescent="0.15" hidden="false">
      <c r="A307" t="s">
        <v>6950</v>
      </c>
      <c r="B307" t="n">
        <v>21.0</v>
      </c>
      <c r="C307" t="n">
        <v>0.0</v>
      </c>
      <c r="D307"/>
      <c r="E307"/>
      <c r="F307" t="n">
        <v>0.0</v>
      </c>
      <c r="G307"/>
      <c r="H307"/>
      <c r="I307"/>
      <c r="J307"/>
      <c r="K307"/>
    </row>
    <row r="308" spans="1:2" ht="13.5" customHeight="true" x14ac:dyDescent="0.15" hidden="false">
      <c r="A308" t="s">
        <v>6950</v>
      </c>
      <c r="B308" t="n">
        <v>22.0</v>
      </c>
      <c r="C308" t="n">
        <v>0.0</v>
      </c>
      <c r="D308"/>
      <c r="E308"/>
      <c r="F308" t="n">
        <v>0.0</v>
      </c>
      <c r="G308"/>
      <c r="H308"/>
      <c r="I308"/>
      <c r="J308"/>
      <c r="K308"/>
    </row>
    <row r="309" spans="1:2" ht="13.5" customHeight="true" x14ac:dyDescent="0.15" hidden="false">
      <c r="A309" t="s">
        <v>6950</v>
      </c>
      <c r="B309" t="n">
        <v>23.0</v>
      </c>
      <c r="C309"/>
      <c r="D309" t="n">
        <v>0.0</v>
      </c>
      <c r="E309"/>
      <c r="F309"/>
      <c r="G309" t="n">
        <v>0.0</v>
      </c>
      <c r="H309"/>
      <c r="I309"/>
      <c r="J309"/>
      <c r="K309"/>
    </row>
    <row r="310" spans="1:2" ht="13.5" customHeight="true" x14ac:dyDescent="0.15" hidden="false">
      <c r="A310" t="s">
        <v>6950</v>
      </c>
      <c r="B310" t="n">
        <v>24.0</v>
      </c>
      <c r="C310"/>
      <c r="D310" t="n">
        <v>0.0</v>
      </c>
      <c r="E310"/>
      <c r="F310"/>
      <c r="G310" t="n">
        <v>0.0</v>
      </c>
      <c r="H310"/>
      <c r="I310"/>
      <c r="J310"/>
      <c r="K310"/>
    </row>
    <row r="311" spans="1:2" ht="13.5" customHeight="true" x14ac:dyDescent="0.15" hidden="false">
      <c r="A311" t="s">
        <v>6950</v>
      </c>
      <c r="B311" t="n">
        <v>25.0</v>
      </c>
      <c r="C311"/>
      <c r="D311"/>
      <c r="E311" t="n">
        <v>0.0</v>
      </c>
      <c r="F311"/>
      <c r="G311"/>
      <c r="H311" t="n">
        <v>0.0</v>
      </c>
      <c r="I311"/>
      <c r="J311"/>
      <c r="K311"/>
    </row>
    <row r="312" spans="1:2" ht="13.5" customHeight="true" x14ac:dyDescent="0.15" hidden="false">
      <c r="A312" t="s">
        <v>6950</v>
      </c>
      <c r="B312" t="n">
        <v>26.0</v>
      </c>
      <c r="C312"/>
      <c r="D312"/>
      <c r="E312" t="n">
        <v>0.0</v>
      </c>
      <c r="F312"/>
      <c r="G312"/>
      <c r="H312" t="n">
        <v>0.0</v>
      </c>
      <c r="I312"/>
      <c r="J312"/>
      <c r="K312"/>
    </row>
    <row r="313" spans="1:2" ht="13.5" customHeight="true" x14ac:dyDescent="0.15" hidden="false">
      <c r="A313" t="s">
        <v>6950</v>
      </c>
      <c r="B313" t="n">
        <v>27.0</v>
      </c>
      <c r="C313" t="n">
        <v>0.0</v>
      </c>
      <c r="D313"/>
      <c r="E313"/>
      <c r="F313" t="n">
        <v>0.0</v>
      </c>
      <c r="G313"/>
      <c r="H313"/>
      <c r="I313"/>
      <c r="J313"/>
      <c r="K313"/>
    </row>
    <row r="314" spans="1:2" ht="13.5" customHeight="true" x14ac:dyDescent="0.15" hidden="false">
      <c r="A314" t="s">
        <v>6950</v>
      </c>
      <c r="B314" t="n">
        <v>28.0</v>
      </c>
      <c r="C314" t="n">
        <v>0.0</v>
      </c>
      <c r="D314"/>
      <c r="E314"/>
      <c r="F314" t="n">
        <v>0.0</v>
      </c>
      <c r="G314"/>
      <c r="H314"/>
      <c r="I314"/>
      <c r="J314"/>
      <c r="K314"/>
    </row>
    <row r="315" spans="1:2" ht="13.5" customHeight="true" x14ac:dyDescent="0.15" hidden="false">
      <c r="A315" t="s">
        <v>6950</v>
      </c>
      <c r="B315" t="n">
        <v>29.0</v>
      </c>
      <c r="C315"/>
      <c r="D315" t="n">
        <v>0.0</v>
      </c>
      <c r="E315"/>
      <c r="F315"/>
      <c r="G315" t="n">
        <v>0.0</v>
      </c>
      <c r="H315"/>
      <c r="I315"/>
      <c r="J315"/>
      <c r="K315"/>
    </row>
    <row r="316" spans="1:2" ht="13.5" customHeight="true" x14ac:dyDescent="0.15" hidden="false">
      <c r="A316" t="s">
        <v>6950</v>
      </c>
      <c r="B316" t="n">
        <v>30.0</v>
      </c>
      <c r="C316"/>
      <c r="D316" t="n">
        <v>0.0</v>
      </c>
      <c r="E316"/>
      <c r="F316"/>
      <c r="G316" t="n">
        <v>0.0</v>
      </c>
      <c r="H316"/>
      <c r="I316"/>
      <c r="J316"/>
      <c r="K316"/>
    </row>
    <row r="317" spans="1:2" ht="13.5" customHeight="true" x14ac:dyDescent="0.15" hidden="false">
      <c r="A317" t="s">
        <v>6950</v>
      </c>
      <c r="B317" t="n">
        <v>31.0</v>
      </c>
      <c r="C317"/>
      <c r="D317"/>
      <c r="E317" t="n">
        <v>0.0</v>
      </c>
      <c r="F317"/>
      <c r="G317"/>
      <c r="H317" t="n">
        <v>0.0</v>
      </c>
      <c r="I317"/>
      <c r="J317"/>
      <c r="K317"/>
    </row>
    <row r="318" spans="1:2" ht="13.5" customHeight="true" x14ac:dyDescent="0.15" hidden="false">
      <c r="A318" t="s">
        <v>6950</v>
      </c>
      <c r="B318" t="n">
        <v>32.0</v>
      </c>
      <c r="C318"/>
      <c r="D318"/>
      <c r="E318" t="n">
        <v>0.0</v>
      </c>
      <c r="F318"/>
      <c r="G318"/>
      <c r="H318" t="n">
        <v>3.59</v>
      </c>
      <c r="I318"/>
      <c r="J318"/>
      <c r="K318" t="n">
        <v>8.214575367860038E-4</v>
      </c>
    </row>
    <row r="319" spans="1:2" ht="13.5" customHeight="true" x14ac:dyDescent="0.15" hidden="false">
      <c r="A319" t="s">
        <v>6950</v>
      </c>
      <c r="B319" t="n">
        <v>33.0</v>
      </c>
      <c r="C319" t="n">
        <v>0.0</v>
      </c>
      <c r="D319"/>
      <c r="E319"/>
      <c r="F319" t="n">
        <v>0.0</v>
      </c>
      <c r="G319"/>
      <c r="H319"/>
      <c r="I319"/>
      <c r="J319"/>
      <c r="K319"/>
    </row>
    <row r="320" spans="1:2" ht="13.5" customHeight="true" x14ac:dyDescent="0.15" hidden="false">
      <c r="A320" t="s">
        <v>6950</v>
      </c>
      <c r="B320" t="n">
        <v>34.0</v>
      </c>
      <c r="C320" t="n">
        <v>0.0</v>
      </c>
      <c r="D320"/>
      <c r="E320"/>
      <c r="F320" t="n">
        <v>3.61</v>
      </c>
      <c r="G320"/>
      <c r="H320"/>
      <c r="I320" t="n">
        <v>8.260919939752056E-4</v>
      </c>
      <c r="J320"/>
      <c r="K320"/>
    </row>
    <row r="321" spans="1:2" ht="13.5" customHeight="true" x14ac:dyDescent="0.15" hidden="false">
      <c r="A321" t="s">
        <v>6950</v>
      </c>
      <c r="B321" t="n">
        <v>35.0</v>
      </c>
      <c r="C321"/>
      <c r="D321" t="n">
        <v>0.0</v>
      </c>
      <c r="E321"/>
      <c r="F321"/>
      <c r="G321" t="n">
        <v>0.0</v>
      </c>
      <c r="H321"/>
      <c r="I321"/>
      <c r="J321"/>
      <c r="K321"/>
    </row>
    <row r="322" spans="1:2" ht="13.5" customHeight="true" x14ac:dyDescent="0.15" hidden="false">
      <c r="A322" t="s">
        <v>6950</v>
      </c>
      <c r="B322" t="n">
        <v>36.0</v>
      </c>
      <c r="C322"/>
      <c r="D322" t="n">
        <v>0.0</v>
      </c>
      <c r="E322"/>
      <c r="F322"/>
      <c r="G322" t="n">
        <v>3.46</v>
      </c>
      <c r="H322"/>
      <c r="I322"/>
      <c r="J322" t="n">
        <v>4.008805468659483E-4</v>
      </c>
      <c r="K322"/>
    </row>
    <row r="323" spans="1:2" ht="13.5" customHeight="true" x14ac:dyDescent="0.15" hidden="false">
      <c r="A323" t="s">
        <v>6950</v>
      </c>
      <c r="B323" t="n">
        <v>37.0</v>
      </c>
      <c r="C323"/>
      <c r="D323"/>
      <c r="E323" t="n">
        <v>0.0</v>
      </c>
      <c r="F323"/>
      <c r="G323"/>
      <c r="H323" t="n">
        <v>0.22</v>
      </c>
      <c r="I323"/>
      <c r="J323"/>
      <c r="K323" t="n">
        <v>4.982618771726535E-5</v>
      </c>
    </row>
    <row r="324" spans="1:2" ht="13.5" customHeight="true" x14ac:dyDescent="0.15" hidden="false">
      <c r="A324" t="s">
        <v>6950</v>
      </c>
      <c r="B324" t="n">
        <v>38.0</v>
      </c>
      <c r="C324"/>
      <c r="D324"/>
      <c r="E324" t="n">
        <v>0.0</v>
      </c>
      <c r="F324"/>
      <c r="G324"/>
      <c r="H324" t="n">
        <v>5.37</v>
      </c>
      <c r="I324"/>
      <c r="J324"/>
      <c r="K324" t="n">
        <v>6.221037998146432E-4</v>
      </c>
    </row>
    <row r="325" spans="1:2" ht="13.5" customHeight="true" x14ac:dyDescent="0.15" hidden="false">
      <c r="A325" t="s">
        <v>6950</v>
      </c>
      <c r="B325" t="n">
        <v>39.0</v>
      </c>
      <c r="C325" t="n">
        <v>0.0</v>
      </c>
      <c r="D325"/>
      <c r="E325"/>
      <c r="F325" t="n">
        <v>0.0</v>
      </c>
      <c r="G325"/>
      <c r="H325"/>
      <c r="I325"/>
      <c r="J325"/>
      <c r="K325"/>
    </row>
    <row r="326" spans="1:2" ht="13.5" customHeight="true" x14ac:dyDescent="0.15" hidden="false">
      <c r="A326" t="s">
        <v>6950</v>
      </c>
      <c r="B326" t="n">
        <v>40.0</v>
      </c>
      <c r="C326" t="n">
        <v>0.0</v>
      </c>
      <c r="D326"/>
      <c r="E326"/>
      <c r="F326" t="n">
        <v>5.22</v>
      </c>
      <c r="G326"/>
      <c r="H326"/>
      <c r="I326" t="n">
        <v>6.047265987025023E-4</v>
      </c>
      <c r="J326"/>
      <c r="K326"/>
    </row>
    <row r="327" spans="1:2" ht="13.5" customHeight="true" x14ac:dyDescent="0.15" hidden="false">
      <c r="A327" t="s">
        <v>6950</v>
      </c>
      <c r="B327" t="n">
        <v>41.0</v>
      </c>
      <c r="C327"/>
      <c r="D327" t="n">
        <v>0.0</v>
      </c>
      <c r="E327"/>
      <c r="F327"/>
      <c r="G327" t="n">
        <v>0.21</v>
      </c>
      <c r="H327"/>
      <c r="I327"/>
      <c r="J327" t="n">
        <v>2.4333719582850516E-5</v>
      </c>
      <c r="K327"/>
    </row>
    <row r="328" spans="1:2" ht="13.5" customHeight="true" x14ac:dyDescent="0.15" hidden="false">
      <c r="A328" t="s">
        <v>6950</v>
      </c>
      <c r="B328" t="n">
        <v>42.0</v>
      </c>
      <c r="C328"/>
      <c r="D328" t="n">
        <v>0.0</v>
      </c>
      <c r="E328"/>
      <c r="F328"/>
      <c r="G328" t="n">
        <v>5.68</v>
      </c>
      <c r="H328"/>
      <c r="I328"/>
      <c r="J328" t="n">
        <v>6.581691772885283E-4</v>
      </c>
      <c r="K328"/>
    </row>
    <row r="329" spans="1:2" ht="13.5" customHeight="true" x14ac:dyDescent="0.15" hidden="false">
      <c r="A329" t="s">
        <v>6950</v>
      </c>
      <c r="B329" t="n">
        <v>43.0</v>
      </c>
      <c r="C329"/>
      <c r="D329"/>
      <c r="E329" t="n">
        <v>0.0</v>
      </c>
      <c r="F329"/>
      <c r="G329"/>
      <c r="H329" t="n">
        <v>0.3</v>
      </c>
      <c r="I329"/>
      <c r="J329"/>
      <c r="K329" t="n">
        <v>3.475842891901286E-5</v>
      </c>
    </row>
    <row r="330" spans="1:2" ht="13.5" customHeight="true" x14ac:dyDescent="0.15" hidden="false">
      <c r="A330" t="s">
        <v>6950</v>
      </c>
      <c r="B330" t="n">
        <v>44.0</v>
      </c>
      <c r="C330"/>
      <c r="D330"/>
      <c r="E330" t="n">
        <v>0.0</v>
      </c>
      <c r="F330"/>
      <c r="G330"/>
      <c r="H330" t="n">
        <v>7.91</v>
      </c>
      <c r="I330"/>
      <c r="J330"/>
      <c r="K330" t="n">
        <v>9.743946240296606E-4</v>
      </c>
    </row>
    <row r="331" spans="1:2" ht="13.5" customHeight="true" x14ac:dyDescent="0.15" hidden="false">
      <c r="A331" t="s">
        <v>6950</v>
      </c>
      <c r="B331" t="n">
        <v>45.0</v>
      </c>
      <c r="C331" t="n">
        <v>0.0</v>
      </c>
      <c r="D331"/>
      <c r="E331"/>
      <c r="F331" t="n">
        <v>0.3</v>
      </c>
      <c r="G331"/>
      <c r="H331"/>
      <c r="I331" t="n">
        <v>3.475842891901286E-5</v>
      </c>
      <c r="J331"/>
      <c r="K331"/>
    </row>
    <row r="332" spans="1:2" ht="13.5" customHeight="true" x14ac:dyDescent="0.15" hidden="false">
      <c r="A332" t="s">
        <v>6950</v>
      </c>
      <c r="B332" t="n">
        <v>46.0</v>
      </c>
      <c r="C332" t="n">
        <v>0.0</v>
      </c>
      <c r="D332"/>
      <c r="E332"/>
      <c r="F332" t="n">
        <v>0.5</v>
      </c>
      <c r="G332"/>
      <c r="H332"/>
      <c r="I332" t="n">
        <v>1.123855868381416E-4</v>
      </c>
      <c r="J332"/>
      <c r="K332"/>
    </row>
    <row r="333" spans="1:2" ht="13.5" customHeight="true" x14ac:dyDescent="0.15" hidden="false">
      <c r="A333" t="s">
        <v>6950</v>
      </c>
      <c r="B333" t="n">
        <v>47.0</v>
      </c>
      <c r="C333"/>
      <c r="D333" t="n">
        <v>0.0</v>
      </c>
      <c r="E333"/>
      <c r="F333"/>
      <c r="G333" t="n">
        <v>0.0</v>
      </c>
      <c r="H333"/>
      <c r="I333"/>
      <c r="J333"/>
      <c r="K333"/>
    </row>
    <row r="334" spans="1:2" ht="13.5" customHeight="true" x14ac:dyDescent="0.15" hidden="false">
      <c r="A334" t="s">
        <v>6950</v>
      </c>
      <c r="B334" t="n">
        <v>48.0</v>
      </c>
      <c r="C334"/>
      <c r="D334" t="n">
        <v>0.0</v>
      </c>
      <c r="E334"/>
      <c r="F334"/>
      <c r="G334" t="n">
        <v>0.54</v>
      </c>
      <c r="H334"/>
      <c r="I334"/>
      <c r="J334" t="n">
        <v>1.2165450121654502E-4</v>
      </c>
      <c r="K334"/>
    </row>
    <row r="335" spans="1:2" ht="13.5" customHeight="true" x14ac:dyDescent="0.15" hidden="false">
      <c r="A335" t="s">
        <v>6950</v>
      </c>
      <c r="B335" t="n">
        <v>49.0</v>
      </c>
      <c r="C335"/>
      <c r="D335"/>
      <c r="E335" t="n">
        <v>0.0</v>
      </c>
      <c r="F335"/>
      <c r="G335"/>
      <c r="H335" t="n">
        <v>0.0</v>
      </c>
      <c r="I335"/>
      <c r="J335"/>
      <c r="K335"/>
    </row>
    <row r="336" spans="1:2" ht="13.5" customHeight="true" x14ac:dyDescent="0.15" hidden="false">
      <c r="A336" t="s">
        <v>6950</v>
      </c>
      <c r="B336" t="n">
        <v>50.0</v>
      </c>
      <c r="C336"/>
      <c r="D336"/>
      <c r="E336" t="n">
        <v>0.0</v>
      </c>
      <c r="F336"/>
      <c r="G336"/>
      <c r="H336" t="n">
        <v>0.84</v>
      </c>
      <c r="I336"/>
      <c r="J336"/>
      <c r="K336" t="n">
        <v>1.9232997335187114E-4</v>
      </c>
    </row>
    <row r="337" spans="1:2" ht="13.5" customHeight="true" x14ac:dyDescent="0.15" hidden="false">
      <c r="A337" t="s">
        <v>6950</v>
      </c>
      <c r="B337" t="n">
        <v>51.0</v>
      </c>
      <c r="C337" t="n">
        <v>0.0</v>
      </c>
      <c r="D337"/>
      <c r="E337"/>
      <c r="F337" t="n">
        <v>0.0</v>
      </c>
      <c r="G337"/>
      <c r="H337"/>
      <c r="I337"/>
      <c r="J337"/>
      <c r="K337"/>
    </row>
    <row r="338" spans="1:2" ht="13.5" customHeight="true" x14ac:dyDescent="0.15" hidden="false">
      <c r="A338" t="s">
        <v>6950</v>
      </c>
      <c r="B338" t="n">
        <v>52.0</v>
      </c>
      <c r="C338" t="n">
        <v>0.0</v>
      </c>
      <c r="D338"/>
      <c r="E338"/>
      <c r="F338" t="n">
        <v>0.74</v>
      </c>
      <c r="G338"/>
      <c r="H338"/>
      <c r="I338" t="n">
        <v>8.573745800023173E-5</v>
      </c>
      <c r="J338"/>
      <c r="K338"/>
    </row>
    <row r="339" spans="1:2" ht="13.5" customHeight="true" x14ac:dyDescent="0.15" hidden="false">
      <c r="A339" t="s">
        <v>6950</v>
      </c>
      <c r="B339" t="n">
        <v>53.0</v>
      </c>
      <c r="C339"/>
      <c r="D339" t="n">
        <v>0.0</v>
      </c>
      <c r="E339"/>
      <c r="F339"/>
      <c r="G339" t="n">
        <v>0.0</v>
      </c>
      <c r="H339"/>
      <c r="I339"/>
      <c r="J339"/>
      <c r="K339"/>
    </row>
    <row r="340" spans="1:2" ht="13.5" customHeight="true" x14ac:dyDescent="0.15" hidden="false">
      <c r="A340" t="s">
        <v>6950</v>
      </c>
      <c r="B340" t="n">
        <v>54.0</v>
      </c>
      <c r="C340"/>
      <c r="D340" t="n">
        <v>0.0</v>
      </c>
      <c r="E340"/>
      <c r="F340"/>
      <c r="G340" t="n">
        <v>0.75</v>
      </c>
      <c r="H340"/>
      <c r="I340"/>
      <c r="J340" t="n">
        <v>8.689607229753218E-5</v>
      </c>
      <c r="K340"/>
    </row>
    <row r="341" spans="1:2" ht="13.5" customHeight="true" x14ac:dyDescent="0.15" hidden="false">
      <c r="A341" t="s">
        <v>6951</v>
      </c>
      <c r="B341" t="n">
        <v>1.0</v>
      </c>
      <c r="C341" t="n">
        <v>7.05</v>
      </c>
      <c r="D341"/>
      <c r="E341"/>
      <c r="F341" t="n">
        <v>7.93</v>
      </c>
      <c r="G341"/>
      <c r="H341"/>
      <c r="I341" t="n">
        <v>7.774327311478837</v>
      </c>
      <c r="J341"/>
      <c r="K341"/>
    </row>
    <row r="342" spans="1:2" ht="13.5" customHeight="true" x14ac:dyDescent="0.15" hidden="false">
      <c r="A342" t="s">
        <v>6951</v>
      </c>
      <c r="B342" t="n">
        <v>2.0</v>
      </c>
      <c r="C342" t="n">
        <v>0.99</v>
      </c>
      <c r="D342"/>
      <c r="E342"/>
      <c r="F342" t="n">
        <v>1.32</v>
      </c>
      <c r="G342"/>
      <c r="H342"/>
      <c r="I342" t="n">
        <v>1.0427498619452777</v>
      </c>
      <c r="J342"/>
      <c r="K342"/>
    </row>
    <row r="343" spans="1:2" ht="13.5" customHeight="true" x14ac:dyDescent="0.15" hidden="false">
      <c r="A343" t="s">
        <v>6951</v>
      </c>
      <c r="B343" t="n">
        <v>3.0</v>
      </c>
      <c r="C343"/>
      <c r="D343" t="n">
        <v>0.4</v>
      </c>
      <c r="E343"/>
      <c r="F343"/>
      <c r="G343" t="n">
        <v>1.44</v>
      </c>
      <c r="H343"/>
      <c r="I343"/>
      <c r="J343" t="n">
        <v>1.0895728840439027</v>
      </c>
      <c r="K343"/>
    </row>
    <row r="344" spans="1:2" ht="13.5" customHeight="true" x14ac:dyDescent="0.15" hidden="false">
      <c r="A344" t="s">
        <v>6951</v>
      </c>
      <c r="B344" t="n">
        <v>4.0</v>
      </c>
      <c r="C344"/>
      <c r="D344" t="n">
        <v>0.0</v>
      </c>
      <c r="E344"/>
      <c r="F344"/>
      <c r="G344" t="n">
        <v>0.0</v>
      </c>
      <c r="H344"/>
      <c r="I344"/>
      <c r="J344"/>
      <c r="K344"/>
    </row>
    <row r="345" spans="1:2" ht="13.5" customHeight="true" x14ac:dyDescent="0.15" hidden="false">
      <c r="A345" t="s">
        <v>6951</v>
      </c>
      <c r="B345" t="n">
        <v>5.0</v>
      </c>
      <c r="C345"/>
      <c r="D345"/>
      <c r="E345" t="n">
        <v>0.0</v>
      </c>
      <c r="F345"/>
      <c r="G345"/>
      <c r="H345" t="n">
        <v>0.4</v>
      </c>
      <c r="I345"/>
      <c r="J345"/>
      <c r="K345" t="n">
        <v>0.3903809744600288</v>
      </c>
    </row>
    <row r="346" spans="1:2" ht="13.5" customHeight="true" x14ac:dyDescent="0.15" hidden="false">
      <c r="A346" t="s">
        <v>6951</v>
      </c>
      <c r="B346" t="n">
        <v>6.0</v>
      </c>
      <c r="C346"/>
      <c r="D346"/>
      <c r="E346" t="n">
        <v>0.0</v>
      </c>
      <c r="F346"/>
      <c r="G346"/>
      <c r="H346" t="n">
        <v>0.4</v>
      </c>
      <c r="I346"/>
      <c r="J346"/>
      <c r="K346" t="n">
        <v>0.3787995505441786</v>
      </c>
    </row>
    <row r="347" spans="1:2" ht="13.5" customHeight="true" x14ac:dyDescent="0.15" hidden="false">
      <c r="A347" t="s">
        <v>6951</v>
      </c>
      <c r="B347" t="n">
        <v>7.0</v>
      </c>
      <c r="C347" t="n">
        <v>0.0</v>
      </c>
      <c r="D347"/>
      <c r="E347"/>
      <c r="F347" t="n">
        <v>0.0</v>
      </c>
      <c r="G347"/>
      <c r="H347"/>
      <c r="I347"/>
      <c r="J347"/>
      <c r="K347"/>
    </row>
    <row r="348" spans="1:2" ht="13.5" customHeight="true" x14ac:dyDescent="0.15" hidden="false">
      <c r="A348" t="s">
        <v>6951</v>
      </c>
      <c r="B348" t="n">
        <v>8.0</v>
      </c>
      <c r="C348" t="n">
        <v>0.0</v>
      </c>
      <c r="D348"/>
      <c r="E348"/>
      <c r="F348" t="n">
        <v>0.0</v>
      </c>
      <c r="G348"/>
      <c r="H348"/>
      <c r="I348"/>
      <c r="J348"/>
      <c r="K348"/>
    </row>
    <row r="349" spans="1:2" ht="13.5" customHeight="true" x14ac:dyDescent="0.15" hidden="false">
      <c r="A349" t="s">
        <v>6951</v>
      </c>
      <c r="B349" t="n">
        <v>9.0</v>
      </c>
      <c r="C349"/>
      <c r="D349" t="n">
        <v>0.0</v>
      </c>
      <c r="E349"/>
      <c r="F349"/>
      <c r="G349" t="n">
        <v>0.0</v>
      </c>
      <c r="H349"/>
      <c r="I349"/>
      <c r="J349"/>
      <c r="K349"/>
    </row>
    <row r="350" spans="1:2" ht="13.5" customHeight="true" x14ac:dyDescent="0.15" hidden="false">
      <c r="A350" t="s">
        <v>6951</v>
      </c>
      <c r="B350" t="n">
        <v>10.0</v>
      </c>
      <c r="C350"/>
      <c r="D350" t="n">
        <v>0.0</v>
      </c>
      <c r="E350"/>
      <c r="F350"/>
      <c r="G350" t="n">
        <v>0.0</v>
      </c>
      <c r="H350"/>
      <c r="I350"/>
      <c r="J350"/>
      <c r="K350"/>
    </row>
    <row r="351" spans="1:2" ht="13.5" customHeight="true" x14ac:dyDescent="0.15" hidden="false">
      <c r="A351" t="s">
        <v>6951</v>
      </c>
      <c r="B351" t="n">
        <v>11.0</v>
      </c>
      <c r="C351"/>
      <c r="D351"/>
      <c r="E351" t="n">
        <v>0.0</v>
      </c>
      <c r="F351"/>
      <c r="G351"/>
      <c r="H351" t="n">
        <v>0.0</v>
      </c>
      <c r="I351"/>
      <c r="J351"/>
      <c r="K351"/>
    </row>
    <row r="352" spans="1:2" ht="13.5" customHeight="true" x14ac:dyDescent="0.15" hidden="false">
      <c r="A352" t="s">
        <v>6951</v>
      </c>
      <c r="B352" t="n">
        <v>12.0</v>
      </c>
      <c r="C352"/>
      <c r="D352"/>
      <c r="E352" t="n">
        <v>0.0</v>
      </c>
      <c r="F352"/>
      <c r="G352"/>
      <c r="H352" t="n">
        <v>0.0</v>
      </c>
      <c r="I352"/>
      <c r="J352"/>
      <c r="K352"/>
    </row>
    <row r="353" spans="1:2" ht="13.5" customHeight="true" x14ac:dyDescent="0.15" hidden="false">
      <c r="A353" t="s">
        <v>6951</v>
      </c>
      <c r="B353" t="n">
        <v>13.0</v>
      </c>
      <c r="C353" t="n">
        <v>0.0</v>
      </c>
      <c r="D353"/>
      <c r="E353"/>
      <c r="F353" t="n">
        <v>0.0</v>
      </c>
      <c r="G353"/>
      <c r="H353"/>
      <c r="I353"/>
      <c r="J353"/>
      <c r="K353"/>
    </row>
    <row r="354" spans="1:2" ht="13.5" customHeight="true" x14ac:dyDescent="0.15" hidden="false">
      <c r="A354" t="s">
        <v>6951</v>
      </c>
      <c r="B354" t="n">
        <v>14.0</v>
      </c>
      <c r="C354" t="n">
        <v>0.0</v>
      </c>
      <c r="D354"/>
      <c r="E354"/>
      <c r="F354" t="n">
        <v>0.0</v>
      </c>
      <c r="G354"/>
      <c r="H354"/>
      <c r="I354"/>
      <c r="J354"/>
      <c r="K354"/>
    </row>
    <row r="355" spans="1:2" ht="13.5" customHeight="true" x14ac:dyDescent="0.15" hidden="false">
      <c r="A355" t="s">
        <v>6951</v>
      </c>
      <c r="B355" t="n">
        <v>15.0</v>
      </c>
      <c r="C355"/>
      <c r="D355" t="n">
        <v>0.0</v>
      </c>
      <c r="E355"/>
      <c r="F355"/>
      <c r="G355" t="n">
        <v>0.0</v>
      </c>
      <c r="H355"/>
      <c r="I355"/>
      <c r="J355"/>
      <c r="K355"/>
    </row>
    <row r="356" spans="1:2" ht="13.5" customHeight="true" x14ac:dyDescent="0.15" hidden="false">
      <c r="A356" t="s">
        <v>6951</v>
      </c>
      <c r="B356" t="n">
        <v>16.0</v>
      </c>
      <c r="C356"/>
      <c r="D356" t="n">
        <v>0.0</v>
      </c>
      <c r="E356"/>
      <c r="F356"/>
      <c r="G356" t="n">
        <v>0.0</v>
      </c>
      <c r="H356"/>
      <c r="I356"/>
      <c r="J356"/>
      <c r="K356"/>
    </row>
    <row r="357" spans="1:2" ht="13.5" customHeight="true" x14ac:dyDescent="0.15" hidden="false">
      <c r="A357" t="s">
        <v>6951</v>
      </c>
      <c r="B357" t="n">
        <v>17.0</v>
      </c>
      <c r="C357"/>
      <c r="D357"/>
      <c r="E357" t="n">
        <v>0.0</v>
      </c>
      <c r="F357"/>
      <c r="G357"/>
      <c r="H357" t="n">
        <v>0.0</v>
      </c>
      <c r="I357"/>
      <c r="J357"/>
      <c r="K357"/>
    </row>
    <row r="358" spans="1:2" ht="13.5" customHeight="true" x14ac:dyDescent="0.15" hidden="false">
      <c r="A358" t="s">
        <v>6951</v>
      </c>
      <c r="B358" t="n">
        <v>18.0</v>
      </c>
      <c r="C358"/>
      <c r="D358"/>
      <c r="E358" t="n">
        <v>0.0</v>
      </c>
      <c r="F358"/>
      <c r="G358"/>
      <c r="H358" t="n">
        <v>0.0</v>
      </c>
      <c r="I358"/>
      <c r="J358"/>
      <c r="K358"/>
    </row>
    <row r="359" spans="1:2" ht="13.5" customHeight="true" x14ac:dyDescent="0.15" hidden="false">
      <c r="A359" t="s">
        <v>6951</v>
      </c>
      <c r="B359" t="n">
        <v>19.0</v>
      </c>
      <c r="C359" t="n">
        <v>0.0</v>
      </c>
      <c r="D359"/>
      <c r="E359"/>
      <c r="F359" t="n">
        <v>1.07</v>
      </c>
      <c r="G359"/>
      <c r="H359"/>
      <c r="I359" t="n">
        <v>0.9402762424888852</v>
      </c>
      <c r="J359"/>
      <c r="K359"/>
    </row>
    <row r="360" spans="1:2" ht="13.5" customHeight="true" x14ac:dyDescent="0.15" hidden="false">
      <c r="A360" t="s">
        <v>6951</v>
      </c>
      <c r="B360" t="n">
        <v>20.0</v>
      </c>
      <c r="C360" t="n">
        <v>0.0</v>
      </c>
      <c r="D360"/>
      <c r="E360"/>
      <c r="F360" t="n">
        <v>0.0</v>
      </c>
      <c r="G360"/>
      <c r="H360"/>
      <c r="I360"/>
      <c r="J360"/>
      <c r="K360"/>
    </row>
    <row r="361" spans="1:2" ht="13.5" customHeight="true" x14ac:dyDescent="0.15" hidden="false">
      <c r="A361" t="s">
        <v>6951</v>
      </c>
      <c r="B361" t="n">
        <v>21.0</v>
      </c>
      <c r="C361"/>
      <c r="D361" t="n">
        <v>0.0</v>
      </c>
      <c r="E361"/>
      <c r="F361"/>
      <c r="G361" t="n">
        <v>0.44</v>
      </c>
      <c r="H361"/>
      <c r="I361"/>
      <c r="J361" t="n">
        <v>0.36240837860090497</v>
      </c>
      <c r="K361"/>
    </row>
    <row r="362" spans="1:2" ht="13.5" customHeight="true" x14ac:dyDescent="0.15" hidden="false">
      <c r="A362" t="s">
        <v>6951</v>
      </c>
      <c r="B362" t="n">
        <v>22.0</v>
      </c>
      <c r="C362"/>
      <c r="D362" t="n">
        <v>0.0</v>
      </c>
      <c r="E362"/>
      <c r="F362"/>
      <c r="G362" t="n">
        <v>0.0</v>
      </c>
      <c r="H362"/>
      <c r="I362"/>
      <c r="J362"/>
      <c r="K362"/>
    </row>
    <row r="363" spans="1:2" ht="13.5" customHeight="true" x14ac:dyDescent="0.15" hidden="false">
      <c r="A363" t="s">
        <v>6951</v>
      </c>
      <c r="B363" t="n">
        <v>23.0</v>
      </c>
      <c r="C363"/>
      <c r="D363"/>
      <c r="E363" t="n">
        <v>0.0</v>
      </c>
      <c r="F363"/>
      <c r="G363"/>
      <c r="H363" t="n">
        <v>0.0</v>
      </c>
      <c r="I363"/>
      <c r="J363"/>
      <c r="K363"/>
    </row>
    <row r="364" spans="1:2" ht="13.5" customHeight="true" x14ac:dyDescent="0.15" hidden="false">
      <c r="A364" t="s">
        <v>6951</v>
      </c>
      <c r="B364" t="n">
        <v>24.0</v>
      </c>
      <c r="C364"/>
      <c r="D364"/>
      <c r="E364" t="n">
        <v>0.0</v>
      </c>
      <c r="F364"/>
      <c r="G364"/>
      <c r="H364" t="n">
        <v>0.0</v>
      </c>
      <c r="I364"/>
      <c r="J364"/>
      <c r="K364"/>
    </row>
    <row r="365" spans="1:2" ht="13.5" customHeight="true" x14ac:dyDescent="0.15" hidden="false">
      <c r="A365" t="s">
        <v>6951</v>
      </c>
      <c r="B365" t="n">
        <v>25.0</v>
      </c>
      <c r="C365" t="n">
        <v>0.0</v>
      </c>
      <c r="D365"/>
      <c r="E365"/>
      <c r="F365" t="n">
        <v>0.0</v>
      </c>
      <c r="G365"/>
      <c r="H365"/>
      <c r="I365"/>
      <c r="J365"/>
      <c r="K365"/>
    </row>
    <row r="366" spans="1:2" ht="13.5" customHeight="true" x14ac:dyDescent="0.15" hidden="false">
      <c r="A366" t="s">
        <v>6951</v>
      </c>
      <c r="B366" t="n">
        <v>26.0</v>
      </c>
      <c r="C366" t="n">
        <v>0.0</v>
      </c>
      <c r="D366"/>
      <c r="E366"/>
      <c r="F366" t="n">
        <v>0.0</v>
      </c>
      <c r="G366"/>
      <c r="H366"/>
      <c r="I366"/>
      <c r="J366"/>
      <c r="K366"/>
    </row>
    <row r="367" spans="1:2" ht="13.5" customHeight="true" x14ac:dyDescent="0.15" hidden="false">
      <c r="A367" t="s">
        <v>6951</v>
      </c>
      <c r="B367" t="n">
        <v>27.0</v>
      </c>
      <c r="C367"/>
      <c r="D367" t="n">
        <v>0.0</v>
      </c>
      <c r="E367"/>
      <c r="F367"/>
      <c r="G367" t="n">
        <v>0.0</v>
      </c>
      <c r="H367"/>
      <c r="I367"/>
      <c r="J367"/>
      <c r="K367"/>
    </row>
    <row r="368" spans="1:2" ht="13.5" customHeight="true" x14ac:dyDescent="0.15" hidden="false">
      <c r="A368" t="s">
        <v>6951</v>
      </c>
      <c r="B368" t="n">
        <v>28.0</v>
      </c>
      <c r="C368"/>
      <c r="D368" t="n">
        <v>0.0</v>
      </c>
      <c r="E368"/>
      <c r="F368"/>
      <c r="G368" t="n">
        <v>0.0</v>
      </c>
      <c r="H368"/>
      <c r="I368"/>
      <c r="J368"/>
      <c r="K368"/>
    </row>
    <row r="369" spans="1:2" ht="13.5" customHeight="true" x14ac:dyDescent="0.15" hidden="false">
      <c r="A369" t="s">
        <v>6951</v>
      </c>
      <c r="B369" t="n">
        <v>29.0</v>
      </c>
      <c r="C369"/>
      <c r="D369"/>
      <c r="E369" t="n">
        <v>0.0</v>
      </c>
      <c r="F369"/>
      <c r="G369"/>
      <c r="H369" t="n">
        <v>0.0</v>
      </c>
      <c r="I369"/>
      <c r="J369"/>
      <c r="K369"/>
    </row>
    <row r="370" spans="1:2" ht="13.5" customHeight="true" x14ac:dyDescent="0.15" hidden="false">
      <c r="A370" t="s">
        <v>6951</v>
      </c>
      <c r="B370" t="n">
        <v>30.0</v>
      </c>
      <c r="C370"/>
      <c r="D370"/>
      <c r="E370" t="n">
        <v>0.0</v>
      </c>
      <c r="F370"/>
      <c r="G370"/>
      <c r="H370" t="n">
        <v>0.0</v>
      </c>
      <c r="I370"/>
      <c r="J370"/>
      <c r="K370"/>
    </row>
    <row r="371" spans="1:2" ht="13.5" customHeight="true" x14ac:dyDescent="0.15" hidden="false">
      <c r="A371" t="s">
        <v>6951</v>
      </c>
      <c r="B371" t="n">
        <v>31.0</v>
      </c>
      <c r="C371" t="n">
        <v>0.0</v>
      </c>
      <c r="D371"/>
      <c r="E371"/>
      <c r="F371" t="n">
        <v>0.0</v>
      </c>
      <c r="G371"/>
      <c r="H371"/>
      <c r="I371"/>
      <c r="J371"/>
      <c r="K371"/>
    </row>
    <row r="372" spans="1:2" ht="13.5" customHeight="true" x14ac:dyDescent="0.15" hidden="false">
      <c r="A372" t="s">
        <v>6951</v>
      </c>
      <c r="B372" t="n">
        <v>32.0</v>
      </c>
      <c r="C372" t="n">
        <v>0.0</v>
      </c>
      <c r="D372"/>
      <c r="E372"/>
      <c r="F372" t="n">
        <v>0.0</v>
      </c>
      <c r="G372"/>
      <c r="H372"/>
      <c r="I372"/>
      <c r="J372"/>
      <c r="K372"/>
    </row>
    <row r="373" spans="1:2" ht="13.5" customHeight="true" x14ac:dyDescent="0.15" hidden="false">
      <c r="A373" t="s">
        <v>6951</v>
      </c>
      <c r="B373" t="n">
        <v>33.0</v>
      </c>
      <c r="C373"/>
      <c r="D373" t="n">
        <v>0.0</v>
      </c>
      <c r="E373"/>
      <c r="F373"/>
      <c r="G373" t="n">
        <v>0.0</v>
      </c>
      <c r="H373"/>
      <c r="I373"/>
      <c r="J373"/>
      <c r="K373"/>
    </row>
    <row r="374" spans="1:2" ht="13.5" customHeight="true" x14ac:dyDescent="0.15" hidden="false">
      <c r="A374" t="s">
        <v>6951</v>
      </c>
      <c r="B374" t="n">
        <v>34.0</v>
      </c>
      <c r="C374"/>
      <c r="D374" t="n">
        <v>0.0</v>
      </c>
      <c r="E374"/>
      <c r="F374"/>
      <c r="G374" t="n">
        <v>0.0</v>
      </c>
      <c r="H374"/>
      <c r="I374"/>
      <c r="J374"/>
      <c r="K374"/>
    </row>
    <row r="375" spans="1:2" ht="13.5" customHeight="true" x14ac:dyDescent="0.15" hidden="false">
      <c r="A375" t="s">
        <v>6951</v>
      </c>
      <c r="B375" t="n">
        <v>35.0</v>
      </c>
      <c r="C375"/>
      <c r="D375"/>
      <c r="E375" t="n">
        <v>0.0</v>
      </c>
      <c r="F375"/>
      <c r="G375"/>
      <c r="H375" t="n">
        <v>0.0</v>
      </c>
      <c r="I375"/>
      <c r="J375"/>
      <c r="K375"/>
    </row>
    <row r="376" spans="1:2" ht="13.5" customHeight="true" x14ac:dyDescent="0.15" hidden="false">
      <c r="A376" t="s">
        <v>6951</v>
      </c>
      <c r="B376" t="n">
        <v>36.0</v>
      </c>
      <c r="C376"/>
      <c r="D376"/>
      <c r="E376" t="n">
        <v>0.0</v>
      </c>
      <c r="F376"/>
      <c r="G376"/>
      <c r="H376" t="n">
        <v>0.0</v>
      </c>
      <c r="I376"/>
      <c r="J376"/>
      <c r="K376"/>
    </row>
    <row r="377" spans="1:2" ht="13.5" customHeight="true" x14ac:dyDescent="0.15" hidden="false">
      <c r="A377" t="s">
        <v>6952</v>
      </c>
      <c r="B377" t="n">
        <v>1.0</v>
      </c>
      <c r="C377"/>
      <c r="D377"/>
      <c r="E377"/>
      <c r="F377"/>
      <c r="G377"/>
      <c r="H377"/>
      <c r="I377"/>
      <c r="J377"/>
      <c r="K377"/>
    </row>
    <row r="378" spans="1:2" ht="13.5" customHeight="true" x14ac:dyDescent="0.15" hidden="false">
      <c r="A378" t="s">
        <v>6952</v>
      </c>
      <c r="B378" t="n">
        <v>2.0</v>
      </c>
      <c r="C378"/>
      <c r="D378"/>
      <c r="E378"/>
      <c r="F378"/>
      <c r="G378"/>
      <c r="H378"/>
      <c r="I378"/>
      <c r="J378"/>
      <c r="K378"/>
    </row>
    <row r="379" spans="1:2" ht="13.5" customHeight="true" x14ac:dyDescent="0.15" hidden="false">
      <c r="A379" t="s">
        <v>6952</v>
      </c>
      <c r="B379" t="n">
        <v>3.0</v>
      </c>
      <c r="C379"/>
      <c r="D379"/>
      <c r="E379"/>
      <c r="F379"/>
      <c r="G379"/>
      <c r="H379"/>
      <c r="I379"/>
      <c r="J379"/>
      <c r="K379"/>
    </row>
    <row r="380" spans="1:2" ht="13.5" customHeight="true" x14ac:dyDescent="0.15" hidden="false">
      <c r="A380" t="s">
        <v>6952</v>
      </c>
      <c r="B380" t="n">
        <v>4.0</v>
      </c>
      <c r="C380"/>
      <c r="D380"/>
      <c r="E380"/>
      <c r="F380"/>
      <c r="G380"/>
      <c r="H380"/>
      <c r="I380"/>
      <c r="J380"/>
      <c r="K380"/>
    </row>
    <row r="381" spans="1:2" ht="13.5" customHeight="true" x14ac:dyDescent="0.15" hidden="false">
      <c r="A381" t="s">
        <v>6952</v>
      </c>
      <c r="B381" t="n">
        <v>5.0</v>
      </c>
      <c r="C381"/>
      <c r="D381"/>
      <c r="E381"/>
      <c r="F381"/>
      <c r="G381"/>
      <c r="H381"/>
      <c r="I381"/>
      <c r="J381"/>
      <c r="K381"/>
    </row>
    <row r="382" spans="1:2" ht="13.5" customHeight="true" x14ac:dyDescent="0.15" hidden="false">
      <c r="A382" t="s">
        <v>6952</v>
      </c>
      <c r="B382" t="n">
        <v>6.0</v>
      </c>
      <c r="C382"/>
      <c r="D382"/>
      <c r="E382"/>
      <c r="F382"/>
      <c r="G382"/>
      <c r="H382"/>
      <c r="I382"/>
      <c r="J382"/>
      <c r="K382"/>
    </row>
    <row r="383" spans="1:2" ht="13.5" customHeight="true" x14ac:dyDescent="0.15" hidden="false">
      <c r="A383" t="s">
        <v>6952</v>
      </c>
      <c r="B383" t="n">
        <v>7.0</v>
      </c>
      <c r="C383"/>
      <c r="D383"/>
      <c r="E383"/>
      <c r="F383"/>
      <c r="G383"/>
      <c r="H383"/>
      <c r="I383"/>
      <c r="J383"/>
      <c r="K383"/>
    </row>
    <row r="384" spans="1:2" ht="13.5" customHeight="true" x14ac:dyDescent="0.15" hidden="false">
      <c r="A384" t="s">
        <v>6952</v>
      </c>
      <c r="B384" t="n">
        <v>8.0</v>
      </c>
      <c r="C384"/>
      <c r="D384"/>
      <c r="E384"/>
      <c r="F384"/>
      <c r="G384"/>
      <c r="H384"/>
      <c r="I384"/>
      <c r="J384"/>
      <c r="K384"/>
    </row>
    <row r="385" spans="1:2" ht="13.5" customHeight="true" x14ac:dyDescent="0.15" hidden="false">
      <c r="A385" t="s">
        <v>6952</v>
      </c>
      <c r="B385" t="n">
        <v>9.0</v>
      </c>
      <c r="C385"/>
      <c r="D385"/>
      <c r="E385"/>
      <c r="F385"/>
      <c r="G385"/>
      <c r="H385"/>
      <c r="I385"/>
      <c r="J385"/>
      <c r="K385"/>
    </row>
    <row r="386" spans="1:2" ht="13.5" customHeight="true" x14ac:dyDescent="0.15" hidden="false">
      <c r="A386" t="s">
        <v>6952</v>
      </c>
      <c r="B386" t="n">
        <v>10.0</v>
      </c>
      <c r="C386"/>
      <c r="D386"/>
      <c r="E386"/>
      <c r="F386"/>
      <c r="G386"/>
      <c r="H386"/>
      <c r="I386"/>
      <c r="J386"/>
      <c r="K386"/>
    </row>
    <row r="387" spans="1:2" ht="13.5" customHeight="true" x14ac:dyDescent="0.15" hidden="false">
      <c r="A387" t="s">
        <v>6952</v>
      </c>
      <c r="B387" t="n">
        <v>11.0</v>
      </c>
      <c r="C387"/>
      <c r="D387"/>
      <c r="E387"/>
      <c r="F387"/>
      <c r="G387"/>
      <c r="H387"/>
      <c r="I387"/>
      <c r="J387"/>
      <c r="K387"/>
    </row>
    <row r="388" spans="1:2" ht="13.5" customHeight="true" x14ac:dyDescent="0.15" hidden="false">
      <c r="A388" t="s">
        <v>6952</v>
      </c>
      <c r="B388" t="n">
        <v>12.0</v>
      </c>
      <c r="C388"/>
      <c r="D388"/>
      <c r="E388"/>
      <c r="F388"/>
      <c r="G388"/>
      <c r="H388"/>
      <c r="I388"/>
      <c r="J388"/>
      <c r="K388"/>
    </row>
    <row r="389" spans="1:2" ht="13.5" customHeight="true" x14ac:dyDescent="0.15" hidden="false">
      <c r="A389" t="s">
        <v>6952</v>
      </c>
      <c r="B389" t="n">
        <v>13.0</v>
      </c>
      <c r="C389"/>
      <c r="D389"/>
      <c r="E389"/>
      <c r="F389"/>
      <c r="G389"/>
      <c r="H389"/>
      <c r="I389"/>
      <c r="J389"/>
      <c r="K389"/>
    </row>
    <row r="390" spans="1:2" ht="13.5" customHeight="true" x14ac:dyDescent="0.15" hidden="false">
      <c r="A390" t="s">
        <v>6952</v>
      </c>
      <c r="B390" t="n">
        <v>14.0</v>
      </c>
      <c r="C390"/>
      <c r="D390"/>
      <c r="E390"/>
      <c r="F390"/>
      <c r="G390"/>
      <c r="H390"/>
      <c r="I390"/>
      <c r="J390"/>
      <c r="K390"/>
    </row>
    <row r="391" spans="1:2" ht="13.5" customHeight="true" x14ac:dyDescent="0.15" hidden="false">
      <c r="A391" t="s">
        <v>6952</v>
      </c>
      <c r="B391" t="n">
        <v>15.0</v>
      </c>
      <c r="C391"/>
      <c r="D391"/>
      <c r="E391"/>
      <c r="F391"/>
      <c r="G391"/>
      <c r="H391"/>
      <c r="I391"/>
      <c r="J391"/>
      <c r="K391"/>
    </row>
    <row r="392" spans="1:2" ht="13.5" customHeight="true" x14ac:dyDescent="0.15" hidden="false">
      <c r="A392" t="s">
        <v>6952</v>
      </c>
      <c r="B392" t="n">
        <v>16.0</v>
      </c>
      <c r="C392"/>
      <c r="D392"/>
      <c r="E392"/>
      <c r="F392"/>
      <c r="G392"/>
      <c r="H392"/>
      <c r="I392"/>
      <c r="J392"/>
      <c r="K392"/>
    </row>
    <row r="393" spans="1:2" ht="13.5" customHeight="true" x14ac:dyDescent="0.15" hidden="false">
      <c r="A393" t="s">
        <v>6952</v>
      </c>
      <c r="B393" t="n">
        <v>17.0</v>
      </c>
      <c r="C393"/>
      <c r="D393"/>
      <c r="E393"/>
      <c r="F393"/>
      <c r="G393"/>
      <c r="H393"/>
      <c r="I393"/>
      <c r="J393"/>
      <c r="K393"/>
    </row>
    <row r="394" spans="1:2" ht="13.5" customHeight="true" x14ac:dyDescent="0.15" hidden="false">
      <c r="A394" t="s">
        <v>6952</v>
      </c>
      <c r="B394" t="n">
        <v>18.0</v>
      </c>
      <c r="C394"/>
      <c r="D394"/>
      <c r="E394"/>
      <c r="F394"/>
      <c r="G394"/>
      <c r="H394"/>
      <c r="I394"/>
      <c r="J394"/>
      <c r="K394"/>
    </row>
    <row r="395" spans="1:2" ht="13.5" customHeight="true" x14ac:dyDescent="0.15" hidden="false">
      <c r="A395" t="s">
        <v>6952</v>
      </c>
      <c r="B395" t="n">
        <v>19.0</v>
      </c>
      <c r="C395"/>
      <c r="D395"/>
      <c r="E395"/>
      <c r="F395"/>
      <c r="G395"/>
      <c r="H395"/>
      <c r="I395"/>
      <c r="J395"/>
      <c r="K395"/>
    </row>
    <row r="396" spans="1:2" ht="13.5" customHeight="true" x14ac:dyDescent="0.15" hidden="false">
      <c r="A396" t="s">
        <v>6952</v>
      </c>
      <c r="B396" t="n">
        <v>20.0</v>
      </c>
      <c r="C396"/>
      <c r="D396"/>
      <c r="E396"/>
      <c r="F396"/>
      <c r="G396"/>
      <c r="H396"/>
      <c r="I396"/>
      <c r="J396"/>
      <c r="K396"/>
    </row>
    <row r="397" spans="1:2" ht="13.5" customHeight="true" x14ac:dyDescent="0.15" hidden="false">
      <c r="A397" t="s">
        <v>6952</v>
      </c>
      <c r="B397" t="n">
        <v>21.0</v>
      </c>
      <c r="C397"/>
      <c r="D397"/>
      <c r="E397"/>
      <c r="F397"/>
      <c r="G397"/>
      <c r="H397"/>
      <c r="I397"/>
      <c r="J397"/>
      <c r="K397"/>
    </row>
    <row r="398" spans="1:2" ht="13.5" customHeight="true" x14ac:dyDescent="0.15" hidden="false">
      <c r="A398" t="s">
        <v>6952</v>
      </c>
      <c r="B398" t="n">
        <v>22.0</v>
      </c>
      <c r="C398"/>
      <c r="D398"/>
      <c r="E398"/>
      <c r="F398"/>
      <c r="G398"/>
      <c r="H398"/>
      <c r="I398"/>
      <c r="J398"/>
      <c r="K398"/>
    </row>
    <row r="399" spans="1:2" ht="13.5" customHeight="true" x14ac:dyDescent="0.15" hidden="false">
      <c r="A399" t="s">
        <v>6952</v>
      </c>
      <c r="B399" t="n">
        <v>23.0</v>
      </c>
      <c r="C399"/>
      <c r="D399"/>
      <c r="E399"/>
      <c r="F399"/>
      <c r="G399"/>
      <c r="H399"/>
      <c r="I399"/>
      <c r="J399"/>
      <c r="K399"/>
    </row>
    <row r="400" spans="1:2" ht="13.5" customHeight="true" x14ac:dyDescent="0.15" hidden="false">
      <c r="A400" t="s">
        <v>6952</v>
      </c>
      <c r="B400" t="n">
        <v>24.0</v>
      </c>
      <c r="C400"/>
      <c r="D400"/>
      <c r="E400"/>
      <c r="F400"/>
      <c r="G400"/>
      <c r="H400"/>
      <c r="I400"/>
      <c r="J400"/>
      <c r="K400"/>
    </row>
    <row r="401" spans="1:2" ht="13.5" customHeight="true" x14ac:dyDescent="0.15" hidden="false">
      <c r="A401" t="s">
        <v>6952</v>
      </c>
      <c r="B401" t="n">
        <v>25.0</v>
      </c>
      <c r="C401"/>
      <c r="D401"/>
      <c r="E401"/>
      <c r="F401"/>
      <c r="G401"/>
      <c r="H401"/>
      <c r="I401"/>
      <c r="J401"/>
      <c r="K401"/>
    </row>
    <row r="402" spans="1:2" ht="13.5" customHeight="true" x14ac:dyDescent="0.15" hidden="false">
      <c r="A402" t="s">
        <v>6952</v>
      </c>
      <c r="B402" t="n">
        <v>26.0</v>
      </c>
      <c r="C402"/>
      <c r="D402"/>
      <c r="E402"/>
      <c r="F402"/>
      <c r="G402"/>
      <c r="H402"/>
      <c r="I402"/>
      <c r="J402"/>
      <c r="K402"/>
    </row>
    <row r="403" spans="1:2" ht="13.5" customHeight="true" x14ac:dyDescent="0.15" hidden="false">
      <c r="A403" t="s">
        <v>6952</v>
      </c>
      <c r="B403" t="n">
        <v>27.0</v>
      </c>
      <c r="C403"/>
      <c r="D403"/>
      <c r="E403"/>
      <c r="F403"/>
      <c r="G403"/>
      <c r="H403"/>
      <c r="I403"/>
      <c r="J403"/>
      <c r="K403"/>
    </row>
    <row r="404" spans="1:2" ht="13.5" customHeight="true" x14ac:dyDescent="0.15" hidden="false">
      <c r="A404" t="s">
        <v>6952</v>
      </c>
      <c r="B404" t="n">
        <v>28.0</v>
      </c>
      <c r="C404"/>
      <c r="D404"/>
      <c r="E404"/>
      <c r="F404"/>
      <c r="G404"/>
      <c r="H404"/>
      <c r="I404"/>
      <c r="J404"/>
      <c r="K404"/>
    </row>
    <row r="405" spans="1:2" ht="13.5" customHeight="true" x14ac:dyDescent="0.15" hidden="false">
      <c r="A405" t="s">
        <v>6952</v>
      </c>
      <c r="B405" t="n">
        <v>29.0</v>
      </c>
      <c r="C405"/>
      <c r="D405"/>
      <c r="E405"/>
      <c r="F405"/>
      <c r="G405"/>
      <c r="H405"/>
      <c r="I405"/>
      <c r="J405"/>
      <c r="K405"/>
    </row>
    <row r="406" spans="1:2" ht="13.5" customHeight="true" x14ac:dyDescent="0.15" hidden="false">
      <c r="A406" t="s">
        <v>6952</v>
      </c>
      <c r="B406" t="n">
        <v>30.0</v>
      </c>
      <c r="C406"/>
      <c r="D406"/>
      <c r="E406"/>
      <c r="F406"/>
      <c r="G406"/>
      <c r="H406"/>
      <c r="I406"/>
      <c r="J406"/>
      <c r="K406"/>
    </row>
    <row r="407" spans="1:2" ht="13.5" customHeight="true" x14ac:dyDescent="0.15" hidden="false">
      <c r="A407" t="s">
        <v>6952</v>
      </c>
      <c r="B407" t="n">
        <v>31.0</v>
      </c>
      <c r="C407"/>
      <c r="D407"/>
      <c r="E407"/>
      <c r="F407"/>
      <c r="G407"/>
      <c r="H407"/>
      <c r="I407"/>
      <c r="J407"/>
      <c r="K407"/>
    </row>
    <row r="408" spans="1:2" ht="13.5" customHeight="true" x14ac:dyDescent="0.15" hidden="false">
      <c r="A408" t="s">
        <v>6952</v>
      </c>
      <c r="B408" t="n">
        <v>32.0</v>
      </c>
      <c r="C408"/>
      <c r="D408"/>
      <c r="E408"/>
      <c r="F408"/>
      <c r="G408"/>
      <c r="H408"/>
      <c r="I408"/>
      <c r="J408"/>
      <c r="K408"/>
    </row>
    <row r="409" spans="1:2" ht="13.5" customHeight="true" x14ac:dyDescent="0.15" hidden="false">
      <c r="A409" t="s">
        <v>6952</v>
      </c>
      <c r="B409" t="n">
        <v>33.0</v>
      </c>
      <c r="C409"/>
      <c r="D409"/>
      <c r="E409"/>
      <c r="F409"/>
      <c r="G409"/>
      <c r="H409"/>
      <c r="I409"/>
      <c r="J409"/>
      <c r="K409"/>
    </row>
    <row r="410" spans="1:2" ht="13.5" customHeight="true" x14ac:dyDescent="0.15" hidden="false">
      <c r="A410" t="s">
        <v>6952</v>
      </c>
      <c r="B410" t="n">
        <v>34.0</v>
      </c>
      <c r="C410"/>
      <c r="D410"/>
      <c r="E410"/>
      <c r="F410"/>
      <c r="G410"/>
      <c r="H410"/>
      <c r="I410"/>
      <c r="J410"/>
      <c r="K410"/>
    </row>
    <row r="411" spans="1:2" ht="13.5" customHeight="true" x14ac:dyDescent="0.15" hidden="false">
      <c r="A411" t="s">
        <v>6952</v>
      </c>
      <c r="B411" t="n">
        <v>35.0</v>
      </c>
      <c r="C411"/>
      <c r="D411"/>
      <c r="E411"/>
      <c r="F411"/>
      <c r="G411"/>
      <c r="H411"/>
      <c r="I411"/>
      <c r="J411"/>
      <c r="K411"/>
    </row>
    <row r="412" spans="1:2" ht="13.5" customHeight="true" x14ac:dyDescent="0.15" hidden="false">
      <c r="A412" t="s">
        <v>6952</v>
      </c>
      <c r="B412" t="n">
        <v>36.0</v>
      </c>
      <c r="C412"/>
      <c r="D412"/>
      <c r="E412"/>
      <c r="F412"/>
      <c r="G412"/>
      <c r="H412"/>
      <c r="I412"/>
      <c r="J412"/>
      <c r="K412"/>
    </row>
    <row r="413" spans="1:2" ht="13.5" customHeight="true" x14ac:dyDescent="0.15" hidden="false">
      <c r="A413" t="s">
        <v>6952</v>
      </c>
      <c r="B413" t="n">
        <v>37.0</v>
      </c>
      <c r="C413"/>
      <c r="D413"/>
      <c r="E413"/>
      <c r="F413"/>
      <c r="G413"/>
      <c r="H413"/>
      <c r="I413"/>
      <c r="J413"/>
      <c r="K413"/>
    </row>
    <row r="414" spans="1:2" ht="13.5" customHeight="true" x14ac:dyDescent="0.15" hidden="false">
      <c r="A414" t="s">
        <v>6952</v>
      </c>
      <c r="B414" t="n">
        <v>38.0</v>
      </c>
      <c r="C414"/>
      <c r="D414"/>
      <c r="E414"/>
      <c r="F414"/>
      <c r="G414"/>
      <c r="H414"/>
      <c r="I414"/>
      <c r="J414"/>
      <c r="K414"/>
    </row>
    <row r="415" spans="1:2" ht="13.5" customHeight="true" x14ac:dyDescent="0.15" hidden="false">
      <c r="A415" t="s">
        <v>6953</v>
      </c>
      <c r="B415" t="n">
        <v>1.0</v>
      </c>
      <c r="C415" t="n">
        <v>0.0</v>
      </c>
      <c r="D415"/>
      <c r="E415"/>
      <c r="F415" t="n">
        <v>0.0</v>
      </c>
      <c r="G415"/>
      <c r="H415"/>
      <c r="I415"/>
      <c r="J415"/>
      <c r="K415"/>
    </row>
    <row r="416" spans="1:2" ht="13.5" customHeight="true" x14ac:dyDescent="0.15" hidden="false">
      <c r="A416" t="s">
        <v>6953</v>
      </c>
      <c r="B416" t="n">
        <v>2.0</v>
      </c>
      <c r="C416" t="n">
        <v>1.16</v>
      </c>
      <c r="D416"/>
      <c r="E416"/>
      <c r="F416" t="n">
        <v>1.54</v>
      </c>
      <c r="G416"/>
      <c r="H416"/>
      <c r="I416" t="n">
        <v>1.244752671364336</v>
      </c>
      <c r="J416"/>
      <c r="K416"/>
    </row>
    <row r="417" spans="1:2" ht="13.5" customHeight="true" x14ac:dyDescent="0.15" hidden="false">
      <c r="A417" t="s">
        <v>6953</v>
      </c>
      <c r="B417" t="n">
        <v>3.0</v>
      </c>
      <c r="C417"/>
      <c r="D417" t="n">
        <v>0.0</v>
      </c>
      <c r="E417"/>
      <c r="F417"/>
      <c r="G417" t="n">
        <v>1.55</v>
      </c>
      <c r="H417"/>
      <c r="I417"/>
      <c r="J417" t="n">
        <v>1.3680977581037836</v>
      </c>
      <c r="K417"/>
    </row>
    <row r="418" spans="1:2" ht="13.5" customHeight="true" x14ac:dyDescent="0.15" hidden="false">
      <c r="A418" t="s">
        <v>6953</v>
      </c>
      <c r="B418" t="n">
        <v>4.0</v>
      </c>
      <c r="C418"/>
      <c r="D418" t="n">
        <v>0.0</v>
      </c>
      <c r="E418"/>
      <c r="F418"/>
      <c r="G418" t="n">
        <v>5.49</v>
      </c>
      <c r="H418"/>
      <c r="I418"/>
      <c r="J418" t="n">
        <v>5.208812838553057</v>
      </c>
      <c r="K418"/>
    </row>
    <row r="419" spans="1:2" ht="13.5" customHeight="true" x14ac:dyDescent="0.15" hidden="false">
      <c r="A419" t="s">
        <v>6953</v>
      </c>
      <c r="B419" t="n">
        <v>5.0</v>
      </c>
      <c r="C419"/>
      <c r="D419"/>
      <c r="E419" t="n">
        <v>0.0</v>
      </c>
      <c r="F419"/>
      <c r="G419"/>
      <c r="H419" t="n">
        <v>0.0</v>
      </c>
      <c r="I419"/>
      <c r="J419"/>
      <c r="K419"/>
    </row>
    <row r="420" spans="1:2" ht="13.5" customHeight="true" x14ac:dyDescent="0.15" hidden="false">
      <c r="A420" t="s">
        <v>6953</v>
      </c>
      <c r="B420" t="n">
        <v>6.0</v>
      </c>
      <c r="C420"/>
      <c r="D420"/>
      <c r="E420" t="n">
        <v>0.0</v>
      </c>
      <c r="F420"/>
      <c r="G420"/>
      <c r="H420" t="n">
        <v>1.3900000000000001</v>
      </c>
      <c r="I420"/>
      <c r="J420"/>
      <c r="K420" t="n">
        <v>1.3279569611502828</v>
      </c>
    </row>
    <row r="421" spans="1:2" ht="13.5" customHeight="true" x14ac:dyDescent="0.15" hidden="false">
      <c r="A421" t="s">
        <v>6953</v>
      </c>
      <c r="B421" t="n">
        <v>7.0</v>
      </c>
      <c r="C421" t="n">
        <v>0.0</v>
      </c>
      <c r="D421"/>
      <c r="E421"/>
      <c r="F421" t="n">
        <v>5.49</v>
      </c>
      <c r="G421"/>
      <c r="H421"/>
      <c r="I421" t="n">
        <v>5.271414523763476</v>
      </c>
      <c r="J421"/>
      <c r="K421"/>
    </row>
    <row r="422" spans="1:2" ht="13.5" customHeight="true" x14ac:dyDescent="0.15" hidden="false">
      <c r="A422" t="s">
        <v>6953</v>
      </c>
      <c r="B422" t="n">
        <v>8.0</v>
      </c>
      <c r="C422" t="n">
        <v>0.0</v>
      </c>
      <c r="D422"/>
      <c r="E422"/>
      <c r="F422" t="n">
        <v>0.0</v>
      </c>
      <c r="G422"/>
      <c r="H422"/>
      <c r="I422"/>
      <c r="J422"/>
      <c r="K422"/>
    </row>
    <row r="423" spans="1:2" ht="13.5" customHeight="true" x14ac:dyDescent="0.15" hidden="false">
      <c r="A423" t="s">
        <v>6953</v>
      </c>
      <c r="B423" t="n">
        <v>9.0</v>
      </c>
      <c r="C423"/>
      <c r="D423" t="n">
        <v>0.0</v>
      </c>
      <c r="E423"/>
      <c r="F423"/>
      <c r="G423" t="n">
        <v>0.0</v>
      </c>
      <c r="H423"/>
      <c r="I423"/>
      <c r="J423"/>
      <c r="K423"/>
    </row>
    <row r="424" spans="1:2" ht="13.5" customHeight="true" x14ac:dyDescent="0.15" hidden="false">
      <c r="A424" t="s">
        <v>6953</v>
      </c>
      <c r="B424" t="n">
        <v>10.0</v>
      </c>
      <c r="C424"/>
      <c r="D424" t="n">
        <v>0.0</v>
      </c>
      <c r="E424"/>
      <c r="F424"/>
      <c r="G424" t="n">
        <v>0.0</v>
      </c>
      <c r="H424"/>
      <c r="I424"/>
      <c r="J424"/>
      <c r="K424"/>
    </row>
    <row r="425" spans="1:2" ht="13.5" customHeight="true" x14ac:dyDescent="0.15" hidden="false">
      <c r="A425" t="s">
        <v>6953</v>
      </c>
      <c r="B425" t="n">
        <v>11.0</v>
      </c>
      <c r="C425"/>
      <c r="D425"/>
      <c r="E425" t="n">
        <v>0.0</v>
      </c>
      <c r="F425"/>
      <c r="G425"/>
      <c r="H425" t="n">
        <v>0.0</v>
      </c>
      <c r="I425"/>
      <c r="J425"/>
      <c r="K425"/>
    </row>
    <row r="426" spans="1:2" ht="13.5" customHeight="true" x14ac:dyDescent="0.15" hidden="false">
      <c r="A426" t="s">
        <v>6953</v>
      </c>
      <c r="B426" t="n">
        <v>12.0</v>
      </c>
      <c r="C426"/>
      <c r="D426"/>
      <c r="E426" t="n">
        <v>0.0</v>
      </c>
      <c r="F426"/>
      <c r="G426"/>
      <c r="H426" t="n">
        <v>0.0</v>
      </c>
      <c r="I426"/>
      <c r="J426"/>
      <c r="K426"/>
    </row>
    <row r="427" spans="1:2" ht="13.5" customHeight="true" x14ac:dyDescent="0.15" hidden="false">
      <c r="A427" t="s">
        <v>6953</v>
      </c>
      <c r="B427" t="n">
        <v>13.0</v>
      </c>
      <c r="C427" t="n">
        <v>0.0</v>
      </c>
      <c r="D427"/>
      <c r="E427"/>
      <c r="F427" t="n">
        <v>0.0</v>
      </c>
      <c r="G427"/>
      <c r="H427"/>
      <c r="I427"/>
      <c r="J427"/>
      <c r="K427"/>
    </row>
    <row r="428" spans="1:2" ht="13.5" customHeight="true" x14ac:dyDescent="0.15" hidden="false">
      <c r="A428" t="s">
        <v>6953</v>
      </c>
      <c r="B428" t="n">
        <v>14.0</v>
      </c>
      <c r="C428" t="n">
        <v>0.0</v>
      </c>
      <c r="D428"/>
      <c r="E428"/>
      <c r="F428" t="n">
        <v>0.0</v>
      </c>
      <c r="G428"/>
      <c r="H428"/>
      <c r="I428"/>
      <c r="J428"/>
      <c r="K428"/>
    </row>
    <row r="429" spans="1:2" ht="13.5" customHeight="true" x14ac:dyDescent="0.15" hidden="false">
      <c r="A429" t="s">
        <v>6953</v>
      </c>
      <c r="B429" t="n">
        <v>15.0</v>
      </c>
      <c r="C429"/>
      <c r="D429" t="n">
        <v>0.0</v>
      </c>
      <c r="E429"/>
      <c r="F429"/>
      <c r="G429" t="n">
        <v>0.0</v>
      </c>
      <c r="H429"/>
      <c r="I429"/>
      <c r="J429"/>
      <c r="K429"/>
    </row>
    <row r="430" spans="1:2" ht="13.5" customHeight="true" x14ac:dyDescent="0.15" hidden="false">
      <c r="A430" t="s">
        <v>6953</v>
      </c>
      <c r="B430" t="n">
        <v>16.0</v>
      </c>
      <c r="C430"/>
      <c r="D430" t="n">
        <v>0.0</v>
      </c>
      <c r="E430"/>
      <c r="F430"/>
      <c r="G430" t="n">
        <v>0.0</v>
      </c>
      <c r="H430"/>
      <c r="I430"/>
      <c r="J430"/>
      <c r="K430"/>
    </row>
    <row r="431" spans="1:2" ht="13.5" customHeight="true" x14ac:dyDescent="0.15" hidden="false">
      <c r="A431" t="s">
        <v>6953</v>
      </c>
      <c r="B431" t="n">
        <v>17.0</v>
      </c>
      <c r="C431"/>
      <c r="D431"/>
      <c r="E431" t="n">
        <v>0.0</v>
      </c>
      <c r="F431"/>
      <c r="G431"/>
      <c r="H431" t="n">
        <v>0.0</v>
      </c>
      <c r="I431"/>
      <c r="J431"/>
      <c r="K431"/>
    </row>
    <row r="432" spans="1:2" ht="13.5" customHeight="true" x14ac:dyDescent="0.15" hidden="false">
      <c r="A432" t="s">
        <v>6953</v>
      </c>
      <c r="B432" t="n">
        <v>18.0</v>
      </c>
      <c r="C432"/>
      <c r="D432"/>
      <c r="E432" t="n">
        <v>0.0</v>
      </c>
      <c r="F432"/>
      <c r="G432"/>
      <c r="H432" t="n">
        <v>0.0</v>
      </c>
      <c r="I432"/>
      <c r="J432"/>
      <c r="K432"/>
    </row>
    <row r="433" spans="1:2" ht="13.5" customHeight="true" x14ac:dyDescent="0.15" hidden="false">
      <c r="A433" t="s">
        <v>6953</v>
      </c>
      <c r="B433" t="n">
        <v>19.0</v>
      </c>
      <c r="C433" t="n">
        <v>0.0</v>
      </c>
      <c r="D433"/>
      <c r="E433"/>
      <c r="F433" t="n">
        <v>1.25</v>
      </c>
      <c r="G433"/>
      <c r="H433"/>
      <c r="I433" t="n">
        <v>1.1225587408051227</v>
      </c>
      <c r="J433"/>
      <c r="K433"/>
    </row>
    <row r="434" spans="1:2" ht="13.5" customHeight="true" x14ac:dyDescent="0.15" hidden="false">
      <c r="A434" t="s">
        <v>6953</v>
      </c>
      <c r="B434" t="n">
        <v>20.0</v>
      </c>
      <c r="C434" t="n">
        <v>0.0</v>
      </c>
      <c r="D434"/>
      <c r="E434"/>
      <c r="F434" t="n">
        <v>0.0</v>
      </c>
      <c r="G434"/>
      <c r="H434"/>
      <c r="I434"/>
      <c r="J434"/>
      <c r="K434"/>
    </row>
    <row r="435" spans="1:2" ht="13.5" customHeight="true" x14ac:dyDescent="0.15" hidden="false">
      <c r="A435" t="s">
        <v>6953</v>
      </c>
      <c r="B435" t="n">
        <v>21.0</v>
      </c>
      <c r="C435"/>
      <c r="D435" t="n">
        <v>0.0</v>
      </c>
      <c r="E435"/>
      <c r="F435"/>
      <c r="G435" t="n">
        <v>1.3900000000000001</v>
      </c>
      <c r="H435"/>
      <c r="I435"/>
      <c r="J435" t="n">
        <v>1.309800936796749</v>
      </c>
      <c r="K435"/>
    </row>
    <row r="436" spans="1:2" ht="13.5" customHeight="true" x14ac:dyDescent="0.15" hidden="false">
      <c r="A436" t="s">
        <v>6953</v>
      </c>
      <c r="B436" t="n">
        <v>22.0</v>
      </c>
      <c r="C436"/>
      <c r="D436" t="n">
        <v>0.0</v>
      </c>
      <c r="E436"/>
      <c r="F436"/>
      <c r="G436" t="n">
        <v>0.0</v>
      </c>
      <c r="H436"/>
      <c r="I436"/>
      <c r="J436"/>
      <c r="K436"/>
    </row>
    <row r="437" spans="1:2" ht="13.5" customHeight="true" x14ac:dyDescent="0.15" hidden="false">
      <c r="A437" t="s">
        <v>6953</v>
      </c>
      <c r="B437" t="n">
        <v>23.0</v>
      </c>
      <c r="C437"/>
      <c r="D437"/>
      <c r="E437" t="n">
        <v>0.0</v>
      </c>
      <c r="F437"/>
      <c r="G437"/>
      <c r="H437" t="n">
        <v>0.0</v>
      </c>
      <c r="I437"/>
      <c r="J437"/>
      <c r="K437"/>
    </row>
    <row r="438" spans="1:2" ht="13.5" customHeight="true" x14ac:dyDescent="0.15" hidden="false">
      <c r="A438" t="s">
        <v>6953</v>
      </c>
      <c r="B438" t="n">
        <v>24.0</v>
      </c>
      <c r="C438"/>
      <c r="D438"/>
      <c r="E438" t="n">
        <v>0.0</v>
      </c>
      <c r="F438"/>
      <c r="G438"/>
      <c r="H438" t="n">
        <v>0.0</v>
      </c>
      <c r="I438"/>
      <c r="J438"/>
      <c r="K438"/>
    </row>
    <row r="439" spans="1:2" ht="13.5" customHeight="true" x14ac:dyDescent="0.15" hidden="false">
      <c r="A439" t="s">
        <v>6953</v>
      </c>
      <c r="B439" t="n">
        <v>25.0</v>
      </c>
      <c r="C439" t="n">
        <v>0.0</v>
      </c>
      <c r="D439"/>
      <c r="E439"/>
      <c r="F439" t="n">
        <v>0.0</v>
      </c>
      <c r="G439"/>
      <c r="H439"/>
      <c r="I439"/>
      <c r="J439"/>
      <c r="K439"/>
    </row>
    <row r="440" spans="1:2" ht="13.5" customHeight="true" x14ac:dyDescent="0.15" hidden="false">
      <c r="A440" t="s">
        <v>6953</v>
      </c>
      <c r="B440" t="n">
        <v>26.0</v>
      </c>
      <c r="C440" t="n">
        <v>0.0</v>
      </c>
      <c r="D440"/>
      <c r="E440"/>
      <c r="F440" t="n">
        <v>0.0</v>
      </c>
      <c r="G440"/>
      <c r="H440"/>
      <c r="I440"/>
      <c r="J440"/>
      <c r="K440"/>
    </row>
    <row r="441" spans="1:2" ht="13.5" customHeight="true" x14ac:dyDescent="0.15" hidden="false">
      <c r="A441" t="s">
        <v>6953</v>
      </c>
      <c r="B441" t="n">
        <v>27.0</v>
      </c>
      <c r="C441"/>
      <c r="D441" t="n">
        <v>0.0</v>
      </c>
      <c r="E441"/>
      <c r="F441"/>
      <c r="G441" t="n">
        <v>0.0</v>
      </c>
      <c r="H441"/>
      <c r="I441"/>
      <c r="J441"/>
      <c r="K441"/>
    </row>
    <row r="442" spans="1:2" ht="13.5" customHeight="true" x14ac:dyDescent="0.15" hidden="false">
      <c r="A442" t="s">
        <v>6953</v>
      </c>
      <c r="B442" t="n">
        <v>28.0</v>
      </c>
      <c r="C442"/>
      <c r="D442" t="n">
        <v>0.0</v>
      </c>
      <c r="E442"/>
      <c r="F442"/>
      <c r="G442" t="n">
        <v>0.0</v>
      </c>
      <c r="H442"/>
      <c r="I442"/>
      <c r="J442"/>
      <c r="K442"/>
    </row>
    <row r="443" spans="1:2" ht="13.5" customHeight="true" x14ac:dyDescent="0.15" hidden="false">
      <c r="A443" t="s">
        <v>6953</v>
      </c>
      <c r="B443" t="n">
        <v>29.0</v>
      </c>
      <c r="C443"/>
      <c r="D443"/>
      <c r="E443" t="n">
        <v>0.0</v>
      </c>
      <c r="F443"/>
      <c r="G443"/>
      <c r="H443" t="n">
        <v>0.0</v>
      </c>
      <c r="I443"/>
      <c r="J443"/>
      <c r="K443"/>
    </row>
    <row r="444" spans="1:2" ht="13.5" customHeight="true" x14ac:dyDescent="0.15" hidden="false">
      <c r="A444" t="s">
        <v>6953</v>
      </c>
      <c r="B444" t="n">
        <v>30.0</v>
      </c>
      <c r="C444"/>
      <c r="D444"/>
      <c r="E444" t="n">
        <v>0.0</v>
      </c>
      <c r="F444"/>
      <c r="G444"/>
      <c r="H444" t="n">
        <v>0.0</v>
      </c>
      <c r="I444"/>
      <c r="J444"/>
      <c r="K444"/>
    </row>
    <row r="445" spans="1:2" ht="13.5" customHeight="true" x14ac:dyDescent="0.15" hidden="false">
      <c r="A445" t="s">
        <v>6953</v>
      </c>
      <c r="B445" t="n">
        <v>31.0</v>
      </c>
      <c r="C445" t="n">
        <v>0.0</v>
      </c>
      <c r="D445"/>
      <c r="E445"/>
      <c r="F445" t="n">
        <v>0.0</v>
      </c>
      <c r="G445"/>
      <c r="H445"/>
      <c r="I445"/>
      <c r="J445"/>
      <c r="K445"/>
    </row>
    <row r="446" spans="1:2" ht="13.5" customHeight="true" x14ac:dyDescent="0.15" hidden="false">
      <c r="A446" t="s">
        <v>6953</v>
      </c>
      <c r="B446" t="n">
        <v>32.0</v>
      </c>
      <c r="C446" t="n">
        <v>0.0</v>
      </c>
      <c r="D446"/>
      <c r="E446"/>
      <c r="F446" t="n">
        <v>0.0</v>
      </c>
      <c r="G446"/>
      <c r="H446"/>
      <c r="I446"/>
      <c r="J446"/>
      <c r="K446"/>
    </row>
    <row r="447" spans="1:2" ht="13.5" customHeight="true" x14ac:dyDescent="0.15" hidden="false">
      <c r="A447" t="s">
        <v>6953</v>
      </c>
      <c r="B447" t="n">
        <v>33.0</v>
      </c>
      <c r="C447"/>
      <c r="D447" t="n">
        <v>0.0</v>
      </c>
      <c r="E447"/>
      <c r="F447"/>
      <c r="G447" t="n">
        <v>0.0</v>
      </c>
      <c r="H447"/>
      <c r="I447"/>
      <c r="J447"/>
      <c r="K447"/>
    </row>
    <row r="448" spans="1:2" ht="13.5" customHeight="true" x14ac:dyDescent="0.15" hidden="false">
      <c r="A448" t="s">
        <v>6953</v>
      </c>
      <c r="B448" t="n">
        <v>34.0</v>
      </c>
      <c r="C448"/>
      <c r="D448" t="n">
        <v>0.0</v>
      </c>
      <c r="E448"/>
      <c r="F448"/>
      <c r="G448" t="n">
        <v>0.0</v>
      </c>
      <c r="H448"/>
      <c r="I448"/>
      <c r="J448"/>
      <c r="K448"/>
    </row>
    <row r="449" spans="1:2" ht="13.5" customHeight="true" x14ac:dyDescent="0.15" hidden="false">
      <c r="A449" t="s">
        <v>6953</v>
      </c>
      <c r="B449" t="n">
        <v>35.0</v>
      </c>
      <c r="C449"/>
      <c r="D449"/>
      <c r="E449" t="n">
        <v>0.0</v>
      </c>
      <c r="F449"/>
      <c r="G449"/>
      <c r="H449" t="n">
        <v>0.0</v>
      </c>
      <c r="I449"/>
      <c r="J449"/>
      <c r="K449"/>
    </row>
    <row r="450" spans="1:2" ht="13.5" customHeight="true" x14ac:dyDescent="0.15" hidden="false">
      <c r="A450" t="s">
        <v>6953</v>
      </c>
      <c r="B450" t="n">
        <v>36.0</v>
      </c>
      <c r="C450"/>
      <c r="D450"/>
      <c r="E450" t="n">
        <v>0.0</v>
      </c>
      <c r="F450"/>
      <c r="G450"/>
      <c r="H450" t="n">
        <v>0.0</v>
      </c>
      <c r="I450"/>
      <c r="J450"/>
      <c r="K450"/>
    </row>
    <row r="451" spans="1:2" ht="13.5" customHeight="true" x14ac:dyDescent="0.15" hidden="false">
      <c r="A451" t="s">
        <v>6954</v>
      </c>
      <c r="B451" t="n">
        <v>1.0</v>
      </c>
      <c r="C451"/>
      <c r="D451"/>
      <c r="E451"/>
      <c r="F451"/>
      <c r="G451"/>
      <c r="H451"/>
      <c r="I451"/>
      <c r="J451"/>
      <c r="K451"/>
    </row>
    <row r="452" spans="1:2" ht="13.5" customHeight="true" x14ac:dyDescent="0.15" hidden="false">
      <c r="A452" t="s">
        <v>6954</v>
      </c>
      <c r="B452" t="n">
        <v>2.0</v>
      </c>
      <c r="C452"/>
      <c r="D452"/>
      <c r="E452"/>
      <c r="F452"/>
      <c r="G452"/>
      <c r="H452"/>
      <c r="I452"/>
      <c r="J452"/>
      <c r="K452"/>
    </row>
    <row r="453" spans="1:2" ht="13.5" customHeight="true" x14ac:dyDescent="0.15" hidden="false">
      <c r="A453" t="s">
        <v>6954</v>
      </c>
      <c r="B453" t="n">
        <v>3.0</v>
      </c>
      <c r="C453"/>
      <c r="D453"/>
      <c r="E453"/>
      <c r="F453"/>
      <c r="G453"/>
      <c r="H453"/>
      <c r="I453"/>
      <c r="J453"/>
      <c r="K453"/>
    </row>
    <row r="454" spans="1:2" ht="13.5" customHeight="true" x14ac:dyDescent="0.15" hidden="false">
      <c r="A454" t="s">
        <v>6954</v>
      </c>
      <c r="B454" t="n">
        <v>4.0</v>
      </c>
      <c r="C454"/>
      <c r="D454"/>
      <c r="E454"/>
      <c r="F454"/>
      <c r="G454"/>
      <c r="H454"/>
      <c r="I454"/>
      <c r="J454"/>
      <c r="K454"/>
    </row>
    <row r="455" spans="1:2" ht="13.5" customHeight="true" x14ac:dyDescent="0.15" hidden="false">
      <c r="A455" t="s">
        <v>6954</v>
      </c>
      <c r="B455" t="n">
        <v>5.0</v>
      </c>
      <c r="C455"/>
      <c r="D455"/>
      <c r="E455"/>
      <c r="F455"/>
      <c r="G455"/>
      <c r="H455"/>
      <c r="I455"/>
      <c r="J455"/>
      <c r="K455"/>
    </row>
    <row r="456" spans="1:2" ht="13.5" customHeight="true" x14ac:dyDescent="0.15" hidden="false">
      <c r="A456" t="s">
        <v>6954</v>
      </c>
      <c r="B456" t="n">
        <v>6.0</v>
      </c>
      <c r="C456"/>
      <c r="D456"/>
      <c r="E456"/>
      <c r="F456"/>
      <c r="G456"/>
      <c r="H456"/>
      <c r="I456"/>
      <c r="J456"/>
      <c r="K456"/>
    </row>
    <row r="457" spans="1:2" ht="13.5" customHeight="true" x14ac:dyDescent="0.15" hidden="false">
      <c r="A457" t="s">
        <v>6954</v>
      </c>
      <c r="B457" t="n">
        <v>7.0</v>
      </c>
      <c r="C457"/>
      <c r="D457"/>
      <c r="E457"/>
      <c r="F457"/>
      <c r="G457"/>
      <c r="H457"/>
      <c r="I457"/>
      <c r="J457"/>
      <c r="K457"/>
    </row>
    <row r="458" spans="1:2" ht="13.5" customHeight="true" x14ac:dyDescent="0.15" hidden="false">
      <c r="A458" t="s">
        <v>6954</v>
      </c>
      <c r="B458" t="n">
        <v>8.0</v>
      </c>
      <c r="C458"/>
      <c r="D458"/>
      <c r="E458"/>
      <c r="F458"/>
      <c r="G458"/>
      <c r="H458"/>
      <c r="I458"/>
      <c r="J458"/>
      <c r="K458"/>
    </row>
    <row r="459" spans="1:2" ht="13.5" customHeight="true" x14ac:dyDescent="0.15" hidden="false">
      <c r="A459" t="s">
        <v>6954</v>
      </c>
      <c r="B459" t="n">
        <v>9.0</v>
      </c>
      <c r="C459"/>
      <c r="D459"/>
      <c r="E459"/>
      <c r="F459"/>
      <c r="G459"/>
      <c r="H459"/>
      <c r="I459"/>
      <c r="J459"/>
      <c r="K459"/>
    </row>
    <row r="460" spans="1:2" ht="13.5" customHeight="true" x14ac:dyDescent="0.15" hidden="false">
      <c r="A460" t="s">
        <v>6954</v>
      </c>
      <c r="B460" t="n">
        <v>10.0</v>
      </c>
      <c r="C460"/>
      <c r="D460"/>
      <c r="E460"/>
      <c r="F460"/>
      <c r="G460"/>
      <c r="H460"/>
      <c r="I460"/>
      <c r="J460"/>
      <c r="K460"/>
    </row>
    <row r="461" spans="1:2" ht="13.5" customHeight="true" x14ac:dyDescent="0.15" hidden="false">
      <c r="A461" t="s">
        <v>6954</v>
      </c>
      <c r="B461" t="n">
        <v>11.0</v>
      </c>
      <c r="C461"/>
      <c r="D461"/>
      <c r="E461"/>
      <c r="F461"/>
      <c r="G461"/>
      <c r="H461"/>
      <c r="I461"/>
      <c r="J461"/>
      <c r="K461"/>
    </row>
    <row r="462" spans="1:2" ht="13.5" customHeight="true" x14ac:dyDescent="0.15" hidden="false">
      <c r="A462" t="s">
        <v>6954</v>
      </c>
      <c r="B462" t="n">
        <v>12.0</v>
      </c>
      <c r="C462"/>
      <c r="D462"/>
      <c r="E462"/>
      <c r="F462"/>
      <c r="G462"/>
      <c r="H462"/>
      <c r="I462"/>
      <c r="J462"/>
      <c r="K462"/>
    </row>
    <row r="463" spans="1:2" ht="13.5" customHeight="true" x14ac:dyDescent="0.15" hidden="false">
      <c r="A463" t="s">
        <v>6954</v>
      </c>
      <c r="B463" t="n">
        <v>13.0</v>
      </c>
      <c r="C463"/>
      <c r="D463"/>
      <c r="E463"/>
      <c r="F463"/>
      <c r="G463"/>
      <c r="H463"/>
      <c r="I463"/>
      <c r="J463"/>
      <c r="K463"/>
    </row>
    <row r="464" spans="1:2" ht="13.5" customHeight="true" x14ac:dyDescent="0.15" hidden="false">
      <c r="A464" t="s">
        <v>6954</v>
      </c>
      <c r="B464" t="n">
        <v>14.0</v>
      </c>
      <c r="C464"/>
      <c r="D464"/>
      <c r="E464"/>
      <c r="F464"/>
      <c r="G464"/>
      <c r="H464"/>
      <c r="I464"/>
      <c r="J464"/>
      <c r="K464"/>
    </row>
    <row r="465" spans="1:2" ht="13.5" customHeight="true" x14ac:dyDescent="0.15" hidden="false">
      <c r="A465" t="s">
        <v>6954</v>
      </c>
      <c r="B465" t="n">
        <v>15.0</v>
      </c>
      <c r="C465"/>
      <c r="D465"/>
      <c r="E465"/>
      <c r="F465"/>
      <c r="G465"/>
      <c r="H465"/>
      <c r="I465"/>
      <c r="J465"/>
      <c r="K465"/>
    </row>
    <row r="466" spans="1:2" ht="13.5" customHeight="true" x14ac:dyDescent="0.15" hidden="false">
      <c r="A466" t="s">
        <v>6954</v>
      </c>
      <c r="B466" t="n">
        <v>16.0</v>
      </c>
      <c r="C466"/>
      <c r="D466"/>
      <c r="E466"/>
      <c r="F466"/>
      <c r="G466"/>
      <c r="H466"/>
      <c r="I466"/>
      <c r="J466"/>
      <c r="K466"/>
    </row>
    <row r="467" spans="1:2" ht="13.5" customHeight="true" x14ac:dyDescent="0.15" hidden="false">
      <c r="A467" t="s">
        <v>6954</v>
      </c>
      <c r="B467" t="n">
        <v>17.0</v>
      </c>
      <c r="C467"/>
      <c r="D467"/>
      <c r="E467"/>
      <c r="F467"/>
      <c r="G467"/>
      <c r="H467"/>
      <c r="I467"/>
      <c r="J467"/>
      <c r="K467"/>
    </row>
    <row r="468" spans="1:2" ht="13.5" customHeight="true" x14ac:dyDescent="0.15" hidden="false">
      <c r="A468" t="s">
        <v>6954</v>
      </c>
      <c r="B468" t="n">
        <v>18.0</v>
      </c>
      <c r="C468"/>
      <c r="D468"/>
      <c r="E468"/>
      <c r="F468"/>
      <c r="G468"/>
      <c r="H468"/>
      <c r="I468"/>
      <c r="J468"/>
      <c r="K468"/>
    </row>
    <row r="469" spans="1:2" ht="13.5" customHeight="true" x14ac:dyDescent="0.15" hidden="false">
      <c r="A469" t="s">
        <v>6954</v>
      </c>
      <c r="B469" t="n">
        <v>19.0</v>
      </c>
      <c r="C469"/>
      <c r="D469"/>
      <c r="E469"/>
      <c r="F469"/>
      <c r="G469"/>
      <c r="H469"/>
      <c r="I469"/>
      <c r="J469"/>
      <c r="K469"/>
    </row>
    <row r="470" spans="1:2" ht="13.5" customHeight="true" x14ac:dyDescent="0.15" hidden="false">
      <c r="A470" t="s">
        <v>6954</v>
      </c>
      <c r="B470" t="n">
        <v>20.0</v>
      </c>
      <c r="C470"/>
      <c r="D470"/>
      <c r="E470"/>
      <c r="F470"/>
      <c r="G470"/>
      <c r="H470"/>
      <c r="I470"/>
      <c r="J470"/>
      <c r="K470"/>
    </row>
    <row r="471" spans="1:2" ht="13.5" customHeight="true" x14ac:dyDescent="0.15" hidden="false">
      <c r="A471" t="s">
        <v>6954</v>
      </c>
      <c r="B471" t="n">
        <v>21.0</v>
      </c>
      <c r="C471"/>
      <c r="D471"/>
      <c r="E471"/>
      <c r="F471"/>
      <c r="G471"/>
      <c r="H471"/>
      <c r="I471"/>
      <c r="J471"/>
      <c r="K471"/>
    </row>
    <row r="472" spans="1:2" ht="13.5" customHeight="true" x14ac:dyDescent="0.15" hidden="false">
      <c r="A472" t="s">
        <v>6954</v>
      </c>
      <c r="B472" t="n">
        <v>22.0</v>
      </c>
      <c r="C472"/>
      <c r="D472"/>
      <c r="E472"/>
      <c r="F472"/>
      <c r="G472"/>
      <c r="H472"/>
      <c r="I472"/>
      <c r="J472"/>
      <c r="K472"/>
    </row>
    <row r="473" spans="1:2" ht="13.5" customHeight="true" x14ac:dyDescent="0.15" hidden="false">
      <c r="A473" t="s">
        <v>6954</v>
      </c>
      <c r="B473" t="n">
        <v>23.0</v>
      </c>
      <c r="C473"/>
      <c r="D473"/>
      <c r="E473"/>
      <c r="F473"/>
      <c r="G473"/>
      <c r="H473"/>
      <c r="I473"/>
      <c r="J473"/>
      <c r="K473"/>
    </row>
    <row r="474" spans="1:2" ht="13.5" customHeight="true" x14ac:dyDescent="0.15" hidden="false">
      <c r="A474" t="s">
        <v>6954</v>
      </c>
      <c r="B474" t="n">
        <v>24.0</v>
      </c>
      <c r="C474"/>
      <c r="D474"/>
      <c r="E474"/>
      <c r="F474"/>
      <c r="G474"/>
      <c r="H474"/>
      <c r="I474"/>
      <c r="J474"/>
      <c r="K474"/>
    </row>
    <row r="475" spans="1:2" ht="13.5" customHeight="true" x14ac:dyDescent="0.15" hidden="false">
      <c r="A475" t="s">
        <v>6954</v>
      </c>
      <c r="B475" t="n">
        <v>25.0</v>
      </c>
      <c r="C475"/>
      <c r="D475"/>
      <c r="E475"/>
      <c r="F475"/>
      <c r="G475"/>
      <c r="H475"/>
      <c r="I475"/>
      <c r="J475"/>
      <c r="K475"/>
    </row>
    <row r="476" spans="1:2" ht="13.5" customHeight="true" x14ac:dyDescent="0.15" hidden="false">
      <c r="A476" t="s">
        <v>6954</v>
      </c>
      <c r="B476" t="n">
        <v>26.0</v>
      </c>
      <c r="C476"/>
      <c r="D476"/>
      <c r="E476"/>
      <c r="F476"/>
      <c r="G476"/>
      <c r="H476"/>
      <c r="I476"/>
      <c r="J476"/>
      <c r="K476"/>
    </row>
    <row r="477" spans="1:2" ht="13.5" customHeight="true" x14ac:dyDescent="0.15" hidden="false">
      <c r="A477" t="s">
        <v>6954</v>
      </c>
      <c r="B477" t="n">
        <v>27.0</v>
      </c>
      <c r="C477"/>
      <c r="D477"/>
      <c r="E477"/>
      <c r="F477"/>
      <c r="G477"/>
      <c r="H477"/>
      <c r="I477"/>
      <c r="J477"/>
      <c r="K477"/>
    </row>
    <row r="478" spans="1:2" ht="13.5" customHeight="true" x14ac:dyDescent="0.15" hidden="false">
      <c r="A478" t="s">
        <v>6954</v>
      </c>
      <c r="B478" t="n">
        <v>28.0</v>
      </c>
      <c r="C478"/>
      <c r="D478"/>
      <c r="E478"/>
      <c r="F478"/>
      <c r="G478"/>
      <c r="H478"/>
      <c r="I478"/>
      <c r="J478"/>
      <c r="K478"/>
    </row>
    <row r="479" spans="1:2" ht="13.5" customHeight="true" x14ac:dyDescent="0.15" hidden="false">
      <c r="A479" t="s">
        <v>6954</v>
      </c>
      <c r="B479" t="n">
        <v>29.0</v>
      </c>
      <c r="C479"/>
      <c r="D479"/>
      <c r="E479"/>
      <c r="F479"/>
      <c r="G479"/>
      <c r="H479"/>
      <c r="I479"/>
      <c r="J479"/>
      <c r="K479"/>
    </row>
    <row r="480" spans="1:2" ht="13.5" customHeight="true" x14ac:dyDescent="0.15" hidden="false">
      <c r="A480" t="s">
        <v>6954</v>
      </c>
      <c r="B480" t="n">
        <v>30.0</v>
      </c>
      <c r="C480"/>
      <c r="D480"/>
      <c r="E480"/>
      <c r="F480"/>
      <c r="G480"/>
      <c r="H480"/>
      <c r="I480"/>
      <c r="J480"/>
      <c r="K480"/>
    </row>
    <row r="481" spans="1:2" ht="13.5" customHeight="true" x14ac:dyDescent="0.15" hidden="false">
      <c r="A481" t="s">
        <v>6954</v>
      </c>
      <c r="B481" t="n">
        <v>31.0</v>
      </c>
      <c r="C481"/>
      <c r="D481"/>
      <c r="E481"/>
      <c r="F481"/>
      <c r="G481"/>
      <c r="H481"/>
      <c r="I481"/>
      <c r="J481"/>
      <c r="K481"/>
    </row>
    <row r="482" spans="1:2" ht="13.5" customHeight="true" x14ac:dyDescent="0.15" hidden="false">
      <c r="A482" t="s">
        <v>6954</v>
      </c>
      <c r="B482" t="n">
        <v>32.0</v>
      </c>
      <c r="C482"/>
      <c r="D482"/>
      <c r="E482"/>
      <c r="F482"/>
      <c r="G482"/>
      <c r="H482"/>
      <c r="I482"/>
      <c r="J482"/>
      <c r="K482"/>
    </row>
    <row r="483" spans="1:2" ht="13.5" customHeight="true" x14ac:dyDescent="0.15" hidden="false">
      <c r="A483" t="s">
        <v>6954</v>
      </c>
      <c r="B483" t="n">
        <v>33.0</v>
      </c>
      <c r="C483"/>
      <c r="D483"/>
      <c r="E483"/>
      <c r="F483"/>
      <c r="G483"/>
      <c r="H483"/>
      <c r="I483"/>
      <c r="J483"/>
      <c r="K483"/>
    </row>
    <row r="484" spans="1:2" ht="13.5" customHeight="true" x14ac:dyDescent="0.15" hidden="false">
      <c r="A484" t="s">
        <v>6954</v>
      </c>
      <c r="B484" t="n">
        <v>34.0</v>
      </c>
      <c r="C484"/>
      <c r="D484"/>
      <c r="E484"/>
      <c r="F484"/>
      <c r="G484"/>
      <c r="H484"/>
      <c r="I484"/>
      <c r="J484"/>
      <c r="K484"/>
    </row>
    <row r="485" spans="1:2" ht="13.5" customHeight="true" x14ac:dyDescent="0.15" hidden="false">
      <c r="A485" t="s">
        <v>6954</v>
      </c>
      <c r="B485" t="n">
        <v>35.0</v>
      </c>
      <c r="C485"/>
      <c r="D485"/>
      <c r="E485"/>
      <c r="F485"/>
      <c r="G485"/>
      <c r="H485"/>
      <c r="I485"/>
      <c r="J485"/>
      <c r="K485"/>
    </row>
    <row r="486" spans="1:2" ht="13.5" customHeight="true" x14ac:dyDescent="0.15" hidden="false">
      <c r="A486" t="s">
        <v>6954</v>
      </c>
      <c r="B486" t="n">
        <v>36.0</v>
      </c>
      <c r="C486"/>
      <c r="D486"/>
      <c r="E486"/>
      <c r="F486"/>
      <c r="G486"/>
      <c r="H486"/>
      <c r="I486"/>
      <c r="J486"/>
      <c r="K486"/>
    </row>
    <row r="487" spans="1:2" ht="13.5" customHeight="true" x14ac:dyDescent="0.15" hidden="false">
      <c r="A487" t="s">
        <v>6954</v>
      </c>
      <c r="B487" t="n">
        <v>37.0</v>
      </c>
      <c r="C487"/>
      <c r="D487"/>
      <c r="E487"/>
      <c r="F487"/>
      <c r="G487"/>
      <c r="H487"/>
      <c r="I487"/>
      <c r="J487"/>
      <c r="K487"/>
    </row>
    <row r="488" spans="1:2" ht="13.5" customHeight="true" x14ac:dyDescent="0.15" hidden="false">
      <c r="A488" t="s">
        <v>6954</v>
      </c>
      <c r="B488" t="n">
        <v>38.0</v>
      </c>
      <c r="C488"/>
      <c r="D488"/>
      <c r="E488"/>
      <c r="F488"/>
      <c r="G488"/>
      <c r="H488"/>
      <c r="I488"/>
      <c r="J488"/>
      <c r="K488"/>
    </row>
    <row r="489" spans="1:2" ht="13.5" customHeight="true" x14ac:dyDescent="0.15" hidden="false">
      <c r="A489" t="s">
        <v>6955</v>
      </c>
      <c r="B489" t="n">
        <v>1.0</v>
      </c>
      <c r="C489" t="n">
        <v>0.0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/>
      <c r="J489"/>
      <c r="K489"/>
    </row>
    <row r="490" spans="1:2" ht="13.5" customHeight="true" x14ac:dyDescent="0.15" hidden="false">
      <c r="A490" t="s">
        <v>6955</v>
      </c>
      <c r="B490" t="n">
        <v>2.0</v>
      </c>
      <c r="C490" t="n">
        <v>0.0</v>
      </c>
      <c r="D490" t="n">
        <v>0.0</v>
      </c>
      <c r="E490" t="n">
        <v>0.0</v>
      </c>
      <c r="F490" t="n">
        <v>0.0</v>
      </c>
      <c r="G490" t="n">
        <v>0.0</v>
      </c>
      <c r="H490" t="n">
        <v>0.0</v>
      </c>
      <c r="I490"/>
      <c r="J490"/>
      <c r="K490"/>
    </row>
    <row r="491" spans="1:2" ht="13.5" customHeight="true" x14ac:dyDescent="0.15" hidden="false">
      <c r="A491" t="s">
        <v>6955</v>
      </c>
      <c r="B491" t="n">
        <v>3.0</v>
      </c>
      <c r="C491" t="n">
        <v>0.0</v>
      </c>
      <c r="D491"/>
      <c r="E491"/>
      <c r="F491" t="n">
        <v>0.0</v>
      </c>
      <c r="G491"/>
      <c r="H491"/>
      <c r="I491"/>
      <c r="J491"/>
      <c r="K491"/>
    </row>
    <row r="492" spans="1:2" ht="13.5" customHeight="true" x14ac:dyDescent="0.15" hidden="false">
      <c r="A492" t="s">
        <v>6955</v>
      </c>
      <c r="B492" t="n">
        <v>4.0</v>
      </c>
      <c r="C492" t="n">
        <v>0.0</v>
      </c>
      <c r="D492"/>
      <c r="E492"/>
      <c r="F492" t="n">
        <v>0.0</v>
      </c>
      <c r="G492"/>
      <c r="H492"/>
      <c r="I492"/>
      <c r="J492"/>
      <c r="K492"/>
    </row>
    <row r="493" spans="1:2" ht="13.5" customHeight="true" x14ac:dyDescent="0.15" hidden="false">
      <c r="A493" t="s">
        <v>6955</v>
      </c>
      <c r="B493" t="n">
        <v>5.0</v>
      </c>
      <c r="C493"/>
      <c r="D493" t="n">
        <v>0.0</v>
      </c>
      <c r="E493"/>
      <c r="F493"/>
      <c r="G493" t="n">
        <v>5.31</v>
      </c>
      <c r="H493"/>
      <c r="I493"/>
      <c r="J493" t="n">
        <v>4.9924401204648445</v>
      </c>
      <c r="K493"/>
    </row>
    <row r="494" spans="1:2" ht="13.5" customHeight="true" x14ac:dyDescent="0.15" hidden="false">
      <c r="A494" t="s">
        <v>6955</v>
      </c>
      <c r="B494" t="n">
        <v>6.0</v>
      </c>
      <c r="C494"/>
      <c r="D494" t="n">
        <v>0.0</v>
      </c>
      <c r="E494"/>
      <c r="F494"/>
      <c r="G494" t="n">
        <v>2.01</v>
      </c>
      <c r="H494"/>
      <c r="I494"/>
      <c r="J494" t="n">
        <v>1.9353548638277827</v>
      </c>
      <c r="K494"/>
    </row>
    <row r="495" spans="1:2" ht="13.5" customHeight="true" x14ac:dyDescent="0.15" hidden="false">
      <c r="A495" t="s">
        <v>6955</v>
      </c>
      <c r="B495" t="n">
        <v>7.0</v>
      </c>
      <c r="C495"/>
      <c r="D495"/>
      <c r="E495" t="n">
        <v>0.0</v>
      </c>
      <c r="F495"/>
      <c r="G495"/>
      <c r="H495" t="n">
        <v>2.0</v>
      </c>
      <c r="I495"/>
      <c r="J495"/>
      <c r="K495" t="n">
        <v>1.8655435965045901</v>
      </c>
    </row>
    <row r="496" spans="1:2" ht="13.5" customHeight="true" x14ac:dyDescent="0.15" hidden="false">
      <c r="A496" t="s">
        <v>6955</v>
      </c>
      <c r="B496" t="n">
        <v>8.0</v>
      </c>
      <c r="C496"/>
      <c r="D496"/>
      <c r="E496" t="n">
        <v>0.0</v>
      </c>
      <c r="F496"/>
      <c r="G496"/>
      <c r="H496" t="n">
        <v>0.0</v>
      </c>
      <c r="I496"/>
      <c r="J496"/>
      <c r="K496"/>
    </row>
    <row r="497" spans="1:2" ht="13.5" customHeight="true" x14ac:dyDescent="0.15" hidden="false">
      <c r="A497" t="s">
        <v>6955</v>
      </c>
      <c r="B497" t="n">
        <v>9.0</v>
      </c>
      <c r="C497" t="n">
        <v>0.0</v>
      </c>
      <c r="D497"/>
      <c r="E497"/>
      <c r="F497" t="n">
        <v>5.29</v>
      </c>
      <c r="G497"/>
      <c r="H497"/>
      <c r="I497" t="n">
        <v>5.085350206199673</v>
      </c>
      <c r="J497"/>
      <c r="K497"/>
    </row>
    <row r="498" spans="1:2" ht="13.5" customHeight="true" x14ac:dyDescent="0.15" hidden="false">
      <c r="A498" t="s">
        <v>6955</v>
      </c>
      <c r="B498" t="n">
        <v>10.0</v>
      </c>
      <c r="C498" t="n">
        <v>0.0</v>
      </c>
      <c r="D498"/>
      <c r="E498"/>
      <c r="F498" t="n">
        <v>0.0</v>
      </c>
      <c r="G498"/>
      <c r="H498"/>
      <c r="I498"/>
      <c r="J498"/>
      <c r="K498"/>
    </row>
    <row r="499" spans="1:2" ht="13.5" customHeight="true" x14ac:dyDescent="0.15" hidden="false">
      <c r="A499" t="s">
        <v>6955</v>
      </c>
      <c r="B499" t="n">
        <v>11.0</v>
      </c>
      <c r="C499"/>
      <c r="D499" t="n">
        <v>0.0</v>
      </c>
      <c r="E499"/>
      <c r="F499"/>
      <c r="G499" t="n">
        <v>2.69</v>
      </c>
      <c r="H499"/>
      <c r="I499"/>
      <c r="J499" t="n">
        <v>2.4235004967175358</v>
      </c>
      <c r="K499"/>
    </row>
    <row r="500" spans="1:2" ht="13.5" customHeight="true" x14ac:dyDescent="0.15" hidden="false">
      <c r="A500" t="s">
        <v>6955</v>
      </c>
      <c r="B500" t="n">
        <v>12.0</v>
      </c>
      <c r="C500"/>
      <c r="D500" t="n">
        <v>0.0</v>
      </c>
      <c r="E500"/>
      <c r="F500"/>
      <c r="G500" t="n">
        <v>5.7</v>
      </c>
      <c r="H500"/>
      <c r="I500"/>
      <c r="J500" t="n">
        <v>4.74491244847629</v>
      </c>
      <c r="K500"/>
    </row>
    <row r="501" spans="1:2" ht="13.5" customHeight="true" x14ac:dyDescent="0.15" hidden="false">
      <c r="A501" t="s">
        <v>6955</v>
      </c>
      <c r="B501" t="n">
        <v>13.0</v>
      </c>
      <c r="C501"/>
      <c r="D501"/>
      <c r="E501" t="n">
        <v>0.0</v>
      </c>
      <c r="F501"/>
      <c r="G501"/>
      <c r="H501" t="n">
        <v>1.99</v>
      </c>
      <c r="I501"/>
      <c r="J501"/>
      <c r="K501" t="n">
        <v>1.898640867165095</v>
      </c>
    </row>
    <row r="502" spans="1:2" ht="13.5" customHeight="true" x14ac:dyDescent="0.15" hidden="false">
      <c r="A502" t="s">
        <v>6955</v>
      </c>
      <c r="B502" t="n">
        <v>14.0</v>
      </c>
      <c r="C502"/>
      <c r="D502"/>
      <c r="E502" t="n">
        <v>0.0</v>
      </c>
      <c r="F502"/>
      <c r="G502"/>
      <c r="H502" t="n">
        <v>2.76</v>
      </c>
      <c r="I502"/>
      <c r="J502"/>
      <c r="K502" t="n">
        <v>2.4231462492961904</v>
      </c>
    </row>
    <row r="503" spans="1:2" ht="13.5" customHeight="true" x14ac:dyDescent="0.15" hidden="false">
      <c r="A503" t="s">
        <v>6955</v>
      </c>
      <c r="B503" t="n">
        <v>15.0</v>
      </c>
      <c r="C503" t="n">
        <v>0.0</v>
      </c>
      <c r="D503"/>
      <c r="E503"/>
      <c r="F503" t="n">
        <v>0.0</v>
      </c>
      <c r="G503"/>
      <c r="H503"/>
      <c r="I503"/>
      <c r="J503"/>
      <c r="K503"/>
    </row>
    <row r="504" spans="1:2" ht="13.5" customHeight="true" x14ac:dyDescent="0.15" hidden="false">
      <c r="A504" t="s">
        <v>6955</v>
      </c>
      <c r="B504" t="n">
        <v>16.0</v>
      </c>
      <c r="C504" t="n">
        <v>0.0</v>
      </c>
      <c r="D504"/>
      <c r="E504"/>
      <c r="F504" t="n">
        <v>0.0</v>
      </c>
      <c r="G504"/>
      <c r="H504"/>
      <c r="I504"/>
      <c r="J504"/>
      <c r="K504"/>
    </row>
    <row r="505" spans="1:2" ht="13.5" customHeight="true" x14ac:dyDescent="0.15" hidden="false">
      <c r="A505" t="s">
        <v>6955</v>
      </c>
      <c r="B505" t="n">
        <v>17.0</v>
      </c>
      <c r="C505"/>
      <c r="D505" t="n">
        <v>0.0</v>
      </c>
      <c r="E505"/>
      <c r="F505"/>
      <c r="G505" t="n">
        <v>0.0</v>
      </c>
      <c r="H505"/>
      <c r="I505"/>
      <c r="J505"/>
      <c r="K505"/>
    </row>
    <row r="506" spans="1:2" ht="13.5" customHeight="true" x14ac:dyDescent="0.15" hidden="false">
      <c r="A506" t="s">
        <v>6955</v>
      </c>
      <c r="B506" t="n">
        <v>18.0</v>
      </c>
      <c r="C506"/>
      <c r="D506" t="n">
        <v>0.0</v>
      </c>
      <c r="E506"/>
      <c r="F506"/>
      <c r="G506" t="n">
        <v>3.54</v>
      </c>
      <c r="H506"/>
      <c r="I506"/>
      <c r="J506" t="n">
        <v>3.0066113881293215</v>
      </c>
      <c r="K506"/>
    </row>
    <row r="507" spans="1:2" ht="13.5" customHeight="true" x14ac:dyDescent="0.15" hidden="false">
      <c r="A507" t="s">
        <v>6955</v>
      </c>
      <c r="B507" t="n">
        <v>19.0</v>
      </c>
      <c r="C507"/>
      <c r="D507"/>
      <c r="E507" t="n">
        <v>0.0</v>
      </c>
      <c r="F507"/>
      <c r="G507"/>
      <c r="H507" t="n">
        <v>2.02</v>
      </c>
      <c r="I507"/>
      <c r="J507"/>
      <c r="K507" t="n">
        <v>1.9028308179699334</v>
      </c>
    </row>
    <row r="508" spans="1:2" ht="13.5" customHeight="true" x14ac:dyDescent="0.15" hidden="false">
      <c r="A508" t="s">
        <v>6955</v>
      </c>
      <c r="B508" t="n">
        <v>20.0</v>
      </c>
      <c r="C508"/>
      <c r="D508"/>
      <c r="E508" t="n">
        <v>0.0</v>
      </c>
      <c r="F508"/>
      <c r="G508"/>
      <c r="H508" t="n">
        <v>3.36</v>
      </c>
      <c r="I508"/>
      <c r="J508"/>
      <c r="K508" t="n">
        <v>2.9667135678817016</v>
      </c>
    </row>
    <row r="509" spans="1:2" ht="13.5" customHeight="true" x14ac:dyDescent="0.15" hidden="false">
      <c r="A509" t="s">
        <v>6955</v>
      </c>
      <c r="B509" t="n">
        <v>21.0</v>
      </c>
      <c r="C509" t="n">
        <v>0.0</v>
      </c>
      <c r="D509"/>
      <c r="E509"/>
      <c r="F509" t="n">
        <v>2.68</v>
      </c>
      <c r="G509"/>
      <c r="H509"/>
      <c r="I509" t="n">
        <v>2.4820585913674083</v>
      </c>
      <c r="J509"/>
      <c r="K509"/>
    </row>
    <row r="510" spans="1:2" ht="13.5" customHeight="true" x14ac:dyDescent="0.15" hidden="false">
      <c r="A510" t="s">
        <v>6955</v>
      </c>
      <c r="B510" t="n">
        <v>22.0</v>
      </c>
      <c r="C510" t="n">
        <v>0.0</v>
      </c>
      <c r="D510"/>
      <c r="E510"/>
      <c r="F510" t="n">
        <v>0.0</v>
      </c>
      <c r="G510"/>
      <c r="H510"/>
      <c r="I510"/>
      <c r="J510"/>
      <c r="K510"/>
    </row>
    <row r="511" spans="1:2" ht="13.5" customHeight="true" x14ac:dyDescent="0.15" hidden="false">
      <c r="A511" t="s">
        <v>6955</v>
      </c>
      <c r="B511" t="n">
        <v>23.0</v>
      </c>
      <c r="C511"/>
      <c r="D511" t="n">
        <v>0.0</v>
      </c>
      <c r="E511"/>
      <c r="F511"/>
      <c r="G511" t="n">
        <v>5.71</v>
      </c>
      <c r="H511"/>
      <c r="I511"/>
      <c r="J511" t="n">
        <v>4.77450839400429</v>
      </c>
      <c r="K511"/>
    </row>
    <row r="512" spans="1:2" ht="13.5" customHeight="true" x14ac:dyDescent="0.15" hidden="false">
      <c r="A512" t="s">
        <v>6955</v>
      </c>
      <c r="B512" t="n">
        <v>24.0</v>
      </c>
      <c r="C512"/>
      <c r="D512" t="n">
        <v>0.0</v>
      </c>
      <c r="E512"/>
      <c r="F512"/>
      <c r="G512" t="n">
        <v>0.0</v>
      </c>
      <c r="H512"/>
      <c r="I512"/>
      <c r="J512"/>
      <c r="K512"/>
    </row>
    <row r="513" spans="1:2" ht="13.5" customHeight="true" x14ac:dyDescent="0.15" hidden="false">
      <c r="A513" t="s">
        <v>6955</v>
      </c>
      <c r="B513" t="n">
        <v>25.0</v>
      </c>
      <c r="C513"/>
      <c r="D513"/>
      <c r="E513" t="n">
        <v>0.0</v>
      </c>
      <c r="F513"/>
      <c r="G513"/>
      <c r="H513" t="n">
        <v>3.61</v>
      </c>
      <c r="I513"/>
      <c r="J513"/>
      <c r="K513" t="n">
        <v>2.854603973066875</v>
      </c>
    </row>
    <row r="514" spans="1:2" ht="13.5" customHeight="true" x14ac:dyDescent="0.15" hidden="false">
      <c r="A514" t="s">
        <v>6955</v>
      </c>
      <c r="B514" t="n">
        <v>26.0</v>
      </c>
      <c r="C514"/>
      <c r="D514"/>
      <c r="E514" t="n">
        <v>3.03</v>
      </c>
      <c r="F514"/>
      <c r="G514"/>
      <c r="H514" t="n">
        <v>5.53</v>
      </c>
      <c r="I514"/>
      <c r="J514"/>
      <c r="K514" t="n">
        <v>4.925920253942905</v>
      </c>
    </row>
    <row r="515" spans="1:2" ht="13.5" customHeight="true" x14ac:dyDescent="0.15" hidden="false">
      <c r="A515" t="s">
        <v>6955</v>
      </c>
      <c r="B515" t="n">
        <v>27.0</v>
      </c>
      <c r="C515" t="n">
        <v>0.0</v>
      </c>
      <c r="D515"/>
      <c r="E515"/>
      <c r="F515" t="n">
        <v>2.69</v>
      </c>
      <c r="G515"/>
      <c r="H515"/>
      <c r="I515" t="n">
        <v>2.418695295457703</v>
      </c>
      <c r="J515"/>
      <c r="K515"/>
    </row>
    <row r="516" spans="1:2" ht="13.5" customHeight="true" x14ac:dyDescent="0.15" hidden="false">
      <c r="A516" t="s">
        <v>6955</v>
      </c>
      <c r="B516" t="n">
        <v>28.0</v>
      </c>
      <c r="C516" t="n">
        <v>0.0</v>
      </c>
      <c r="D516"/>
      <c r="E516"/>
      <c r="F516" t="n">
        <v>5.62</v>
      </c>
      <c r="G516"/>
      <c r="H516"/>
      <c r="I516" t="n">
        <v>5.278964865185189</v>
      </c>
      <c r="J516"/>
      <c r="K516"/>
    </row>
    <row r="517" spans="1:2" ht="13.5" customHeight="true" x14ac:dyDescent="0.15" hidden="false">
      <c r="A517" t="s">
        <v>6955</v>
      </c>
      <c r="B517" t="n">
        <v>29.0</v>
      </c>
      <c r="C517"/>
      <c r="D517" t="n">
        <v>0.0</v>
      </c>
      <c r="E517"/>
      <c r="F517"/>
      <c r="G517" t="n">
        <v>5.55</v>
      </c>
      <c r="H517"/>
      <c r="I517"/>
      <c r="J517" t="n">
        <v>5.203714940097604</v>
      </c>
      <c r="K517"/>
    </row>
    <row r="518" spans="1:2" ht="13.5" customHeight="true" x14ac:dyDescent="0.15" hidden="false">
      <c r="A518" t="s">
        <v>6955</v>
      </c>
      <c r="B518" t="n">
        <v>30.0</v>
      </c>
      <c r="C518"/>
      <c r="D518" t="n">
        <v>0.0</v>
      </c>
      <c r="E518"/>
      <c r="F518"/>
      <c r="G518" t="n">
        <v>5.73</v>
      </c>
      <c r="H518"/>
      <c r="I518"/>
      <c r="J518" t="n">
        <v>5.239361570072559</v>
      </c>
      <c r="K518"/>
    </row>
    <row r="519" spans="1:2" ht="13.5" customHeight="true" x14ac:dyDescent="0.15" hidden="false">
      <c r="A519" t="s">
        <v>6955</v>
      </c>
      <c r="B519" t="n">
        <v>31.0</v>
      </c>
      <c r="C519"/>
      <c r="D519"/>
      <c r="E519" t="n">
        <v>0.0</v>
      </c>
      <c r="F519"/>
      <c r="G519"/>
      <c r="H519" t="n">
        <v>0.0</v>
      </c>
      <c r="I519"/>
      <c r="J519"/>
      <c r="K519"/>
    </row>
    <row r="520" spans="1:2" ht="13.5" customHeight="true" x14ac:dyDescent="0.15" hidden="false">
      <c r="A520" t="s">
        <v>6955</v>
      </c>
      <c r="B520" t="n">
        <v>32.0</v>
      </c>
      <c r="C520"/>
      <c r="D520"/>
      <c r="E520" t="n">
        <v>0.0</v>
      </c>
      <c r="F520"/>
      <c r="G520"/>
      <c r="H520" t="n">
        <v>0.0</v>
      </c>
      <c r="I520"/>
      <c r="J520"/>
      <c r="K520"/>
    </row>
    <row r="521" spans="1:2" ht="13.5" customHeight="true" x14ac:dyDescent="0.15" hidden="false">
      <c r="A521" t="s">
        <v>6956</v>
      </c>
      <c r="B521" t="n">
        <v>1.0</v>
      </c>
      <c r="C521" t="n">
        <v>0.0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/>
      <c r="J521"/>
      <c r="K521"/>
    </row>
    <row r="522" spans="1:2" ht="13.5" customHeight="true" x14ac:dyDescent="0.15" hidden="false">
      <c r="A522" t="s">
        <v>6956</v>
      </c>
      <c r="B522" t="n">
        <v>2.0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/>
      <c r="J522"/>
      <c r="K522"/>
    </row>
    <row r="523" spans="1:2" ht="13.5" customHeight="true" x14ac:dyDescent="0.15" hidden="false">
      <c r="A523" t="s">
        <v>6956</v>
      </c>
      <c r="B523" t="n">
        <v>3.0</v>
      </c>
      <c r="C523" t="n">
        <v>3.91</v>
      </c>
      <c r="D523"/>
      <c r="E523"/>
      <c r="F523" t="n">
        <v>6.43</v>
      </c>
      <c r="G523"/>
      <c r="H523"/>
      <c r="I523" t="n">
        <v>5.280917635149092</v>
      </c>
      <c r="J523"/>
      <c r="K523"/>
    </row>
    <row r="524" spans="1:2" ht="13.5" customHeight="true" x14ac:dyDescent="0.15" hidden="false">
      <c r="A524" t="s">
        <v>6956</v>
      </c>
      <c r="B524" t="n">
        <v>4.0</v>
      </c>
      <c r="C524" t="n">
        <v>0.0</v>
      </c>
      <c r="D524"/>
      <c r="E524"/>
      <c r="F524" t="n">
        <v>0.0</v>
      </c>
      <c r="G524"/>
      <c r="H524"/>
      <c r="I524"/>
      <c r="J524"/>
      <c r="K524"/>
    </row>
    <row r="525" spans="1:2" ht="13.5" customHeight="true" x14ac:dyDescent="0.15" hidden="false">
      <c r="A525" t="s">
        <v>6956</v>
      </c>
      <c r="B525" t="n">
        <v>5.0</v>
      </c>
      <c r="C525"/>
      <c r="D525" t="n">
        <v>0.0</v>
      </c>
      <c r="E525"/>
      <c r="F525"/>
      <c r="G525" t="n">
        <v>3.98</v>
      </c>
      <c r="H525"/>
      <c r="I525"/>
      <c r="J525" t="n">
        <v>3.8314901147064435</v>
      </c>
      <c r="K525"/>
    </row>
    <row r="526" spans="1:2" ht="13.5" customHeight="true" x14ac:dyDescent="0.15" hidden="false">
      <c r="A526" t="s">
        <v>6956</v>
      </c>
      <c r="B526" t="n">
        <v>6.0</v>
      </c>
      <c r="C526"/>
      <c r="D526" t="n">
        <v>0.0</v>
      </c>
      <c r="E526"/>
      <c r="F526"/>
      <c r="G526" t="n">
        <v>6.32</v>
      </c>
      <c r="H526"/>
      <c r="I526"/>
      <c r="J526" t="n">
        <v>5.7185788115502865</v>
      </c>
      <c r="K526"/>
    </row>
    <row r="527" spans="1:2" ht="13.5" customHeight="true" x14ac:dyDescent="0.15" hidden="false">
      <c r="A527" t="s">
        <v>6956</v>
      </c>
      <c r="B527" t="n">
        <v>7.0</v>
      </c>
      <c r="C527"/>
      <c r="D527"/>
      <c r="E527" t="n">
        <v>0.0</v>
      </c>
      <c r="F527"/>
      <c r="G527"/>
      <c r="H527" t="n">
        <v>0.73</v>
      </c>
      <c r="I527"/>
      <c r="J527"/>
      <c r="K527" t="n">
        <v>0.6809343976092294</v>
      </c>
    </row>
    <row r="528" spans="1:2" ht="13.5" customHeight="true" x14ac:dyDescent="0.15" hidden="false">
      <c r="A528" t="s">
        <v>6956</v>
      </c>
      <c r="B528" t="n">
        <v>8.0</v>
      </c>
      <c r="C528"/>
      <c r="D528"/>
      <c r="E528" t="n">
        <v>0.0</v>
      </c>
      <c r="F528"/>
      <c r="G528"/>
      <c r="H528" t="n">
        <v>4.67</v>
      </c>
      <c r="I528"/>
      <c r="J528"/>
      <c r="K528" t="n">
        <v>4.114321436456489</v>
      </c>
    </row>
    <row r="529" spans="1:2" ht="13.5" customHeight="true" x14ac:dyDescent="0.15" hidden="false">
      <c r="A529" t="s">
        <v>6956</v>
      </c>
      <c r="B529" t="n">
        <v>9.0</v>
      </c>
      <c r="C529" t="n">
        <v>0.0</v>
      </c>
      <c r="D529"/>
      <c r="E529"/>
      <c r="F529" t="n">
        <v>0.0</v>
      </c>
      <c r="G529"/>
      <c r="H529"/>
      <c r="I529"/>
      <c r="J529"/>
      <c r="K529"/>
    </row>
    <row r="530" spans="1:2" ht="13.5" customHeight="true" x14ac:dyDescent="0.15" hidden="false">
      <c r="A530" t="s">
        <v>6956</v>
      </c>
      <c r="B530" t="n">
        <v>10.0</v>
      </c>
      <c r="C530" t="n">
        <v>0.0</v>
      </c>
      <c r="D530"/>
      <c r="E530"/>
      <c r="F530" t="n">
        <v>5.99</v>
      </c>
      <c r="G530"/>
      <c r="H530"/>
      <c r="I530" t="n">
        <v>5.435065521716995</v>
      </c>
      <c r="J530"/>
      <c r="K530"/>
    </row>
    <row r="531" spans="1:2" ht="13.5" customHeight="true" x14ac:dyDescent="0.15" hidden="false">
      <c r="A531" t="s">
        <v>6956</v>
      </c>
      <c r="B531" t="n">
        <v>11.0</v>
      </c>
      <c r="C531"/>
      <c r="D531" t="n">
        <v>0.0</v>
      </c>
      <c r="E531"/>
      <c r="F531"/>
      <c r="G531" t="n">
        <v>3.32</v>
      </c>
      <c r="H531"/>
      <c r="I531"/>
      <c r="J531" t="n">
        <v>3.040638177383933</v>
      </c>
      <c r="K531"/>
    </row>
    <row r="532" spans="1:2" ht="13.5" customHeight="true" x14ac:dyDescent="0.15" hidden="false">
      <c r="A532" t="s">
        <v>6956</v>
      </c>
      <c r="B532" t="n">
        <v>12.0</v>
      </c>
      <c r="C532"/>
      <c r="D532" t="n">
        <v>0.0</v>
      </c>
      <c r="E532"/>
      <c r="F532"/>
      <c r="G532" t="n">
        <v>10.08</v>
      </c>
      <c r="H532"/>
      <c r="I532"/>
      <c r="J532" t="n">
        <v>8.8343880048585</v>
      </c>
      <c r="K532"/>
    </row>
    <row r="533" spans="1:2" ht="13.5" customHeight="true" x14ac:dyDescent="0.15" hidden="false">
      <c r="A533" t="s">
        <v>6956</v>
      </c>
      <c r="B533" t="n">
        <v>13.0</v>
      </c>
      <c r="C533"/>
      <c r="D533"/>
      <c r="E533" t="n">
        <v>0.7</v>
      </c>
      <c r="F533"/>
      <c r="G533"/>
      <c r="H533" t="n">
        <v>2.6</v>
      </c>
      <c r="I533"/>
      <c r="J533"/>
      <c r="K533" t="n">
        <v>1.1149490974259733</v>
      </c>
    </row>
    <row r="534" spans="1:2" ht="13.5" customHeight="true" x14ac:dyDescent="0.15" hidden="false">
      <c r="A534" t="s">
        <v>6956</v>
      </c>
      <c r="B534" t="n">
        <v>14.0</v>
      </c>
      <c r="C534"/>
      <c r="D534"/>
      <c r="E534" t="n">
        <v>0.0</v>
      </c>
      <c r="F534"/>
      <c r="G534"/>
      <c r="H534" t="n">
        <v>0.0</v>
      </c>
      <c r="I534"/>
      <c r="J534"/>
      <c r="K534"/>
    </row>
    <row r="535" spans="1:2" ht="13.5" customHeight="true" x14ac:dyDescent="0.15" hidden="false">
      <c r="A535" t="s">
        <v>6956</v>
      </c>
      <c r="B535" t="n">
        <v>15.0</v>
      </c>
      <c r="C535" t="n">
        <v>0.0</v>
      </c>
      <c r="D535"/>
      <c r="E535"/>
      <c r="F535" t="n">
        <v>0.0</v>
      </c>
      <c r="G535"/>
      <c r="H535"/>
      <c r="I535"/>
      <c r="J535"/>
      <c r="K535"/>
    </row>
    <row r="536" spans="1:2" ht="13.5" customHeight="true" x14ac:dyDescent="0.15" hidden="false">
      <c r="A536" t="s">
        <v>6956</v>
      </c>
      <c r="B536" t="n">
        <v>16.0</v>
      </c>
      <c r="C536" t="n">
        <v>0.0</v>
      </c>
      <c r="D536"/>
      <c r="E536"/>
      <c r="F536" t="n">
        <v>3.95</v>
      </c>
      <c r="G536"/>
      <c r="H536"/>
      <c r="I536" t="n">
        <v>3.765911846659028</v>
      </c>
      <c r="J536"/>
      <c r="K536"/>
    </row>
    <row r="537" spans="1:2" ht="13.5" customHeight="true" x14ac:dyDescent="0.15" hidden="false">
      <c r="A537" t="s">
        <v>6956</v>
      </c>
      <c r="B537" t="n">
        <v>17.0</v>
      </c>
      <c r="C537"/>
      <c r="D537" t="n">
        <v>0.0</v>
      </c>
      <c r="E537"/>
      <c r="F537"/>
      <c r="G537" t="n">
        <v>0.0</v>
      </c>
      <c r="H537"/>
      <c r="I537"/>
      <c r="J537"/>
      <c r="K537"/>
    </row>
    <row r="538" spans="1:2" ht="13.5" customHeight="true" x14ac:dyDescent="0.15" hidden="false">
      <c r="A538" t="s">
        <v>6956</v>
      </c>
      <c r="B538" t="n">
        <v>18.0</v>
      </c>
      <c r="C538"/>
      <c r="D538" t="n">
        <v>0.0</v>
      </c>
      <c r="E538"/>
      <c r="F538"/>
      <c r="G538" t="n">
        <v>0.0</v>
      </c>
      <c r="H538"/>
      <c r="I538"/>
      <c r="J538"/>
      <c r="K538"/>
    </row>
    <row r="539" spans="1:2" ht="13.5" customHeight="true" x14ac:dyDescent="0.15" hidden="false">
      <c r="A539" t="s">
        <v>6956</v>
      </c>
      <c r="B539" t="n">
        <v>19.0</v>
      </c>
      <c r="C539"/>
      <c r="D539"/>
      <c r="E539" t="n">
        <v>5.14</v>
      </c>
      <c r="F539"/>
      <c r="G539"/>
      <c r="H539" t="n">
        <v>6.36</v>
      </c>
      <c r="I539"/>
      <c r="J539"/>
      <c r="K539" t="n">
        <v>5.57468012737289</v>
      </c>
    </row>
    <row r="540" spans="1:2" ht="13.5" customHeight="true" x14ac:dyDescent="0.15" hidden="false">
      <c r="A540" t="s">
        <v>6956</v>
      </c>
      <c r="B540" t="n">
        <v>20.0</v>
      </c>
      <c r="C540"/>
      <c r="D540"/>
      <c r="E540" t="n">
        <v>0.0</v>
      </c>
      <c r="F540"/>
      <c r="G540"/>
      <c r="H540" t="n">
        <v>4.4</v>
      </c>
      <c r="I540"/>
      <c r="J540"/>
      <c r="K540" t="n">
        <v>4.043955782257792</v>
      </c>
    </row>
    <row r="541" spans="1:2" ht="13.5" customHeight="true" x14ac:dyDescent="0.15" hidden="false">
      <c r="A541" t="s">
        <v>6956</v>
      </c>
      <c r="B541" t="n">
        <v>21.0</v>
      </c>
      <c r="C541" t="n">
        <v>0.0</v>
      </c>
      <c r="D541"/>
      <c r="E541"/>
      <c r="F541" t="n">
        <v>3.33</v>
      </c>
      <c r="G541"/>
      <c r="H541"/>
      <c r="I541" t="n">
        <v>3.098823425315421</v>
      </c>
      <c r="J541"/>
      <c r="K541"/>
    </row>
    <row r="542" spans="1:2" ht="13.5" customHeight="true" x14ac:dyDescent="0.15" hidden="false">
      <c r="A542" t="s">
        <v>6956</v>
      </c>
      <c r="B542" t="n">
        <v>22.0</v>
      </c>
      <c r="C542" t="n">
        <v>0.0</v>
      </c>
      <c r="D542"/>
      <c r="E542"/>
      <c r="F542" t="n">
        <v>0.0</v>
      </c>
      <c r="G542"/>
      <c r="H542"/>
      <c r="I542"/>
      <c r="J542"/>
      <c r="K542"/>
    </row>
    <row r="543" spans="1:2" ht="13.5" customHeight="true" x14ac:dyDescent="0.15" hidden="false">
      <c r="A543" t="s">
        <v>6956</v>
      </c>
      <c r="B543" t="n">
        <v>23.0</v>
      </c>
      <c r="C543"/>
      <c r="D543" t="n">
        <v>0.0</v>
      </c>
      <c r="E543"/>
      <c r="F543"/>
      <c r="G543" t="n">
        <v>10.11</v>
      </c>
      <c r="H543"/>
      <c r="I543"/>
      <c r="J543" t="n">
        <v>8.94995989805581</v>
      </c>
      <c r="K543"/>
    </row>
    <row r="544" spans="1:2" ht="13.5" customHeight="true" x14ac:dyDescent="0.15" hidden="false">
      <c r="A544" t="s">
        <v>6956</v>
      </c>
      <c r="B544" t="n">
        <v>24.0</v>
      </c>
      <c r="C544"/>
      <c r="D544" t="n">
        <v>0.0</v>
      </c>
      <c r="E544"/>
      <c r="F544"/>
      <c r="G544" t="n">
        <v>3.96</v>
      </c>
      <c r="H544"/>
      <c r="I544"/>
      <c r="J544" t="n">
        <v>3.708803096276047</v>
      </c>
      <c r="K544"/>
    </row>
    <row r="545" spans="1:2" ht="13.5" customHeight="true" x14ac:dyDescent="0.15" hidden="false">
      <c r="A545" t="s">
        <v>6956</v>
      </c>
      <c r="B545" t="n">
        <v>25.0</v>
      </c>
      <c r="C545"/>
      <c r="D545"/>
      <c r="E545" t="n">
        <v>0.0</v>
      </c>
      <c r="F545"/>
      <c r="G545"/>
      <c r="H545" t="n">
        <v>2.57</v>
      </c>
      <c r="I545"/>
      <c r="J545"/>
      <c r="K545" t="n">
        <v>2.4386809822603417</v>
      </c>
    </row>
    <row r="546" spans="1:2" ht="13.5" customHeight="true" x14ac:dyDescent="0.15" hidden="false">
      <c r="A546" t="s">
        <v>6956</v>
      </c>
      <c r="B546" t="n">
        <v>26.0</v>
      </c>
      <c r="C546"/>
      <c r="D546"/>
      <c r="E546" t="n">
        <v>0.0</v>
      </c>
      <c r="F546"/>
      <c r="G546"/>
      <c r="H546" t="n">
        <v>2.1</v>
      </c>
      <c r="I546"/>
      <c r="J546"/>
      <c r="K546" t="n">
        <v>1.831355360381447</v>
      </c>
    </row>
    <row r="547" spans="1:2" ht="13.5" customHeight="true" x14ac:dyDescent="0.15" hidden="false">
      <c r="A547" t="s">
        <v>6956</v>
      </c>
      <c r="B547" t="n">
        <v>27.0</v>
      </c>
      <c r="C547" t="n">
        <v>0.0</v>
      </c>
      <c r="D547"/>
      <c r="E547"/>
      <c r="F547" t="n">
        <v>0.0</v>
      </c>
      <c r="G547"/>
      <c r="H547"/>
      <c r="I547"/>
      <c r="J547"/>
      <c r="K547"/>
    </row>
    <row r="548" spans="1:2" ht="13.5" customHeight="true" x14ac:dyDescent="0.15" hidden="false">
      <c r="A548" t="s">
        <v>6956</v>
      </c>
      <c r="B548" t="n">
        <v>28.0</v>
      </c>
      <c r="C548" t="n">
        <v>0.0</v>
      </c>
      <c r="D548"/>
      <c r="E548"/>
      <c r="F548" t="n">
        <v>0.0</v>
      </c>
      <c r="G548"/>
      <c r="H548"/>
      <c r="I548"/>
      <c r="J548"/>
      <c r="K548"/>
    </row>
    <row r="549" spans="1:2" ht="13.5" customHeight="true" x14ac:dyDescent="0.15" hidden="false">
      <c r="A549" t="s">
        <v>6956</v>
      </c>
      <c r="B549" t="n">
        <v>29.0</v>
      </c>
      <c r="C549"/>
      <c r="D549" t="n">
        <v>0.0</v>
      </c>
      <c r="E549"/>
      <c r="F549"/>
      <c r="G549" t="n">
        <v>2.05</v>
      </c>
      <c r="H549"/>
      <c r="I549"/>
      <c r="J549" t="n">
        <v>1.8120711232380269</v>
      </c>
      <c r="K549"/>
    </row>
    <row r="550" spans="1:2" ht="13.5" customHeight="true" x14ac:dyDescent="0.15" hidden="false">
      <c r="A550" t="s">
        <v>6956</v>
      </c>
      <c r="B550" t="n">
        <v>30.0</v>
      </c>
      <c r="C550"/>
      <c r="D550" t="n">
        <v>0.0</v>
      </c>
      <c r="E550"/>
      <c r="F550"/>
      <c r="G550" t="n">
        <v>0.0</v>
      </c>
      <c r="H550"/>
      <c r="I550"/>
      <c r="J550"/>
      <c r="K550"/>
    </row>
    <row r="551" spans="1:2" ht="13.5" customHeight="true" x14ac:dyDescent="0.15" hidden="false">
      <c r="A551" t="s">
        <v>6956</v>
      </c>
      <c r="B551" t="n">
        <v>31.0</v>
      </c>
      <c r="C551"/>
      <c r="D551"/>
      <c r="E551" t="n">
        <v>0.0</v>
      </c>
      <c r="F551"/>
      <c r="G551"/>
      <c r="H551" t="n">
        <v>0.0</v>
      </c>
      <c r="I551"/>
      <c r="J551"/>
      <c r="K551"/>
    </row>
    <row r="552" spans="1:2" ht="13.5" customHeight="true" x14ac:dyDescent="0.15" hidden="false">
      <c r="A552" t="s">
        <v>6956</v>
      </c>
      <c r="B552" t="n">
        <v>32.0</v>
      </c>
      <c r="C552"/>
      <c r="D552"/>
      <c r="E552" t="n">
        <v>0.0</v>
      </c>
      <c r="F552"/>
      <c r="G552"/>
      <c r="H552" t="n">
        <v>0.0</v>
      </c>
      <c r="I552"/>
      <c r="J552"/>
      <c r="K552"/>
    </row>
    <row r="553" spans="1:2" ht="13.5" customHeight="true" x14ac:dyDescent="0.15" hidden="false">
      <c r="A553" t="s">
        <v>6957</v>
      </c>
      <c r="B553" t="n">
        <v>1.0</v>
      </c>
      <c r="C553" t="n">
        <v>5.97</v>
      </c>
      <c r="D553" t="n">
        <v>1.25</v>
      </c>
      <c r="E553" t="n">
        <v>7.85</v>
      </c>
      <c r="F553" t="n">
        <v>6.1</v>
      </c>
      <c r="G553" t="n">
        <v>1.29</v>
      </c>
      <c r="H553" t="n">
        <v>8.28</v>
      </c>
      <c r="I553" t="n">
        <v>6.0279209510746625</v>
      </c>
      <c r="J553" t="n">
        <v>1.2529926146537091</v>
      </c>
      <c r="K553" t="n">
        <v>7.972806767204351</v>
      </c>
    </row>
    <row r="554" spans="1:2" ht="13.5" customHeight="true" x14ac:dyDescent="0.15" hidden="false">
      <c r="A554" t="s">
        <v>6957</v>
      </c>
      <c r="B554" t="n">
        <v>2.0</v>
      </c>
      <c r="C554" t="n">
        <v>0.0</v>
      </c>
      <c r="D554" t="n">
        <v>0.0</v>
      </c>
      <c r="E554" t="n">
        <v>0.0</v>
      </c>
      <c r="F554" t="n">
        <v>3.43</v>
      </c>
      <c r="G554" t="n">
        <v>2.84</v>
      </c>
      <c r="H554" t="n">
        <v>6.34</v>
      </c>
      <c r="I554" t="n">
        <v>3.2897207263847617</v>
      </c>
      <c r="J554" t="n">
        <v>2.7182362914803235</v>
      </c>
      <c r="K554" t="n">
        <v>1.9969684553161644</v>
      </c>
    </row>
    <row r="555" spans="1:2" ht="13.5" customHeight="true" x14ac:dyDescent="0.15" hidden="false">
      <c r="A555" t="s">
        <v>6957</v>
      </c>
      <c r="B555" t="n">
        <v>3.0</v>
      </c>
      <c r="C555" t="n">
        <v>0.0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/>
      <c r="J555"/>
      <c r="K555"/>
    </row>
    <row r="556" spans="1:2" ht="13.5" customHeight="true" x14ac:dyDescent="0.15" hidden="false">
      <c r="A556" t="s">
        <v>6957</v>
      </c>
      <c r="B556" t="n">
        <v>4.0</v>
      </c>
      <c r="C556" t="n">
        <v>0.0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/>
      <c r="J556"/>
      <c r="K556"/>
    </row>
    <row r="557" spans="1:2" ht="13.5" customHeight="true" x14ac:dyDescent="0.15" hidden="false">
      <c r="A557" t="s">
        <v>6957</v>
      </c>
      <c r="B557" t="n">
        <v>5.0</v>
      </c>
      <c r="C557" t="n">
        <v>0.0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/>
      <c r="J557"/>
      <c r="K557"/>
    </row>
    <row r="558" spans="1:2" ht="13.5" customHeight="true" x14ac:dyDescent="0.15" hidden="false">
      <c r="A558" t="s">
        <v>6957</v>
      </c>
      <c r="B558" t="n">
        <v>6.0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/>
      <c r="J558"/>
      <c r="K558"/>
    </row>
    <row r="559" spans="1:2" ht="13.5" customHeight="true" x14ac:dyDescent="0.15" hidden="false">
      <c r="A559" t="s">
        <v>6957</v>
      </c>
      <c r="B559" t="n">
        <v>7.0</v>
      </c>
      <c r="C559" t="n">
        <v>0.65</v>
      </c>
      <c r="D559"/>
      <c r="E559"/>
      <c r="F559" t="n">
        <v>3.98</v>
      </c>
      <c r="G559"/>
      <c r="H559"/>
      <c r="I559" t="n">
        <v>3.107684405046484</v>
      </c>
      <c r="J559"/>
      <c r="K559"/>
    </row>
    <row r="560" spans="1:2" ht="13.5" customHeight="true" x14ac:dyDescent="0.15" hidden="false">
      <c r="A560" t="s">
        <v>6957</v>
      </c>
      <c r="B560" t="n">
        <v>8.0</v>
      </c>
      <c r="C560" t="n">
        <v>0.0</v>
      </c>
      <c r="D560"/>
      <c r="E560"/>
      <c r="F560" t="n">
        <v>4.36</v>
      </c>
      <c r="G560"/>
      <c r="H560"/>
      <c r="I560" t="n">
        <v>4.193720066483461</v>
      </c>
      <c r="J560"/>
      <c r="K560"/>
    </row>
    <row r="561" spans="1:2" ht="13.5" customHeight="true" x14ac:dyDescent="0.15" hidden="false">
      <c r="A561" t="s">
        <v>6957</v>
      </c>
      <c r="B561" t="n">
        <v>9.0</v>
      </c>
      <c r="C561"/>
      <c r="D561" t="n">
        <v>0.0</v>
      </c>
      <c r="E561"/>
      <c r="F561"/>
      <c r="G561" t="n">
        <v>1.77</v>
      </c>
      <c r="H561"/>
      <c r="I561"/>
      <c r="J561" t="n">
        <v>1.7053245081788502</v>
      </c>
      <c r="K561"/>
    </row>
    <row r="562" spans="1:2" ht="13.5" customHeight="true" x14ac:dyDescent="0.15" hidden="false">
      <c r="A562" t="s">
        <v>6957</v>
      </c>
      <c r="B562" t="n">
        <v>10.0</v>
      </c>
      <c r="C562"/>
      <c r="D562" t="n">
        <v>0.0</v>
      </c>
      <c r="E562"/>
      <c r="F562"/>
      <c r="G562" t="n">
        <v>9.05</v>
      </c>
      <c r="H562"/>
      <c r="I562"/>
      <c r="J562" t="n">
        <v>6.594217287776868</v>
      </c>
      <c r="K562"/>
    </row>
    <row r="563" spans="1:2" ht="13.5" customHeight="true" x14ac:dyDescent="0.15" hidden="false">
      <c r="A563" t="s">
        <v>6957</v>
      </c>
      <c r="B563" t="n">
        <v>11.0</v>
      </c>
      <c r="C563"/>
      <c r="D563"/>
      <c r="E563" t="n">
        <v>0.0</v>
      </c>
      <c r="F563"/>
      <c r="G563"/>
      <c r="H563" t="n">
        <v>0.22</v>
      </c>
      <c r="I563"/>
      <c r="J563"/>
      <c r="K563" t="n">
        <v>0.003194444444444444</v>
      </c>
    </row>
    <row r="564" spans="1:2" ht="13.5" customHeight="true" x14ac:dyDescent="0.15" hidden="false">
      <c r="A564" t="s">
        <v>6957</v>
      </c>
      <c r="B564" t="n">
        <v>12.0</v>
      </c>
      <c r="C564"/>
      <c r="D564"/>
      <c r="E564" t="n">
        <v>2.31</v>
      </c>
      <c r="F564"/>
      <c r="G564"/>
      <c r="H564" t="n">
        <v>2.37</v>
      </c>
      <c r="I564"/>
      <c r="J564"/>
      <c r="K564" t="n">
        <v>2.314642638868288</v>
      </c>
    </row>
    <row r="565" spans="1:2" ht="13.5" customHeight="true" x14ac:dyDescent="0.15" hidden="false">
      <c r="A565" t="s">
        <v>6957</v>
      </c>
      <c r="B565" t="n">
        <v>13.0</v>
      </c>
      <c r="C565" t="n">
        <v>0.0</v>
      </c>
      <c r="D565"/>
      <c r="E565"/>
      <c r="F565" t="n">
        <v>0.78</v>
      </c>
      <c r="G565"/>
      <c r="H565"/>
      <c r="I565" t="n">
        <v>0.6539775702726592</v>
      </c>
      <c r="J565"/>
      <c r="K565"/>
    </row>
    <row r="566" spans="1:2" ht="13.5" customHeight="true" x14ac:dyDescent="0.15" hidden="false">
      <c r="A566" t="s">
        <v>6957</v>
      </c>
      <c r="B566" t="n">
        <v>14.0</v>
      </c>
      <c r="C566" t="n">
        <v>0.0</v>
      </c>
      <c r="D566"/>
      <c r="E566"/>
      <c r="F566" t="n">
        <v>1.6</v>
      </c>
      <c r="G566"/>
      <c r="H566"/>
      <c r="I566" t="n">
        <v>1.5308937205046724</v>
      </c>
      <c r="J566"/>
      <c r="K566"/>
    </row>
    <row r="567" spans="1:2" ht="13.5" customHeight="true" x14ac:dyDescent="0.15" hidden="false">
      <c r="A567" t="s">
        <v>6957</v>
      </c>
      <c r="B567" t="n">
        <v>15.0</v>
      </c>
      <c r="C567"/>
      <c r="D567" t="n">
        <v>0.0</v>
      </c>
      <c r="E567"/>
      <c r="F567"/>
      <c r="G567" t="n">
        <v>0.37</v>
      </c>
      <c r="H567"/>
      <c r="I567"/>
      <c r="J567" t="n">
        <v>0.34588469074871536</v>
      </c>
      <c r="K567"/>
    </row>
    <row r="568" spans="1:2" ht="13.5" customHeight="true" x14ac:dyDescent="0.15" hidden="false">
      <c r="A568" t="s">
        <v>6957</v>
      </c>
      <c r="B568" t="n">
        <v>16.0</v>
      </c>
      <c r="C568"/>
      <c r="D568" t="n">
        <v>0.0</v>
      </c>
      <c r="E568"/>
      <c r="F568"/>
      <c r="G568" t="n">
        <v>8.38</v>
      </c>
      <c r="H568"/>
      <c r="I568"/>
      <c r="J568" t="n">
        <v>7.878917682333373</v>
      </c>
      <c r="K568"/>
    </row>
    <row r="569" spans="1:2" ht="13.5" customHeight="true" x14ac:dyDescent="0.15" hidden="false">
      <c r="A569" t="s">
        <v>6957</v>
      </c>
      <c r="B569" t="n">
        <v>17.0</v>
      </c>
      <c r="C569"/>
      <c r="D569"/>
      <c r="E569" t="n">
        <v>0.0</v>
      </c>
      <c r="F569"/>
      <c r="G569"/>
      <c r="H569" t="n">
        <v>0.0</v>
      </c>
      <c r="I569"/>
      <c r="J569"/>
      <c r="K569"/>
    </row>
    <row r="570" spans="1:2" ht="13.5" customHeight="true" x14ac:dyDescent="0.15" hidden="false">
      <c r="A570" t="s">
        <v>6957</v>
      </c>
      <c r="B570" t="n">
        <v>18.0</v>
      </c>
      <c r="C570"/>
      <c r="D570"/>
      <c r="E570" t="n">
        <v>0.0</v>
      </c>
      <c r="F570"/>
      <c r="G570"/>
      <c r="H570" t="n">
        <v>0.0</v>
      </c>
      <c r="I570"/>
      <c r="J570"/>
      <c r="K570"/>
    </row>
    <row r="571" spans="1:2" ht="13.5" customHeight="true" x14ac:dyDescent="0.15" hidden="false">
      <c r="A571" t="s">
        <v>6957</v>
      </c>
      <c r="B571" t="n">
        <v>19.0</v>
      </c>
      <c r="C571" t="n">
        <v>0.0</v>
      </c>
      <c r="D571"/>
      <c r="E571"/>
      <c r="F571" t="n">
        <v>4.37</v>
      </c>
      <c r="G571"/>
      <c r="H571"/>
      <c r="I571" t="n">
        <v>4.139427226933885</v>
      </c>
      <c r="J571"/>
      <c r="K571"/>
    </row>
    <row r="572" spans="1:2" ht="13.5" customHeight="true" x14ac:dyDescent="0.15" hidden="false">
      <c r="A572" t="s">
        <v>6957</v>
      </c>
      <c r="B572" t="n">
        <v>20.0</v>
      </c>
      <c r="C572" t="n">
        <v>0.0</v>
      </c>
      <c r="D572"/>
      <c r="E572"/>
      <c r="F572" t="n">
        <v>7.49</v>
      </c>
      <c r="G572"/>
      <c r="H572"/>
      <c r="I572" t="n">
        <v>6.627547689773366</v>
      </c>
      <c r="J572"/>
      <c r="K572"/>
    </row>
    <row r="573" spans="1:2" ht="13.5" customHeight="true" x14ac:dyDescent="0.15" hidden="false">
      <c r="A573" t="s">
        <v>6957</v>
      </c>
      <c r="B573" t="n">
        <v>21.0</v>
      </c>
      <c r="C573"/>
      <c r="D573" t="n">
        <v>0.0</v>
      </c>
      <c r="E573"/>
      <c r="F573"/>
      <c r="G573" t="n">
        <v>2.34</v>
      </c>
      <c r="H573"/>
      <c r="I573"/>
      <c r="J573" t="n">
        <v>2.208577320901051</v>
      </c>
      <c r="K573"/>
    </row>
    <row r="574" spans="1:2" ht="13.5" customHeight="true" x14ac:dyDescent="0.15" hidden="false">
      <c r="A574" t="s">
        <v>6957</v>
      </c>
      <c r="B574" t="n">
        <v>22.0</v>
      </c>
      <c r="C574"/>
      <c r="D574" t="n">
        <v>0.0</v>
      </c>
      <c r="E574"/>
      <c r="F574"/>
      <c r="G574" t="n">
        <v>1.5899999999999999</v>
      </c>
      <c r="H574"/>
      <c r="I574"/>
      <c r="J574" t="n">
        <v>1.5007659282015002</v>
      </c>
      <c r="K574"/>
    </row>
    <row r="575" spans="1:2" ht="13.5" customHeight="true" x14ac:dyDescent="0.15" hidden="false">
      <c r="A575" t="s">
        <v>6957</v>
      </c>
      <c r="B575" t="n">
        <v>23.0</v>
      </c>
      <c r="C575"/>
      <c r="D575"/>
      <c r="E575" t="n">
        <v>0.0</v>
      </c>
      <c r="F575"/>
      <c r="G575"/>
      <c r="H575" t="n">
        <v>2.34</v>
      </c>
      <c r="I575"/>
      <c r="J575"/>
      <c r="K575" t="n">
        <v>2.2460133023568316</v>
      </c>
    </row>
    <row r="576" spans="1:2" ht="13.5" customHeight="true" x14ac:dyDescent="0.15" hidden="false">
      <c r="A576" t="s">
        <v>6957</v>
      </c>
      <c r="B576" t="n">
        <v>24.0</v>
      </c>
      <c r="C576"/>
      <c r="D576"/>
      <c r="E576" t="n">
        <v>0.0</v>
      </c>
      <c r="F576"/>
      <c r="G576"/>
      <c r="H576" t="n">
        <v>0.0</v>
      </c>
      <c r="I576"/>
      <c r="J576"/>
      <c r="K576"/>
    </row>
    <row r="577" spans="1:2" ht="13.5" customHeight="true" x14ac:dyDescent="0.15" hidden="false">
      <c r="A577" t="s">
        <v>6957</v>
      </c>
      <c r="B577" t="n">
        <v>25.0</v>
      </c>
      <c r="C577" t="n">
        <v>0.0</v>
      </c>
      <c r="D577"/>
      <c r="E577"/>
      <c r="F577" t="n">
        <v>0.0</v>
      </c>
      <c r="G577"/>
      <c r="H577"/>
      <c r="I577"/>
      <c r="J577"/>
      <c r="K577"/>
    </row>
    <row r="578" spans="1:2" ht="13.5" customHeight="true" x14ac:dyDescent="0.15" hidden="false">
      <c r="A578" t="s">
        <v>6957</v>
      </c>
      <c r="B578" t="n">
        <v>26.0</v>
      </c>
      <c r="C578" t="n">
        <v>0.0</v>
      </c>
      <c r="D578"/>
      <c r="E578"/>
      <c r="F578" t="n">
        <v>0.0</v>
      </c>
      <c r="G578"/>
      <c r="H578"/>
      <c r="I578"/>
      <c r="J578"/>
      <c r="K578"/>
    </row>
    <row r="579" spans="1:2" ht="13.5" customHeight="true" x14ac:dyDescent="0.15" hidden="false">
      <c r="A579" t="s">
        <v>6957</v>
      </c>
      <c r="B579" t="n">
        <v>27.0</v>
      </c>
      <c r="C579"/>
      <c r="D579" t="n">
        <v>0.0</v>
      </c>
      <c r="E579"/>
      <c r="F579"/>
      <c r="G579" t="n">
        <v>0.0</v>
      </c>
      <c r="H579"/>
      <c r="I579"/>
      <c r="J579"/>
      <c r="K579"/>
    </row>
    <row r="580" spans="1:2" ht="13.5" customHeight="true" x14ac:dyDescent="0.15" hidden="false">
      <c r="A580" t="s">
        <v>6957</v>
      </c>
      <c r="B580" t="n">
        <v>28.0</v>
      </c>
      <c r="C580"/>
      <c r="D580" t="n">
        <v>0.0</v>
      </c>
      <c r="E580"/>
      <c r="F580"/>
      <c r="G580" t="n">
        <v>0.72</v>
      </c>
      <c r="H580"/>
      <c r="I580"/>
      <c r="J580" t="n">
        <v>0.6901901989912301</v>
      </c>
      <c r="K580"/>
    </row>
    <row r="581" spans="1:2" ht="13.5" customHeight="true" x14ac:dyDescent="0.15" hidden="false">
      <c r="A581" t="s">
        <v>6957</v>
      </c>
      <c r="B581" t="n">
        <v>29.0</v>
      </c>
      <c r="C581"/>
      <c r="D581"/>
      <c r="E581" t="n">
        <v>0.36</v>
      </c>
      <c r="F581"/>
      <c r="G581"/>
      <c r="H581" t="n">
        <v>0.72</v>
      </c>
      <c r="I581"/>
      <c r="J581"/>
      <c r="K581" t="n">
        <v>0.4429375537556649</v>
      </c>
    </row>
    <row r="582" spans="1:2" ht="13.5" customHeight="true" x14ac:dyDescent="0.15" hidden="false">
      <c r="A582" t="s">
        <v>6957</v>
      </c>
      <c r="B582" t="n">
        <v>30.0</v>
      </c>
      <c r="C582"/>
      <c r="D582"/>
      <c r="E582" t="n">
        <v>0.0</v>
      </c>
      <c r="F582"/>
      <c r="G582"/>
      <c r="H582" t="n">
        <v>0.0</v>
      </c>
      <c r="I582"/>
      <c r="J582"/>
      <c r="K582"/>
    </row>
    <row r="583" spans="1:2" ht="13.5" customHeight="true" x14ac:dyDescent="0.15" hidden="false">
      <c r="A583" t="s">
        <v>6958</v>
      </c>
      <c r="B583" t="n">
        <v>1.0</v>
      </c>
      <c r="C583" t="n">
        <v>0.0</v>
      </c>
      <c r="D583" t="n">
        <v>0.0</v>
      </c>
      <c r="E583" t="n">
        <v>0.0</v>
      </c>
      <c r="F583" t="n">
        <v>0.0</v>
      </c>
      <c r="G583" t="n">
        <v>0.0</v>
      </c>
      <c r="H583" t="n">
        <v>0.0</v>
      </c>
      <c r="I583"/>
      <c r="J583"/>
      <c r="K583"/>
    </row>
    <row r="584" spans="1:2" ht="13.5" customHeight="true" x14ac:dyDescent="0.15" hidden="false">
      <c r="A584" t="s">
        <v>6958</v>
      </c>
      <c r="B584" t="n">
        <v>2.0</v>
      </c>
      <c r="C584" t="n">
        <v>0.0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/>
      <c r="J584"/>
      <c r="K584"/>
    </row>
    <row r="585" spans="1:2" ht="13.5" customHeight="true" x14ac:dyDescent="0.15" hidden="false">
      <c r="A585" t="s">
        <v>6958</v>
      </c>
      <c r="B585" t="n">
        <v>3.0</v>
      </c>
      <c r="C585" t="n">
        <v>0.0</v>
      </c>
      <c r="D585"/>
      <c r="E585"/>
      <c r="F585" t="n">
        <v>0.0</v>
      </c>
      <c r="G585"/>
      <c r="H585"/>
      <c r="I585"/>
      <c r="J585"/>
      <c r="K585"/>
    </row>
    <row r="586" spans="1:2" ht="13.5" customHeight="true" x14ac:dyDescent="0.15" hidden="false">
      <c r="A586" t="s">
        <v>6958</v>
      </c>
      <c r="B586" t="n">
        <v>4.0</v>
      </c>
      <c r="C586" t="n">
        <v>0.0</v>
      </c>
      <c r="D586"/>
      <c r="E586"/>
      <c r="F586" t="n">
        <v>1.92</v>
      </c>
      <c r="G586"/>
      <c r="H586"/>
      <c r="I586" t="n">
        <v>1.8520367029004519</v>
      </c>
      <c r="J586"/>
      <c r="K586"/>
    </row>
    <row r="587" spans="1:2" ht="13.5" customHeight="true" x14ac:dyDescent="0.15" hidden="false">
      <c r="A587" t="s">
        <v>6958</v>
      </c>
      <c r="B587" t="n">
        <v>5.0</v>
      </c>
      <c r="C587"/>
      <c r="D587" t="n">
        <v>0.0</v>
      </c>
      <c r="E587"/>
      <c r="F587"/>
      <c r="G587" t="n">
        <v>2.98</v>
      </c>
      <c r="H587"/>
      <c r="I587"/>
      <c r="J587" t="n">
        <v>2.799854626215434</v>
      </c>
      <c r="K587"/>
    </row>
    <row r="588" spans="1:2" ht="13.5" customHeight="true" x14ac:dyDescent="0.15" hidden="false">
      <c r="A588" t="s">
        <v>6958</v>
      </c>
      <c r="B588" t="n">
        <v>6.0</v>
      </c>
      <c r="C588"/>
      <c r="D588" t="n">
        <v>0.0</v>
      </c>
      <c r="E588"/>
      <c r="F588"/>
      <c r="G588" t="n">
        <v>0.0</v>
      </c>
      <c r="H588"/>
      <c r="I588"/>
      <c r="J588"/>
      <c r="K588"/>
    </row>
    <row r="589" spans="1:2" ht="13.5" customHeight="true" x14ac:dyDescent="0.15" hidden="false">
      <c r="A589" t="s">
        <v>6958</v>
      </c>
      <c r="B589" t="n">
        <v>7.0</v>
      </c>
      <c r="C589"/>
      <c r="D589"/>
      <c r="E589" t="n">
        <v>0.0</v>
      </c>
      <c r="F589"/>
      <c r="G589"/>
      <c r="H589" t="n">
        <v>0.0</v>
      </c>
      <c r="I589"/>
      <c r="J589"/>
      <c r="K589"/>
    </row>
    <row r="590" spans="1:2" ht="13.5" customHeight="true" x14ac:dyDescent="0.15" hidden="false">
      <c r="A590" t="s">
        <v>6958</v>
      </c>
      <c r="B590" t="n">
        <v>8.0</v>
      </c>
      <c r="C590"/>
      <c r="D590"/>
      <c r="E590" t="n">
        <v>0.0</v>
      </c>
      <c r="F590"/>
      <c r="G590"/>
      <c r="H590" t="n">
        <v>0.0</v>
      </c>
      <c r="I590"/>
      <c r="J590"/>
      <c r="K590"/>
    </row>
    <row r="591" spans="1:2" ht="13.5" customHeight="true" x14ac:dyDescent="0.15" hidden="false">
      <c r="A591" t="s">
        <v>6958</v>
      </c>
      <c r="B591" t="n">
        <v>9.0</v>
      </c>
      <c r="C591" t="n">
        <v>0.0</v>
      </c>
      <c r="D591"/>
      <c r="E591"/>
      <c r="F591" t="n">
        <v>2.96</v>
      </c>
      <c r="G591"/>
      <c r="H591"/>
      <c r="I591" t="n">
        <v>2.8494497411514725</v>
      </c>
      <c r="J591"/>
      <c r="K591"/>
    </row>
    <row r="592" spans="1:2" ht="13.5" customHeight="true" x14ac:dyDescent="0.15" hidden="false">
      <c r="A592" t="s">
        <v>6958</v>
      </c>
      <c r="B592" t="n">
        <v>10.0</v>
      </c>
      <c r="C592" t="n">
        <v>0.0</v>
      </c>
      <c r="D592"/>
      <c r="E592"/>
      <c r="F592" t="n">
        <v>3.15</v>
      </c>
      <c r="G592"/>
      <c r="H592"/>
      <c r="I592" t="n">
        <v>2.8239506118030278</v>
      </c>
      <c r="J592"/>
      <c r="K592"/>
    </row>
    <row r="593" spans="1:2" ht="13.5" customHeight="true" x14ac:dyDescent="0.15" hidden="false">
      <c r="A593" t="s">
        <v>6958</v>
      </c>
      <c r="B593" t="n">
        <v>11.0</v>
      </c>
      <c r="C593"/>
      <c r="D593" t="n">
        <v>0.0</v>
      </c>
      <c r="E593"/>
      <c r="F593"/>
      <c r="G593" t="n">
        <v>5.49</v>
      </c>
      <c r="H593"/>
      <c r="I593"/>
      <c r="J593" t="n">
        <v>4.401119021130584</v>
      </c>
      <c r="K593"/>
    </row>
    <row r="594" spans="1:2" ht="13.5" customHeight="true" x14ac:dyDescent="0.15" hidden="false">
      <c r="A594" t="s">
        <v>6958</v>
      </c>
      <c r="B594" t="n">
        <v>12.0</v>
      </c>
      <c r="C594"/>
      <c r="D594" t="n">
        <v>0.0</v>
      </c>
      <c r="E594"/>
      <c r="F594"/>
      <c r="G594" t="n">
        <v>0.0</v>
      </c>
      <c r="H594"/>
      <c r="I594"/>
      <c r="J594"/>
      <c r="K594"/>
    </row>
    <row r="595" spans="1:2" ht="13.5" customHeight="true" x14ac:dyDescent="0.15" hidden="false">
      <c r="A595" t="s">
        <v>6958</v>
      </c>
      <c r="B595" t="n">
        <v>13.0</v>
      </c>
      <c r="C595"/>
      <c r="D595"/>
      <c r="E595" t="n">
        <v>0.0</v>
      </c>
      <c r="F595"/>
      <c r="G595"/>
      <c r="H595" t="n">
        <v>3.64</v>
      </c>
      <c r="I595"/>
      <c r="J595"/>
      <c r="K595" t="n">
        <v>3.1179033257768176</v>
      </c>
    </row>
    <row r="596" spans="1:2" ht="13.5" customHeight="true" x14ac:dyDescent="0.15" hidden="false">
      <c r="A596" t="s">
        <v>6958</v>
      </c>
      <c r="B596" t="n">
        <v>14.0</v>
      </c>
      <c r="C596"/>
      <c r="D596"/>
      <c r="E596" t="n">
        <v>0.0</v>
      </c>
      <c r="F596"/>
      <c r="G596"/>
      <c r="H596" t="n">
        <v>0.0</v>
      </c>
      <c r="I596"/>
      <c r="J596"/>
      <c r="K596"/>
    </row>
    <row r="597" spans="1:2" ht="13.5" customHeight="true" x14ac:dyDescent="0.15" hidden="false">
      <c r="A597" t="s">
        <v>6958</v>
      </c>
      <c r="B597" t="n">
        <v>15.0</v>
      </c>
      <c r="C597" t="n">
        <v>0.0</v>
      </c>
      <c r="D597"/>
      <c r="E597"/>
      <c r="F597" t="n">
        <v>0.0</v>
      </c>
      <c r="G597"/>
      <c r="H597"/>
      <c r="I597"/>
      <c r="J597"/>
      <c r="K597"/>
    </row>
    <row r="598" spans="1:2" ht="13.5" customHeight="true" x14ac:dyDescent="0.15" hidden="false">
      <c r="A598" t="s">
        <v>6958</v>
      </c>
      <c r="B598" t="n">
        <v>16.0</v>
      </c>
      <c r="C598" t="n">
        <v>0.0</v>
      </c>
      <c r="D598"/>
      <c r="E598"/>
      <c r="F598" t="n">
        <v>6.66</v>
      </c>
      <c r="G598"/>
      <c r="H598"/>
      <c r="I598" t="n">
        <v>5.940894286015254</v>
      </c>
      <c r="J598"/>
      <c r="K598"/>
    </row>
    <row r="599" spans="1:2" ht="13.5" customHeight="true" x14ac:dyDescent="0.15" hidden="false">
      <c r="A599" t="s">
        <v>6958</v>
      </c>
      <c r="B599" t="n">
        <v>17.0</v>
      </c>
      <c r="C599"/>
      <c r="D599" t="n">
        <v>0.0</v>
      </c>
      <c r="E599"/>
      <c r="F599"/>
      <c r="G599" t="n">
        <v>0.0</v>
      </c>
      <c r="H599"/>
      <c r="I599"/>
      <c r="J599"/>
      <c r="K599"/>
    </row>
    <row r="600" spans="1:2" ht="13.5" customHeight="true" x14ac:dyDescent="0.15" hidden="false">
      <c r="A600" t="s">
        <v>6958</v>
      </c>
      <c r="B600" t="n">
        <v>18.0</v>
      </c>
      <c r="C600"/>
      <c r="D600" t="n">
        <v>1.8900000000000001</v>
      </c>
      <c r="E600"/>
      <c r="F600"/>
      <c r="G600" t="n">
        <v>3.55</v>
      </c>
      <c r="H600"/>
      <c r="I600"/>
      <c r="J600" t="n">
        <v>3.1234368501224776</v>
      </c>
      <c r="K600"/>
    </row>
    <row r="601" spans="1:2" ht="13.5" customHeight="true" x14ac:dyDescent="0.15" hidden="false">
      <c r="A601" t="s">
        <v>6958</v>
      </c>
      <c r="B601" t="n">
        <v>19.0</v>
      </c>
      <c r="C601"/>
      <c r="D601"/>
      <c r="E601" t="n">
        <v>0.0</v>
      </c>
      <c r="F601"/>
      <c r="G601"/>
      <c r="H601" t="n">
        <v>3.07</v>
      </c>
      <c r="I601"/>
      <c r="J601"/>
      <c r="K601" t="n">
        <v>2.856281678843304</v>
      </c>
    </row>
    <row r="602" spans="1:2" ht="13.5" customHeight="true" x14ac:dyDescent="0.15" hidden="false">
      <c r="A602" t="s">
        <v>6958</v>
      </c>
      <c r="B602" t="n">
        <v>20.0</v>
      </c>
      <c r="C602"/>
      <c r="D602"/>
      <c r="E602" t="n">
        <v>0.0</v>
      </c>
      <c r="F602"/>
      <c r="G602"/>
      <c r="H602" t="n">
        <v>0.0</v>
      </c>
      <c r="I602"/>
      <c r="J602"/>
      <c r="K602"/>
    </row>
    <row r="603" spans="1:2" ht="13.5" customHeight="true" x14ac:dyDescent="0.15" hidden="false">
      <c r="A603" t="s">
        <v>6958</v>
      </c>
      <c r="B603" t="n">
        <v>21.0</v>
      </c>
      <c r="C603" t="n">
        <v>0.0</v>
      </c>
      <c r="D603"/>
      <c r="E603"/>
      <c r="F603" t="n">
        <v>5.36</v>
      </c>
      <c r="G603"/>
      <c r="H603"/>
      <c r="I603" t="n">
        <v>4.433770933704365</v>
      </c>
      <c r="J603"/>
      <c r="K603"/>
    </row>
    <row r="604" spans="1:2" ht="13.5" customHeight="true" x14ac:dyDescent="0.15" hidden="false">
      <c r="A604" t="s">
        <v>6958</v>
      </c>
      <c r="B604" t="n">
        <v>22.0</v>
      </c>
      <c r="C604" t="n">
        <v>0.0</v>
      </c>
      <c r="D604"/>
      <c r="E604"/>
      <c r="F604" t="n">
        <v>0.0</v>
      </c>
      <c r="G604"/>
      <c r="H604"/>
      <c r="I604"/>
      <c r="J604"/>
      <c r="K604"/>
    </row>
    <row r="605" spans="1:2" ht="13.5" customHeight="true" x14ac:dyDescent="0.15" hidden="false">
      <c r="A605" t="s">
        <v>6958</v>
      </c>
      <c r="B605" t="n">
        <v>23.0</v>
      </c>
      <c r="C605"/>
      <c r="D605" t="n">
        <v>0.0</v>
      </c>
      <c r="E605"/>
      <c r="F605"/>
      <c r="G605" t="n">
        <v>0.0</v>
      </c>
      <c r="H605"/>
      <c r="I605"/>
      <c r="J605"/>
      <c r="K605"/>
    </row>
    <row r="606" spans="1:2" ht="13.5" customHeight="true" x14ac:dyDescent="0.15" hidden="false">
      <c r="A606" t="s">
        <v>6958</v>
      </c>
      <c r="B606" t="n">
        <v>24.0</v>
      </c>
      <c r="C606"/>
      <c r="D606" t="n">
        <v>3.4699999999999998</v>
      </c>
      <c r="E606"/>
      <c r="F606"/>
      <c r="G606" t="n">
        <v>6.74</v>
      </c>
      <c r="H606"/>
      <c r="I606"/>
      <c r="J606" t="n">
        <v>4.113001595463106</v>
      </c>
      <c r="K606"/>
    </row>
    <row r="607" spans="1:2" ht="13.5" customHeight="true" x14ac:dyDescent="0.15" hidden="false">
      <c r="A607" t="s">
        <v>6958</v>
      </c>
      <c r="B607" t="n">
        <v>25.0</v>
      </c>
      <c r="C607"/>
      <c r="D607"/>
      <c r="E607" t="n">
        <v>3.11</v>
      </c>
      <c r="F607"/>
      <c r="G607"/>
      <c r="H607" t="n">
        <v>3.54</v>
      </c>
      <c r="I607"/>
      <c r="J607"/>
      <c r="K607" t="n">
        <v>3.2839097963817783</v>
      </c>
    </row>
    <row r="608" spans="1:2" ht="13.5" customHeight="true" x14ac:dyDescent="0.15" hidden="false">
      <c r="A608" t="s">
        <v>6958</v>
      </c>
      <c r="B608" t="n">
        <v>26.0</v>
      </c>
      <c r="C608"/>
      <c r="D608"/>
      <c r="E608" t="n">
        <v>0.0</v>
      </c>
      <c r="F608"/>
      <c r="G608"/>
      <c r="H608" t="n">
        <v>5.03</v>
      </c>
      <c r="I608"/>
      <c r="J608"/>
      <c r="K608" t="n">
        <v>4.852747648333329</v>
      </c>
    </row>
    <row r="609" spans="1:2" ht="13.5" customHeight="true" x14ac:dyDescent="0.15" hidden="false">
      <c r="A609" t="s">
        <v>6958</v>
      </c>
      <c r="B609" t="n">
        <v>27.0</v>
      </c>
      <c r="C609" t="n">
        <v>0.0</v>
      </c>
      <c r="D609"/>
      <c r="E609"/>
      <c r="F609" t="n">
        <v>0.0</v>
      </c>
      <c r="G609"/>
      <c r="H609"/>
      <c r="I609"/>
      <c r="J609"/>
      <c r="K609"/>
    </row>
    <row r="610" spans="1:2" ht="13.5" customHeight="true" x14ac:dyDescent="0.15" hidden="false">
      <c r="A610" t="s">
        <v>6958</v>
      </c>
      <c r="B610" t="n">
        <v>28.0</v>
      </c>
      <c r="C610" t="n">
        <v>3.48</v>
      </c>
      <c r="D610"/>
      <c r="E610"/>
      <c r="F610" t="n">
        <v>6.0</v>
      </c>
      <c r="G610"/>
      <c r="H610"/>
      <c r="I610" t="n">
        <v>5.2756703345685985</v>
      </c>
      <c r="J610"/>
      <c r="K610"/>
    </row>
    <row r="611" spans="1:2" ht="13.5" customHeight="true" x14ac:dyDescent="0.15" hidden="false">
      <c r="A611" t="s">
        <v>6958</v>
      </c>
      <c r="B611" t="n">
        <v>29.0</v>
      </c>
      <c r="C611"/>
      <c r="D611" t="n">
        <v>0.0</v>
      </c>
      <c r="E611"/>
      <c r="F611"/>
      <c r="G611" t="n">
        <v>5.05</v>
      </c>
      <c r="H611"/>
      <c r="I611"/>
      <c r="J611" t="n">
        <v>4.754532353113612</v>
      </c>
      <c r="K611"/>
    </row>
    <row r="612" spans="1:2" ht="13.5" customHeight="true" x14ac:dyDescent="0.15" hidden="false">
      <c r="A612" t="s">
        <v>6958</v>
      </c>
      <c r="B612" t="n">
        <v>30.0</v>
      </c>
      <c r="C612"/>
      <c r="D612" t="n">
        <v>5.67</v>
      </c>
      <c r="E612"/>
      <c r="F612"/>
      <c r="G612" t="n">
        <v>6.54</v>
      </c>
      <c r="H612"/>
      <c r="I612"/>
      <c r="J612" t="n">
        <v>6.353099886393774</v>
      </c>
      <c r="K612"/>
    </row>
    <row r="613" spans="1:2" ht="13.5" customHeight="true" x14ac:dyDescent="0.15" hidden="false">
      <c r="A613" t="s">
        <v>6958</v>
      </c>
      <c r="B613" t="n">
        <v>31.0</v>
      </c>
      <c r="C613"/>
      <c r="D613"/>
      <c r="E613" t="n">
        <v>0.0</v>
      </c>
      <c r="F613"/>
      <c r="G613"/>
      <c r="H613" t="n">
        <v>6.57</v>
      </c>
      <c r="I613"/>
      <c r="J613"/>
      <c r="K613" t="n">
        <v>6.20814145542508</v>
      </c>
    </row>
    <row r="614" spans="1:2" ht="13.5" customHeight="true" x14ac:dyDescent="0.15" hidden="false">
      <c r="A614" t="s">
        <v>6958</v>
      </c>
      <c r="B614" t="n">
        <v>32.0</v>
      </c>
      <c r="C614"/>
      <c r="D614"/>
      <c r="E614" t="n">
        <v>3.05</v>
      </c>
      <c r="F614"/>
      <c r="G614"/>
      <c r="H614" t="n">
        <v>3.48</v>
      </c>
      <c r="I614"/>
      <c r="J614"/>
      <c r="K614" t="n">
        <v>3.2036046203471673</v>
      </c>
    </row>
    <row r="615" spans="1:2" ht="13.5" customHeight="true" x14ac:dyDescent="0.15" hidden="false">
      <c r="A615" t="s">
        <v>6959</v>
      </c>
      <c r="B615" t="n">
        <v>1.0</v>
      </c>
      <c r="C615" t="n">
        <v>0.0</v>
      </c>
      <c r="D615" t="n">
        <v>0.0</v>
      </c>
      <c r="E615" t="n">
        <v>0.0</v>
      </c>
      <c r="F615" t="n">
        <v>0.0</v>
      </c>
      <c r="G615" t="n">
        <v>0.0</v>
      </c>
      <c r="H615" t="n">
        <v>0.0</v>
      </c>
      <c r="I615"/>
      <c r="J615"/>
      <c r="K615"/>
    </row>
    <row r="616" spans="1:2" ht="13.5" customHeight="true" x14ac:dyDescent="0.15" hidden="false">
      <c r="A616" t="s">
        <v>6959</v>
      </c>
      <c r="B616" t="n">
        <v>2.0</v>
      </c>
      <c r="C616" t="n">
        <v>0.0</v>
      </c>
      <c r="D616" t="n">
        <v>0.0</v>
      </c>
      <c r="E616" t="n">
        <v>0.0</v>
      </c>
      <c r="F616" t="n">
        <v>0.0</v>
      </c>
      <c r="G616" t="n">
        <v>0.0</v>
      </c>
      <c r="H616" t="n">
        <v>0.0</v>
      </c>
      <c r="I616"/>
      <c r="J616"/>
      <c r="K616"/>
    </row>
    <row r="617" spans="1:2" ht="13.5" customHeight="true" x14ac:dyDescent="0.15" hidden="false">
      <c r="A617" t="s">
        <v>6959</v>
      </c>
      <c r="B617" t="n">
        <v>3.0</v>
      </c>
      <c r="C617" t="n">
        <v>0.0</v>
      </c>
      <c r="D617"/>
      <c r="E617"/>
      <c r="F617" t="n">
        <v>3.2800000000000002</v>
      </c>
      <c r="G617"/>
      <c r="H617"/>
      <c r="I617" t="n">
        <v>3.170225310395804</v>
      </c>
      <c r="J617"/>
      <c r="K617"/>
    </row>
    <row r="618" spans="1:2" ht="13.5" customHeight="true" x14ac:dyDescent="0.15" hidden="false">
      <c r="A618" t="s">
        <v>6959</v>
      </c>
      <c r="B618" t="n">
        <v>4.0</v>
      </c>
      <c r="C618" t="n">
        <v>0.0</v>
      </c>
      <c r="D618"/>
      <c r="E618"/>
      <c r="F618" t="n">
        <v>7.85</v>
      </c>
      <c r="G618"/>
      <c r="H618"/>
      <c r="I618" t="n">
        <v>6.784016385319609</v>
      </c>
      <c r="J618"/>
      <c r="K618"/>
    </row>
    <row r="619" spans="1:2" ht="13.5" customHeight="true" x14ac:dyDescent="0.15" hidden="false">
      <c r="A619" t="s">
        <v>6959</v>
      </c>
      <c r="B619" t="n">
        <v>5.0</v>
      </c>
      <c r="C619"/>
      <c r="D619" t="n">
        <v>0.0</v>
      </c>
      <c r="E619"/>
      <c r="F619"/>
      <c r="G619" t="n">
        <v>0.0</v>
      </c>
      <c r="H619"/>
      <c r="I619"/>
      <c r="J619"/>
      <c r="K619"/>
    </row>
    <row r="620" spans="1:2" ht="13.5" customHeight="true" x14ac:dyDescent="0.15" hidden="false">
      <c r="A620" t="s">
        <v>6959</v>
      </c>
      <c r="B620" t="n">
        <v>6.0</v>
      </c>
      <c r="C620"/>
      <c r="D620" t="n">
        <v>0.0</v>
      </c>
      <c r="E620"/>
      <c r="F620"/>
      <c r="G620" t="n">
        <v>3.16</v>
      </c>
      <c r="H620"/>
      <c r="I620"/>
      <c r="J620" t="n">
        <v>2.7566654891002638</v>
      </c>
      <c r="K620"/>
    </row>
    <row r="621" spans="1:2" ht="13.5" customHeight="true" x14ac:dyDescent="0.15" hidden="false">
      <c r="A621" t="s">
        <v>6959</v>
      </c>
      <c r="B621" t="n">
        <v>7.0</v>
      </c>
      <c r="C621"/>
      <c r="D621"/>
      <c r="E621" t="n">
        <v>0.0</v>
      </c>
      <c r="F621"/>
      <c r="G621"/>
      <c r="H621" t="n">
        <v>1.83</v>
      </c>
      <c r="I621"/>
      <c r="J621"/>
      <c r="K621" t="n">
        <v>1.650682424854571</v>
      </c>
    </row>
    <row r="622" spans="1:2" ht="13.5" customHeight="true" x14ac:dyDescent="0.15" hidden="false">
      <c r="A622" t="s">
        <v>6959</v>
      </c>
      <c r="B622" t="n">
        <v>8.0</v>
      </c>
      <c r="C622"/>
      <c r="D622"/>
      <c r="E622" t="n">
        <v>0.0</v>
      </c>
      <c r="F622"/>
      <c r="G622"/>
      <c r="H622" t="n">
        <v>0.0</v>
      </c>
      <c r="I622"/>
      <c r="J622"/>
      <c r="K622"/>
    </row>
    <row r="623" spans="1:2" ht="13.5" customHeight="true" x14ac:dyDescent="0.15" hidden="false">
      <c r="A623" t="s">
        <v>6959</v>
      </c>
      <c r="B623" t="n">
        <v>9.0</v>
      </c>
      <c r="C623" t="n">
        <v>0.0</v>
      </c>
      <c r="D623"/>
      <c r="E623"/>
      <c r="F623" t="n">
        <v>1.07</v>
      </c>
      <c r="G623"/>
      <c r="H623"/>
      <c r="I623" t="n">
        <v>0.918963436807435</v>
      </c>
      <c r="J623"/>
      <c r="K623"/>
    </row>
    <row r="624" spans="1:2" ht="13.5" customHeight="true" x14ac:dyDescent="0.15" hidden="false">
      <c r="A624" t="s">
        <v>6959</v>
      </c>
      <c r="B624" t="n">
        <v>10.0</v>
      </c>
      <c r="C624" t="n">
        <v>0.0</v>
      </c>
      <c r="D624"/>
      <c r="E624"/>
      <c r="F624" t="n">
        <v>2.69</v>
      </c>
      <c r="G624"/>
      <c r="H624"/>
      <c r="I624" t="n">
        <v>2.4611611892786516</v>
      </c>
      <c r="J624"/>
      <c r="K624"/>
    </row>
    <row r="625" spans="1:2" ht="13.5" customHeight="true" x14ac:dyDescent="0.15" hidden="false">
      <c r="A625" t="s">
        <v>6959</v>
      </c>
      <c r="B625" t="n">
        <v>11.0</v>
      </c>
      <c r="C625"/>
      <c r="D625" t="n">
        <v>0.0</v>
      </c>
      <c r="E625"/>
      <c r="F625"/>
      <c r="G625" t="n">
        <v>3.6</v>
      </c>
      <c r="H625"/>
      <c r="I625"/>
      <c r="J625" t="n">
        <v>3.229203595463764</v>
      </c>
      <c r="K625"/>
    </row>
    <row r="626" spans="1:2" ht="13.5" customHeight="true" x14ac:dyDescent="0.15" hidden="false">
      <c r="A626" t="s">
        <v>6959</v>
      </c>
      <c r="B626" t="n">
        <v>12.0</v>
      </c>
      <c r="C626"/>
      <c r="D626" t="n">
        <v>0.0</v>
      </c>
      <c r="E626"/>
      <c r="F626"/>
      <c r="G626" t="n">
        <v>2.67</v>
      </c>
      <c r="H626"/>
      <c r="I626"/>
      <c r="J626" t="n">
        <v>2.445521436242747</v>
      </c>
      <c r="K626"/>
    </row>
    <row r="627" spans="1:2" ht="13.5" customHeight="true" x14ac:dyDescent="0.15" hidden="false">
      <c r="A627" t="s">
        <v>6959</v>
      </c>
      <c r="B627" t="n">
        <v>13.0</v>
      </c>
      <c r="C627"/>
      <c r="D627"/>
      <c r="E627" t="n">
        <v>0.0</v>
      </c>
      <c r="F627"/>
      <c r="G627"/>
      <c r="H627" t="n">
        <v>1.83</v>
      </c>
      <c r="I627"/>
      <c r="J627"/>
      <c r="K627" t="n">
        <v>1.6830662080244077</v>
      </c>
    </row>
    <row r="628" spans="1:2" ht="13.5" customHeight="true" x14ac:dyDescent="0.15" hidden="false">
      <c r="A628" t="s">
        <v>6959</v>
      </c>
      <c r="B628" t="n">
        <v>14.0</v>
      </c>
      <c r="C628"/>
      <c r="D628"/>
      <c r="E628" t="n">
        <v>0.0</v>
      </c>
      <c r="F628"/>
      <c r="G628"/>
      <c r="H628" t="n">
        <v>3.24</v>
      </c>
      <c r="I628"/>
      <c r="J628"/>
      <c r="K628" t="n">
        <v>3.112584148287278</v>
      </c>
    </row>
    <row r="629" spans="1:2" ht="13.5" customHeight="true" x14ac:dyDescent="0.15" hidden="false">
      <c r="A629" t="s">
        <v>6959</v>
      </c>
      <c r="B629" t="n">
        <v>15.0</v>
      </c>
      <c r="C629" t="n">
        <v>0.0</v>
      </c>
      <c r="D629"/>
      <c r="E629"/>
      <c r="F629" t="n">
        <v>0.0</v>
      </c>
      <c r="G629"/>
      <c r="H629"/>
      <c r="I629"/>
      <c r="J629"/>
      <c r="K629"/>
    </row>
    <row r="630" spans="1:2" ht="13.5" customHeight="true" x14ac:dyDescent="0.15" hidden="false">
      <c r="A630" t="s">
        <v>6959</v>
      </c>
      <c r="B630" t="n">
        <v>16.0</v>
      </c>
      <c r="C630" t="n">
        <v>0.0</v>
      </c>
      <c r="D630"/>
      <c r="E630"/>
      <c r="F630" t="n">
        <v>0.0</v>
      </c>
      <c r="G630"/>
      <c r="H630"/>
      <c r="I630"/>
      <c r="J630"/>
      <c r="K630"/>
    </row>
    <row r="631" spans="1:2" ht="13.5" customHeight="true" x14ac:dyDescent="0.15" hidden="false">
      <c r="A631" t="s">
        <v>6959</v>
      </c>
      <c r="B631" t="n">
        <v>17.0</v>
      </c>
      <c r="C631"/>
      <c r="D631" t="n">
        <v>0.0</v>
      </c>
      <c r="E631"/>
      <c r="F631"/>
      <c r="G631" t="n">
        <v>1.07</v>
      </c>
      <c r="H631"/>
      <c r="I631"/>
      <c r="J631" t="n">
        <v>0.936871397513888</v>
      </c>
      <c r="K631"/>
    </row>
    <row r="632" spans="1:2" ht="13.5" customHeight="true" x14ac:dyDescent="0.15" hidden="false">
      <c r="A632" t="s">
        <v>6959</v>
      </c>
      <c r="B632" t="n">
        <v>18.0</v>
      </c>
      <c r="C632"/>
      <c r="D632" t="n">
        <v>0.0</v>
      </c>
      <c r="E632"/>
      <c r="F632"/>
      <c r="G632" t="n">
        <v>7.93</v>
      </c>
      <c r="H632"/>
      <c r="I632"/>
      <c r="J632" t="n">
        <v>6.853733276138478</v>
      </c>
      <c r="K632"/>
    </row>
    <row r="633" spans="1:2" ht="13.5" customHeight="true" x14ac:dyDescent="0.15" hidden="false">
      <c r="A633" t="s">
        <v>6959</v>
      </c>
      <c r="B633" t="n">
        <v>19.0</v>
      </c>
      <c r="C633"/>
      <c r="D633"/>
      <c r="E633" t="n">
        <v>2.45</v>
      </c>
      <c r="F633"/>
      <c r="G633"/>
      <c r="H633" t="n">
        <v>3.15</v>
      </c>
      <c r="I633"/>
      <c r="J633"/>
      <c r="K633" t="n">
        <v>2.6305357997015895</v>
      </c>
    </row>
    <row r="634" spans="1:2" ht="13.5" customHeight="true" x14ac:dyDescent="0.15" hidden="false">
      <c r="A634" t="s">
        <v>6959</v>
      </c>
      <c r="B634" t="n">
        <v>20.0</v>
      </c>
      <c r="C634"/>
      <c r="D634"/>
      <c r="E634" t="n">
        <v>0.0</v>
      </c>
      <c r="F634"/>
      <c r="G634"/>
      <c r="H634" t="n">
        <v>0.0</v>
      </c>
      <c r="I634"/>
      <c r="J634"/>
      <c r="K634"/>
    </row>
    <row r="635" spans="1:2" ht="13.5" customHeight="true" x14ac:dyDescent="0.15" hidden="false">
      <c r="A635" t="s">
        <v>6959</v>
      </c>
      <c r="B635" t="n">
        <v>21.0</v>
      </c>
      <c r="C635" t="n">
        <v>0.0</v>
      </c>
      <c r="D635"/>
      <c r="E635"/>
      <c r="F635" t="n">
        <v>3.58</v>
      </c>
      <c r="G635"/>
      <c r="H635"/>
      <c r="I635" t="n">
        <v>3.2902154579425247</v>
      </c>
      <c r="J635"/>
      <c r="K635"/>
    </row>
    <row r="636" spans="1:2" ht="13.5" customHeight="true" x14ac:dyDescent="0.15" hidden="false">
      <c r="A636" t="s">
        <v>6959</v>
      </c>
      <c r="B636" t="n">
        <v>22.0</v>
      </c>
      <c r="C636" t="n">
        <v>0.0</v>
      </c>
      <c r="D636"/>
      <c r="E636"/>
      <c r="F636" t="n">
        <v>0.0</v>
      </c>
      <c r="G636"/>
      <c r="H636"/>
      <c r="I636"/>
      <c r="J636"/>
      <c r="K636"/>
    </row>
    <row r="637" spans="1:2" ht="13.5" customHeight="true" x14ac:dyDescent="0.15" hidden="false">
      <c r="A637" t="s">
        <v>6959</v>
      </c>
      <c r="B637" t="n">
        <v>23.0</v>
      </c>
      <c r="C637"/>
      <c r="D637" t="n">
        <v>0.0</v>
      </c>
      <c r="E637"/>
      <c r="F637"/>
      <c r="G637" t="n">
        <v>3.25</v>
      </c>
      <c r="H637"/>
      <c r="I637"/>
      <c r="J637" t="n">
        <v>2.7027708662877274</v>
      </c>
      <c r="K637"/>
    </row>
    <row r="638" spans="1:2" ht="13.5" customHeight="true" x14ac:dyDescent="0.15" hidden="false">
      <c r="A638" t="s">
        <v>6959</v>
      </c>
      <c r="B638" t="n">
        <v>24.0</v>
      </c>
      <c r="C638"/>
      <c r="D638" t="n">
        <v>0.0</v>
      </c>
      <c r="E638"/>
      <c r="F638"/>
      <c r="G638" t="n">
        <v>5.7</v>
      </c>
      <c r="H638"/>
      <c r="I638"/>
      <c r="J638" t="n">
        <v>5.225430983936236</v>
      </c>
      <c r="K638"/>
    </row>
    <row r="639" spans="1:2" ht="13.5" customHeight="true" x14ac:dyDescent="0.15" hidden="false">
      <c r="A639" t="s">
        <v>6959</v>
      </c>
      <c r="B639" t="n">
        <v>25.0</v>
      </c>
      <c r="C639"/>
      <c r="D639"/>
      <c r="E639" t="n">
        <v>0.0</v>
      </c>
      <c r="F639"/>
      <c r="G639"/>
      <c r="H639" t="n">
        <v>0.0</v>
      </c>
      <c r="I639"/>
      <c r="J639"/>
      <c r="K639"/>
    </row>
    <row r="640" spans="1:2" ht="13.5" customHeight="true" x14ac:dyDescent="0.15" hidden="false">
      <c r="A640" t="s">
        <v>6959</v>
      </c>
      <c r="B640" t="n">
        <v>26.0</v>
      </c>
      <c r="C640"/>
      <c r="D640"/>
      <c r="E640" t="n">
        <v>0.0</v>
      </c>
      <c r="F640"/>
      <c r="G640"/>
      <c r="H640" t="n">
        <v>0.0</v>
      </c>
      <c r="I640"/>
      <c r="J640"/>
      <c r="K640"/>
    </row>
    <row r="641" spans="1:2" ht="13.5" customHeight="true" x14ac:dyDescent="0.15" hidden="false">
      <c r="A641" t="s">
        <v>6959</v>
      </c>
      <c r="B641" t="n">
        <v>27.0</v>
      </c>
      <c r="C641" t="n">
        <v>0.0</v>
      </c>
      <c r="D641"/>
      <c r="E641"/>
      <c r="F641" t="n">
        <v>0.0</v>
      </c>
      <c r="G641"/>
      <c r="H641"/>
      <c r="I641"/>
      <c r="J641"/>
      <c r="K641"/>
    </row>
    <row r="642" spans="1:2" ht="13.5" customHeight="true" x14ac:dyDescent="0.15" hidden="false">
      <c r="A642" t="s">
        <v>6959</v>
      </c>
      <c r="B642" t="n">
        <v>28.0</v>
      </c>
      <c r="C642" t="n">
        <v>0.0</v>
      </c>
      <c r="D642"/>
      <c r="E642"/>
      <c r="F642" t="n">
        <v>5.5600000000000005</v>
      </c>
      <c r="G642"/>
      <c r="H642"/>
      <c r="I642" t="n">
        <v>5.1565635115263015</v>
      </c>
      <c r="J642"/>
      <c r="K642"/>
    </row>
    <row r="643" spans="1:2" ht="13.5" customHeight="true" x14ac:dyDescent="0.15" hidden="false">
      <c r="A643" t="s">
        <v>6959</v>
      </c>
      <c r="B643" t="n">
        <v>29.0</v>
      </c>
      <c r="C643"/>
      <c r="D643" t="n">
        <v>0.0</v>
      </c>
      <c r="E643"/>
      <c r="F643"/>
      <c r="G643" t="n">
        <v>0.0</v>
      </c>
      <c r="H643"/>
      <c r="I643"/>
      <c r="J643"/>
      <c r="K643"/>
    </row>
    <row r="644" spans="1:2" ht="13.5" customHeight="true" x14ac:dyDescent="0.15" hidden="false">
      <c r="A644" t="s">
        <v>6959</v>
      </c>
      <c r="B644" t="n">
        <v>30.0</v>
      </c>
      <c r="C644"/>
      <c r="D644" t="n">
        <v>0.0</v>
      </c>
      <c r="E644"/>
      <c r="F644"/>
      <c r="G644" t="n">
        <v>1.21</v>
      </c>
      <c r="H644"/>
      <c r="I644"/>
      <c r="J644" t="n">
        <v>2.0325886107844783E-4</v>
      </c>
      <c r="K644"/>
    </row>
    <row r="645" spans="1:2" ht="13.5" customHeight="true" x14ac:dyDescent="0.15" hidden="false">
      <c r="A645" t="s">
        <v>6959</v>
      </c>
      <c r="B645" t="n">
        <v>31.0</v>
      </c>
      <c r="C645"/>
      <c r="D645"/>
      <c r="E645" t="n">
        <v>0.0</v>
      </c>
      <c r="F645"/>
      <c r="G645"/>
      <c r="H645" t="n">
        <v>0.0</v>
      </c>
      <c r="I645"/>
      <c r="J645"/>
      <c r="K645"/>
    </row>
    <row r="646" spans="1:2" ht="13.5" customHeight="true" x14ac:dyDescent="0.15" hidden="false">
      <c r="A646" t="s">
        <v>6959</v>
      </c>
      <c r="B646" t="n">
        <v>32.0</v>
      </c>
      <c r="C646"/>
      <c r="D646"/>
      <c r="E646" t="n">
        <v>0.0</v>
      </c>
      <c r="F646"/>
      <c r="G646"/>
      <c r="H646" t="n">
        <v>1.25</v>
      </c>
      <c r="I646"/>
      <c r="J646"/>
      <c r="K646" t="n">
        <v>2.0997816227112385E-4</v>
      </c>
    </row>
    <row r="647" spans="1:2" ht="13.5" customHeight="true" x14ac:dyDescent="0.15" hidden="false">
      <c r="A647" t="s">
        <v>6960</v>
      </c>
      <c r="B647" t="n">
        <v>1.0</v>
      </c>
      <c r="C647" t="n">
        <v>4.66</v>
      </c>
      <c r="D647" t="n">
        <v>1.33</v>
      </c>
      <c r="E647" t="n">
        <v>6.05</v>
      </c>
      <c r="F647" t="n">
        <v>4.77</v>
      </c>
      <c r="G647" t="n">
        <v>1.37</v>
      </c>
      <c r="H647" t="n">
        <v>6.16</v>
      </c>
      <c r="I647" t="n">
        <v>4.7036255959589015</v>
      </c>
      <c r="J647" t="n">
        <v>1.3449409429717432</v>
      </c>
      <c r="K647" t="n">
        <v>6.100249350177282</v>
      </c>
    </row>
    <row r="648" spans="1:2" ht="13.5" customHeight="true" x14ac:dyDescent="0.15" hidden="false">
      <c r="A648" t="s">
        <v>6960</v>
      </c>
      <c r="B648" t="n">
        <v>2.0</v>
      </c>
      <c r="C648" t="n">
        <v>0.0</v>
      </c>
      <c r="D648" t="n">
        <v>0.0</v>
      </c>
      <c r="E648" t="n">
        <v>0.0</v>
      </c>
      <c r="F648" t="n">
        <v>3.19</v>
      </c>
      <c r="G648" t="n">
        <v>3.18</v>
      </c>
      <c r="H648" t="n">
        <v>2.06</v>
      </c>
      <c r="I648" t="n">
        <v>3.05804678255204</v>
      </c>
      <c r="J648" t="n">
        <v>3.0547950211478097</v>
      </c>
      <c r="K648" t="n">
        <v>1.8160903350407438</v>
      </c>
    </row>
    <row r="649" spans="1:2" ht="13.5" customHeight="true" x14ac:dyDescent="0.15" hidden="false">
      <c r="A649" t="s">
        <v>6960</v>
      </c>
      <c r="B649" t="n">
        <v>3.0</v>
      </c>
      <c r="C649" t="n">
        <v>0.0</v>
      </c>
      <c r="D649" t="n">
        <v>0.0</v>
      </c>
      <c r="E649" t="n">
        <v>0.0</v>
      </c>
      <c r="F649" t="n">
        <v>0.0</v>
      </c>
      <c r="G649" t="n">
        <v>0.0</v>
      </c>
      <c r="H649" t="n">
        <v>0.0</v>
      </c>
      <c r="I649"/>
      <c r="J649"/>
      <c r="K649"/>
    </row>
    <row r="650" spans="1:2" ht="13.5" customHeight="true" x14ac:dyDescent="0.15" hidden="false">
      <c r="A650" t="s">
        <v>6960</v>
      </c>
      <c r="B650" t="n">
        <v>4.0</v>
      </c>
      <c r="C650" t="n">
        <v>0.0</v>
      </c>
      <c r="D650" t="n">
        <v>0.0</v>
      </c>
      <c r="E650" t="n">
        <v>0.0</v>
      </c>
      <c r="F650" t="n">
        <v>0.0</v>
      </c>
      <c r="G650" t="n">
        <v>0.0</v>
      </c>
      <c r="H650" t="n">
        <v>0.0</v>
      </c>
      <c r="I650"/>
      <c r="J650"/>
      <c r="K650"/>
    </row>
    <row r="651" spans="1:2" ht="13.5" customHeight="true" x14ac:dyDescent="0.15" hidden="false">
      <c r="A651" t="s">
        <v>6960</v>
      </c>
      <c r="B651" t="n">
        <v>5.0</v>
      </c>
      <c r="C651" t="n">
        <v>0.0</v>
      </c>
      <c r="D651" t="n">
        <v>0.0</v>
      </c>
      <c r="E651" t="n">
        <v>0.0</v>
      </c>
      <c r="F651" t="n">
        <v>0.0</v>
      </c>
      <c r="G651" t="n">
        <v>0.0</v>
      </c>
      <c r="H651" t="n">
        <v>0.0</v>
      </c>
      <c r="I651"/>
      <c r="J651"/>
      <c r="K651"/>
    </row>
    <row r="652" spans="1:2" ht="13.5" customHeight="true" x14ac:dyDescent="0.15" hidden="false">
      <c r="A652" t="s">
        <v>6960</v>
      </c>
      <c r="B652" t="n">
        <v>6.0</v>
      </c>
      <c r="C652" t="n">
        <v>0.0</v>
      </c>
      <c r="D652" t="n">
        <v>0.0</v>
      </c>
      <c r="E652" t="n">
        <v>0.0</v>
      </c>
      <c r="F652" t="n">
        <v>0.0</v>
      </c>
      <c r="G652" t="n">
        <v>0.0</v>
      </c>
      <c r="H652" t="n">
        <v>0.0</v>
      </c>
      <c r="I652"/>
      <c r="J652"/>
      <c r="K652"/>
    </row>
    <row r="653" spans="1:2" ht="13.5" customHeight="true" x14ac:dyDescent="0.15" hidden="false">
      <c r="A653" t="s">
        <v>6960</v>
      </c>
      <c r="B653" t="n">
        <v>7.0</v>
      </c>
      <c r="C653" t="n">
        <v>1.51</v>
      </c>
      <c r="D653"/>
      <c r="E653"/>
      <c r="F653" t="n">
        <v>4.18</v>
      </c>
      <c r="G653"/>
      <c r="H653"/>
      <c r="I653" t="n">
        <v>3.471522773847191</v>
      </c>
      <c r="J653"/>
      <c r="K653"/>
    </row>
    <row r="654" spans="1:2" ht="13.5" customHeight="true" x14ac:dyDescent="0.15" hidden="false">
      <c r="A654" t="s">
        <v>6960</v>
      </c>
      <c r="B654" t="n">
        <v>8.0</v>
      </c>
      <c r="C654" t="n">
        <v>0.41</v>
      </c>
      <c r="D654"/>
      <c r="E654"/>
      <c r="F654" t="n">
        <v>5.18</v>
      </c>
      <c r="G654"/>
      <c r="H654"/>
      <c r="I654" t="n">
        <v>4.336232715816819</v>
      </c>
      <c r="J654"/>
      <c r="K654"/>
    </row>
    <row r="655" spans="1:2" ht="13.5" customHeight="true" x14ac:dyDescent="0.15" hidden="false">
      <c r="A655" t="s">
        <v>6960</v>
      </c>
      <c r="B655" t="n">
        <v>9.0</v>
      </c>
      <c r="C655"/>
      <c r="D655" t="n">
        <v>0.39</v>
      </c>
      <c r="E655"/>
      <c r="F655"/>
      <c r="G655" t="n">
        <v>3.73</v>
      </c>
      <c r="H655"/>
      <c r="I655"/>
      <c r="J655" t="n">
        <v>1.7549165813928873</v>
      </c>
      <c r="K655"/>
    </row>
    <row r="656" spans="1:2" ht="13.5" customHeight="true" x14ac:dyDescent="0.15" hidden="false">
      <c r="A656" t="s">
        <v>6960</v>
      </c>
      <c r="B656" t="n">
        <v>10.0</v>
      </c>
      <c r="C656"/>
      <c r="D656" t="n">
        <v>0.0</v>
      </c>
      <c r="E656"/>
      <c r="F656"/>
      <c r="G656" t="n">
        <v>1.02</v>
      </c>
      <c r="H656"/>
      <c r="I656"/>
      <c r="J656" t="n">
        <v>0.9712045056540896</v>
      </c>
      <c r="K656"/>
    </row>
    <row r="657" spans="1:2" ht="13.5" customHeight="true" x14ac:dyDescent="0.15" hidden="false">
      <c r="A657" t="s">
        <v>6960</v>
      </c>
      <c r="B657" t="n">
        <v>11.0</v>
      </c>
      <c r="C657"/>
      <c r="D657"/>
      <c r="E657" t="n">
        <v>0.0</v>
      </c>
      <c r="F657"/>
      <c r="G657"/>
      <c r="H657" t="n">
        <v>0.73</v>
      </c>
      <c r="I657"/>
      <c r="J657"/>
      <c r="K657" t="n">
        <v>0.4029629562589287</v>
      </c>
    </row>
    <row r="658" spans="1:2" ht="13.5" customHeight="true" x14ac:dyDescent="0.15" hidden="false">
      <c r="A658" t="s">
        <v>6960</v>
      </c>
      <c r="B658" t="n">
        <v>12.0</v>
      </c>
      <c r="C658"/>
      <c r="D658"/>
      <c r="E658" t="n">
        <v>0.0</v>
      </c>
      <c r="F658"/>
      <c r="G658"/>
      <c r="H658" t="n">
        <v>2.63</v>
      </c>
      <c r="I658"/>
      <c r="J658"/>
      <c r="K658" t="n">
        <v>2.4929178899954585</v>
      </c>
    </row>
    <row r="659" spans="1:2" ht="13.5" customHeight="true" x14ac:dyDescent="0.15" hidden="false">
      <c r="A659" t="s">
        <v>6960</v>
      </c>
      <c r="B659" t="n">
        <v>13.0</v>
      </c>
      <c r="C659" t="n">
        <v>0.42</v>
      </c>
      <c r="D659"/>
      <c r="E659"/>
      <c r="F659" t="n">
        <v>1.63</v>
      </c>
      <c r="G659"/>
      <c r="H659"/>
      <c r="I659" t="n">
        <v>1.340443327773376</v>
      </c>
      <c r="J659"/>
      <c r="K659"/>
    </row>
    <row r="660" spans="1:2" ht="13.5" customHeight="true" x14ac:dyDescent="0.15" hidden="false">
      <c r="A660" t="s">
        <v>6960</v>
      </c>
      <c r="B660" t="n">
        <v>14.0</v>
      </c>
      <c r="C660" t="n">
        <v>1.48</v>
      </c>
      <c r="D660"/>
      <c r="E660"/>
      <c r="F660" t="n">
        <v>1.74</v>
      </c>
      <c r="G660"/>
      <c r="H660"/>
      <c r="I660" t="n">
        <v>1.6694999010492249</v>
      </c>
      <c r="J660"/>
      <c r="K660"/>
    </row>
    <row r="661" spans="1:2" ht="13.5" customHeight="true" x14ac:dyDescent="0.15" hidden="false">
      <c r="A661" t="s">
        <v>6960</v>
      </c>
      <c r="B661" t="n">
        <v>15.0</v>
      </c>
      <c r="C661"/>
      <c r="D661" t="n">
        <v>2.18</v>
      </c>
      <c r="E661"/>
      <c r="F661"/>
      <c r="G661" t="n">
        <v>2.46</v>
      </c>
      <c r="H661"/>
      <c r="I661"/>
      <c r="J661" t="n">
        <v>2.3944737967553915</v>
      </c>
      <c r="K661"/>
    </row>
    <row r="662" spans="1:2" ht="13.5" customHeight="true" x14ac:dyDescent="0.15" hidden="false">
      <c r="A662" t="s">
        <v>6960</v>
      </c>
      <c r="B662" t="n">
        <v>16.0</v>
      </c>
      <c r="C662"/>
      <c r="D662" t="n">
        <v>0.0</v>
      </c>
      <c r="E662"/>
      <c r="F662"/>
      <c r="G662" t="n">
        <v>8.25</v>
      </c>
      <c r="H662"/>
      <c r="I662"/>
      <c r="J662" t="n">
        <v>7.833847086333635</v>
      </c>
      <c r="K662"/>
    </row>
    <row r="663" spans="1:2" ht="13.5" customHeight="true" x14ac:dyDescent="0.15" hidden="false">
      <c r="A663" t="s">
        <v>6960</v>
      </c>
      <c r="B663" t="n">
        <v>17.0</v>
      </c>
      <c r="C663"/>
      <c r="D663"/>
      <c r="E663" t="n">
        <v>0.0</v>
      </c>
      <c r="F663"/>
      <c r="G663"/>
      <c r="H663" t="n">
        <v>1.6</v>
      </c>
      <c r="I663"/>
      <c r="J663"/>
      <c r="K663" t="n">
        <v>1.5462103163456886</v>
      </c>
    </row>
    <row r="664" spans="1:2" ht="13.5" customHeight="true" x14ac:dyDescent="0.15" hidden="false">
      <c r="A664" t="s">
        <v>6960</v>
      </c>
      <c r="B664" t="n">
        <v>18.0</v>
      </c>
      <c r="C664"/>
      <c r="D664"/>
      <c r="E664" t="n">
        <v>0.0</v>
      </c>
      <c r="F664"/>
      <c r="G664"/>
      <c r="H664" t="n">
        <v>0.0</v>
      </c>
      <c r="I664"/>
      <c r="J664"/>
      <c r="K664"/>
    </row>
    <row r="665" spans="1:2" ht="13.5" customHeight="true" x14ac:dyDescent="0.15" hidden="false">
      <c r="A665" t="s">
        <v>6960</v>
      </c>
      <c r="B665" t="n">
        <v>19.0</v>
      </c>
      <c r="C665" t="n">
        <v>0.0</v>
      </c>
      <c r="D665"/>
      <c r="E665"/>
      <c r="F665" t="n">
        <v>4.91</v>
      </c>
      <c r="G665"/>
      <c r="H665"/>
      <c r="I665" t="n">
        <v>4.520009968117057</v>
      </c>
      <c r="J665"/>
      <c r="K665"/>
    </row>
    <row r="666" spans="1:2" ht="13.5" customHeight="true" x14ac:dyDescent="0.15" hidden="false">
      <c r="A666" t="s">
        <v>6960</v>
      </c>
      <c r="B666" t="n">
        <v>20.0</v>
      </c>
      <c r="C666" t="n">
        <v>0.59</v>
      </c>
      <c r="D666"/>
      <c r="E666"/>
      <c r="F666" t="n">
        <v>1.03</v>
      </c>
      <c r="G666"/>
      <c r="H666"/>
      <c r="I666" t="n">
        <v>0.6892507604925012</v>
      </c>
      <c r="J666"/>
      <c r="K666"/>
    </row>
    <row r="667" spans="1:2" ht="13.5" customHeight="true" x14ac:dyDescent="0.15" hidden="false">
      <c r="A667" t="s">
        <v>6960</v>
      </c>
      <c r="B667" t="n">
        <v>21.0</v>
      </c>
      <c r="C667"/>
      <c r="D667" t="n">
        <v>0.33</v>
      </c>
      <c r="E667"/>
      <c r="F667"/>
      <c r="G667" t="n">
        <v>2.6</v>
      </c>
      <c r="H667"/>
      <c r="I667"/>
      <c r="J667" t="n">
        <v>0.9669129497413516</v>
      </c>
      <c r="K667"/>
    </row>
    <row r="668" spans="1:2" ht="13.5" customHeight="true" x14ac:dyDescent="0.15" hidden="false">
      <c r="A668" t="s">
        <v>6960</v>
      </c>
      <c r="B668" t="n">
        <v>22.0</v>
      </c>
      <c r="C668"/>
      <c r="D668" t="n">
        <v>0.59</v>
      </c>
      <c r="E668"/>
      <c r="F668"/>
      <c r="G668" t="n">
        <v>1.73</v>
      </c>
      <c r="H668"/>
      <c r="I668"/>
      <c r="J668" t="n">
        <v>0.8419348565677044</v>
      </c>
      <c r="K668"/>
    </row>
    <row r="669" spans="1:2" ht="13.5" customHeight="true" x14ac:dyDescent="0.15" hidden="false">
      <c r="A669" t="s">
        <v>6960</v>
      </c>
      <c r="B669" t="n">
        <v>23.0</v>
      </c>
      <c r="C669"/>
      <c r="D669"/>
      <c r="E669" t="n">
        <v>0.0</v>
      </c>
      <c r="F669"/>
      <c r="G669"/>
      <c r="H669" t="n">
        <v>0.0</v>
      </c>
      <c r="I669"/>
      <c r="J669"/>
      <c r="K669"/>
    </row>
    <row r="670" spans="1:2" ht="13.5" customHeight="true" x14ac:dyDescent="0.15" hidden="false">
      <c r="A670" t="s">
        <v>6960</v>
      </c>
      <c r="B670" t="n">
        <v>24.0</v>
      </c>
      <c r="C670"/>
      <c r="D670"/>
      <c r="E670" t="n">
        <v>0.0</v>
      </c>
      <c r="F670"/>
      <c r="G670"/>
      <c r="H670" t="n">
        <v>1.54</v>
      </c>
      <c r="I670"/>
      <c r="J670"/>
      <c r="K670" t="n">
        <v>1.4455054348998286</v>
      </c>
    </row>
    <row r="671" spans="1:2" ht="13.5" customHeight="true" x14ac:dyDescent="0.15" hidden="false">
      <c r="A671" t="s">
        <v>6960</v>
      </c>
      <c r="B671" t="n">
        <v>25.0</v>
      </c>
      <c r="C671" t="n">
        <v>0.42</v>
      </c>
      <c r="D671"/>
      <c r="E671"/>
      <c r="F671" t="n">
        <v>0.61</v>
      </c>
      <c r="G671"/>
      <c r="H671"/>
      <c r="I671" t="n">
        <v>0.4635084016805546</v>
      </c>
      <c r="J671"/>
      <c r="K671"/>
    </row>
    <row r="672" spans="1:2" ht="13.5" customHeight="true" x14ac:dyDescent="0.15" hidden="false">
      <c r="A672" t="s">
        <v>6960</v>
      </c>
      <c r="B672" t="n">
        <v>26.0</v>
      </c>
      <c r="C672" t="n">
        <v>0.0</v>
      </c>
      <c r="D672"/>
      <c r="E672"/>
      <c r="F672" t="n">
        <v>0.61</v>
      </c>
      <c r="G672"/>
      <c r="H672"/>
      <c r="I672" t="n">
        <v>0.5722704150287925</v>
      </c>
      <c r="J672"/>
      <c r="K672"/>
    </row>
    <row r="673" spans="1:2" ht="13.5" customHeight="true" x14ac:dyDescent="0.15" hidden="false">
      <c r="A673" t="s">
        <v>6960</v>
      </c>
      <c r="B673" t="n">
        <v>27.0</v>
      </c>
      <c r="C673"/>
      <c r="D673" t="n">
        <v>0.57</v>
      </c>
      <c r="E673"/>
      <c r="F673"/>
      <c r="G673" t="n">
        <v>3.69</v>
      </c>
      <c r="H673"/>
      <c r="I673"/>
      <c r="J673" t="n">
        <v>1.4892922341349681</v>
      </c>
      <c r="K673"/>
    </row>
    <row r="674" spans="1:2" ht="13.5" customHeight="true" x14ac:dyDescent="0.15" hidden="false">
      <c r="A674" t="s">
        <v>6960</v>
      </c>
      <c r="B674" t="n">
        <v>28.0</v>
      </c>
      <c r="C674"/>
      <c r="D674" t="n">
        <v>0.0</v>
      </c>
      <c r="E674"/>
      <c r="F674"/>
      <c r="G674" t="n">
        <v>0.31</v>
      </c>
      <c r="H674"/>
      <c r="I674"/>
      <c r="J674" t="n">
        <v>0.2902376946195207</v>
      </c>
      <c r="K674"/>
    </row>
    <row r="675" spans="1:2" ht="13.5" customHeight="true" x14ac:dyDescent="0.15" hidden="false">
      <c r="A675" t="s">
        <v>6960</v>
      </c>
      <c r="B675" t="n">
        <v>29.0</v>
      </c>
      <c r="C675"/>
      <c r="D675"/>
      <c r="E675" t="n">
        <v>0.29</v>
      </c>
      <c r="F675"/>
      <c r="G675"/>
      <c r="H675" t="n">
        <v>2.23</v>
      </c>
      <c r="I675"/>
      <c r="J675"/>
      <c r="K675" t="n">
        <v>1.7926571483400484</v>
      </c>
    </row>
    <row r="676" spans="1:2" ht="13.5" customHeight="true" x14ac:dyDescent="0.15" hidden="false">
      <c r="A676" t="s">
        <v>6960</v>
      </c>
      <c r="B676" t="n">
        <v>30.0</v>
      </c>
      <c r="C676"/>
      <c r="D676"/>
      <c r="E676" t="n">
        <v>0.48</v>
      </c>
      <c r="F676"/>
      <c r="G676"/>
      <c r="H676" t="n">
        <v>0.53</v>
      </c>
      <c r="I676"/>
      <c r="J676"/>
      <c r="K676" t="n">
        <v>0.49895223638757213</v>
      </c>
    </row>
    <row r="677" spans="1:2" ht="13.5" customHeight="true" x14ac:dyDescent="0.15" hidden="false">
      <c r="A677" t="s">
        <v>6961</v>
      </c>
      <c r="B677" t="n">
        <v>1.0</v>
      </c>
      <c r="C677" t="n">
        <v>0.6</v>
      </c>
      <c r="D677"/>
      <c r="E677"/>
      <c r="F677" t="n">
        <v>0.76</v>
      </c>
      <c r="G677"/>
      <c r="H677"/>
      <c r="I677" t="n">
        <v>0.7224188064384994</v>
      </c>
      <c r="J677"/>
      <c r="K677"/>
    </row>
    <row r="678" spans="1:2" ht="13.5" customHeight="true" x14ac:dyDescent="0.15" hidden="false">
      <c r="A678" t="s">
        <v>6961</v>
      </c>
      <c r="B678" t="n">
        <v>2.0</v>
      </c>
      <c r="C678" t="n">
        <v>0.0</v>
      </c>
      <c r="D678"/>
      <c r="E678"/>
      <c r="F678" t="n">
        <v>0.85</v>
      </c>
      <c r="G678"/>
      <c r="H678"/>
      <c r="I678" t="n">
        <v>0.8174420454845146</v>
      </c>
      <c r="J678"/>
      <c r="K678"/>
    </row>
    <row r="679" spans="1:2" ht="13.5" customHeight="true" x14ac:dyDescent="0.15" hidden="false">
      <c r="A679" t="s">
        <v>6961</v>
      </c>
      <c r="B679" t="n">
        <v>3.0</v>
      </c>
      <c r="C679"/>
      <c r="D679" t="n">
        <v>0.0</v>
      </c>
      <c r="E679"/>
      <c r="F679"/>
      <c r="G679" t="n">
        <v>0.0</v>
      </c>
      <c r="H679"/>
      <c r="I679"/>
      <c r="J679"/>
      <c r="K679"/>
    </row>
    <row r="680" spans="1:2" ht="13.5" customHeight="true" x14ac:dyDescent="0.15" hidden="false">
      <c r="A680" t="s">
        <v>6961</v>
      </c>
      <c r="B680" t="n">
        <v>4.0</v>
      </c>
      <c r="C680"/>
      <c r="D680" t="n">
        <v>0.0</v>
      </c>
      <c r="E680"/>
      <c r="F680"/>
      <c r="G680" t="n">
        <v>0.0</v>
      </c>
      <c r="H680"/>
      <c r="I680"/>
      <c r="J680"/>
      <c r="K680"/>
    </row>
    <row r="681" spans="1:2" ht="13.5" customHeight="true" x14ac:dyDescent="0.15" hidden="false">
      <c r="A681" t="s">
        <v>6961</v>
      </c>
      <c r="B681" t="n">
        <v>5.0</v>
      </c>
      <c r="C681"/>
      <c r="D681"/>
      <c r="E681" t="n">
        <v>0.0</v>
      </c>
      <c r="F681"/>
      <c r="G681"/>
      <c r="H681" t="n">
        <v>7.31</v>
      </c>
      <c r="I681"/>
      <c r="J681"/>
      <c r="K681" t="n">
        <v>6.726656390818677</v>
      </c>
    </row>
    <row r="682" spans="1:2" ht="13.5" customHeight="true" x14ac:dyDescent="0.15" hidden="false">
      <c r="A682" t="s">
        <v>6961</v>
      </c>
      <c r="B682" t="n">
        <v>6.0</v>
      </c>
      <c r="C682"/>
      <c r="D682"/>
      <c r="E682" t="n">
        <v>0.0</v>
      </c>
      <c r="F682"/>
      <c r="G682"/>
      <c r="H682" t="n">
        <v>0.54</v>
      </c>
      <c r="I682"/>
      <c r="J682"/>
      <c r="K682" t="n">
        <v>0.5000076453181453</v>
      </c>
    </row>
    <row r="683" spans="1:2" ht="13.5" customHeight="true" x14ac:dyDescent="0.15" hidden="false">
      <c r="A683" t="s">
        <v>6961</v>
      </c>
      <c r="B683" t="n">
        <v>7.0</v>
      </c>
      <c r="C683" t="n">
        <v>0.0</v>
      </c>
      <c r="D683"/>
      <c r="E683"/>
      <c r="F683" t="n">
        <v>0.0</v>
      </c>
      <c r="G683"/>
      <c r="H683"/>
      <c r="I683"/>
      <c r="J683"/>
      <c r="K683"/>
    </row>
    <row r="684" spans="1:2" ht="13.5" customHeight="true" x14ac:dyDescent="0.15" hidden="false">
      <c r="A684" t="s">
        <v>6961</v>
      </c>
      <c r="B684" t="n">
        <v>8.0</v>
      </c>
      <c r="C684" t="n">
        <v>0.0</v>
      </c>
      <c r="D684"/>
      <c r="E684"/>
      <c r="F684" t="n">
        <v>2.45</v>
      </c>
      <c r="G684"/>
      <c r="H684"/>
      <c r="I684" t="n">
        <v>2.220777365276243</v>
      </c>
      <c r="J684"/>
      <c r="K684"/>
    </row>
    <row r="685" spans="1:2" ht="13.5" customHeight="true" x14ac:dyDescent="0.15" hidden="false">
      <c r="A685" t="s">
        <v>6961</v>
      </c>
      <c r="B685" t="n">
        <v>9.0</v>
      </c>
      <c r="C685"/>
      <c r="D685" t="n">
        <v>0.75</v>
      </c>
      <c r="E685"/>
      <c r="F685"/>
      <c r="G685" t="n">
        <v>7.31</v>
      </c>
      <c r="H685"/>
      <c r="I685"/>
      <c r="J685" t="n">
        <v>5.768152311901818</v>
      </c>
      <c r="K685"/>
    </row>
    <row r="686" spans="1:2" ht="13.5" customHeight="true" x14ac:dyDescent="0.15" hidden="false">
      <c r="A686" t="s">
        <v>6961</v>
      </c>
      <c r="B686" t="n">
        <v>10.0</v>
      </c>
      <c r="C686"/>
      <c r="D686" t="n">
        <v>0.0</v>
      </c>
      <c r="E686"/>
      <c r="F686"/>
      <c r="G686" t="n">
        <v>0.0</v>
      </c>
      <c r="H686"/>
      <c r="I686"/>
      <c r="J686"/>
      <c r="K686"/>
    </row>
    <row r="687" spans="1:2" ht="13.5" customHeight="true" x14ac:dyDescent="0.15" hidden="false">
      <c r="A687" t="s">
        <v>6961</v>
      </c>
      <c r="B687" t="n">
        <v>11.0</v>
      </c>
      <c r="C687"/>
      <c r="D687"/>
      <c r="E687" t="n">
        <v>0.0</v>
      </c>
      <c r="F687"/>
      <c r="G687"/>
      <c r="H687" t="n">
        <v>0.55</v>
      </c>
      <c r="I687"/>
      <c r="J687"/>
      <c r="K687" t="n">
        <v>0.5200348026501096</v>
      </c>
    </row>
    <row r="688" spans="1:2" ht="13.5" customHeight="true" x14ac:dyDescent="0.15" hidden="false">
      <c r="A688" t="s">
        <v>6961</v>
      </c>
      <c r="B688" t="n">
        <v>12.0</v>
      </c>
      <c r="C688"/>
      <c r="D688"/>
      <c r="E688" t="n">
        <v>0.0</v>
      </c>
      <c r="F688"/>
      <c r="G688"/>
      <c r="H688" t="n">
        <v>1.15</v>
      </c>
      <c r="I688"/>
      <c r="J688"/>
      <c r="K688" t="n">
        <v>1.106384672671493</v>
      </c>
    </row>
    <row r="689" spans="1:2" ht="13.5" customHeight="true" x14ac:dyDescent="0.15" hidden="false">
      <c r="A689" t="s">
        <v>6961</v>
      </c>
      <c r="B689" t="n">
        <v>13.0</v>
      </c>
      <c r="C689" t="n">
        <v>0.0</v>
      </c>
      <c r="D689"/>
      <c r="E689"/>
      <c r="F689" t="n">
        <v>1.8399999999999999</v>
      </c>
      <c r="G689"/>
      <c r="H689"/>
      <c r="I689" t="n">
        <v>1.7100467731731261</v>
      </c>
      <c r="J689"/>
      <c r="K689"/>
    </row>
    <row r="690" spans="1:2" ht="13.5" customHeight="true" x14ac:dyDescent="0.15" hidden="false">
      <c r="A690" t="s">
        <v>6961</v>
      </c>
      <c r="B690" t="n">
        <v>14.0</v>
      </c>
      <c r="C690" t="n">
        <v>0.0</v>
      </c>
      <c r="D690"/>
      <c r="E690"/>
      <c r="F690" t="n">
        <v>0.0</v>
      </c>
      <c r="G690"/>
      <c r="H690"/>
      <c r="I690"/>
      <c r="J690"/>
      <c r="K690"/>
    </row>
    <row r="691" spans="1:2" ht="13.5" customHeight="true" x14ac:dyDescent="0.15" hidden="false">
      <c r="A691" t="s">
        <v>6961</v>
      </c>
      <c r="B691" t="n">
        <v>15.0</v>
      </c>
      <c r="C691"/>
      <c r="D691" t="n">
        <v>0.0</v>
      </c>
      <c r="E691"/>
      <c r="F691"/>
      <c r="G691" t="n">
        <v>0.0</v>
      </c>
      <c r="H691"/>
      <c r="I691"/>
      <c r="J691"/>
      <c r="K691"/>
    </row>
    <row r="692" spans="1:2" ht="13.5" customHeight="true" x14ac:dyDescent="0.15" hidden="false">
      <c r="A692" t="s">
        <v>6961</v>
      </c>
      <c r="B692" t="n">
        <v>16.0</v>
      </c>
      <c r="C692"/>
      <c r="D692" t="n">
        <v>0.0</v>
      </c>
      <c r="E692"/>
      <c r="F692"/>
      <c r="G692" t="n">
        <v>0.0</v>
      </c>
      <c r="H692"/>
      <c r="I692"/>
      <c r="J692"/>
      <c r="K692"/>
    </row>
    <row r="693" spans="1:2" ht="13.5" customHeight="true" x14ac:dyDescent="0.15" hidden="false">
      <c r="A693" t="s">
        <v>6961</v>
      </c>
      <c r="B693" t="n">
        <v>17.0</v>
      </c>
      <c r="C693"/>
      <c r="D693"/>
      <c r="E693" t="n">
        <v>0.0</v>
      </c>
      <c r="F693"/>
      <c r="G693"/>
      <c r="H693" t="n">
        <v>0.8</v>
      </c>
      <c r="I693"/>
      <c r="J693"/>
      <c r="K693" t="n">
        <v>0.7420982543689814</v>
      </c>
    </row>
    <row r="694" spans="1:2" ht="13.5" customHeight="true" x14ac:dyDescent="0.15" hidden="false">
      <c r="A694" t="s">
        <v>6961</v>
      </c>
      <c r="B694" t="n">
        <v>18.0</v>
      </c>
      <c r="C694"/>
      <c r="D694"/>
      <c r="E694" t="n">
        <v>0.0</v>
      </c>
      <c r="F694"/>
      <c r="G694"/>
      <c r="H694" t="n">
        <v>0.85</v>
      </c>
      <c r="I694"/>
      <c r="J694"/>
      <c r="K694" t="n">
        <v>0.7866116631879928</v>
      </c>
    </row>
    <row r="695" spans="1:2" ht="13.5" customHeight="true" x14ac:dyDescent="0.15" hidden="false">
      <c r="A695" t="s">
        <v>6961</v>
      </c>
      <c r="B695" t="n">
        <v>19.0</v>
      </c>
      <c r="C695" t="n">
        <v>0.0</v>
      </c>
      <c r="D695"/>
      <c r="E695"/>
      <c r="F695" t="n">
        <v>0.0</v>
      </c>
      <c r="G695"/>
      <c r="H695"/>
      <c r="I695"/>
      <c r="J695"/>
      <c r="K695"/>
    </row>
    <row r="696" spans="1:2" ht="13.5" customHeight="true" x14ac:dyDescent="0.15" hidden="false">
      <c r="A696" t="s">
        <v>6961</v>
      </c>
      <c r="B696" t="n">
        <v>20.0</v>
      </c>
      <c r="C696" t="n">
        <v>0.0</v>
      </c>
      <c r="D696"/>
      <c r="E696"/>
      <c r="F696" t="n">
        <v>0.0</v>
      </c>
      <c r="G696"/>
      <c r="H696"/>
      <c r="I696"/>
      <c r="J696"/>
      <c r="K696"/>
    </row>
    <row r="697" spans="1:2" ht="13.5" customHeight="true" x14ac:dyDescent="0.15" hidden="false">
      <c r="A697" t="s">
        <v>6961</v>
      </c>
      <c r="B697" t="n">
        <v>21.0</v>
      </c>
      <c r="C697"/>
      <c r="D697" t="n">
        <v>0.0</v>
      </c>
      <c r="E697"/>
      <c r="F697"/>
      <c r="G697" t="n">
        <v>2.45</v>
      </c>
      <c r="H697"/>
      <c r="I697"/>
      <c r="J697" t="n">
        <v>2.138213794370621</v>
      </c>
      <c r="K697"/>
    </row>
    <row r="698" spans="1:2" ht="13.5" customHeight="true" x14ac:dyDescent="0.15" hidden="false">
      <c r="A698" t="s">
        <v>6961</v>
      </c>
      <c r="B698" t="n">
        <v>22.0</v>
      </c>
      <c r="C698"/>
      <c r="D698" t="n">
        <v>0.0</v>
      </c>
      <c r="E698"/>
      <c r="F698"/>
      <c r="G698" t="n">
        <v>0.0</v>
      </c>
      <c r="H698"/>
      <c r="I698"/>
      <c r="J698"/>
      <c r="K698"/>
    </row>
    <row r="699" spans="1:2" ht="13.5" customHeight="true" x14ac:dyDescent="0.15" hidden="false">
      <c r="A699" t="s">
        <v>6961</v>
      </c>
      <c r="B699" t="n">
        <v>23.0</v>
      </c>
      <c r="C699"/>
      <c r="D699"/>
      <c r="E699" t="n">
        <v>0.0</v>
      </c>
      <c r="F699"/>
      <c r="G699"/>
      <c r="H699" t="n">
        <v>1.15</v>
      </c>
      <c r="I699"/>
      <c r="J699"/>
      <c r="K699" t="n">
        <v>1.065011417314341</v>
      </c>
    </row>
    <row r="700" spans="1:2" ht="13.5" customHeight="true" x14ac:dyDescent="0.15" hidden="false">
      <c r="A700" t="s">
        <v>6961</v>
      </c>
      <c r="B700" t="n">
        <v>24.0</v>
      </c>
      <c r="C700"/>
      <c r="D700"/>
      <c r="E700" t="n">
        <v>0.0</v>
      </c>
      <c r="F700"/>
      <c r="G700"/>
      <c r="H700" t="n">
        <v>0.0</v>
      </c>
      <c r="I700"/>
      <c r="J700"/>
      <c r="K700"/>
    </row>
    <row r="701" spans="1:2" ht="13.5" customHeight="true" x14ac:dyDescent="0.15" hidden="false">
      <c r="A701" t="s">
        <v>6961</v>
      </c>
      <c r="B701" t="n">
        <v>25.0</v>
      </c>
      <c r="C701" t="n">
        <v>0.0</v>
      </c>
      <c r="D701"/>
      <c r="E701"/>
      <c r="F701" t="n">
        <v>1.8399999999999999</v>
      </c>
      <c r="G701"/>
      <c r="H701"/>
      <c r="I701" t="n">
        <v>1.7782722340978838</v>
      </c>
      <c r="J701"/>
      <c r="K701"/>
    </row>
    <row r="702" spans="1:2" ht="13.5" customHeight="true" x14ac:dyDescent="0.15" hidden="false">
      <c r="A702" t="s">
        <v>6961</v>
      </c>
      <c r="B702" t="n">
        <v>26.0</v>
      </c>
      <c r="C702" t="n">
        <v>0.0</v>
      </c>
      <c r="D702"/>
      <c r="E702"/>
      <c r="F702" t="n">
        <v>0.0</v>
      </c>
      <c r="G702"/>
      <c r="H702"/>
      <c r="I702"/>
      <c r="J702"/>
      <c r="K702"/>
    </row>
    <row r="703" spans="1:2" ht="13.5" customHeight="true" x14ac:dyDescent="0.15" hidden="false">
      <c r="A703" t="s">
        <v>6961</v>
      </c>
      <c r="B703" t="n">
        <v>27.0</v>
      </c>
      <c r="C703"/>
      <c r="D703" t="n">
        <v>0.0</v>
      </c>
      <c r="E703"/>
      <c r="F703"/>
      <c r="G703" t="n">
        <v>0.0</v>
      </c>
      <c r="H703"/>
      <c r="I703"/>
      <c r="J703"/>
      <c r="K703"/>
    </row>
    <row r="704" spans="1:2" ht="13.5" customHeight="true" x14ac:dyDescent="0.15" hidden="false">
      <c r="A704" t="s">
        <v>6961</v>
      </c>
      <c r="B704" t="n">
        <v>28.0</v>
      </c>
      <c r="C704"/>
      <c r="D704" t="n">
        <v>0.0</v>
      </c>
      <c r="E704"/>
      <c r="F704"/>
      <c r="G704" t="n">
        <v>0.0</v>
      </c>
      <c r="H704"/>
      <c r="I704"/>
      <c r="J704"/>
      <c r="K704"/>
    </row>
    <row r="705" spans="1:2" ht="13.5" customHeight="true" x14ac:dyDescent="0.15" hidden="false">
      <c r="A705" t="s">
        <v>6961</v>
      </c>
      <c r="B705" t="n">
        <v>29.0</v>
      </c>
      <c r="C705"/>
      <c r="D705"/>
      <c r="E705" t="n">
        <v>0.0</v>
      </c>
      <c r="F705"/>
      <c r="G705"/>
      <c r="H705" t="n">
        <v>0.0</v>
      </c>
      <c r="I705"/>
      <c r="J705"/>
      <c r="K705"/>
    </row>
    <row r="706" spans="1:2" ht="13.5" customHeight="true" x14ac:dyDescent="0.15" hidden="false">
      <c r="A706" t="s">
        <v>6961</v>
      </c>
      <c r="B706" t="n">
        <v>30.0</v>
      </c>
      <c r="C706"/>
      <c r="D706"/>
      <c r="E706" t="n">
        <v>0.0</v>
      </c>
      <c r="F706"/>
      <c r="G706"/>
      <c r="H706" t="n">
        <v>0.0</v>
      </c>
      <c r="I706"/>
      <c r="J706"/>
      <c r="K706"/>
    </row>
    <row r="707" spans="1:2" ht="13.5" customHeight="true" x14ac:dyDescent="0.15" hidden="false">
      <c r="A707" t="s">
        <v>6961</v>
      </c>
      <c r="B707" t="n">
        <v>31.0</v>
      </c>
      <c r="C707" t="n">
        <v>0.0</v>
      </c>
      <c r="D707"/>
      <c r="E707"/>
      <c r="F707" t="n">
        <v>0.0</v>
      </c>
      <c r="G707"/>
      <c r="H707"/>
      <c r="I707"/>
      <c r="J707"/>
      <c r="K707"/>
    </row>
    <row r="708" spans="1:2" ht="13.5" customHeight="true" x14ac:dyDescent="0.15" hidden="false">
      <c r="A708" t="s">
        <v>6961</v>
      </c>
      <c r="B708" t="n">
        <v>32.0</v>
      </c>
      <c r="C708" t="n">
        <v>0.0</v>
      </c>
      <c r="D708"/>
      <c r="E708"/>
      <c r="F708" t="n">
        <v>0.0</v>
      </c>
      <c r="G708"/>
      <c r="H708"/>
      <c r="I708"/>
      <c r="J708"/>
      <c r="K708"/>
    </row>
    <row r="709" spans="1:2" ht="13.5" customHeight="true" x14ac:dyDescent="0.15" hidden="false">
      <c r="A709" t="s">
        <v>6961</v>
      </c>
      <c r="B709" t="n">
        <v>33.0</v>
      </c>
      <c r="C709"/>
      <c r="D709" t="n">
        <v>0.0</v>
      </c>
      <c r="E709"/>
      <c r="F709"/>
      <c r="G709" t="n">
        <v>0.0</v>
      </c>
      <c r="H709"/>
      <c r="I709"/>
      <c r="J709"/>
      <c r="K709"/>
    </row>
    <row r="710" spans="1:2" ht="13.5" customHeight="true" x14ac:dyDescent="0.15" hidden="false">
      <c r="A710" t="s">
        <v>6961</v>
      </c>
      <c r="B710" t="n">
        <v>34.0</v>
      </c>
      <c r="C710"/>
      <c r="D710" t="n">
        <v>0.0</v>
      </c>
      <c r="E710"/>
      <c r="F710"/>
      <c r="G710" t="n">
        <v>0.0</v>
      </c>
      <c r="H710"/>
      <c r="I710"/>
      <c r="J710"/>
      <c r="K710"/>
    </row>
    <row r="711" spans="1:2" ht="13.5" customHeight="true" x14ac:dyDescent="0.15" hidden="false">
      <c r="A711" t="s">
        <v>6962</v>
      </c>
      <c r="B711" t="n">
        <v>1.0</v>
      </c>
      <c r="C711" t="n">
        <v>0.82</v>
      </c>
      <c r="D711"/>
      <c r="E711"/>
      <c r="F711" t="n">
        <v>1.12</v>
      </c>
      <c r="G711"/>
      <c r="H711"/>
      <c r="I711" t="n">
        <v>0.8254502300249269</v>
      </c>
      <c r="J711"/>
      <c r="K711"/>
    </row>
    <row r="712" spans="1:2" ht="13.5" customHeight="true" x14ac:dyDescent="0.15" hidden="false">
      <c r="A712" t="s">
        <v>6962</v>
      </c>
      <c r="B712" t="n">
        <v>2.0</v>
      </c>
      <c r="C712" t="n">
        <v>0.0</v>
      </c>
      <c r="D712"/>
      <c r="E712"/>
      <c r="F712" t="n">
        <v>0.79</v>
      </c>
      <c r="G712"/>
      <c r="H712"/>
      <c r="I712" t="n">
        <v>0.7625004642502601</v>
      </c>
      <c r="J712"/>
      <c r="K712"/>
    </row>
    <row r="713" spans="1:2" ht="13.5" customHeight="true" x14ac:dyDescent="0.15" hidden="false">
      <c r="A713" t="s">
        <v>6962</v>
      </c>
      <c r="B713" t="n">
        <v>3.0</v>
      </c>
      <c r="C713"/>
      <c r="D713" t="n">
        <v>0.0</v>
      </c>
      <c r="E713"/>
      <c r="F713"/>
      <c r="G713" t="n">
        <v>0.0</v>
      </c>
      <c r="H713"/>
      <c r="I713"/>
      <c r="J713"/>
      <c r="K713"/>
    </row>
    <row r="714" spans="1:2" ht="13.5" customHeight="true" x14ac:dyDescent="0.15" hidden="false">
      <c r="A714" t="s">
        <v>6962</v>
      </c>
      <c r="B714" t="n">
        <v>4.0</v>
      </c>
      <c r="C714"/>
      <c r="D714" t="n">
        <v>0.0</v>
      </c>
      <c r="E714"/>
      <c r="F714"/>
      <c r="G714" t="n">
        <v>0.0</v>
      </c>
      <c r="H714"/>
      <c r="I714"/>
      <c r="J714"/>
      <c r="K714"/>
    </row>
    <row r="715" spans="1:2" ht="13.5" customHeight="true" x14ac:dyDescent="0.15" hidden="false">
      <c r="A715" t="s">
        <v>6962</v>
      </c>
      <c r="B715" t="n">
        <v>5.0</v>
      </c>
      <c r="C715"/>
      <c r="D715"/>
      <c r="E715" t="n">
        <v>0.0</v>
      </c>
      <c r="F715"/>
      <c r="G715"/>
      <c r="H715" t="n">
        <v>5.0</v>
      </c>
      <c r="I715"/>
      <c r="J715"/>
      <c r="K715" t="n">
        <v>4.645030735892268</v>
      </c>
    </row>
    <row r="716" spans="1:2" ht="13.5" customHeight="true" x14ac:dyDescent="0.15" hidden="false">
      <c r="A716" t="s">
        <v>6962</v>
      </c>
      <c r="B716" t="n">
        <v>6.0</v>
      </c>
      <c r="C716"/>
      <c r="D716"/>
      <c r="E716" t="n">
        <v>0.0</v>
      </c>
      <c r="F716"/>
      <c r="G716"/>
      <c r="H716" t="n">
        <v>0.42</v>
      </c>
      <c r="I716"/>
      <c r="J716"/>
      <c r="K716" t="n">
        <v>0.3928343059329224</v>
      </c>
    </row>
    <row r="717" spans="1:2" ht="13.5" customHeight="true" x14ac:dyDescent="0.15" hidden="false">
      <c r="A717" t="s">
        <v>6962</v>
      </c>
      <c r="B717" t="n">
        <v>7.0</v>
      </c>
      <c r="C717" t="n">
        <v>0.0</v>
      </c>
      <c r="D717"/>
      <c r="E717"/>
      <c r="F717" t="n">
        <v>0.0</v>
      </c>
      <c r="G717"/>
      <c r="H717"/>
      <c r="I717"/>
      <c r="J717"/>
      <c r="K717"/>
    </row>
    <row r="718" spans="1:2" ht="13.5" customHeight="true" x14ac:dyDescent="0.15" hidden="false">
      <c r="A718" t="s">
        <v>6962</v>
      </c>
      <c r="B718" t="n">
        <v>8.0</v>
      </c>
      <c r="C718" t="n">
        <v>0.0</v>
      </c>
      <c r="D718"/>
      <c r="E718"/>
      <c r="F718" t="n">
        <v>2.3</v>
      </c>
      <c r="G718"/>
      <c r="H718"/>
      <c r="I718" t="n">
        <v>2.1393808099313527</v>
      </c>
      <c r="J718"/>
      <c r="K718"/>
    </row>
    <row r="719" spans="1:2" ht="13.5" customHeight="true" x14ac:dyDescent="0.15" hidden="false">
      <c r="A719" t="s">
        <v>6962</v>
      </c>
      <c r="B719" t="n">
        <v>9.0</v>
      </c>
      <c r="C719"/>
      <c r="D719" t="n">
        <v>0.0</v>
      </c>
      <c r="E719"/>
      <c r="F719"/>
      <c r="G719" t="n">
        <v>5.02</v>
      </c>
      <c r="H719"/>
      <c r="I719"/>
      <c r="J719" t="n">
        <v>4.833868551935492</v>
      </c>
      <c r="K719"/>
    </row>
    <row r="720" spans="1:2" ht="13.5" customHeight="true" x14ac:dyDescent="0.15" hidden="false">
      <c r="A720" t="s">
        <v>6962</v>
      </c>
      <c r="B720" t="n">
        <v>10.0</v>
      </c>
      <c r="C720"/>
      <c r="D720" t="n">
        <v>0.0</v>
      </c>
      <c r="E720"/>
      <c r="F720"/>
      <c r="G720" t="n">
        <v>0.0</v>
      </c>
      <c r="H720"/>
      <c r="I720"/>
      <c r="J720"/>
      <c r="K720"/>
    </row>
    <row r="721" spans="1:2" ht="13.5" customHeight="true" x14ac:dyDescent="0.15" hidden="false">
      <c r="A721" t="s">
        <v>6962</v>
      </c>
      <c r="B721" t="n">
        <v>11.0</v>
      </c>
      <c r="C721"/>
      <c r="D721"/>
      <c r="E721" t="n">
        <v>0.0</v>
      </c>
      <c r="F721"/>
      <c r="G721"/>
      <c r="H721" t="n">
        <v>0.42</v>
      </c>
      <c r="I721"/>
      <c r="J721"/>
      <c r="K721" t="n">
        <v>0.4091136166614396</v>
      </c>
    </row>
    <row r="722" spans="1:2" ht="13.5" customHeight="true" x14ac:dyDescent="0.15" hidden="false">
      <c r="A722" t="s">
        <v>6962</v>
      </c>
      <c r="B722" t="n">
        <v>12.0</v>
      </c>
      <c r="C722"/>
      <c r="D722"/>
      <c r="E722" t="n">
        <v>0.0</v>
      </c>
      <c r="F722"/>
      <c r="G722"/>
      <c r="H722" t="n">
        <v>1.08</v>
      </c>
      <c r="I722"/>
      <c r="J722"/>
      <c r="K722" t="n">
        <v>1.0356424813661005</v>
      </c>
    </row>
    <row r="723" spans="1:2" ht="13.5" customHeight="true" x14ac:dyDescent="0.15" hidden="false">
      <c r="A723" t="s">
        <v>6962</v>
      </c>
      <c r="B723" t="n">
        <v>13.0</v>
      </c>
      <c r="C723" t="n">
        <v>0.0</v>
      </c>
      <c r="D723"/>
      <c r="E723"/>
      <c r="F723" t="n">
        <v>1.01</v>
      </c>
      <c r="G723"/>
      <c r="H723"/>
      <c r="I723" t="n">
        <v>0.9382998786295778</v>
      </c>
      <c r="J723"/>
      <c r="K723"/>
    </row>
    <row r="724" spans="1:2" ht="13.5" customHeight="true" x14ac:dyDescent="0.15" hidden="false">
      <c r="A724" t="s">
        <v>6962</v>
      </c>
      <c r="B724" t="n">
        <v>14.0</v>
      </c>
      <c r="C724" t="n">
        <v>0.0</v>
      </c>
      <c r="D724"/>
      <c r="E724"/>
      <c r="F724" t="n">
        <v>0.0</v>
      </c>
      <c r="G724"/>
      <c r="H724"/>
      <c r="I724"/>
      <c r="J724"/>
      <c r="K724"/>
    </row>
    <row r="725" spans="1:2" ht="13.5" customHeight="true" x14ac:dyDescent="0.15" hidden="false">
      <c r="A725" t="s">
        <v>6962</v>
      </c>
      <c r="B725" t="n">
        <v>15.0</v>
      </c>
      <c r="C725"/>
      <c r="D725" t="n">
        <v>0.0</v>
      </c>
      <c r="E725"/>
      <c r="F725"/>
      <c r="G725" t="n">
        <v>0.0</v>
      </c>
      <c r="H725"/>
      <c r="I725"/>
      <c r="J725"/>
      <c r="K725"/>
    </row>
    <row r="726" spans="1:2" ht="13.5" customHeight="true" x14ac:dyDescent="0.15" hidden="false">
      <c r="A726" t="s">
        <v>6962</v>
      </c>
      <c r="B726" t="n">
        <v>16.0</v>
      </c>
      <c r="C726"/>
      <c r="D726" t="n">
        <v>0.0</v>
      </c>
      <c r="E726"/>
      <c r="F726"/>
      <c r="G726" t="n">
        <v>0.0</v>
      </c>
      <c r="H726"/>
      <c r="I726"/>
      <c r="J726"/>
      <c r="K726"/>
    </row>
    <row r="727" spans="1:2" ht="13.5" customHeight="true" x14ac:dyDescent="0.15" hidden="false">
      <c r="A727" t="s">
        <v>6962</v>
      </c>
      <c r="B727" t="n">
        <v>17.0</v>
      </c>
      <c r="C727"/>
      <c r="D727"/>
      <c r="E727" t="n">
        <v>0.0</v>
      </c>
      <c r="F727"/>
      <c r="G727"/>
      <c r="H727" t="n">
        <v>0.0</v>
      </c>
      <c r="I727"/>
      <c r="J727"/>
      <c r="K727"/>
    </row>
    <row r="728" spans="1:2" ht="13.5" customHeight="true" x14ac:dyDescent="0.15" hidden="false">
      <c r="A728" t="s">
        <v>6962</v>
      </c>
      <c r="B728" t="n">
        <v>18.0</v>
      </c>
      <c r="C728"/>
      <c r="D728"/>
      <c r="E728" t="n">
        <v>0.0</v>
      </c>
      <c r="F728"/>
      <c r="G728"/>
      <c r="H728" t="n">
        <v>0.8</v>
      </c>
      <c r="I728"/>
      <c r="J728"/>
      <c r="K728" t="n">
        <v>0.7383520177237802</v>
      </c>
    </row>
    <row r="729" spans="1:2" ht="13.5" customHeight="true" x14ac:dyDescent="0.15" hidden="false">
      <c r="A729" t="s">
        <v>6962</v>
      </c>
      <c r="B729" t="n">
        <v>19.0</v>
      </c>
      <c r="C729" t="n">
        <v>0.0</v>
      </c>
      <c r="D729"/>
      <c r="E729"/>
      <c r="F729" t="n">
        <v>0.0</v>
      </c>
      <c r="G729"/>
      <c r="H729"/>
      <c r="I729"/>
      <c r="J729"/>
      <c r="K729"/>
    </row>
    <row r="730" spans="1:2" ht="13.5" customHeight="true" x14ac:dyDescent="0.15" hidden="false">
      <c r="A730" t="s">
        <v>6962</v>
      </c>
      <c r="B730" t="n">
        <v>20.0</v>
      </c>
      <c r="C730" t="n">
        <v>0.0</v>
      </c>
      <c r="D730"/>
      <c r="E730"/>
      <c r="F730" t="n">
        <v>0.0</v>
      </c>
      <c r="G730"/>
      <c r="H730"/>
      <c r="I730"/>
      <c r="J730"/>
      <c r="K730"/>
    </row>
    <row r="731" spans="1:2" ht="13.5" customHeight="true" x14ac:dyDescent="0.15" hidden="false">
      <c r="A731" t="s">
        <v>6962</v>
      </c>
      <c r="B731" t="n">
        <v>21.0</v>
      </c>
      <c r="C731"/>
      <c r="D731" t="n">
        <v>0.0</v>
      </c>
      <c r="E731"/>
      <c r="F731"/>
      <c r="G731" t="n">
        <v>2.32</v>
      </c>
      <c r="H731"/>
      <c r="I731"/>
      <c r="J731" t="n">
        <v>2.0598352248234373</v>
      </c>
      <c r="K731"/>
    </row>
    <row r="732" spans="1:2" ht="13.5" customHeight="true" x14ac:dyDescent="0.15" hidden="false">
      <c r="A732" t="s">
        <v>6962</v>
      </c>
      <c r="B732" t="n">
        <v>22.0</v>
      </c>
      <c r="C732"/>
      <c r="D732" t="n">
        <v>0.0</v>
      </c>
      <c r="E732"/>
      <c r="F732"/>
      <c r="G732" t="n">
        <v>0.0</v>
      </c>
      <c r="H732"/>
      <c r="I732"/>
      <c r="J732"/>
      <c r="K732"/>
    </row>
    <row r="733" spans="1:2" ht="13.5" customHeight="true" x14ac:dyDescent="0.15" hidden="false">
      <c r="A733" t="s">
        <v>6962</v>
      </c>
      <c r="B733" t="n">
        <v>23.0</v>
      </c>
      <c r="C733"/>
      <c r="D733"/>
      <c r="E733" t="n">
        <v>0.0</v>
      </c>
      <c r="F733"/>
      <c r="G733"/>
      <c r="H733" t="n">
        <v>1.07</v>
      </c>
      <c r="I733"/>
      <c r="J733"/>
      <c r="K733" t="n">
        <v>0.9922824189148416</v>
      </c>
    </row>
    <row r="734" spans="1:2" ht="13.5" customHeight="true" x14ac:dyDescent="0.15" hidden="false">
      <c r="A734" t="s">
        <v>6962</v>
      </c>
      <c r="B734" t="n">
        <v>24.0</v>
      </c>
      <c r="C734"/>
      <c r="D734"/>
      <c r="E734" t="n">
        <v>0.0</v>
      </c>
      <c r="F734"/>
      <c r="G734"/>
      <c r="H734" t="n">
        <v>0.0</v>
      </c>
      <c r="I734"/>
      <c r="J734"/>
      <c r="K734"/>
    </row>
    <row r="735" spans="1:2" ht="13.5" customHeight="true" x14ac:dyDescent="0.15" hidden="false">
      <c r="A735" t="s">
        <v>6962</v>
      </c>
      <c r="B735" t="n">
        <v>25.0</v>
      </c>
      <c r="C735" t="n">
        <v>0.0</v>
      </c>
      <c r="D735"/>
      <c r="E735"/>
      <c r="F735" t="n">
        <v>1.02</v>
      </c>
      <c r="G735"/>
      <c r="H735"/>
      <c r="I735" t="n">
        <v>0.9861227232484256</v>
      </c>
      <c r="J735"/>
      <c r="K735"/>
    </row>
    <row r="736" spans="1:2" ht="13.5" customHeight="true" x14ac:dyDescent="0.15" hidden="false">
      <c r="A736" t="s">
        <v>6962</v>
      </c>
      <c r="B736" t="n">
        <v>26.0</v>
      </c>
      <c r="C736" t="n">
        <v>0.0</v>
      </c>
      <c r="D736"/>
      <c r="E736"/>
      <c r="F736" t="n">
        <v>0.0</v>
      </c>
      <c r="G736"/>
      <c r="H736"/>
      <c r="I736"/>
      <c r="J736"/>
      <c r="K736"/>
    </row>
    <row r="737" spans="1:2" ht="13.5" customHeight="true" x14ac:dyDescent="0.15" hidden="false">
      <c r="A737" t="s">
        <v>6962</v>
      </c>
      <c r="B737" t="n">
        <v>27.0</v>
      </c>
      <c r="C737"/>
      <c r="D737" t="n">
        <v>0.0</v>
      </c>
      <c r="E737"/>
      <c r="F737"/>
      <c r="G737" t="n">
        <v>0.0</v>
      </c>
      <c r="H737"/>
      <c r="I737"/>
      <c r="J737"/>
      <c r="K737"/>
    </row>
    <row r="738" spans="1:2" ht="13.5" customHeight="true" x14ac:dyDescent="0.15" hidden="false">
      <c r="A738" t="s">
        <v>6962</v>
      </c>
      <c r="B738" t="n">
        <v>28.0</v>
      </c>
      <c r="C738"/>
      <c r="D738" t="n">
        <v>0.0</v>
      </c>
      <c r="E738"/>
      <c r="F738"/>
      <c r="G738" t="n">
        <v>0.0</v>
      </c>
      <c r="H738"/>
      <c r="I738"/>
      <c r="J738"/>
      <c r="K738"/>
    </row>
    <row r="739" spans="1:2" ht="13.5" customHeight="true" x14ac:dyDescent="0.15" hidden="false">
      <c r="A739" t="s">
        <v>6962</v>
      </c>
      <c r="B739" t="n">
        <v>29.0</v>
      </c>
      <c r="C739"/>
      <c r="D739"/>
      <c r="E739" t="n">
        <v>0.0</v>
      </c>
      <c r="F739"/>
      <c r="G739"/>
      <c r="H739" t="n">
        <v>0.0</v>
      </c>
      <c r="I739"/>
      <c r="J739"/>
      <c r="K739"/>
    </row>
    <row r="740" spans="1:2" ht="13.5" customHeight="true" x14ac:dyDescent="0.15" hidden="false">
      <c r="A740" t="s">
        <v>6962</v>
      </c>
      <c r="B740" t="n">
        <v>30.0</v>
      </c>
      <c r="C740"/>
      <c r="D740"/>
      <c r="E740" t="n">
        <v>0.0</v>
      </c>
      <c r="F740"/>
      <c r="G740"/>
      <c r="H740" t="n">
        <v>0.0</v>
      </c>
      <c r="I740"/>
      <c r="J740"/>
      <c r="K740"/>
    </row>
    <row r="741" spans="1:2" ht="13.5" customHeight="true" x14ac:dyDescent="0.15" hidden="false">
      <c r="A741" t="s">
        <v>6962</v>
      </c>
      <c r="B741" t="n">
        <v>31.0</v>
      </c>
      <c r="C741" t="n">
        <v>0.0</v>
      </c>
      <c r="D741"/>
      <c r="E741"/>
      <c r="F741" t="n">
        <v>0.0</v>
      </c>
      <c r="G741"/>
      <c r="H741"/>
      <c r="I741"/>
      <c r="J741"/>
      <c r="K741"/>
    </row>
    <row r="742" spans="1:2" ht="13.5" customHeight="true" x14ac:dyDescent="0.15" hidden="false">
      <c r="A742" t="s">
        <v>6962</v>
      </c>
      <c r="B742" t="n">
        <v>32.0</v>
      </c>
      <c r="C742" t="n">
        <v>0.0</v>
      </c>
      <c r="D742"/>
      <c r="E742"/>
      <c r="F742" t="n">
        <v>0.0</v>
      </c>
      <c r="G742"/>
      <c r="H742"/>
      <c r="I742"/>
      <c r="J742"/>
      <c r="K742"/>
    </row>
    <row r="743" spans="1:2" ht="13.5" customHeight="true" x14ac:dyDescent="0.15" hidden="false">
      <c r="A743" t="s">
        <v>6962</v>
      </c>
      <c r="B743" t="n">
        <v>33.0</v>
      </c>
      <c r="C743"/>
      <c r="D743" t="n">
        <v>0.0</v>
      </c>
      <c r="E743"/>
      <c r="F743"/>
      <c r="G743" t="n">
        <v>0.0</v>
      </c>
      <c r="H743"/>
      <c r="I743"/>
      <c r="J743"/>
      <c r="K743"/>
    </row>
    <row r="744" spans="1:2" ht="13.5" customHeight="true" x14ac:dyDescent="0.15" hidden="false">
      <c r="A744" t="s">
        <v>6962</v>
      </c>
      <c r="B744" t="n">
        <v>34.0</v>
      </c>
      <c r="C744"/>
      <c r="D744" t="n">
        <v>0.0</v>
      </c>
      <c r="E744"/>
      <c r="F744"/>
      <c r="G744" t="n">
        <v>0.0</v>
      </c>
      <c r="H744"/>
      <c r="I744"/>
      <c r="J744"/>
      <c r="K744"/>
    </row>
    <row r="745" spans="1:2" ht="13.5" customHeight="true" x14ac:dyDescent="0.15" hidden="false">
      <c r="A745" t="s">
        <v>6963</v>
      </c>
      <c r="B745" t="n">
        <v>1.0</v>
      </c>
      <c r="C745" t="n">
        <v>0.0</v>
      </c>
      <c r="D745"/>
      <c r="E745"/>
      <c r="F745" t="n">
        <v>9.4</v>
      </c>
      <c r="G745"/>
      <c r="H745"/>
      <c r="I745" t="n">
        <v>4.35546904876135</v>
      </c>
      <c r="J745"/>
      <c r="K745"/>
    </row>
    <row r="746" spans="1:2" ht="13.5" customHeight="true" x14ac:dyDescent="0.15" hidden="false">
      <c r="A746" t="s">
        <v>6963</v>
      </c>
      <c r="B746" t="n">
        <v>2.0</v>
      </c>
      <c r="C746" t="n">
        <v>0.64</v>
      </c>
      <c r="D746"/>
      <c r="E746"/>
      <c r="F746" t="n">
        <v>8.6</v>
      </c>
      <c r="G746"/>
      <c r="H746"/>
      <c r="I746" t="n">
        <v>3.193659071244748</v>
      </c>
      <c r="J746"/>
      <c r="K746"/>
    </row>
    <row r="747" spans="1:2" ht="13.5" customHeight="true" x14ac:dyDescent="0.15" hidden="false">
      <c r="A747" t="s">
        <v>6963</v>
      </c>
      <c r="B747" t="n">
        <v>3.0</v>
      </c>
      <c r="C747"/>
      <c r="D747" t="n">
        <v>0.0</v>
      </c>
      <c r="E747"/>
      <c r="F747"/>
      <c r="G747" t="n">
        <v>7.55</v>
      </c>
      <c r="H747"/>
      <c r="I747"/>
      <c r="J747" t="n">
        <v>4.083818395054173</v>
      </c>
      <c r="K747"/>
    </row>
    <row r="748" spans="1:2" ht="13.5" customHeight="true" x14ac:dyDescent="0.15" hidden="false">
      <c r="A748" t="s">
        <v>6963</v>
      </c>
      <c r="B748" t="n">
        <v>4.0</v>
      </c>
      <c r="C748"/>
      <c r="D748" t="n">
        <v>0.87</v>
      </c>
      <c r="E748"/>
      <c r="F748"/>
      <c r="G748" t="n">
        <v>9.47</v>
      </c>
      <c r="H748"/>
      <c r="I748"/>
      <c r="J748" t="n">
        <v>3.4713835669277553</v>
      </c>
      <c r="K748"/>
    </row>
    <row r="749" spans="1:2" ht="13.5" customHeight="true" x14ac:dyDescent="0.15" hidden="false">
      <c r="A749" t="s">
        <v>6963</v>
      </c>
      <c r="B749" t="n">
        <v>5.0</v>
      </c>
      <c r="C749"/>
      <c r="D749"/>
      <c r="E749" t="n">
        <v>0.0</v>
      </c>
      <c r="F749"/>
      <c r="G749"/>
      <c r="H749" t="n">
        <v>8.62</v>
      </c>
      <c r="I749"/>
      <c r="J749"/>
      <c r="K749" t="n">
        <v>3.6577187627138574</v>
      </c>
    </row>
    <row r="750" spans="1:2" ht="13.5" customHeight="true" x14ac:dyDescent="0.15" hidden="false">
      <c r="A750" t="s">
        <v>6963</v>
      </c>
      <c r="B750" t="n">
        <v>6.0</v>
      </c>
      <c r="C750"/>
      <c r="D750"/>
      <c r="E750" t="n">
        <v>2.19</v>
      </c>
      <c r="F750"/>
      <c r="G750"/>
      <c r="H750" t="n">
        <v>5.5600000000000005</v>
      </c>
      <c r="I750"/>
      <c r="J750"/>
      <c r="K750" t="n">
        <v>3.1370558923726253</v>
      </c>
    </row>
    <row r="751" spans="1:2" ht="13.5" customHeight="true" x14ac:dyDescent="0.15" hidden="false">
      <c r="A751" t="s">
        <v>6963</v>
      </c>
      <c r="B751" t="n">
        <v>7.0</v>
      </c>
      <c r="C751" t="n">
        <v>0.67</v>
      </c>
      <c r="D751"/>
      <c r="E751"/>
      <c r="F751" t="n">
        <v>10.37</v>
      </c>
      <c r="G751"/>
      <c r="H751"/>
      <c r="I751" t="n">
        <v>5.043185745771462</v>
      </c>
      <c r="J751"/>
      <c r="K751"/>
    </row>
    <row r="752" spans="1:2" ht="13.5" customHeight="true" x14ac:dyDescent="0.15" hidden="false">
      <c r="A752" t="s">
        <v>6963</v>
      </c>
      <c r="B752" t="n">
        <v>8.0</v>
      </c>
      <c r="C752" t="n">
        <v>1.03</v>
      </c>
      <c r="D752"/>
      <c r="E752"/>
      <c r="F752" t="n">
        <v>10.83</v>
      </c>
      <c r="G752"/>
      <c r="H752"/>
      <c r="I752" t="n">
        <v>5.37809606057853</v>
      </c>
      <c r="J752"/>
      <c r="K752"/>
    </row>
    <row r="753" spans="1:2" ht="13.5" customHeight="true" x14ac:dyDescent="0.15" hidden="false">
      <c r="A753" t="s">
        <v>6963</v>
      </c>
      <c r="B753" t="n">
        <v>9.0</v>
      </c>
      <c r="C753"/>
      <c r="D753" t="n">
        <v>0.68</v>
      </c>
      <c r="E753"/>
      <c r="F753"/>
      <c r="G753" t="n">
        <v>9.94</v>
      </c>
      <c r="H753"/>
      <c r="I753"/>
      <c r="J753" t="n">
        <v>3.683190783678499</v>
      </c>
      <c r="K753"/>
    </row>
    <row r="754" spans="1:2" ht="13.5" customHeight="true" x14ac:dyDescent="0.15" hidden="false">
      <c r="A754" t="s">
        <v>6963</v>
      </c>
      <c r="B754" t="n">
        <v>10.0</v>
      </c>
      <c r="C754"/>
      <c r="D754" t="n">
        <v>0.5</v>
      </c>
      <c r="E754"/>
      <c r="F754"/>
      <c r="G754" t="n">
        <v>8.24</v>
      </c>
      <c r="H754"/>
      <c r="I754"/>
      <c r="J754" t="n">
        <v>5.035313147559305</v>
      </c>
      <c r="K754"/>
    </row>
    <row r="755" spans="1:2" ht="13.5" customHeight="true" x14ac:dyDescent="0.15" hidden="false">
      <c r="A755" t="s">
        <v>6963</v>
      </c>
      <c r="B755" t="n">
        <v>11.0</v>
      </c>
      <c r="C755"/>
      <c r="D755"/>
      <c r="E755" t="n">
        <v>0.0</v>
      </c>
      <c r="F755"/>
      <c r="G755"/>
      <c r="H755" t="n">
        <v>13.25</v>
      </c>
      <c r="I755"/>
      <c r="J755"/>
      <c r="K755" t="n">
        <v>3.2033315827098487</v>
      </c>
    </row>
    <row r="756" spans="1:2" ht="13.5" customHeight="true" x14ac:dyDescent="0.15" hidden="false">
      <c r="A756" t="s">
        <v>6963</v>
      </c>
      <c r="B756" t="n">
        <v>12.0</v>
      </c>
      <c r="C756"/>
      <c r="D756"/>
      <c r="E756" t="n">
        <v>0.0</v>
      </c>
      <c r="F756"/>
      <c r="G756"/>
      <c r="H756" t="n">
        <v>4.7</v>
      </c>
      <c r="I756"/>
      <c r="J756"/>
      <c r="K756" t="n">
        <v>3.9269880236710653</v>
      </c>
    </row>
    <row r="757" spans="1:2" ht="13.5" customHeight="true" x14ac:dyDescent="0.15" hidden="false">
      <c r="A757" t="s">
        <v>6963</v>
      </c>
      <c r="B757" t="n">
        <v>13.0</v>
      </c>
      <c r="C757" t="n">
        <v>0.65</v>
      </c>
      <c r="D757"/>
      <c r="E757"/>
      <c r="F757" t="n">
        <v>12.45</v>
      </c>
      <c r="G757"/>
      <c r="H757"/>
      <c r="I757" t="n">
        <v>4.362081238630728</v>
      </c>
      <c r="J757"/>
      <c r="K757"/>
    </row>
    <row r="758" spans="1:2" ht="13.5" customHeight="true" x14ac:dyDescent="0.15" hidden="false">
      <c r="A758" t="s">
        <v>6963</v>
      </c>
      <c r="B758" t="n">
        <v>14.0</v>
      </c>
      <c r="C758" t="n">
        <v>1.15</v>
      </c>
      <c r="D758"/>
      <c r="E758"/>
      <c r="F758" t="n">
        <v>3.11</v>
      </c>
      <c r="G758"/>
      <c r="H758"/>
      <c r="I758" t="n">
        <v>1.7822187285117186</v>
      </c>
      <c r="J758"/>
      <c r="K758"/>
    </row>
    <row r="759" spans="1:2" ht="13.5" customHeight="true" x14ac:dyDescent="0.15" hidden="false">
      <c r="A759" t="s">
        <v>6963</v>
      </c>
      <c r="B759" t="n">
        <v>15.0</v>
      </c>
      <c r="C759"/>
      <c r="D759" t="n">
        <v>0.0</v>
      </c>
      <c r="E759"/>
      <c r="F759"/>
      <c r="G759" t="n">
        <v>10.73</v>
      </c>
      <c r="H759"/>
      <c r="I759"/>
      <c r="J759" t="n">
        <v>5.495018461786693</v>
      </c>
      <c r="K759"/>
    </row>
    <row r="760" spans="1:2" ht="13.5" customHeight="true" x14ac:dyDescent="0.15" hidden="false">
      <c r="A760" t="s">
        <v>6963</v>
      </c>
      <c r="B760" t="n">
        <v>16.0</v>
      </c>
      <c r="C760"/>
      <c r="D760" t="n">
        <v>1.16</v>
      </c>
      <c r="E760"/>
      <c r="F760"/>
      <c r="G760" t="n">
        <v>14.87</v>
      </c>
      <c r="H760"/>
      <c r="I760"/>
      <c r="J760" t="n">
        <v>6.326683774835967</v>
      </c>
      <c r="K760"/>
    </row>
    <row r="761" spans="1:2" ht="13.5" customHeight="true" x14ac:dyDescent="0.15" hidden="false">
      <c r="A761" t="s">
        <v>6963</v>
      </c>
      <c r="B761" t="n">
        <v>17.0</v>
      </c>
      <c r="C761"/>
      <c r="D761"/>
      <c r="E761" t="n">
        <v>1.83</v>
      </c>
      <c r="F761"/>
      <c r="G761"/>
      <c r="H761" t="n">
        <v>6.06</v>
      </c>
      <c r="I761"/>
      <c r="J761"/>
      <c r="K761" t="n">
        <v>4.016666347690264</v>
      </c>
    </row>
    <row r="762" spans="1:2" ht="13.5" customHeight="true" x14ac:dyDescent="0.15" hidden="false">
      <c r="A762" t="s">
        <v>6963</v>
      </c>
      <c r="B762" t="n">
        <v>18.0</v>
      </c>
      <c r="C762"/>
      <c r="D762"/>
      <c r="E762" t="n">
        <v>1.15</v>
      </c>
      <c r="F762"/>
      <c r="G762"/>
      <c r="H762" t="n">
        <v>11.12</v>
      </c>
      <c r="I762"/>
      <c r="J762"/>
      <c r="K762" t="n">
        <v>5.0459976961800574</v>
      </c>
    </row>
    <row r="763" spans="1:2" ht="13.5" customHeight="true" x14ac:dyDescent="0.15" hidden="false">
      <c r="A763" t="s">
        <v>6963</v>
      </c>
      <c r="B763" t="n">
        <v>19.0</v>
      </c>
      <c r="C763" t="n">
        <v>1.12</v>
      </c>
      <c r="D763"/>
      <c r="E763"/>
      <c r="F763" t="n">
        <v>6.15</v>
      </c>
      <c r="G763"/>
      <c r="H763"/>
      <c r="I763" t="n">
        <v>3.0090328029314652</v>
      </c>
      <c r="J763"/>
      <c r="K763"/>
    </row>
    <row r="764" spans="1:2" ht="13.5" customHeight="true" x14ac:dyDescent="0.15" hidden="false">
      <c r="A764" t="s">
        <v>6963</v>
      </c>
      <c r="B764" t="n">
        <v>20.0</v>
      </c>
      <c r="C764" t="n">
        <v>1.16</v>
      </c>
      <c r="D764"/>
      <c r="E764"/>
      <c r="F764" t="n">
        <v>12.03</v>
      </c>
      <c r="G764"/>
      <c r="H764"/>
      <c r="I764" t="n">
        <v>7.129129806297764</v>
      </c>
      <c r="J764"/>
      <c r="K764"/>
    </row>
    <row r="765" ht="13.5" customHeight="true" hidden="false">
      <c r="A765" t="s">
        <v>6963</v>
      </c>
      <c r="B765" t="n">
        <v>21.0</v>
      </c>
      <c r="C765"/>
      <c r="D765" t="n">
        <v>0.0</v>
      </c>
      <c r="E765"/>
      <c r="F765"/>
      <c r="G765" t="n">
        <v>10.29</v>
      </c>
      <c r="H765"/>
      <c r="I765"/>
      <c r="J765" t="n">
        <v>6.964324356845329</v>
      </c>
      <c r="K765"/>
    </row>
    <row r="766" ht="13.5" customHeight="true" hidden="false">
      <c r="A766" t="s">
        <v>6963</v>
      </c>
      <c r="B766" t="n">
        <v>22.0</v>
      </c>
      <c r="C766"/>
      <c r="D766" t="n">
        <v>0.84</v>
      </c>
      <c r="E766"/>
      <c r="F766"/>
      <c r="G766" t="n">
        <v>10.5</v>
      </c>
      <c r="H766"/>
      <c r="I766"/>
      <c r="J766" t="n">
        <v>8.105475343729703</v>
      </c>
      <c r="K766"/>
    </row>
    <row r="767" ht="13.5" customHeight="true" hidden="false">
      <c r="A767" t="s">
        <v>6963</v>
      </c>
      <c r="B767" t="n">
        <v>23.0</v>
      </c>
      <c r="C767"/>
      <c r="D767"/>
      <c r="E767" t="n">
        <v>0.0</v>
      </c>
      <c r="F767"/>
      <c r="G767"/>
      <c r="H767" t="n">
        <v>11.63</v>
      </c>
      <c r="I767"/>
      <c r="J767"/>
      <c r="K767" t="n">
        <v>8.951440048950486</v>
      </c>
    </row>
    <row r="768" ht="13.5" customHeight="true" hidden="false">
      <c r="A768" t="s">
        <v>6963</v>
      </c>
      <c r="B768" t="n">
        <v>24.0</v>
      </c>
      <c r="C768"/>
      <c r="D768"/>
      <c r="E768" t="n">
        <v>0.0</v>
      </c>
      <c r="F768"/>
      <c r="G768"/>
      <c r="H768" t="n">
        <v>0.0</v>
      </c>
      <c r="I768"/>
      <c r="J768"/>
      <c r="K768"/>
    </row>
    <row r="769" ht="13.5" customHeight="true" hidden="false">
      <c r="A769" t="s">
        <v>6964</v>
      </c>
      <c r="B769" t="n">
        <v>1.0</v>
      </c>
      <c r="C769" t="n">
        <v>0.0</v>
      </c>
      <c r="D769"/>
      <c r="E769"/>
      <c r="F769" t="n">
        <v>9.39</v>
      </c>
      <c r="G769"/>
      <c r="H769"/>
      <c r="I769" t="n">
        <v>4.388005025025178</v>
      </c>
      <c r="J769"/>
      <c r="K769"/>
    </row>
    <row r="770" ht="13.5" customHeight="true" hidden="false">
      <c r="A770" t="s">
        <v>6964</v>
      </c>
      <c r="B770" t="n">
        <v>2.0</v>
      </c>
      <c r="C770" t="n">
        <v>0.63</v>
      </c>
      <c r="D770"/>
      <c r="E770"/>
      <c r="F770" t="n">
        <v>9.55</v>
      </c>
      <c r="G770"/>
      <c r="H770"/>
      <c r="I770" t="n">
        <v>3.818687844578456</v>
      </c>
      <c r="J770"/>
      <c r="K770"/>
    </row>
    <row r="771" ht="13.5" customHeight="true" hidden="false">
      <c r="A771" t="s">
        <v>6964</v>
      </c>
      <c r="B771" t="n">
        <v>3.0</v>
      </c>
      <c r="C771"/>
      <c r="D771" t="n">
        <v>0.0</v>
      </c>
      <c r="E771"/>
      <c r="F771"/>
      <c r="G771" t="n">
        <v>7.21</v>
      </c>
      <c r="H771"/>
      <c r="I771"/>
      <c r="J771" t="n">
        <v>3.941355655177422</v>
      </c>
      <c r="K771"/>
    </row>
    <row r="772" ht="13.5" customHeight="true" hidden="false">
      <c r="A772" t="s">
        <v>6964</v>
      </c>
      <c r="B772" t="n">
        <v>4.0</v>
      </c>
      <c r="C772"/>
      <c r="D772" t="n">
        <v>0.92</v>
      </c>
      <c r="E772"/>
      <c r="F772"/>
      <c r="G772" t="n">
        <v>9.22</v>
      </c>
      <c r="H772"/>
      <c r="I772"/>
      <c r="J772" t="n">
        <v>3.4008435129414503</v>
      </c>
      <c r="K772"/>
    </row>
    <row r="773" ht="13.5" customHeight="true" hidden="false">
      <c r="A773" t="s">
        <v>6964</v>
      </c>
      <c r="B773" t="n">
        <v>5.0</v>
      </c>
      <c r="C773"/>
      <c r="D773"/>
      <c r="E773" t="n">
        <v>0.0</v>
      </c>
      <c r="F773"/>
      <c r="G773"/>
      <c r="H773" t="n">
        <v>8.53</v>
      </c>
      <c r="I773"/>
      <c r="J773"/>
      <c r="K773" t="n">
        <v>3.616285403118615</v>
      </c>
    </row>
    <row r="774" ht="13.5" customHeight="true" hidden="false">
      <c r="A774" t="s">
        <v>6964</v>
      </c>
      <c r="B774" t="n">
        <v>6.0</v>
      </c>
      <c r="C774"/>
      <c r="D774"/>
      <c r="E774" t="n">
        <v>1.3599999999999999</v>
      </c>
      <c r="F774"/>
      <c r="G774"/>
      <c r="H774" t="n">
        <v>4.71</v>
      </c>
      <c r="I774"/>
      <c r="J774"/>
      <c r="K774" t="n">
        <v>2.1511565330566635</v>
      </c>
    </row>
    <row r="775" ht="13.5" customHeight="true" hidden="false">
      <c r="A775" t="s">
        <v>6964</v>
      </c>
      <c r="B775" t="n">
        <v>7.0</v>
      </c>
      <c r="C775" t="n">
        <v>0.68</v>
      </c>
      <c r="D775"/>
      <c r="E775"/>
      <c r="F775" t="n">
        <v>10.53</v>
      </c>
      <c r="G775"/>
      <c r="H775"/>
      <c r="I775" t="n">
        <v>5.055116496323373</v>
      </c>
      <c r="J775"/>
      <c r="K775"/>
    </row>
    <row r="776" ht="13.5" customHeight="true" hidden="false">
      <c r="A776" t="s">
        <v>6964</v>
      </c>
      <c r="B776" t="n">
        <v>8.0</v>
      </c>
      <c r="C776" t="n">
        <v>1.19</v>
      </c>
      <c r="D776"/>
      <c r="E776"/>
      <c r="F776" t="n">
        <v>11.41</v>
      </c>
      <c r="G776"/>
      <c r="H776"/>
      <c r="I776" t="n">
        <v>5.612732309393971</v>
      </c>
      <c r="J776"/>
      <c r="K776"/>
    </row>
    <row r="777" ht="13.5" customHeight="true" hidden="false">
      <c r="A777" t="s">
        <v>6964</v>
      </c>
      <c r="B777" t="n">
        <v>9.0</v>
      </c>
      <c r="C777"/>
      <c r="D777" t="n">
        <v>0.59</v>
      </c>
      <c r="E777"/>
      <c r="F777"/>
      <c r="G777" t="n">
        <v>9.61</v>
      </c>
      <c r="H777"/>
      <c r="I777"/>
      <c r="J777" t="n">
        <v>3.6920510611922954</v>
      </c>
      <c r="K777"/>
    </row>
    <row r="778" ht="13.5" customHeight="true" hidden="false">
      <c r="A778" t="s">
        <v>6964</v>
      </c>
      <c r="B778" t="n">
        <v>10.0</v>
      </c>
      <c r="C778"/>
      <c r="D778" t="n">
        <v>0.63</v>
      </c>
      <c r="E778"/>
      <c r="F778"/>
      <c r="G778" t="n">
        <v>8.46</v>
      </c>
      <c r="H778"/>
      <c r="I778"/>
      <c r="J778" t="n">
        <v>5.000447999226016</v>
      </c>
      <c r="K778"/>
    </row>
    <row r="779" ht="13.5" customHeight="true" hidden="false">
      <c r="A779" t="s">
        <v>6964</v>
      </c>
      <c r="B779" t="n">
        <v>11.0</v>
      </c>
      <c r="C779"/>
      <c r="D779"/>
      <c r="E779" t="n">
        <v>0.0</v>
      </c>
      <c r="F779"/>
      <c r="G779"/>
      <c r="H779" t="n">
        <v>12.9</v>
      </c>
      <c r="I779"/>
      <c r="J779"/>
      <c r="K779" t="n">
        <v>2.529772784923796</v>
      </c>
    </row>
    <row r="780" ht="13.5" customHeight="true" hidden="false">
      <c r="A780" t="s">
        <v>6964</v>
      </c>
      <c r="B780" t="n">
        <v>12.0</v>
      </c>
      <c r="C780"/>
      <c r="D780"/>
      <c r="E780" t="n">
        <v>0.0</v>
      </c>
      <c r="F780"/>
      <c r="G780"/>
      <c r="H780" t="n">
        <v>4.64</v>
      </c>
      <c r="I780"/>
      <c r="J780"/>
      <c r="K780" t="n">
        <v>3.8241190801977543</v>
      </c>
    </row>
    <row r="781" ht="13.5" customHeight="true" hidden="false">
      <c r="A781" t="s">
        <v>6964</v>
      </c>
      <c r="B781" t="n">
        <v>13.0</v>
      </c>
      <c r="C781" t="n">
        <v>0.69</v>
      </c>
      <c r="D781"/>
      <c r="E781"/>
      <c r="F781" t="n">
        <v>11.93</v>
      </c>
      <c r="G781"/>
      <c r="H781"/>
      <c r="I781" t="n">
        <v>4.258056366181763</v>
      </c>
      <c r="J781"/>
      <c r="K781"/>
    </row>
    <row r="782" ht="13.5" customHeight="true" hidden="false">
      <c r="A782" t="s">
        <v>6964</v>
      </c>
      <c r="B782" t="n">
        <v>14.0</v>
      </c>
      <c r="C782" t="n">
        <v>1.23</v>
      </c>
      <c r="D782"/>
      <c r="E782"/>
      <c r="F782" t="n">
        <v>3.04</v>
      </c>
      <c r="G782"/>
      <c r="H782"/>
      <c r="I782" t="n">
        <v>1.6513436675526696</v>
      </c>
      <c r="J782"/>
      <c r="K782"/>
    </row>
    <row r="783" ht="13.5" customHeight="true" hidden="false">
      <c r="A783" t="s">
        <v>6964</v>
      </c>
      <c r="B783" t="n">
        <v>15.0</v>
      </c>
      <c r="C783"/>
      <c r="D783" t="n">
        <v>0.0</v>
      </c>
      <c r="E783"/>
      <c r="F783"/>
      <c r="G783" t="n">
        <v>11.38</v>
      </c>
      <c r="H783"/>
      <c r="I783"/>
      <c r="J783" t="n">
        <v>5.69582905195692</v>
      </c>
      <c r="K783"/>
    </row>
    <row r="784" ht="13.5" customHeight="true" hidden="false">
      <c r="A784" t="s">
        <v>6964</v>
      </c>
      <c r="B784" t="n">
        <v>16.0</v>
      </c>
      <c r="C784"/>
      <c r="D784" t="n">
        <v>1.03</v>
      </c>
      <c r="E784"/>
      <c r="F784"/>
      <c r="G784" t="n">
        <v>15.05</v>
      </c>
      <c r="H784"/>
      <c r="I784"/>
      <c r="J784" t="n">
        <v>6.409770198986542</v>
      </c>
      <c r="K784"/>
    </row>
    <row r="785" ht="13.5" customHeight="true" hidden="false">
      <c r="A785" t="s">
        <v>6964</v>
      </c>
      <c r="B785" t="n">
        <v>17.0</v>
      </c>
      <c r="C785"/>
      <c r="D785"/>
      <c r="E785" t="n">
        <v>2.5</v>
      </c>
      <c r="F785"/>
      <c r="G785"/>
      <c r="H785" t="n">
        <v>5.93</v>
      </c>
      <c r="I785"/>
      <c r="J785"/>
      <c r="K785" t="n">
        <v>4.251578762809987</v>
      </c>
    </row>
    <row r="786" ht="13.5" customHeight="true" hidden="false">
      <c r="A786" t="s">
        <v>6964</v>
      </c>
      <c r="B786" t="n">
        <v>18.0</v>
      </c>
      <c r="C786"/>
      <c r="D786"/>
      <c r="E786" t="n">
        <v>1.0</v>
      </c>
      <c r="F786"/>
      <c r="G786"/>
      <c r="H786" t="n">
        <v>10.57</v>
      </c>
      <c r="I786"/>
      <c r="J786"/>
      <c r="K786" t="n">
        <v>4.874561808104687</v>
      </c>
    </row>
    <row r="787" ht="13.5" customHeight="true" hidden="false">
      <c r="A787" t="s">
        <v>6964</v>
      </c>
      <c r="B787" t="n">
        <v>19.0</v>
      </c>
      <c r="C787" t="n">
        <v>1.07</v>
      </c>
      <c r="D787"/>
      <c r="E787"/>
      <c r="F787" t="n">
        <v>6.55</v>
      </c>
      <c r="G787"/>
      <c r="H787"/>
      <c r="I787" t="n">
        <v>3.0109001505621884</v>
      </c>
      <c r="J787"/>
      <c r="K787"/>
    </row>
    <row r="788" ht="13.5" customHeight="true" hidden="false">
      <c r="A788" t="s">
        <v>6964</v>
      </c>
      <c r="B788" t="n">
        <v>20.0</v>
      </c>
      <c r="C788" t="n">
        <v>0.86</v>
      </c>
      <c r="D788"/>
      <c r="E788"/>
      <c r="F788" t="n">
        <v>12.25</v>
      </c>
      <c r="G788"/>
      <c r="H788"/>
      <c r="I788" t="n">
        <v>2.7153476520166304</v>
      </c>
      <c r="J788"/>
      <c r="K788"/>
    </row>
    <row r="789" ht="13.5" customHeight="true" hidden="false">
      <c r="A789" t="s">
        <v>6964</v>
      </c>
      <c r="B789" t="n">
        <v>21.0</v>
      </c>
      <c r="C789"/>
      <c r="D789" t="n">
        <v>0.0</v>
      </c>
      <c r="E789"/>
      <c r="F789"/>
      <c r="G789" t="n">
        <v>9.97</v>
      </c>
      <c r="H789"/>
      <c r="I789"/>
      <c r="J789" t="n">
        <v>6.780773692885338</v>
      </c>
      <c r="K789"/>
    </row>
    <row r="790" ht="13.5" customHeight="true" hidden="false">
      <c r="A790" t="s">
        <v>6964</v>
      </c>
      <c r="B790" t="n">
        <v>22.0</v>
      </c>
      <c r="C790"/>
      <c r="D790" t="n">
        <v>0.59</v>
      </c>
      <c r="E790"/>
      <c r="F790"/>
      <c r="G790" t="n">
        <v>5.87</v>
      </c>
      <c r="H790"/>
      <c r="I790"/>
      <c r="J790" t="n">
        <v>2.8347050617718987</v>
      </c>
      <c r="K790"/>
    </row>
    <row r="791" ht="13.5" customHeight="true" hidden="false">
      <c r="A791" t="s">
        <v>6964</v>
      </c>
      <c r="B791" t="n">
        <v>23.0</v>
      </c>
      <c r="C791"/>
      <c r="D791"/>
      <c r="E791" t="n">
        <v>0.0</v>
      </c>
      <c r="F791"/>
      <c r="G791"/>
      <c r="H791" t="n">
        <v>5.96</v>
      </c>
      <c r="I791"/>
      <c r="J791"/>
      <c r="K791" t="n">
        <v>2.533249127058667</v>
      </c>
    </row>
    <row r="792" ht="13.5" customHeight="true" hidden="false">
      <c r="A792" t="s">
        <v>6964</v>
      </c>
      <c r="B792" t="n">
        <v>24.0</v>
      </c>
      <c r="C792"/>
      <c r="D792"/>
      <c r="E792" t="n">
        <v>0.0</v>
      </c>
      <c r="F792"/>
      <c r="G792"/>
      <c r="H792" t="n">
        <v>0.0</v>
      </c>
      <c r="I792"/>
      <c r="J792"/>
      <c r="K792"/>
    </row>
    <row r="793" ht="13.5" customHeight="true" hidden="false">
      <c r="A793" t="s">
        <v>6965</v>
      </c>
      <c r="B793" t="n">
        <v>1.0</v>
      </c>
      <c r="C793" t="n">
        <v>0.0</v>
      </c>
      <c r="D793"/>
      <c r="E793"/>
      <c r="F793" t="n">
        <v>10.18</v>
      </c>
      <c r="G793"/>
      <c r="H793"/>
      <c r="I793" t="n">
        <v>3.6779994046627595</v>
      </c>
      <c r="J793"/>
      <c r="K793"/>
    </row>
    <row r="794" ht="13.5" customHeight="true" hidden="false">
      <c r="A794" t="s">
        <v>6965</v>
      </c>
      <c r="B794" t="n">
        <v>2.0</v>
      </c>
      <c r="C794" t="n">
        <v>0.65</v>
      </c>
      <c r="D794"/>
      <c r="E794"/>
      <c r="F794" t="n">
        <v>8.77</v>
      </c>
      <c r="G794"/>
      <c r="H794"/>
      <c r="I794" t="n">
        <v>2.8626826817624593</v>
      </c>
      <c r="J794"/>
      <c r="K794"/>
    </row>
    <row r="795" ht="13.5" customHeight="true" hidden="false">
      <c r="A795" t="s">
        <v>6965</v>
      </c>
      <c r="B795" t="n">
        <v>3.0</v>
      </c>
      <c r="C795"/>
      <c r="D795" t="n">
        <v>0.0</v>
      </c>
      <c r="E795"/>
      <c r="F795"/>
      <c r="G795" t="n">
        <v>8.9</v>
      </c>
      <c r="H795"/>
      <c r="I795"/>
      <c r="J795" t="n">
        <v>4.848642789939971</v>
      </c>
      <c r="K795"/>
    </row>
    <row r="796" ht="13.5" customHeight="true" hidden="false">
      <c r="A796" t="s">
        <v>6965</v>
      </c>
      <c r="B796" t="n">
        <v>4.0</v>
      </c>
      <c r="C796"/>
      <c r="D796" t="n">
        <v>0.66</v>
      </c>
      <c r="E796"/>
      <c r="F796"/>
      <c r="G796" t="n">
        <v>6.5600000000000005</v>
      </c>
      <c r="H796"/>
      <c r="I796"/>
      <c r="J796" t="n">
        <v>2.6553781360861133</v>
      </c>
      <c r="K796"/>
    </row>
    <row r="797" ht="13.5" customHeight="true" hidden="false">
      <c r="A797" t="s">
        <v>6965</v>
      </c>
      <c r="B797" t="n">
        <v>5.0</v>
      </c>
      <c r="C797"/>
      <c r="D797"/>
      <c r="E797" t="n">
        <v>0.0</v>
      </c>
      <c r="F797"/>
      <c r="G797"/>
      <c r="H797" t="n">
        <v>9.09</v>
      </c>
      <c r="I797"/>
      <c r="J797"/>
      <c r="K797" t="n">
        <v>5.590006448358349</v>
      </c>
    </row>
    <row r="798" ht="13.5" customHeight="true" hidden="false">
      <c r="A798" t="s">
        <v>6965</v>
      </c>
      <c r="B798" t="n">
        <v>6.0</v>
      </c>
      <c r="C798"/>
      <c r="D798"/>
      <c r="E798" t="n">
        <v>2.15</v>
      </c>
      <c r="F798"/>
      <c r="G798"/>
      <c r="H798" t="n">
        <v>8.58</v>
      </c>
      <c r="I798"/>
      <c r="J798"/>
      <c r="K798" t="n">
        <v>4.362512748245454</v>
      </c>
    </row>
    <row r="799" ht="13.5" customHeight="true" hidden="false">
      <c r="A799" t="s">
        <v>6965</v>
      </c>
      <c r="B799" t="n">
        <v>7.0</v>
      </c>
      <c r="C799" t="n">
        <v>0.66</v>
      </c>
      <c r="D799"/>
      <c r="E799"/>
      <c r="F799" t="n">
        <v>10.69</v>
      </c>
      <c r="G799"/>
      <c r="H799"/>
      <c r="I799" t="n">
        <v>4.408068402149323</v>
      </c>
      <c r="J799"/>
      <c r="K799"/>
    </row>
    <row r="800" ht="13.5" customHeight="true" hidden="false">
      <c r="A800" t="s">
        <v>6965</v>
      </c>
      <c r="B800" t="n">
        <v>8.0</v>
      </c>
      <c r="C800" t="n">
        <v>1.52</v>
      </c>
      <c r="D800"/>
      <c r="E800"/>
      <c r="F800" t="n">
        <v>9.12</v>
      </c>
      <c r="G800"/>
      <c r="H800"/>
      <c r="I800" t="n">
        <v>5.384244352626076</v>
      </c>
      <c r="J800"/>
      <c r="K800"/>
    </row>
    <row r="801" ht="13.5" customHeight="true" hidden="false">
      <c r="A801" t="s">
        <v>6965</v>
      </c>
      <c r="B801" t="n">
        <v>9.0</v>
      </c>
      <c r="C801"/>
      <c r="D801" t="n">
        <v>0.66</v>
      </c>
      <c r="E801"/>
      <c r="F801"/>
      <c r="G801" t="n">
        <v>10.61</v>
      </c>
      <c r="H801"/>
      <c r="I801"/>
      <c r="J801" t="n">
        <v>4.561805887452546</v>
      </c>
      <c r="K801"/>
    </row>
    <row r="802" ht="13.5" customHeight="true" hidden="false">
      <c r="A802" t="s">
        <v>6965</v>
      </c>
      <c r="B802" t="n">
        <v>10.0</v>
      </c>
      <c r="C802"/>
      <c r="D802" t="n">
        <v>1.1</v>
      </c>
      <c r="E802"/>
      <c r="F802"/>
      <c r="G802" t="n">
        <v>11.74</v>
      </c>
      <c r="H802"/>
      <c r="I802"/>
      <c r="J802" t="n">
        <v>6.742019094390415</v>
      </c>
      <c r="K802"/>
    </row>
    <row r="803" ht="13.5" customHeight="true" hidden="false">
      <c r="A803" t="s">
        <v>6965</v>
      </c>
      <c r="B803" t="n">
        <v>11.0</v>
      </c>
      <c r="C803"/>
      <c r="D803"/>
      <c r="E803" t="n">
        <v>0.0</v>
      </c>
      <c r="F803"/>
      <c r="G803"/>
      <c r="H803" t="n">
        <v>9.63</v>
      </c>
      <c r="I803"/>
      <c r="J803"/>
      <c r="K803" t="n">
        <v>2.903113599101417</v>
      </c>
    </row>
    <row r="804" ht="13.5" customHeight="true" hidden="false">
      <c r="A804" t="s">
        <v>6965</v>
      </c>
      <c r="B804" t="n">
        <v>12.0</v>
      </c>
      <c r="C804"/>
      <c r="D804"/>
      <c r="E804" t="n">
        <v>0.0</v>
      </c>
      <c r="F804"/>
      <c r="G804"/>
      <c r="H804" t="n">
        <v>2.9</v>
      </c>
      <c r="I804"/>
      <c r="J804"/>
      <c r="K804" t="n">
        <v>1.716137282135869</v>
      </c>
    </row>
    <row r="805" ht="13.5" customHeight="true" hidden="false">
      <c r="A805" t="s">
        <v>6965</v>
      </c>
      <c r="B805" t="n">
        <v>13.0</v>
      </c>
      <c r="C805" t="n">
        <v>0.65</v>
      </c>
      <c r="D805"/>
      <c r="E805"/>
      <c r="F805" t="n">
        <v>12.81</v>
      </c>
      <c r="G805"/>
      <c r="H805"/>
      <c r="I805" t="n">
        <v>4.3279484130335675</v>
      </c>
      <c r="J805"/>
      <c r="K805"/>
    </row>
    <row r="806" ht="13.5" customHeight="true" hidden="false">
      <c r="A806" t="s">
        <v>6965</v>
      </c>
      <c r="B806" t="n">
        <v>14.0</v>
      </c>
      <c r="C806" t="n">
        <v>2.02</v>
      </c>
      <c r="D806"/>
      <c r="E806"/>
      <c r="F806" t="n">
        <v>3.4</v>
      </c>
      <c r="G806"/>
      <c r="H806"/>
      <c r="I806" t="n">
        <v>2.3177652464986758</v>
      </c>
      <c r="J806"/>
      <c r="K806"/>
    </row>
    <row r="807" ht="13.5" customHeight="true" hidden="false">
      <c r="A807" t="s">
        <v>6965</v>
      </c>
      <c r="B807" t="n">
        <v>15.0</v>
      </c>
      <c r="C807"/>
      <c r="D807" t="n">
        <v>0.85</v>
      </c>
      <c r="E807"/>
      <c r="F807"/>
      <c r="G807" t="n">
        <v>8.91</v>
      </c>
      <c r="H807"/>
      <c r="I807"/>
      <c r="J807" t="n">
        <v>3.662985961155529</v>
      </c>
      <c r="K807"/>
    </row>
    <row r="808" ht="13.5" customHeight="true" hidden="false">
      <c r="A808" t="s">
        <v>6965</v>
      </c>
      <c r="B808" t="n">
        <v>16.0</v>
      </c>
      <c r="C808"/>
      <c r="D808" t="n">
        <v>0.5</v>
      </c>
      <c r="E808"/>
      <c r="F808"/>
      <c r="G808" t="n">
        <v>14.46</v>
      </c>
      <c r="H808"/>
      <c r="I808"/>
      <c r="J808" t="n">
        <v>8.14526155499735</v>
      </c>
      <c r="K808"/>
    </row>
    <row r="809" ht="13.5" customHeight="true" hidden="false">
      <c r="A809" t="s">
        <v>6965</v>
      </c>
      <c r="B809" t="n">
        <v>17.0</v>
      </c>
      <c r="C809"/>
      <c r="D809"/>
      <c r="E809" t="n">
        <v>0.86</v>
      </c>
      <c r="F809"/>
      <c r="G809"/>
      <c r="H809" t="n">
        <v>9.81</v>
      </c>
      <c r="I809"/>
      <c r="J809"/>
      <c r="K809" t="n">
        <v>4.787381473154188</v>
      </c>
    </row>
    <row r="810" ht="13.5" customHeight="true" hidden="false">
      <c r="A810" t="s">
        <v>6965</v>
      </c>
      <c r="B810" t="n">
        <v>18.0</v>
      </c>
      <c r="C810"/>
      <c r="D810"/>
      <c r="E810" t="n">
        <v>1.19</v>
      </c>
      <c r="F810"/>
      <c r="G810"/>
      <c r="H810" t="n">
        <v>7.45</v>
      </c>
      <c r="I810"/>
      <c r="J810"/>
      <c r="K810" t="n">
        <v>4.542063839650828</v>
      </c>
    </row>
    <row r="811" ht="13.5" customHeight="true" hidden="false">
      <c r="A811" t="s">
        <v>6965</v>
      </c>
      <c r="B811" t="n">
        <v>19.0</v>
      </c>
      <c r="C811" t="n">
        <v>1.76</v>
      </c>
      <c r="D811"/>
      <c r="E811"/>
      <c r="F811" t="n">
        <v>5.14</v>
      </c>
      <c r="G811"/>
      <c r="H811"/>
      <c r="I811" t="n">
        <v>3.312938168835345</v>
      </c>
      <c r="J811"/>
      <c r="K811"/>
    </row>
    <row r="812" ht="13.5" customHeight="true" hidden="false">
      <c r="A812" t="s">
        <v>6965</v>
      </c>
      <c r="B812" t="n">
        <v>20.0</v>
      </c>
      <c r="C812" t="n">
        <v>0.86</v>
      </c>
      <c r="D812"/>
      <c r="E812"/>
      <c r="F812" t="n">
        <v>11.51</v>
      </c>
      <c r="G812"/>
      <c r="H812"/>
      <c r="I812" t="n">
        <v>7.799852706672818</v>
      </c>
      <c r="J812"/>
      <c r="K812"/>
    </row>
    <row r="813" ht="13.5" customHeight="true" hidden="false">
      <c r="A813" t="s">
        <v>6965</v>
      </c>
      <c r="B813" t="n">
        <v>21.0</v>
      </c>
      <c r="C813"/>
      <c r="D813" t="n">
        <v>0.0</v>
      </c>
      <c r="E813"/>
      <c r="F813"/>
      <c r="G813" t="n">
        <v>9.99</v>
      </c>
      <c r="H813"/>
      <c r="I813"/>
      <c r="J813" t="n">
        <v>5.0670614156366</v>
      </c>
      <c r="K813"/>
    </row>
    <row r="814" ht="13.5" customHeight="true" hidden="false">
      <c r="A814" t="s">
        <v>6965</v>
      </c>
      <c r="B814" t="n">
        <v>22.0</v>
      </c>
      <c r="C814"/>
      <c r="D814" t="n">
        <v>0.85</v>
      </c>
      <c r="E814"/>
      <c r="F814"/>
      <c r="G814" t="n">
        <v>9.89</v>
      </c>
      <c r="H814"/>
      <c r="I814"/>
      <c r="J814" t="n">
        <v>7.3646168358078</v>
      </c>
      <c r="K814"/>
    </row>
    <row r="815" ht="13.5" customHeight="true" hidden="false">
      <c r="A815" t="s">
        <v>6965</v>
      </c>
      <c r="B815" t="n">
        <v>23.0</v>
      </c>
      <c r="C815"/>
      <c r="D815"/>
      <c r="E815" t="n">
        <v>0.0</v>
      </c>
      <c r="F815"/>
      <c r="G815"/>
      <c r="H815" t="n">
        <v>11.6</v>
      </c>
      <c r="I815"/>
      <c r="J815"/>
      <c r="K815" t="n">
        <v>7.78074994509223</v>
      </c>
    </row>
    <row r="816" ht="13.5" customHeight="true" hidden="false">
      <c r="A816" t="s">
        <v>6965</v>
      </c>
      <c r="B816" t="n">
        <v>24.0</v>
      </c>
      <c r="C816"/>
      <c r="D816"/>
      <c r="E816" t="n">
        <v>0.0</v>
      </c>
      <c r="F816"/>
      <c r="G816"/>
      <c r="H816" t="n">
        <v>0.0</v>
      </c>
      <c r="I816"/>
      <c r="J816"/>
      <c r="K816"/>
    </row>
    <row r="817" ht="13.5" customHeight="true" hidden="false">
      <c r="A817" t="s">
        <v>6966</v>
      </c>
      <c r="B817" t="n">
        <v>1.0</v>
      </c>
      <c r="C817" t="n">
        <v>0.0</v>
      </c>
      <c r="D817"/>
      <c r="E817"/>
      <c r="F817" t="n">
        <v>10.5</v>
      </c>
      <c r="G817"/>
      <c r="H817"/>
      <c r="I817" t="n">
        <v>4.002139542978427</v>
      </c>
      <c r="J817"/>
      <c r="K817"/>
    </row>
    <row r="818" ht="13.5" customHeight="true" hidden="false">
      <c r="A818" t="s">
        <v>6966</v>
      </c>
      <c r="B818" t="n">
        <v>2.0</v>
      </c>
      <c r="C818" t="n">
        <v>0.63</v>
      </c>
      <c r="D818"/>
      <c r="E818"/>
      <c r="F818" t="n">
        <v>8.71</v>
      </c>
      <c r="G818"/>
      <c r="H818"/>
      <c r="I818" t="n">
        <v>2.8229552890524237</v>
      </c>
      <c r="J818"/>
      <c r="K818"/>
    </row>
    <row r="819" ht="13.5" customHeight="true" hidden="false">
      <c r="A819" t="s">
        <v>6966</v>
      </c>
      <c r="B819" t="n">
        <v>3.0</v>
      </c>
      <c r="C819"/>
      <c r="D819" t="n">
        <v>0.0</v>
      </c>
      <c r="E819"/>
      <c r="F819"/>
      <c r="G819" t="n">
        <v>8.7</v>
      </c>
      <c r="H819"/>
      <c r="I819"/>
      <c r="J819" t="n">
        <v>4.781808758484248</v>
      </c>
      <c r="K819"/>
    </row>
    <row r="820" ht="13.5" customHeight="true" hidden="false">
      <c r="A820" t="s">
        <v>6966</v>
      </c>
      <c r="B820" t="n">
        <v>4.0</v>
      </c>
      <c r="C820"/>
      <c r="D820" t="n">
        <v>0.62</v>
      </c>
      <c r="E820"/>
      <c r="F820"/>
      <c r="G820" t="n">
        <v>5.8</v>
      </c>
      <c r="H820"/>
      <c r="I820"/>
      <c r="J820" t="n">
        <v>2.356329076960877</v>
      </c>
      <c r="K820"/>
    </row>
    <row r="821" ht="13.5" customHeight="true" hidden="false">
      <c r="A821" t="s">
        <v>6966</v>
      </c>
      <c r="B821" t="n">
        <v>5.0</v>
      </c>
      <c r="C821"/>
      <c r="D821"/>
      <c r="E821" t="n">
        <v>0.0</v>
      </c>
      <c r="F821"/>
      <c r="G821"/>
      <c r="H821" t="n">
        <v>8.58</v>
      </c>
      <c r="I821"/>
      <c r="J821"/>
      <c r="K821" t="n">
        <v>5.126811389913103</v>
      </c>
    </row>
    <row r="822" ht="13.5" customHeight="true" hidden="false">
      <c r="A822" t="s">
        <v>6966</v>
      </c>
      <c r="B822" t="n">
        <v>6.0</v>
      </c>
      <c r="C822"/>
      <c r="D822"/>
      <c r="E822" t="n">
        <v>1.09</v>
      </c>
      <c r="F822"/>
      <c r="G822"/>
      <c r="H822" t="n">
        <v>8.87</v>
      </c>
      <c r="I822"/>
      <c r="J822"/>
      <c r="K822" t="n">
        <v>2.958372639746897</v>
      </c>
    </row>
    <row r="823" ht="13.5" customHeight="true" hidden="false">
      <c r="A823" t="s">
        <v>6966</v>
      </c>
      <c r="B823" t="n">
        <v>7.0</v>
      </c>
      <c r="C823" t="n">
        <v>0.64</v>
      </c>
      <c r="D823"/>
      <c r="E823"/>
      <c r="F823" t="n">
        <v>10.21</v>
      </c>
      <c r="G823"/>
      <c r="H823"/>
      <c r="I823" t="n">
        <v>4.2732178557314136</v>
      </c>
      <c r="J823"/>
      <c r="K823"/>
    </row>
    <row r="824" ht="13.5" customHeight="true" hidden="false">
      <c r="A824" t="s">
        <v>6966</v>
      </c>
      <c r="B824" t="n">
        <v>8.0</v>
      </c>
      <c r="C824" t="n">
        <v>1.46</v>
      </c>
      <c r="D824"/>
      <c r="E824"/>
      <c r="F824" t="n">
        <v>9.65</v>
      </c>
      <c r="G824"/>
      <c r="H824"/>
      <c r="I824" t="n">
        <v>5.8281326760103855</v>
      </c>
      <c r="J824"/>
      <c r="K824"/>
    </row>
    <row r="825" ht="13.5" customHeight="true" hidden="false">
      <c r="A825" t="s">
        <v>6966</v>
      </c>
      <c r="B825" t="n">
        <v>9.0</v>
      </c>
      <c r="C825"/>
      <c r="D825" t="n">
        <v>0.58</v>
      </c>
      <c r="E825"/>
      <c r="F825"/>
      <c r="G825" t="n">
        <v>10.56</v>
      </c>
      <c r="H825"/>
      <c r="I825"/>
      <c r="J825" t="n">
        <v>4.368034084329952</v>
      </c>
      <c r="K825"/>
    </row>
    <row r="826" ht="13.5" customHeight="true" hidden="false">
      <c r="A826" t="s">
        <v>6966</v>
      </c>
      <c r="B826" t="n">
        <v>10.0</v>
      </c>
      <c r="C826"/>
      <c r="D826" t="n">
        <v>1.1400000000000001</v>
      </c>
      <c r="E826"/>
      <c r="F826"/>
      <c r="G826" t="n">
        <v>12.02</v>
      </c>
      <c r="H826"/>
      <c r="I826"/>
      <c r="J826" t="n">
        <v>6.497000132526527</v>
      </c>
      <c r="K826"/>
    </row>
    <row r="827" ht="13.5" customHeight="true" hidden="false">
      <c r="A827" t="s">
        <v>6966</v>
      </c>
      <c r="B827" t="n">
        <v>11.0</v>
      </c>
      <c r="C827"/>
      <c r="D827"/>
      <c r="E827" t="n">
        <v>0.0</v>
      </c>
      <c r="F827"/>
      <c r="G827"/>
      <c r="H827" t="n">
        <v>10.01</v>
      </c>
      <c r="I827"/>
      <c r="J827"/>
      <c r="K827" t="n">
        <v>3.0904648614675807</v>
      </c>
    </row>
    <row r="828" ht="13.5" customHeight="true" hidden="false">
      <c r="A828" t="s">
        <v>6966</v>
      </c>
      <c r="B828" t="n">
        <v>12.0</v>
      </c>
      <c r="C828"/>
      <c r="D828"/>
      <c r="E828" t="n">
        <v>0.0</v>
      </c>
      <c r="F828"/>
      <c r="G828"/>
      <c r="H828" t="n">
        <v>2.98</v>
      </c>
      <c r="I828"/>
      <c r="J828"/>
      <c r="K828" t="n">
        <v>1.740381336117945</v>
      </c>
    </row>
    <row r="829" ht="13.5" customHeight="true" hidden="false">
      <c r="A829" t="s">
        <v>6966</v>
      </c>
      <c r="B829" t="n">
        <v>13.0</v>
      </c>
      <c r="C829" t="n">
        <v>0.62</v>
      </c>
      <c r="D829"/>
      <c r="E829"/>
      <c r="F829" t="n">
        <v>13.02</v>
      </c>
      <c r="G829"/>
      <c r="H829"/>
      <c r="I829" t="n">
        <v>4.06572118793818</v>
      </c>
      <c r="J829"/>
      <c r="K829"/>
    </row>
    <row r="830" ht="13.5" customHeight="true" hidden="false">
      <c r="A830" t="s">
        <v>6966</v>
      </c>
      <c r="B830" t="n">
        <v>14.0</v>
      </c>
      <c r="C830" t="n">
        <v>1.88</v>
      </c>
      <c r="D830"/>
      <c r="E830"/>
      <c r="F830" t="n">
        <v>3.02</v>
      </c>
      <c r="G830"/>
      <c r="H830"/>
      <c r="I830" t="n">
        <v>2.339954678185228</v>
      </c>
      <c r="J830"/>
      <c r="K830"/>
    </row>
    <row r="831" ht="13.5" customHeight="true" hidden="false">
      <c r="A831" t="s">
        <v>6966</v>
      </c>
      <c r="B831" t="n">
        <v>15.0</v>
      </c>
      <c r="C831"/>
      <c r="D831" t="n">
        <v>0.85</v>
      </c>
      <c r="E831"/>
      <c r="F831"/>
      <c r="G831" t="n">
        <v>9.5</v>
      </c>
      <c r="H831"/>
      <c r="I831"/>
      <c r="J831" t="n">
        <v>3.7615005394402967</v>
      </c>
      <c r="K831"/>
    </row>
    <row r="832" ht="13.5" customHeight="true" hidden="false">
      <c r="A832" t="s">
        <v>6966</v>
      </c>
      <c r="B832" t="n">
        <v>16.0</v>
      </c>
      <c r="C832"/>
      <c r="D832" t="n">
        <v>0.57</v>
      </c>
      <c r="E832"/>
      <c r="F832"/>
      <c r="G832" t="n">
        <v>14.77</v>
      </c>
      <c r="H832"/>
      <c r="I832"/>
      <c r="J832" t="n">
        <v>8.513702297905091</v>
      </c>
      <c r="K832"/>
    </row>
    <row r="833" ht="13.5" customHeight="true" hidden="false">
      <c r="A833" t="s">
        <v>6966</v>
      </c>
      <c r="B833" t="n">
        <v>17.0</v>
      </c>
      <c r="C833"/>
      <c r="D833"/>
      <c r="E833" t="n">
        <v>0.84</v>
      </c>
      <c r="F833"/>
      <c r="G833"/>
      <c r="H833" t="n">
        <v>9.32</v>
      </c>
      <c r="I833"/>
      <c r="J833"/>
      <c r="K833" t="n">
        <v>4.3797013059000705</v>
      </c>
    </row>
    <row r="834" ht="13.5" customHeight="true" hidden="false">
      <c r="A834" t="s">
        <v>6966</v>
      </c>
      <c r="B834" t="n">
        <v>18.0</v>
      </c>
      <c r="C834"/>
      <c r="D834"/>
      <c r="E834" t="n">
        <v>0.91</v>
      </c>
      <c r="F834"/>
      <c r="G834"/>
      <c r="H834" t="n">
        <v>7.27</v>
      </c>
      <c r="I834"/>
      <c r="J834"/>
      <c r="K834" t="n">
        <v>4.330253187721862</v>
      </c>
    </row>
    <row r="835" ht="13.5" customHeight="true" hidden="false">
      <c r="A835" t="s">
        <v>6966</v>
      </c>
      <c r="B835" t="n">
        <v>19.0</v>
      </c>
      <c r="C835" t="n">
        <v>2.27</v>
      </c>
      <c r="D835"/>
      <c r="E835"/>
      <c r="F835" t="n">
        <v>5.75</v>
      </c>
      <c r="G835"/>
      <c r="H835"/>
      <c r="I835" t="n">
        <v>3.523111260566929</v>
      </c>
      <c r="J835"/>
      <c r="K835"/>
    </row>
    <row r="836" ht="13.5" customHeight="true" hidden="false">
      <c r="A836" t="s">
        <v>6966</v>
      </c>
      <c r="B836" t="n">
        <v>20.0</v>
      </c>
      <c r="C836" t="n">
        <v>0.59</v>
      </c>
      <c r="D836"/>
      <c r="E836"/>
      <c r="F836" t="n">
        <v>11.85</v>
      </c>
      <c r="G836"/>
      <c r="H836"/>
      <c r="I836" t="n">
        <v>3.237705466774116</v>
      </c>
      <c r="J836"/>
      <c r="K836"/>
    </row>
    <row r="837" ht="13.5" customHeight="true" hidden="false">
      <c r="A837" t="s">
        <v>6966</v>
      </c>
      <c r="B837" t="n">
        <v>21.0</v>
      </c>
      <c r="C837"/>
      <c r="D837" t="n">
        <v>0.0</v>
      </c>
      <c r="E837"/>
      <c r="F837"/>
      <c r="G837" t="n">
        <v>9.77</v>
      </c>
      <c r="H837"/>
      <c r="I837"/>
      <c r="J837" t="n">
        <v>4.801776105615272</v>
      </c>
      <c r="K837"/>
    </row>
    <row r="838" ht="13.5" customHeight="true" hidden="false">
      <c r="A838" t="s">
        <v>6966</v>
      </c>
      <c r="B838" t="n">
        <v>22.0</v>
      </c>
      <c r="C838"/>
      <c r="D838" t="n">
        <v>0.59</v>
      </c>
      <c r="E838"/>
      <c r="F838"/>
      <c r="G838" t="n">
        <v>5.6899999999999995</v>
      </c>
      <c r="H838"/>
      <c r="I838"/>
      <c r="J838" t="n">
        <v>3.213533847291237</v>
      </c>
      <c r="K838"/>
    </row>
    <row r="839" ht="13.5" customHeight="true" hidden="false">
      <c r="A839" t="s">
        <v>6966</v>
      </c>
      <c r="B839" t="n">
        <v>23.0</v>
      </c>
      <c r="C839"/>
      <c r="D839"/>
      <c r="E839" t="n">
        <v>0.0</v>
      </c>
      <c r="F839"/>
      <c r="G839"/>
      <c r="H839" t="n">
        <v>8.88</v>
      </c>
      <c r="I839"/>
      <c r="J839"/>
      <c r="K839" t="n">
        <v>4.648599596876963</v>
      </c>
    </row>
    <row r="840" ht="13.5" customHeight="true" hidden="false">
      <c r="A840" t="s">
        <v>6966</v>
      </c>
      <c r="B840" t="n">
        <v>24.0</v>
      </c>
      <c r="C840"/>
      <c r="D840"/>
      <c r="E840" t="n">
        <v>0.0</v>
      </c>
      <c r="F840"/>
      <c r="G840"/>
      <c r="H840" t="n">
        <v>0.0</v>
      </c>
      <c r="I840"/>
      <c r="J840"/>
      <c r="K840"/>
    </row>
  </sheetData>
  <mergeCells count="5">
    <mergeCell ref="A1:A2"/>
    <mergeCell ref="B1:B2"/>
    <mergeCell ref="C1:E1"/>
    <mergeCell ref="F1:H1"/>
    <mergeCell ref="I1:K1"/>
  </mergeCells>
  <phoneticPr fontId="1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3.5" x14ac:dyDescent="0.15"/>
  <cols>
    <col min="1" max="1" customWidth="true" width="30.77734375" collapsed="false"/>
    <col min="2" max="2" customWidth="true" width="10.77734375" collapsed="false"/>
    <col min="3" max="11" customWidth="true" width="12.77734375" collapsed="false"/>
  </cols>
  <sheetData>
    <row r="1" spans="1:11" ht="16.5" x14ac:dyDescent="0.15">
      <c r="A1" s="3672" t="s">
        <v>9144</v>
      </c>
      <c r="B1" s="3672" t="s">
        <v>9145</v>
      </c>
      <c r="C1" s="3672" t="s">
        <v>9146</v>
      </c>
      <c r="D1" s="3672"/>
      <c r="E1" s="3672"/>
      <c r="F1" s="3672" t="s">
        <v>9147</v>
      </c>
      <c r="G1" s="3672"/>
      <c r="H1" s="3672"/>
      <c r="I1" s="3672" t="s">
        <v>9148</v>
      </c>
      <c r="J1" s="3672"/>
      <c r="K1" s="3672"/>
    </row>
    <row r="2" spans="1:11" ht="16.5" x14ac:dyDescent="0.15">
      <c r="A2" s="3672"/>
      <c r="B2" s="3672"/>
      <c r="C2" s="2698" t="s">
        <v>4567</v>
      </c>
      <c r="D2" s="2698" t="s">
        <v>4568</v>
      </c>
      <c r="E2" s="2698" t="s">
        <v>4569</v>
      </c>
      <c r="F2" s="2698" t="s">
        <v>4567</v>
      </c>
      <c r="G2" s="2698" t="s">
        <v>4568</v>
      </c>
      <c r="H2" s="2698" t="s">
        <v>4569</v>
      </c>
      <c r="I2" s="2698" t="s">
        <v>4567</v>
      </c>
      <c r="J2" s="2698" t="s">
        <v>4568</v>
      </c>
      <c r="K2" s="2698" t="s">
        <v>4569</v>
      </c>
    </row>
    <row r="3" spans="1:11" x14ac:dyDescent="0.15">
      <c r="A3" t="s">
        <v>6933</v>
      </c>
      <c r="B3" t="n">
        <v>1.0</v>
      </c>
      <c r="C3" t="n">
        <v>0.62</v>
      </c>
      <c r="D3" t="n">
        <v>0.54</v>
      </c>
      <c r="E3" t="n">
        <v>0.78</v>
      </c>
      <c r="F3" t="n">
        <v>1.04</v>
      </c>
      <c r="G3" t="n">
        <v>0.78</v>
      </c>
      <c r="H3" t="n">
        <v>1.19</v>
      </c>
      <c r="I3" t="n">
        <v>0.8830942252071847</v>
      </c>
      <c r="J3" t="n">
        <v>0.699631240852251</v>
      </c>
      <c r="K3" t="n">
        <v>1.0558780374879828</v>
      </c>
    </row>
    <row r="4" spans="1:11" ht="13.5" customHeight="true" x14ac:dyDescent="0.15" hidden="false">
      <c r="A4" t="s">
        <v>6933</v>
      </c>
      <c r="B4" t="n">
        <v>2.0</v>
      </c>
      <c r="C4" t="n">
        <v>34.8</v>
      </c>
      <c r="D4"/>
      <c r="E4"/>
      <c r="F4" t="n">
        <v>35.48</v>
      </c>
      <c r="G4"/>
      <c r="H4"/>
      <c r="I4" t="n">
        <v>35.2047630384329</v>
      </c>
      <c r="J4"/>
      <c r="K4"/>
    </row>
    <row r="5" spans="1:11" ht="13.5" customHeight="true" x14ac:dyDescent="0.15" hidden="false">
      <c r="A5" t="s">
        <v>6933</v>
      </c>
      <c r="B5" t="n">
        <v>3.0</v>
      </c>
      <c r="C5"/>
      <c r="D5" t="n">
        <v>32.08</v>
      </c>
      <c r="E5"/>
      <c r="F5"/>
      <c r="G5" t="n">
        <v>33.16</v>
      </c>
      <c r="H5"/>
      <c r="I5"/>
      <c r="J5" t="n">
        <v>32.49761489066368</v>
      </c>
      <c r="K5"/>
    </row>
    <row r="6" spans="1:11" ht="13.5" customHeight="true" x14ac:dyDescent="0.15" hidden="false">
      <c r="A6" t="s">
        <v>6933</v>
      </c>
      <c r="B6" t="n">
        <v>4.0</v>
      </c>
      <c r="C6"/>
      <c r="D6"/>
      <c r="E6" t="n">
        <v>30.36</v>
      </c>
      <c r="F6"/>
      <c r="G6"/>
      <c r="H6" t="n">
        <v>36.38</v>
      </c>
      <c r="I6"/>
      <c r="J6"/>
      <c r="K6" t="n">
        <v>36.0017295548553</v>
      </c>
    </row>
    <row r="7" spans="1:11" ht="13.5" customHeight="true" x14ac:dyDescent="0.15" hidden="false">
      <c r="A7" t="s">
        <v>6933</v>
      </c>
      <c r="B7" t="n">
        <v>5.0</v>
      </c>
      <c r="C7" t="n">
        <v>40.4</v>
      </c>
      <c r="D7"/>
      <c r="E7"/>
      <c r="F7" t="n">
        <v>42.16</v>
      </c>
      <c r="G7"/>
      <c r="H7"/>
      <c r="I7" t="n">
        <v>40.95616618905755</v>
      </c>
      <c r="J7"/>
      <c r="K7"/>
    </row>
    <row r="8" spans="1:11" ht="13.5" customHeight="true" x14ac:dyDescent="0.15" hidden="false">
      <c r="A8" t="s">
        <v>6933</v>
      </c>
      <c r="B8" t="n">
        <v>6.0</v>
      </c>
      <c r="C8"/>
      <c r="D8" t="n">
        <v>12.15</v>
      </c>
      <c r="E8"/>
      <c r="F8"/>
      <c r="G8" t="n">
        <v>12.63</v>
      </c>
      <c r="H8"/>
      <c r="I8"/>
      <c r="J8" t="n">
        <v>12.319788629989153</v>
      </c>
      <c r="K8"/>
    </row>
    <row r="9" spans="1:11" ht="13.5" customHeight="true" x14ac:dyDescent="0.15" hidden="false">
      <c r="A9" t="s">
        <v>6933</v>
      </c>
      <c r="B9" t="n">
        <v>7.0</v>
      </c>
      <c r="C9"/>
      <c r="D9"/>
      <c r="E9" t="n">
        <v>28.37</v>
      </c>
      <c r="F9"/>
      <c r="G9"/>
      <c r="H9" t="n">
        <v>29.89</v>
      </c>
      <c r="I9"/>
      <c r="J9"/>
      <c r="K9" t="n">
        <v>28.991037410787648</v>
      </c>
    </row>
    <row r="10" spans="1:11" ht="13.5" customHeight="true" x14ac:dyDescent="0.15" hidden="false">
      <c r="A10" t="s">
        <v>6933</v>
      </c>
      <c r="B10" t="n">
        <v>8.0</v>
      </c>
      <c r="C10" t="n">
        <v>0.0</v>
      </c>
      <c r="D10"/>
      <c r="E10"/>
      <c r="F10" t="n">
        <v>0.0</v>
      </c>
      <c r="G10"/>
      <c r="H10"/>
      <c r="I10"/>
      <c r="J10"/>
      <c r="K10"/>
    </row>
    <row r="11" spans="1:11" ht="13.5" customHeight="true" x14ac:dyDescent="0.15" hidden="false">
      <c r="A11" t="s">
        <v>6933</v>
      </c>
      <c r="B11" t="n">
        <v>9.0</v>
      </c>
      <c r="C11"/>
      <c r="D11" t="n">
        <v>0.0</v>
      </c>
      <c r="E11"/>
      <c r="F11"/>
      <c r="G11" t="n">
        <v>0.0</v>
      </c>
      <c r="H11"/>
      <c r="I11"/>
      <c r="J11"/>
      <c r="K11"/>
    </row>
    <row r="12" spans="1:11" ht="13.5" customHeight="true" x14ac:dyDescent="0.15" hidden="false">
      <c r="A12" t="s">
        <v>6934</v>
      </c>
      <c r="B12" t="n">
        <v>1.0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/>
      <c r="J12"/>
      <c r="K12"/>
    </row>
    <row r="13" spans="1:11" ht="13.5" customHeight="true" x14ac:dyDescent="0.15" hidden="false">
      <c r="A13" t="s">
        <v>6934</v>
      </c>
      <c r="B13" t="n">
        <v>2.0</v>
      </c>
      <c r="C13" t="n">
        <v>38.63</v>
      </c>
      <c r="D13"/>
      <c r="E13"/>
      <c r="F13" t="n">
        <v>40.17</v>
      </c>
      <c r="G13"/>
      <c r="H13"/>
      <c r="I13" t="n">
        <v>39.463491239311345</v>
      </c>
      <c r="J13"/>
      <c r="K13"/>
    </row>
    <row r="14" spans="1:11" ht="13.5" customHeight="true" x14ac:dyDescent="0.15" hidden="false">
      <c r="A14" t="s">
        <v>6934</v>
      </c>
      <c r="B14" t="n">
        <v>3.0</v>
      </c>
      <c r="C14"/>
      <c r="D14" t="n">
        <v>26.4</v>
      </c>
      <c r="E14"/>
      <c r="F14"/>
      <c r="G14" t="n">
        <v>31.32</v>
      </c>
      <c r="H14"/>
      <c r="I14"/>
      <c r="J14" t="n">
        <v>28.29476241724573</v>
      </c>
      <c r="K14"/>
    </row>
    <row r="15" spans="1:11" ht="13.5" customHeight="true" x14ac:dyDescent="0.15" hidden="false">
      <c r="A15" t="s">
        <v>6934</v>
      </c>
      <c r="B15" t="n">
        <v>4.0</v>
      </c>
      <c r="C15"/>
      <c r="D15"/>
      <c r="E15" t="n">
        <v>0.0</v>
      </c>
      <c r="F15"/>
      <c r="G15"/>
      <c r="H15" t="n">
        <v>0.0</v>
      </c>
      <c r="I15"/>
      <c r="J15"/>
      <c r="K15"/>
    </row>
    <row r="16" spans="1:11" ht="13.5" customHeight="true" x14ac:dyDescent="0.15" hidden="false">
      <c r="A16" t="s">
        <v>6934</v>
      </c>
      <c r="B16" t="n">
        <v>5.0</v>
      </c>
      <c r="C16" t="n">
        <v>9.47</v>
      </c>
      <c r="D16"/>
      <c r="E16"/>
      <c r="F16" t="n">
        <v>9.99</v>
      </c>
      <c r="G16"/>
      <c r="H16"/>
      <c r="I16" t="n">
        <v>9.638164960359088</v>
      </c>
      <c r="J16"/>
      <c r="K16"/>
    </row>
    <row r="17" spans="1:2" ht="13.5" customHeight="true" x14ac:dyDescent="0.15" hidden="false">
      <c r="A17" t="s">
        <v>6934</v>
      </c>
      <c r="B17" t="n">
        <v>6.0</v>
      </c>
      <c r="C17"/>
      <c r="D17" t="n">
        <v>14.21</v>
      </c>
      <c r="E17"/>
      <c r="F17"/>
      <c r="G17" t="n">
        <v>15.47</v>
      </c>
      <c r="H17"/>
      <c r="I17"/>
      <c r="J17" t="n">
        <v>14.553166559694676</v>
      </c>
      <c r="K17"/>
    </row>
    <row r="18" spans="1:2" ht="13.5" customHeight="true" x14ac:dyDescent="0.15" hidden="false">
      <c r="A18" t="s">
        <v>6934</v>
      </c>
      <c r="B18" t="n">
        <v>7.0</v>
      </c>
      <c r="C18"/>
      <c r="D18"/>
      <c r="E18" t="n">
        <v>21.53</v>
      </c>
      <c r="F18"/>
      <c r="G18"/>
      <c r="H18" t="n">
        <v>25.82</v>
      </c>
      <c r="I18"/>
      <c r="J18"/>
      <c r="K18" t="n">
        <v>22.223178083246335</v>
      </c>
    </row>
    <row r="19" spans="1:2" ht="13.5" customHeight="true" x14ac:dyDescent="0.15" hidden="false">
      <c r="A19" t="s">
        <v>6934</v>
      </c>
      <c r="B19" t="n">
        <v>8.0</v>
      </c>
      <c r="C19" t="n">
        <v>21.3</v>
      </c>
      <c r="D19"/>
      <c r="E19"/>
      <c r="F19" t="n">
        <v>23.67</v>
      </c>
      <c r="G19"/>
      <c r="H19"/>
      <c r="I19" t="n">
        <v>22.384243363755044</v>
      </c>
      <c r="J19"/>
      <c r="K19"/>
    </row>
    <row r="20" spans="1:2" ht="13.5" customHeight="true" x14ac:dyDescent="0.15" hidden="false">
      <c r="A20" t="s">
        <v>6934</v>
      </c>
      <c r="B20" t="n">
        <v>9.0</v>
      </c>
      <c r="C20"/>
      <c r="D20" t="n">
        <v>0.0</v>
      </c>
      <c r="E20"/>
      <c r="F20"/>
      <c r="G20" t="n">
        <v>0.0</v>
      </c>
      <c r="H20"/>
      <c r="I20"/>
      <c r="J20"/>
      <c r="K20"/>
    </row>
    <row r="21" spans="1:2" ht="13.5" customHeight="true" x14ac:dyDescent="0.15" hidden="false">
      <c r="A21" t="s">
        <v>6935</v>
      </c>
      <c r="B21" t="n">
        <v>1.0</v>
      </c>
      <c r="C21" t="n">
        <v>9.83</v>
      </c>
      <c r="D21"/>
      <c r="E21"/>
      <c r="F21" t="n">
        <v>11.61</v>
      </c>
      <c r="G21"/>
      <c r="H21"/>
      <c r="I21" t="n">
        <v>10.613822537069195</v>
      </c>
      <c r="J21"/>
      <c r="K21"/>
    </row>
    <row r="22" spans="1:2" ht="13.5" customHeight="true" x14ac:dyDescent="0.15" hidden="false">
      <c r="A22" t="s">
        <v>6935</v>
      </c>
      <c r="B22" t="n">
        <v>2.0</v>
      </c>
      <c r="C22"/>
      <c r="D22" t="n">
        <v>0.0</v>
      </c>
      <c r="E22"/>
      <c r="F22"/>
      <c r="G22" t="n">
        <v>0.0</v>
      </c>
      <c r="H22"/>
      <c r="I22"/>
      <c r="J22"/>
      <c r="K22"/>
    </row>
    <row r="23" spans="1:2" ht="13.5" customHeight="true" x14ac:dyDescent="0.15" hidden="false">
      <c r="A23" t="s">
        <v>6935</v>
      </c>
      <c r="B23" t="n">
        <v>3.0</v>
      </c>
      <c r="C23"/>
      <c r="D23"/>
      <c r="E23" t="n">
        <v>7.8100000000000005</v>
      </c>
      <c r="F23"/>
      <c r="G23"/>
      <c r="H23" t="n">
        <v>9.17</v>
      </c>
      <c r="I23"/>
      <c r="J23"/>
      <c r="K23" t="n">
        <v>8.953378096946686</v>
      </c>
    </row>
    <row r="24" spans="1:2" ht="13.5" customHeight="true" x14ac:dyDescent="0.15" hidden="false">
      <c r="A24" t="s">
        <v>6935</v>
      </c>
      <c r="B24" t="n">
        <v>4.0</v>
      </c>
      <c r="C24" t="n">
        <v>6.86</v>
      </c>
      <c r="D24"/>
      <c r="E24"/>
      <c r="F24" t="n">
        <v>7.5600000000000005</v>
      </c>
      <c r="G24"/>
      <c r="H24"/>
      <c r="I24" t="n">
        <v>6.9283637505948</v>
      </c>
      <c r="J24"/>
      <c r="K24"/>
    </row>
    <row r="25" spans="1:2" ht="13.5" customHeight="true" x14ac:dyDescent="0.15" hidden="false">
      <c r="A25" t="s">
        <v>6935</v>
      </c>
      <c r="B25" t="n">
        <v>5.0</v>
      </c>
      <c r="C25"/>
      <c r="D25" t="n">
        <v>0.0</v>
      </c>
      <c r="E25"/>
      <c r="F25"/>
      <c r="G25" t="n">
        <v>0.0</v>
      </c>
      <c r="H25"/>
      <c r="I25"/>
      <c r="J25"/>
      <c r="K25"/>
    </row>
    <row r="26" spans="1:2" ht="13.5" customHeight="true" x14ac:dyDescent="0.15" hidden="false">
      <c r="A26" t="s">
        <v>6935</v>
      </c>
      <c r="B26" t="n">
        <v>6.0</v>
      </c>
      <c r="C26"/>
      <c r="D26"/>
      <c r="E26" t="n">
        <v>0.0</v>
      </c>
      <c r="F26"/>
      <c r="G26"/>
      <c r="H26" t="n">
        <v>0.0</v>
      </c>
      <c r="I26"/>
      <c r="J26"/>
      <c r="K26"/>
    </row>
    <row r="27" spans="1:2" ht="13.5" customHeight="true" x14ac:dyDescent="0.15" hidden="false">
      <c r="A27" t="s">
        <v>6935</v>
      </c>
      <c r="B27" t="n">
        <v>7.0</v>
      </c>
      <c r="C27" t="n">
        <v>8.09</v>
      </c>
      <c r="D27"/>
      <c r="E27"/>
      <c r="F27" t="n">
        <v>9.74</v>
      </c>
      <c r="G27"/>
      <c r="H27"/>
      <c r="I27" t="n">
        <v>8.367361959854698</v>
      </c>
      <c r="J27"/>
      <c r="K27"/>
    </row>
    <row r="28" spans="1:2" ht="13.5" customHeight="true" x14ac:dyDescent="0.15" hidden="false">
      <c r="A28" t="s">
        <v>6935</v>
      </c>
      <c r="B28" t="n">
        <v>8.0</v>
      </c>
      <c r="C28"/>
      <c r="D28" t="n">
        <v>13.5</v>
      </c>
      <c r="E28"/>
      <c r="F28"/>
      <c r="G28" t="n">
        <v>15.4</v>
      </c>
      <c r="H28"/>
      <c r="I28"/>
      <c r="J28" t="n">
        <v>14.098161535252437</v>
      </c>
      <c r="K28"/>
    </row>
    <row r="29" spans="1:2" ht="13.5" customHeight="true" x14ac:dyDescent="0.15" hidden="false">
      <c r="A29" t="s">
        <v>6935</v>
      </c>
      <c r="B29" t="n">
        <v>9.0</v>
      </c>
      <c r="C29"/>
      <c r="D29"/>
      <c r="E29" t="n">
        <v>0.0</v>
      </c>
      <c r="F29"/>
      <c r="G29"/>
      <c r="H29" t="n">
        <v>0.0</v>
      </c>
      <c r="I29"/>
      <c r="J29"/>
      <c r="K29"/>
    </row>
    <row r="30" spans="1:2" ht="13.5" customHeight="true" x14ac:dyDescent="0.15" hidden="false">
      <c r="A30" t="s">
        <v>6935</v>
      </c>
      <c r="B30" t="n">
        <v>10.0</v>
      </c>
      <c r="C30" t="n">
        <v>36.52</v>
      </c>
      <c r="D30"/>
      <c r="E30"/>
      <c r="F30" t="n">
        <v>41.48</v>
      </c>
      <c r="G30"/>
      <c r="H30"/>
      <c r="I30" t="n">
        <v>39.66610542395835</v>
      </c>
      <c r="J30"/>
      <c r="K30"/>
    </row>
    <row r="31" spans="1:2" ht="13.5" customHeight="true" x14ac:dyDescent="0.15" hidden="false">
      <c r="A31" t="s">
        <v>6935</v>
      </c>
      <c r="B31" t="n">
        <v>11.0</v>
      </c>
      <c r="C31"/>
      <c r="D31" t="n">
        <v>0.0</v>
      </c>
      <c r="E31"/>
      <c r="F31"/>
      <c r="G31" t="n">
        <v>0.0</v>
      </c>
      <c r="H31"/>
      <c r="I31"/>
      <c r="J31"/>
      <c r="K31"/>
    </row>
    <row r="32" spans="1:2" ht="13.5" customHeight="true" x14ac:dyDescent="0.15" hidden="false">
      <c r="A32" t="s">
        <v>6935</v>
      </c>
      <c r="B32" t="n">
        <v>12.0</v>
      </c>
      <c r="C32"/>
      <c r="D32"/>
      <c r="E32" t="n">
        <v>0.0</v>
      </c>
      <c r="F32"/>
      <c r="G32"/>
      <c r="H32" t="n">
        <v>0.0</v>
      </c>
      <c r="I32"/>
      <c r="J32"/>
      <c r="K32"/>
    </row>
    <row r="33" spans="1:2" ht="13.5" customHeight="true" x14ac:dyDescent="0.15" hidden="false">
      <c r="A33" t="s">
        <v>6936</v>
      </c>
      <c r="B33" t="n">
        <v>1.0</v>
      </c>
      <c r="C33" t="n">
        <v>22.18</v>
      </c>
      <c r="D33"/>
      <c r="E33"/>
      <c r="F33" t="n">
        <v>24.58</v>
      </c>
      <c r="G33"/>
      <c r="H33"/>
      <c r="I33" t="n">
        <v>22.660402651884617</v>
      </c>
      <c r="J33"/>
      <c r="K33"/>
    </row>
    <row r="34" spans="1:2" ht="13.5" customHeight="true" x14ac:dyDescent="0.15" hidden="false">
      <c r="A34" t="s">
        <v>6936</v>
      </c>
      <c r="B34" t="n">
        <v>2.0</v>
      </c>
      <c r="C34"/>
      <c r="D34" t="n">
        <v>32.62</v>
      </c>
      <c r="E34"/>
      <c r="F34"/>
      <c r="G34" t="n">
        <v>35.23</v>
      </c>
      <c r="H34"/>
      <c r="I34"/>
      <c r="J34" t="n">
        <v>33.27912483002352</v>
      </c>
      <c r="K34"/>
    </row>
    <row r="35" spans="1:2" ht="13.5" customHeight="true" x14ac:dyDescent="0.15" hidden="false">
      <c r="A35" t="s">
        <v>6936</v>
      </c>
      <c r="B35" t="n">
        <v>3.0</v>
      </c>
      <c r="C35"/>
      <c r="D35"/>
      <c r="E35" t="n">
        <v>5.29</v>
      </c>
      <c r="F35"/>
      <c r="G35"/>
      <c r="H35" t="n">
        <v>5.63</v>
      </c>
      <c r="I35"/>
      <c r="J35"/>
      <c r="K35" t="n">
        <v>5.402414315157449</v>
      </c>
    </row>
    <row r="36" spans="1:2" ht="13.5" customHeight="true" x14ac:dyDescent="0.15" hidden="false">
      <c r="A36" t="s">
        <v>6936</v>
      </c>
      <c r="B36" t="n">
        <v>4.0</v>
      </c>
      <c r="C36" t="n">
        <v>9.06</v>
      </c>
      <c r="D36"/>
      <c r="E36"/>
      <c r="F36" t="n">
        <v>9.95</v>
      </c>
      <c r="G36"/>
      <c r="H36"/>
      <c r="I36" t="n">
        <v>9.47181509035067</v>
      </c>
      <c r="J36"/>
      <c r="K36"/>
    </row>
    <row r="37" spans="1:2" ht="13.5" customHeight="true" x14ac:dyDescent="0.15" hidden="false">
      <c r="A37" t="s">
        <v>6936</v>
      </c>
      <c r="B37" t="n">
        <v>5.0</v>
      </c>
      <c r="C37"/>
      <c r="D37" t="n">
        <v>7.32</v>
      </c>
      <c r="E37"/>
      <c r="F37"/>
      <c r="G37" t="n">
        <v>7.95</v>
      </c>
      <c r="H37"/>
      <c r="I37"/>
      <c r="J37" t="n">
        <v>7.467902845422945</v>
      </c>
      <c r="K37"/>
    </row>
    <row r="38" spans="1:2" ht="13.5" customHeight="true" x14ac:dyDescent="0.15" hidden="false">
      <c r="A38" t="s">
        <v>6936</v>
      </c>
      <c r="B38" t="n">
        <v>6.0</v>
      </c>
      <c r="C38"/>
      <c r="D38"/>
      <c r="E38" t="n">
        <v>11.08</v>
      </c>
      <c r="F38"/>
      <c r="G38"/>
      <c r="H38" t="n">
        <v>13.64</v>
      </c>
      <c r="I38"/>
      <c r="J38"/>
      <c r="K38" t="n">
        <v>12.23997051927883</v>
      </c>
    </row>
    <row r="39" spans="1:2" ht="13.5" customHeight="true" x14ac:dyDescent="0.15" hidden="false">
      <c r="A39" t="s">
        <v>6936</v>
      </c>
      <c r="B39" t="n">
        <v>7.0</v>
      </c>
      <c r="C39" t="n">
        <v>12.98</v>
      </c>
      <c r="D39"/>
      <c r="E39"/>
      <c r="F39" t="n">
        <v>13.16</v>
      </c>
      <c r="G39"/>
      <c r="H39"/>
      <c r="I39" t="n">
        <v>13.052915323668921</v>
      </c>
      <c r="J39"/>
      <c r="K39"/>
    </row>
    <row r="40" spans="1:2" ht="13.5" customHeight="true" x14ac:dyDescent="0.15" hidden="false">
      <c r="A40" t="s">
        <v>6936</v>
      </c>
      <c r="B40" t="n">
        <v>8.0</v>
      </c>
      <c r="C40"/>
      <c r="D40" t="n">
        <v>23.81</v>
      </c>
      <c r="E40"/>
      <c r="F40"/>
      <c r="G40" t="n">
        <v>34.73</v>
      </c>
      <c r="H40"/>
      <c r="I40"/>
      <c r="J40" t="n">
        <v>27.022251295741725</v>
      </c>
      <c r="K40"/>
    </row>
    <row r="41" spans="1:2" ht="13.5" customHeight="true" x14ac:dyDescent="0.15" hidden="false">
      <c r="A41" t="s">
        <v>6936</v>
      </c>
      <c r="B41" t="n">
        <v>9.0</v>
      </c>
      <c r="C41"/>
      <c r="D41"/>
      <c r="E41" t="n">
        <v>0.0</v>
      </c>
      <c r="F41"/>
      <c r="G41"/>
      <c r="H41" t="n">
        <v>0.0</v>
      </c>
      <c r="I41"/>
      <c r="J41"/>
      <c r="K41"/>
    </row>
    <row r="42" spans="1:2" ht="13.5" customHeight="true" x14ac:dyDescent="0.15" hidden="false">
      <c r="A42" t="s">
        <v>6936</v>
      </c>
      <c r="B42" t="n">
        <v>10.0</v>
      </c>
      <c r="C42" t="n">
        <v>0.0</v>
      </c>
      <c r="D42"/>
      <c r="E42"/>
      <c r="F42" t="n">
        <v>0.0</v>
      </c>
      <c r="G42"/>
      <c r="H42"/>
      <c r="I42"/>
      <c r="J42"/>
      <c r="K42"/>
    </row>
    <row r="43" spans="1:2" ht="13.5" customHeight="true" x14ac:dyDescent="0.15" hidden="false">
      <c r="A43" t="s">
        <v>6936</v>
      </c>
      <c r="B43" t="n">
        <v>11.0</v>
      </c>
      <c r="C43"/>
      <c r="D43" t="n">
        <v>0.0</v>
      </c>
      <c r="E43"/>
      <c r="F43"/>
      <c r="G43" t="n">
        <v>0.0</v>
      </c>
      <c r="H43"/>
      <c r="I43"/>
      <c r="J43"/>
      <c r="K43"/>
    </row>
    <row r="44" spans="1:2" ht="13.5" customHeight="true" x14ac:dyDescent="0.15" hidden="false">
      <c r="A44" t="s">
        <v>6936</v>
      </c>
      <c r="B44" t="n">
        <v>12.0</v>
      </c>
      <c r="C44"/>
      <c r="D44"/>
      <c r="E44" t="n">
        <v>0.0</v>
      </c>
      <c r="F44"/>
      <c r="G44"/>
      <c r="H44" t="n">
        <v>0.0</v>
      </c>
      <c r="I44"/>
      <c r="J44"/>
      <c r="K44"/>
    </row>
    <row r="45" spans="1:2" ht="13.5" customHeight="true" x14ac:dyDescent="0.15" hidden="false">
      <c r="A45" t="s">
        <v>6937</v>
      </c>
      <c r="B45" t="n">
        <v>1.0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/>
      <c r="J45"/>
      <c r="K45"/>
    </row>
    <row r="46" spans="1:2" ht="13.5" customHeight="true" x14ac:dyDescent="0.15" hidden="false">
      <c r="A46" t="s">
        <v>6937</v>
      </c>
      <c r="B46" t="n">
        <v>2.0</v>
      </c>
      <c r="C46" t="n">
        <v>28.97</v>
      </c>
      <c r="D46" t="n">
        <v>26.42</v>
      </c>
      <c r="E46" t="n">
        <v>27.99</v>
      </c>
      <c r="F46" t="n">
        <v>32.43</v>
      </c>
      <c r="G46" t="n">
        <v>29.91</v>
      </c>
      <c r="H46" t="n">
        <v>31.28</v>
      </c>
      <c r="I46" t="n">
        <v>30.56363634132609</v>
      </c>
      <c r="J46" t="n">
        <v>27.970544474208886</v>
      </c>
      <c r="K46" t="n">
        <v>29.48575011268783</v>
      </c>
    </row>
    <row r="47" spans="1:2" ht="13.5" customHeight="true" x14ac:dyDescent="0.15" hidden="false">
      <c r="A47" t="s">
        <v>6937</v>
      </c>
      <c r="B47" t="n">
        <v>3.0</v>
      </c>
      <c r="C47" t="n">
        <v>2.95</v>
      </c>
      <c r="D47" t="n">
        <v>2.66</v>
      </c>
      <c r="E47" t="n">
        <v>3.22</v>
      </c>
      <c r="F47" t="n">
        <v>27.88</v>
      </c>
      <c r="G47" t="n">
        <v>27.19</v>
      </c>
      <c r="H47" t="n">
        <v>26.8</v>
      </c>
      <c r="I47" t="n">
        <v>15.194301715356664</v>
      </c>
      <c r="J47" t="n">
        <v>14.797817009504662</v>
      </c>
      <c r="K47" t="n">
        <v>14.650281720568838</v>
      </c>
    </row>
    <row r="48" spans="1:2" ht="13.5" customHeight="true" x14ac:dyDescent="0.15" hidden="false">
      <c r="A48" t="s">
        <v>6938</v>
      </c>
      <c r="B48" t="n">
        <v>1.0</v>
      </c>
      <c r="C48" t="n">
        <v>1.13</v>
      </c>
      <c r="D48" t="n">
        <v>0.89</v>
      </c>
      <c r="E48" t="n">
        <v>1.33</v>
      </c>
      <c r="F48" t="n">
        <v>1.47</v>
      </c>
      <c r="G48" t="n">
        <v>1.19</v>
      </c>
      <c r="H48" t="n">
        <v>1.65</v>
      </c>
      <c r="I48" t="n">
        <v>1.2632564180482215</v>
      </c>
      <c r="J48" t="n">
        <v>1.0082817775556974</v>
      </c>
      <c r="K48" t="n">
        <v>1.4699586035302343</v>
      </c>
    </row>
    <row r="49" spans="1:2" ht="13.5" customHeight="true" x14ac:dyDescent="0.15" hidden="false">
      <c r="A49" t="s">
        <v>6938</v>
      </c>
      <c r="B49" t="n">
        <v>2.0</v>
      </c>
      <c r="C49" t="n">
        <v>37.09</v>
      </c>
      <c r="D49"/>
      <c r="E49"/>
      <c r="F49" t="n">
        <v>37.9</v>
      </c>
      <c r="G49"/>
      <c r="H49"/>
      <c r="I49" t="n">
        <v>37.49976082652535</v>
      </c>
      <c r="J49"/>
      <c r="K49"/>
    </row>
    <row r="50" spans="1:2" ht="13.5" customHeight="true" x14ac:dyDescent="0.15" hidden="false">
      <c r="A50" t="s">
        <v>6938</v>
      </c>
      <c r="B50" t="n">
        <v>3.0</v>
      </c>
      <c r="C50"/>
      <c r="D50" t="n">
        <v>33.54</v>
      </c>
      <c r="E50"/>
      <c r="F50"/>
      <c r="G50" t="n">
        <v>34.95</v>
      </c>
      <c r="H50"/>
      <c r="I50"/>
      <c r="J50" t="n">
        <v>34.26775110123197</v>
      </c>
      <c r="K50"/>
    </row>
    <row r="51" spans="1:2" ht="13.5" customHeight="true" x14ac:dyDescent="0.15" hidden="false">
      <c r="A51" t="s">
        <v>6938</v>
      </c>
      <c r="B51" t="n">
        <v>4.0</v>
      </c>
      <c r="C51"/>
      <c r="D51"/>
      <c r="E51" t="n">
        <v>31.18</v>
      </c>
      <c r="F51"/>
      <c r="G51"/>
      <c r="H51" t="n">
        <v>37.59</v>
      </c>
      <c r="I51"/>
      <c r="J51"/>
      <c r="K51" t="n">
        <v>37.26388247942437</v>
      </c>
    </row>
    <row r="52" spans="1:2" ht="13.5" customHeight="true" x14ac:dyDescent="0.15" hidden="false">
      <c r="A52" t="s">
        <v>6938</v>
      </c>
      <c r="B52" t="n">
        <v>5.0</v>
      </c>
      <c r="C52" t="n">
        <v>40.91</v>
      </c>
      <c r="D52"/>
      <c r="E52"/>
      <c r="F52" t="n">
        <v>42.43</v>
      </c>
      <c r="G52"/>
      <c r="H52"/>
      <c r="I52" t="n">
        <v>41.48036106218357</v>
      </c>
      <c r="J52"/>
      <c r="K52"/>
    </row>
    <row r="53" spans="1:2" ht="13.5" customHeight="true" x14ac:dyDescent="0.15" hidden="false">
      <c r="A53" t="s">
        <v>6938</v>
      </c>
      <c r="B53" t="n">
        <v>6.0</v>
      </c>
      <c r="C53"/>
      <c r="D53" t="n">
        <v>22.9</v>
      </c>
      <c r="E53"/>
      <c r="F53"/>
      <c r="G53" t="n">
        <v>24.59</v>
      </c>
      <c r="H53"/>
      <c r="I53"/>
      <c r="J53" t="n">
        <v>23.53446972982299</v>
      </c>
      <c r="K53"/>
    </row>
    <row r="54" spans="1:2" ht="13.5" customHeight="true" x14ac:dyDescent="0.15" hidden="false">
      <c r="A54" t="s">
        <v>6938</v>
      </c>
      <c r="B54" t="n">
        <v>7.0</v>
      </c>
      <c r="C54"/>
      <c r="D54"/>
      <c r="E54" t="n">
        <v>12.44</v>
      </c>
      <c r="F54"/>
      <c r="G54"/>
      <c r="H54" t="n">
        <v>12.96</v>
      </c>
      <c r="I54"/>
      <c r="J54"/>
      <c r="K54" t="n">
        <v>12.607986840012897</v>
      </c>
    </row>
    <row r="55" spans="1:2" ht="13.5" customHeight="true" x14ac:dyDescent="0.15" hidden="false">
      <c r="A55" t="s">
        <v>6938</v>
      </c>
      <c r="B55" t="n">
        <v>8.0</v>
      </c>
      <c r="C55" t="n">
        <v>0.0</v>
      </c>
      <c r="D55"/>
      <c r="E55"/>
      <c r="F55" t="n">
        <v>0.0</v>
      </c>
      <c r="G55"/>
      <c r="H55"/>
      <c r="I55"/>
      <c r="J55"/>
      <c r="K55"/>
    </row>
    <row r="56" spans="1:2" ht="13.5" customHeight="true" x14ac:dyDescent="0.15" hidden="false">
      <c r="A56" t="s">
        <v>6938</v>
      </c>
      <c r="B56" t="n">
        <v>9.0</v>
      </c>
      <c r="C56"/>
      <c r="D56" t="n">
        <v>0.0</v>
      </c>
      <c r="E56"/>
      <c r="F56"/>
      <c r="G56" t="n">
        <v>0.0</v>
      </c>
      <c r="H56"/>
      <c r="I56"/>
      <c r="J56"/>
      <c r="K56"/>
    </row>
    <row r="57" spans="1:2" ht="13.5" customHeight="true" x14ac:dyDescent="0.15" hidden="false">
      <c r="A57" t="s">
        <v>6939</v>
      </c>
      <c r="B57" t="n">
        <v>1.0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/>
      <c r="J57"/>
      <c r="K57"/>
    </row>
    <row r="58" spans="1:2" ht="13.5" customHeight="true" x14ac:dyDescent="0.15" hidden="false">
      <c r="A58" t="s">
        <v>6939</v>
      </c>
      <c r="B58" t="n">
        <v>2.0</v>
      </c>
      <c r="C58" t="n">
        <v>31.81</v>
      </c>
      <c r="D58"/>
      <c r="E58"/>
      <c r="F58" t="n">
        <v>33.51</v>
      </c>
      <c r="G58"/>
      <c r="H58"/>
      <c r="I58" t="n">
        <v>32.219909277205446</v>
      </c>
      <c r="J58"/>
      <c r="K58"/>
    </row>
    <row r="59" spans="1:2" ht="13.5" customHeight="true" x14ac:dyDescent="0.15" hidden="false">
      <c r="A59" t="s">
        <v>6939</v>
      </c>
      <c r="B59" t="n">
        <v>3.0</v>
      </c>
      <c r="C59"/>
      <c r="D59" t="n">
        <v>26.71</v>
      </c>
      <c r="E59"/>
      <c r="F59"/>
      <c r="G59" t="n">
        <v>30.46</v>
      </c>
      <c r="H59"/>
      <c r="I59"/>
      <c r="J59" t="n">
        <v>28.440765897993717</v>
      </c>
      <c r="K59"/>
    </row>
    <row r="60" spans="1:2" ht="13.5" customHeight="true" x14ac:dyDescent="0.15" hidden="false">
      <c r="A60" t="s">
        <v>6939</v>
      </c>
      <c r="B60" t="n">
        <v>4.0</v>
      </c>
      <c r="C60"/>
      <c r="D60"/>
      <c r="E60" t="n">
        <v>0.0</v>
      </c>
      <c r="F60"/>
      <c r="G60"/>
      <c r="H60" t="n">
        <v>0.0</v>
      </c>
      <c r="I60"/>
      <c r="J60"/>
      <c r="K60"/>
    </row>
    <row r="61" spans="1:2" ht="13.5" customHeight="true" x14ac:dyDescent="0.15" hidden="false">
      <c r="A61" t="s">
        <v>6939</v>
      </c>
      <c r="B61" t="n">
        <v>5.0</v>
      </c>
      <c r="C61" t="n">
        <v>6.14</v>
      </c>
      <c r="D61"/>
      <c r="E61"/>
      <c r="F61" t="n">
        <v>6.62</v>
      </c>
      <c r="G61"/>
      <c r="H61"/>
      <c r="I61" t="n">
        <v>6.3017859818617135</v>
      </c>
      <c r="J61"/>
      <c r="K61"/>
    </row>
    <row r="62" spans="1:2" ht="13.5" customHeight="true" x14ac:dyDescent="0.15" hidden="false">
      <c r="A62" t="s">
        <v>6939</v>
      </c>
      <c r="B62" t="n">
        <v>6.0</v>
      </c>
      <c r="C62"/>
      <c r="D62" t="n">
        <v>10.15</v>
      </c>
      <c r="E62"/>
      <c r="F62"/>
      <c r="G62" t="n">
        <v>10.92</v>
      </c>
      <c r="H62"/>
      <c r="I62"/>
      <c r="J62" t="n">
        <v>10.38416775774365</v>
      </c>
      <c r="K62"/>
    </row>
    <row r="63" spans="1:2" ht="13.5" customHeight="true" x14ac:dyDescent="0.15" hidden="false">
      <c r="A63" t="s">
        <v>6939</v>
      </c>
      <c r="B63" t="n">
        <v>7.0</v>
      </c>
      <c r="C63"/>
      <c r="D63"/>
      <c r="E63" t="n">
        <v>16.11</v>
      </c>
      <c r="F63"/>
      <c r="G63"/>
      <c r="H63" t="n">
        <v>29.63</v>
      </c>
      <c r="I63"/>
      <c r="J63"/>
      <c r="K63" t="n">
        <v>28.41611606039097</v>
      </c>
    </row>
    <row r="64" spans="1:2" ht="13.5" customHeight="true" x14ac:dyDescent="0.15" hidden="false">
      <c r="A64" t="s">
        <v>6939</v>
      </c>
      <c r="B64" t="n">
        <v>8.0</v>
      </c>
      <c r="C64" t="n">
        <v>17.56</v>
      </c>
      <c r="D64"/>
      <c r="E64"/>
      <c r="F64" t="n">
        <v>19.89</v>
      </c>
      <c r="G64"/>
      <c r="H64"/>
      <c r="I64" t="n">
        <v>18.509154394402284</v>
      </c>
      <c r="J64"/>
      <c r="K64"/>
    </row>
    <row r="65" spans="1:2" ht="13.5" customHeight="true" x14ac:dyDescent="0.15" hidden="false">
      <c r="A65" t="s">
        <v>6939</v>
      </c>
      <c r="B65" t="n">
        <v>9.0</v>
      </c>
      <c r="C65"/>
      <c r="D65" t="n">
        <v>0.0</v>
      </c>
      <c r="E65"/>
      <c r="F65"/>
      <c r="G65" t="n">
        <v>0.0</v>
      </c>
      <c r="H65"/>
      <c r="I65"/>
      <c r="J65"/>
      <c r="K65"/>
    </row>
    <row r="66" spans="1:2" ht="13.5" customHeight="true" x14ac:dyDescent="0.15" hidden="false">
      <c r="A66" t="s">
        <v>6940</v>
      </c>
      <c r="B66" t="n">
        <v>1.0</v>
      </c>
      <c r="C66" t="n">
        <v>8.38</v>
      </c>
      <c r="D66"/>
      <c r="E66"/>
      <c r="F66" t="n">
        <v>9.72</v>
      </c>
      <c r="G66"/>
      <c r="H66"/>
      <c r="I66" t="n">
        <v>8.969533410414511</v>
      </c>
      <c r="J66"/>
      <c r="K66"/>
    </row>
    <row r="67" spans="1:2" ht="13.5" customHeight="true" x14ac:dyDescent="0.15" hidden="false">
      <c r="A67" t="s">
        <v>6940</v>
      </c>
      <c r="B67" t="n">
        <v>2.0</v>
      </c>
      <c r="C67"/>
      <c r="D67" t="n">
        <v>0.0</v>
      </c>
      <c r="E67"/>
      <c r="F67"/>
      <c r="G67" t="n">
        <v>0.0</v>
      </c>
      <c r="H67"/>
      <c r="I67"/>
      <c r="J67"/>
      <c r="K67"/>
    </row>
    <row r="68" spans="1:2" ht="13.5" customHeight="true" x14ac:dyDescent="0.15" hidden="false">
      <c r="A68" t="s">
        <v>6940</v>
      </c>
      <c r="B68" t="n">
        <v>3.0</v>
      </c>
      <c r="C68"/>
      <c r="D68"/>
      <c r="E68" t="n">
        <v>6.39</v>
      </c>
      <c r="F68"/>
      <c r="G68"/>
      <c r="H68" t="n">
        <v>7.8</v>
      </c>
      <c r="I68"/>
      <c r="J68"/>
      <c r="K68" t="n">
        <v>7.73548207438513</v>
      </c>
    </row>
    <row r="69" spans="1:2" ht="13.5" customHeight="true" x14ac:dyDescent="0.15" hidden="false">
      <c r="A69" t="s">
        <v>6940</v>
      </c>
      <c r="B69" t="n">
        <v>4.0</v>
      </c>
      <c r="C69" t="n">
        <v>7.15</v>
      </c>
      <c r="D69"/>
      <c r="E69"/>
      <c r="F69" t="n">
        <v>7.54</v>
      </c>
      <c r="G69"/>
      <c r="H69"/>
      <c r="I69" t="n">
        <v>7.2205490273228286</v>
      </c>
      <c r="J69"/>
      <c r="K69"/>
    </row>
    <row r="70" spans="1:2" ht="13.5" customHeight="true" x14ac:dyDescent="0.15" hidden="false">
      <c r="A70" t="s">
        <v>6940</v>
      </c>
      <c r="B70" t="n">
        <v>5.0</v>
      </c>
      <c r="C70"/>
      <c r="D70" t="n">
        <v>0.0</v>
      </c>
      <c r="E70"/>
      <c r="F70"/>
      <c r="G70" t="n">
        <v>0.0</v>
      </c>
      <c r="H70"/>
      <c r="I70"/>
      <c r="J70"/>
      <c r="K70"/>
    </row>
    <row r="71" spans="1:2" ht="13.5" customHeight="true" x14ac:dyDescent="0.15" hidden="false">
      <c r="A71" t="s">
        <v>6940</v>
      </c>
      <c r="B71" t="n">
        <v>6.0</v>
      </c>
      <c r="C71"/>
      <c r="D71"/>
      <c r="E71" t="n">
        <v>12.68</v>
      </c>
      <c r="F71"/>
      <c r="G71"/>
      <c r="H71" t="n">
        <v>13.18</v>
      </c>
      <c r="I71"/>
      <c r="J71"/>
      <c r="K71" t="n">
        <v>12.862828036043984</v>
      </c>
    </row>
    <row r="72" spans="1:2" ht="13.5" customHeight="true" x14ac:dyDescent="0.15" hidden="false">
      <c r="A72" t="s">
        <v>6940</v>
      </c>
      <c r="B72" t="n">
        <v>7.0</v>
      </c>
      <c r="C72" t="n">
        <v>6.06</v>
      </c>
      <c r="D72"/>
      <c r="E72"/>
      <c r="F72" t="n">
        <v>7.61</v>
      </c>
      <c r="G72"/>
      <c r="H72"/>
      <c r="I72" t="n">
        <v>6.508175819099416</v>
      </c>
      <c r="J72"/>
      <c r="K72"/>
    </row>
    <row r="73" spans="1:2" ht="13.5" customHeight="true" x14ac:dyDescent="0.15" hidden="false">
      <c r="A73" t="s">
        <v>6940</v>
      </c>
      <c r="B73" t="n">
        <v>8.0</v>
      </c>
      <c r="C73"/>
      <c r="D73" t="n">
        <v>10.2</v>
      </c>
      <c r="E73"/>
      <c r="F73"/>
      <c r="G73" t="n">
        <v>13.85</v>
      </c>
      <c r="H73"/>
      <c r="I73"/>
      <c r="J73" t="n">
        <v>11.833469597363862</v>
      </c>
      <c r="K73"/>
    </row>
    <row r="74" spans="1:2" ht="13.5" customHeight="true" x14ac:dyDescent="0.15" hidden="false">
      <c r="A74" t="s">
        <v>6940</v>
      </c>
      <c r="B74" t="n">
        <v>9.0</v>
      </c>
      <c r="C74"/>
      <c r="D74"/>
      <c r="E74" t="n">
        <v>0.0</v>
      </c>
      <c r="F74"/>
      <c r="G74"/>
      <c r="H74" t="n">
        <v>0.0</v>
      </c>
      <c r="I74"/>
      <c r="J74"/>
      <c r="K74"/>
    </row>
    <row r="75" spans="1:2" ht="13.5" customHeight="true" x14ac:dyDescent="0.15" hidden="false">
      <c r="A75" t="s">
        <v>6940</v>
      </c>
      <c r="B75" t="n">
        <v>10.0</v>
      </c>
      <c r="C75" t="n">
        <v>31.56</v>
      </c>
      <c r="D75"/>
      <c r="E75"/>
      <c r="F75" t="n">
        <v>37.17</v>
      </c>
      <c r="G75"/>
      <c r="H75"/>
      <c r="I75" t="n">
        <v>34.70273376286082</v>
      </c>
      <c r="J75"/>
      <c r="K75"/>
    </row>
    <row r="76" spans="1:2" ht="13.5" customHeight="true" x14ac:dyDescent="0.15" hidden="false">
      <c r="A76" t="s">
        <v>6940</v>
      </c>
      <c r="B76" t="n">
        <v>11.0</v>
      </c>
      <c r="C76"/>
      <c r="D76" t="n">
        <v>0.0</v>
      </c>
      <c r="E76"/>
      <c r="F76"/>
      <c r="G76" t="n">
        <v>0.0</v>
      </c>
      <c r="H76"/>
      <c r="I76"/>
      <c r="J76"/>
      <c r="K76"/>
    </row>
    <row r="77" spans="1:2" ht="13.5" customHeight="true" x14ac:dyDescent="0.15" hidden="false">
      <c r="A77" t="s">
        <v>6940</v>
      </c>
      <c r="B77" t="n">
        <v>12.0</v>
      </c>
      <c r="C77"/>
      <c r="D77"/>
      <c r="E77" t="n">
        <v>0.0</v>
      </c>
      <c r="F77"/>
      <c r="G77"/>
      <c r="H77" t="n">
        <v>0.0</v>
      </c>
      <c r="I77"/>
      <c r="J77"/>
      <c r="K77"/>
    </row>
    <row r="78" spans="1:2" ht="13.5" customHeight="true" x14ac:dyDescent="0.15" hidden="false">
      <c r="A78" t="s">
        <v>6941</v>
      </c>
      <c r="B78" t="n">
        <v>1.0</v>
      </c>
      <c r="C78" t="n">
        <v>19.95</v>
      </c>
      <c r="D78"/>
      <c r="E78"/>
      <c r="F78" t="n">
        <v>21.93</v>
      </c>
      <c r="G78"/>
      <c r="H78"/>
      <c r="I78" t="n">
        <v>20.38381554439668</v>
      </c>
      <c r="J78"/>
      <c r="K78"/>
    </row>
    <row r="79" spans="1:2" ht="13.5" customHeight="true" x14ac:dyDescent="0.15" hidden="false">
      <c r="A79" t="s">
        <v>6941</v>
      </c>
      <c r="B79" t="n">
        <v>2.0</v>
      </c>
      <c r="C79"/>
      <c r="D79" t="n">
        <v>32.86</v>
      </c>
      <c r="E79"/>
      <c r="F79"/>
      <c r="G79" t="n">
        <v>35.56</v>
      </c>
      <c r="H79"/>
      <c r="I79"/>
      <c r="J79" t="n">
        <v>33.56346161897781</v>
      </c>
      <c r="K79"/>
    </row>
    <row r="80" spans="1:2" ht="13.5" customHeight="true" x14ac:dyDescent="0.15" hidden="false">
      <c r="A80" t="s">
        <v>6941</v>
      </c>
      <c r="B80" t="n">
        <v>3.0</v>
      </c>
      <c r="C80"/>
      <c r="D80"/>
      <c r="E80" t="n">
        <v>5.2</v>
      </c>
      <c r="F80"/>
      <c r="G80"/>
      <c r="H80" t="n">
        <v>5.5600000000000005</v>
      </c>
      <c r="I80"/>
      <c r="J80"/>
      <c r="K80" t="n">
        <v>5.300606315537995</v>
      </c>
    </row>
    <row r="81" spans="1:2" ht="13.5" customHeight="true" x14ac:dyDescent="0.15" hidden="false">
      <c r="A81" t="s">
        <v>6941</v>
      </c>
      <c r="B81" t="n">
        <v>4.0</v>
      </c>
      <c r="C81" t="n">
        <v>10.17</v>
      </c>
      <c r="D81"/>
      <c r="E81"/>
      <c r="F81" t="n">
        <v>10.88</v>
      </c>
      <c r="G81"/>
      <c r="H81"/>
      <c r="I81" t="n">
        <v>10.376700290826985</v>
      </c>
      <c r="J81"/>
      <c r="K81"/>
    </row>
    <row r="82" spans="1:2" ht="13.5" customHeight="true" x14ac:dyDescent="0.15" hidden="false">
      <c r="A82" t="s">
        <v>6941</v>
      </c>
      <c r="B82" t="n">
        <v>5.0</v>
      </c>
      <c r="C82"/>
      <c r="D82" t="n">
        <v>5.88</v>
      </c>
      <c r="E82"/>
      <c r="F82"/>
      <c r="G82" t="n">
        <v>6.47</v>
      </c>
      <c r="H82"/>
      <c r="I82"/>
      <c r="J82" t="n">
        <v>6.01863954390584</v>
      </c>
      <c r="K82"/>
    </row>
    <row r="83" spans="1:2" ht="13.5" customHeight="true" x14ac:dyDescent="0.15" hidden="false">
      <c r="A83" t="s">
        <v>6941</v>
      </c>
      <c r="B83" t="n">
        <v>6.0</v>
      </c>
      <c r="C83"/>
      <c r="D83"/>
      <c r="E83" t="n">
        <v>14.26</v>
      </c>
      <c r="F83"/>
      <c r="G83"/>
      <c r="H83" t="n">
        <v>17.09</v>
      </c>
      <c r="I83"/>
      <c r="J83"/>
      <c r="K83" t="n">
        <v>15.678262666342668</v>
      </c>
    </row>
    <row r="84" spans="1:2" ht="13.5" customHeight="true" x14ac:dyDescent="0.15" hidden="false">
      <c r="A84" t="s">
        <v>6941</v>
      </c>
      <c r="B84" t="n">
        <v>7.0</v>
      </c>
      <c r="C84" t="n">
        <v>13.74</v>
      </c>
      <c r="D84"/>
      <c r="E84"/>
      <c r="F84" t="n">
        <v>13.97</v>
      </c>
      <c r="G84"/>
      <c r="H84"/>
      <c r="I84" t="n">
        <v>13.823360711382549</v>
      </c>
      <c r="J84"/>
      <c r="K84"/>
    </row>
    <row r="85" spans="1:2" ht="13.5" customHeight="true" x14ac:dyDescent="0.15" hidden="false">
      <c r="A85" t="s">
        <v>6941</v>
      </c>
      <c r="B85" t="n">
        <v>8.0</v>
      </c>
      <c r="C85"/>
      <c r="D85" t="n">
        <v>30.44</v>
      </c>
      <c r="E85"/>
      <c r="F85"/>
      <c r="G85" t="n">
        <v>37.85</v>
      </c>
      <c r="H85"/>
      <c r="I85"/>
      <c r="J85" t="n">
        <v>34.30542156451713</v>
      </c>
      <c r="K85"/>
    </row>
    <row r="86" spans="1:2" ht="13.5" customHeight="true" x14ac:dyDescent="0.15" hidden="false">
      <c r="A86" t="s">
        <v>6941</v>
      </c>
      <c r="B86" t="n">
        <v>9.0</v>
      </c>
      <c r="C86"/>
      <c r="D86"/>
      <c r="E86" t="n">
        <v>0.0</v>
      </c>
      <c r="F86"/>
      <c r="G86"/>
      <c r="H86" t="n">
        <v>0.0</v>
      </c>
      <c r="I86"/>
      <c r="J86"/>
      <c r="K86"/>
    </row>
    <row r="87" spans="1:2" ht="13.5" customHeight="true" x14ac:dyDescent="0.15" hidden="false">
      <c r="A87" t="s">
        <v>6941</v>
      </c>
      <c r="B87" t="n">
        <v>10.0</v>
      </c>
      <c r="C87" t="n">
        <v>0.0</v>
      </c>
      <c r="D87"/>
      <c r="E87"/>
      <c r="F87" t="n">
        <v>0.0</v>
      </c>
      <c r="G87"/>
      <c r="H87"/>
      <c r="I87"/>
      <c r="J87"/>
      <c r="K87"/>
    </row>
    <row r="88" spans="1:2" ht="13.5" customHeight="true" x14ac:dyDescent="0.15" hidden="false">
      <c r="A88" t="s">
        <v>6941</v>
      </c>
      <c r="B88" t="n">
        <v>11.0</v>
      </c>
      <c r="C88"/>
      <c r="D88" t="n">
        <v>0.0</v>
      </c>
      <c r="E88"/>
      <c r="F88"/>
      <c r="G88" t="n">
        <v>0.0</v>
      </c>
      <c r="H88"/>
      <c r="I88"/>
      <c r="J88"/>
      <c r="K88"/>
    </row>
    <row r="89" spans="1:2" ht="13.5" customHeight="true" x14ac:dyDescent="0.15" hidden="false">
      <c r="A89" t="s">
        <v>6941</v>
      </c>
      <c r="B89" t="n">
        <v>12.0</v>
      </c>
      <c r="C89"/>
      <c r="D89"/>
      <c r="E89" t="n">
        <v>0.0</v>
      </c>
      <c r="F89"/>
      <c r="G89"/>
      <c r="H89" t="n">
        <v>0.0</v>
      </c>
      <c r="I89"/>
      <c r="J89"/>
      <c r="K89"/>
    </row>
    <row r="90" spans="1:2" ht="13.5" customHeight="true" x14ac:dyDescent="0.15" hidden="false">
      <c r="A90" t="s">
        <v>6942</v>
      </c>
      <c r="B90" t="n">
        <v>1.0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/>
      <c r="J90"/>
      <c r="K90"/>
    </row>
    <row r="91" spans="1:2" ht="13.5" customHeight="true" x14ac:dyDescent="0.15" hidden="false">
      <c r="A91" t="s">
        <v>6942</v>
      </c>
      <c r="B91" t="n">
        <v>2.0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/>
      <c r="J91"/>
      <c r="K91"/>
    </row>
    <row r="92" spans="1:2" ht="13.5" customHeight="true" x14ac:dyDescent="0.15" hidden="false">
      <c r="A92" t="s">
        <v>6942</v>
      </c>
      <c r="B92" t="n">
        <v>3.0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/>
      <c r="J92"/>
      <c r="K92"/>
    </row>
  </sheetData>
  <mergeCells count="5">
    <mergeCell ref="A1:A2"/>
    <mergeCell ref="B1:B2"/>
    <mergeCell ref="C1:E1"/>
    <mergeCell ref="F1:H1"/>
    <mergeCell ref="I1:K1"/>
  </mergeCells>
  <phoneticPr fontId="1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3.5" x14ac:dyDescent="0.15"/>
  <cols>
    <col min="1" max="1" bestFit="true" customWidth="true" width="20.44140625" collapsed="false"/>
    <col min="2" max="2" customWidth="true" width="29.77734375" collapsed="false"/>
    <col min="3" max="3" bestFit="true" customWidth="true" width="17.6640625" collapsed="false"/>
    <col min="4" max="4" bestFit="true" customWidth="true" width="17.44140625" collapsed="false"/>
  </cols>
  <sheetData>
    <row r="1" spans="1:4" x14ac:dyDescent="0.15">
      <c r="A1" s="3657" t="s">
        <v>7061</v>
      </c>
      <c r="B1" s="3657" t="s">
        <v>8923</v>
      </c>
    </row>
    <row r="2" spans="1:4" x14ac:dyDescent="0.15">
      <c r="A2" s="3657"/>
      <c r="B2" s="3657"/>
    </row>
    <row r="3" spans="1:4" x14ac:dyDescent="0.15">
      <c r="A3" s="2652" t="s">
        <v>7072</v>
      </c>
      <c r="B3" s="2651" t="s">
        <v>8924</v>
      </c>
    </row>
    <row r="4" spans="1:4" x14ac:dyDescent="0.15">
      <c r="A4" t="s">
        <v>7073</v>
      </c>
      <c r="B4" s="2651" t="s">
        <v>8926</v>
      </c>
    </row>
    <row r="5" spans="1:4" x14ac:dyDescent="0.15">
      <c r="A5" t="s">
        <v>7074</v>
      </c>
      <c r="B5" s="2651" t="s">
        <v>8927</v>
      </c>
    </row>
    <row r="6" spans="1:4" x14ac:dyDescent="0.15">
      <c r="A6" t="s">
        <v>7075</v>
      </c>
      <c r="B6" s="2651" t="s">
        <v>8928</v>
      </c>
    </row>
    <row r="7" spans="1:4" x14ac:dyDescent="0.15">
      <c r="A7" t="s">
        <v>7076</v>
      </c>
      <c r="B7" s="2651" t="s">
        <v>8929</v>
      </c>
    </row>
    <row r="8" spans="1:4" x14ac:dyDescent="0.15">
      <c r="A8" t="s">
        <v>7077</v>
      </c>
      <c r="B8" s="2651" t="s">
        <v>8930</v>
      </c>
    </row>
    <row r="9" spans="1:4" x14ac:dyDescent="0.15">
      <c r="A9" t="s">
        <v>7078</v>
      </c>
      <c r="B9" s="2651" t="s">
        <v>8931</v>
      </c>
    </row>
    <row r="10" spans="1:4" x14ac:dyDescent="0.15">
      <c r="A10" t="s">
        <v>7079</v>
      </c>
      <c r="B10" s="2651" t="s">
        <v>8932</v>
      </c>
    </row>
    <row r="11" spans="1:4" x14ac:dyDescent="0.15">
      <c r="A11" t="s">
        <v>7080</v>
      </c>
      <c r="B11" s="2651" t="s">
        <v>8933</v>
      </c>
    </row>
    <row r="12" spans="1:4" x14ac:dyDescent="0.15">
      <c r="A12" s="2652" t="s">
        <v>7081</v>
      </c>
      <c r="B12" s="2651" t="s">
        <v>9048</v>
      </c>
      <c r="C12" s="2677" t="s">
        <v>9050</v>
      </c>
      <c r="D12" s="2677" t="s">
        <v>9052</v>
      </c>
    </row>
    <row r="13" spans="1:4" x14ac:dyDescent="0.15">
      <c r="A13" t="s">
        <v>7082</v>
      </c>
      <c r="B13" s="2651" t="s">
        <v>8926</v>
      </c>
    </row>
    <row r="14" spans="1:4" x14ac:dyDescent="0.15">
      <c r="A14" t="s">
        <v>7083</v>
      </c>
      <c r="B14" s="2651" t="s">
        <v>8927</v>
      </c>
    </row>
    <row r="15" spans="1:4" x14ac:dyDescent="0.15">
      <c r="A15" t="s">
        <v>7084</v>
      </c>
      <c r="B15" s="2651" t="s">
        <v>8928</v>
      </c>
    </row>
    <row r="16" spans="1:4" x14ac:dyDescent="0.15">
      <c r="A16" t="s">
        <v>7085</v>
      </c>
      <c r="B16" s="2651" t="s">
        <v>8929</v>
      </c>
    </row>
    <row r="17" spans="1:4" x14ac:dyDescent="0.15">
      <c r="A17" t="s">
        <v>7086</v>
      </c>
      <c r="B17" s="2651" t="s">
        <v>8930</v>
      </c>
    </row>
    <row r="18" spans="1:4" x14ac:dyDescent="0.15">
      <c r="A18" t="s">
        <v>7087</v>
      </c>
      <c r="B18" s="2651" t="s">
        <v>8931</v>
      </c>
    </row>
    <row r="19" spans="1:4" x14ac:dyDescent="0.15">
      <c r="A19" t="s">
        <v>7088</v>
      </c>
      <c r="B19" s="2651" t="s">
        <v>8932</v>
      </c>
    </row>
    <row r="20" spans="1:4" x14ac:dyDescent="0.15">
      <c r="A20" t="s">
        <v>7089</v>
      </c>
      <c r="B20" s="2651" t="s">
        <v>8933</v>
      </c>
    </row>
    <row r="21" spans="1:4" x14ac:dyDescent="0.15">
      <c r="A21" s="2652" t="s">
        <v>7090</v>
      </c>
      <c r="B21" s="2651" t="s">
        <v>9048</v>
      </c>
      <c r="C21" s="2677" t="s">
        <v>9050</v>
      </c>
      <c r="D21" s="2677" t="s">
        <v>9052</v>
      </c>
    </row>
    <row r="22" spans="1:4" x14ac:dyDescent="0.15">
      <c r="A22" t="s">
        <v>7091</v>
      </c>
      <c r="B22" s="2651" t="s">
        <v>8926</v>
      </c>
    </row>
    <row r="23" spans="1:4" x14ac:dyDescent="0.15">
      <c r="A23" t="s">
        <v>7092</v>
      </c>
      <c r="B23" s="2651" t="s">
        <v>8927</v>
      </c>
    </row>
    <row r="24" spans="1:4" x14ac:dyDescent="0.15">
      <c r="A24" t="s">
        <v>7093</v>
      </c>
      <c r="B24" s="2651" t="s">
        <v>8928</v>
      </c>
    </row>
    <row r="25" spans="1:4" x14ac:dyDescent="0.15">
      <c r="A25" t="s">
        <v>7094</v>
      </c>
      <c r="B25" s="2651" t="s">
        <v>8929</v>
      </c>
    </row>
    <row r="26" spans="1:4" x14ac:dyDescent="0.15">
      <c r="A26" t="s">
        <v>7095</v>
      </c>
      <c r="B26" s="2651" t="s">
        <v>8930</v>
      </c>
    </row>
    <row r="27" spans="1:4" x14ac:dyDescent="0.15">
      <c r="A27" t="s">
        <v>7096</v>
      </c>
      <c r="B27" s="2651" t="s">
        <v>8931</v>
      </c>
    </row>
    <row r="28" spans="1:4" x14ac:dyDescent="0.15">
      <c r="A28" t="s">
        <v>7097</v>
      </c>
      <c r="B28" s="2651" t="s">
        <v>8932</v>
      </c>
    </row>
    <row r="29" spans="1:4" x14ac:dyDescent="0.15">
      <c r="A29" t="s">
        <v>7098</v>
      </c>
      <c r="B29" s="2651" t="s">
        <v>8933</v>
      </c>
    </row>
    <row r="30" spans="1:4" x14ac:dyDescent="0.15">
      <c r="A30" s="2652" t="s">
        <v>7099</v>
      </c>
      <c r="B30" s="2651" t="s">
        <v>9048</v>
      </c>
      <c r="C30" s="2677" t="s">
        <v>9050</v>
      </c>
      <c r="D30" s="2677" t="s">
        <v>9052</v>
      </c>
    </row>
    <row r="31" spans="1:4" x14ac:dyDescent="0.15">
      <c r="A31" t="s">
        <v>7100</v>
      </c>
      <c r="B31" s="2651" t="s">
        <v>8926</v>
      </c>
    </row>
    <row r="32" spans="1:4" x14ac:dyDescent="0.15">
      <c r="A32" t="s">
        <v>7101</v>
      </c>
      <c r="B32" s="2651" t="s">
        <v>8927</v>
      </c>
    </row>
    <row r="33" spans="1:2" x14ac:dyDescent="0.15">
      <c r="A33" t="s">
        <v>7102</v>
      </c>
      <c r="B33" s="2651" t="s">
        <v>8928</v>
      </c>
    </row>
    <row r="34" spans="1:2" x14ac:dyDescent="0.15">
      <c r="A34" t="s">
        <v>7103</v>
      </c>
      <c r="B34" s="2651" t="s">
        <v>8929</v>
      </c>
    </row>
    <row r="35" spans="1:2" x14ac:dyDescent="0.15">
      <c r="A35" t="s">
        <v>7104</v>
      </c>
      <c r="B35" s="2651" t="s">
        <v>8930</v>
      </c>
    </row>
    <row r="36" spans="1:2" x14ac:dyDescent="0.15">
      <c r="A36" t="s">
        <v>7105</v>
      </c>
      <c r="B36" s="2651" t="s">
        <v>8931</v>
      </c>
    </row>
    <row r="37" spans="1:2" x14ac:dyDescent="0.15">
      <c r="A37" t="s">
        <v>7106</v>
      </c>
      <c r="B37" s="2651" t="s">
        <v>8932</v>
      </c>
    </row>
    <row r="38" spans="1:2" x14ac:dyDescent="0.15">
      <c r="A38" t="s">
        <v>7107</v>
      </c>
      <c r="B38" s="2651" t="s">
        <v>8933</v>
      </c>
    </row>
    <row r="39" spans="1:2" x14ac:dyDescent="0.15">
      <c r="A39" s="2652" t="s">
        <v>7108</v>
      </c>
      <c r="B39" s="2651" t="s">
        <v>8924</v>
      </c>
    </row>
    <row r="40" spans="1:2" x14ac:dyDescent="0.15">
      <c r="A40" t="s">
        <v>7109</v>
      </c>
      <c r="B40" s="2651" t="s">
        <v>8926</v>
      </c>
    </row>
    <row r="41" spans="1:2" x14ac:dyDescent="0.15">
      <c r="A41" t="s">
        <v>7110</v>
      </c>
      <c r="B41" s="2651" t="s">
        <v>8927</v>
      </c>
    </row>
    <row r="42" spans="1:2" x14ac:dyDescent="0.15">
      <c r="A42" t="s">
        <v>7111</v>
      </c>
      <c r="B42" s="2651" t="s">
        <v>8928</v>
      </c>
    </row>
    <row r="43" spans="1:2" x14ac:dyDescent="0.15">
      <c r="A43" t="s">
        <v>7112</v>
      </c>
      <c r="B43" s="2651" t="s">
        <v>8929</v>
      </c>
    </row>
    <row r="44" spans="1:2" x14ac:dyDescent="0.15">
      <c r="A44" t="s">
        <v>7113</v>
      </c>
      <c r="B44" s="2651" t="s">
        <v>8930</v>
      </c>
    </row>
    <row r="45" spans="1:2" x14ac:dyDescent="0.15">
      <c r="A45" t="s">
        <v>7114</v>
      </c>
      <c r="B45" s="2651" t="s">
        <v>8931</v>
      </c>
    </row>
    <row r="46" spans="1:2" x14ac:dyDescent="0.15">
      <c r="A46" t="s">
        <v>7115</v>
      </c>
      <c r="B46" s="2651" t="s">
        <v>8932</v>
      </c>
    </row>
    <row r="47" spans="1:2" x14ac:dyDescent="0.15">
      <c r="A47" t="s">
        <v>7116</v>
      </c>
      <c r="B47" s="2651" t="s">
        <v>8933</v>
      </c>
    </row>
    <row r="48" spans="1:2" x14ac:dyDescent="0.15">
      <c r="A48" t="s">
        <v>7063</v>
      </c>
      <c r="B48" s="2651" t="s">
        <v>8934</v>
      </c>
    </row>
    <row r="49" spans="1:2" x14ac:dyDescent="0.15">
      <c r="A49" t="s">
        <v>7064</v>
      </c>
      <c r="B49" s="2651" t="s">
        <v>8935</v>
      </c>
    </row>
    <row r="50" spans="1:2" x14ac:dyDescent="0.15">
      <c r="A50" t="s">
        <v>7065</v>
      </c>
      <c r="B50" s="2651" t="s">
        <v>8936</v>
      </c>
    </row>
    <row r="51" spans="1:2" x14ac:dyDescent="0.15">
      <c r="A51" s="2652" t="s">
        <v>7117</v>
      </c>
      <c r="B51" s="2651" t="s">
        <v>8924</v>
      </c>
    </row>
    <row r="52" spans="1:2" x14ac:dyDescent="0.15">
      <c r="A52" t="s">
        <v>7118</v>
      </c>
      <c r="B52" s="2651" t="s">
        <v>8926</v>
      </c>
    </row>
    <row r="53" spans="1:2" x14ac:dyDescent="0.15">
      <c r="A53" t="s">
        <v>7119</v>
      </c>
      <c r="B53" s="2651" t="s">
        <v>8927</v>
      </c>
    </row>
    <row r="54" spans="1:2" x14ac:dyDescent="0.15">
      <c r="A54" t="s">
        <v>7120</v>
      </c>
      <c r="B54" s="2651" t="s">
        <v>8928</v>
      </c>
    </row>
    <row r="55" spans="1:2" x14ac:dyDescent="0.15">
      <c r="A55" t="s">
        <v>7121</v>
      </c>
      <c r="B55" s="2651" t="s">
        <v>8929</v>
      </c>
    </row>
    <row r="56" spans="1:2" x14ac:dyDescent="0.15">
      <c r="A56" t="s">
        <v>7122</v>
      </c>
      <c r="B56" s="2651" t="s">
        <v>8930</v>
      </c>
    </row>
    <row r="57" spans="1:2" x14ac:dyDescent="0.15">
      <c r="A57" t="s">
        <v>7123</v>
      </c>
      <c r="B57" s="2651" t="s">
        <v>8931</v>
      </c>
    </row>
    <row r="58" spans="1:2" x14ac:dyDescent="0.15">
      <c r="A58" t="s">
        <v>7124</v>
      </c>
      <c r="B58" s="2651" t="s">
        <v>8932</v>
      </c>
    </row>
    <row r="59" spans="1:2" x14ac:dyDescent="0.15">
      <c r="A59" t="s">
        <v>7125</v>
      </c>
      <c r="B59" s="2651" t="s">
        <v>8933</v>
      </c>
    </row>
    <row r="60" spans="1:2" x14ac:dyDescent="0.15">
      <c r="A60" t="s">
        <v>7066</v>
      </c>
      <c r="B60" s="2651" t="s">
        <v>8934</v>
      </c>
    </row>
    <row r="61" spans="1:2" x14ac:dyDescent="0.15">
      <c r="A61" t="s">
        <v>7067</v>
      </c>
      <c r="B61" s="2651" t="s">
        <v>8935</v>
      </c>
    </row>
    <row r="62" spans="1:2" x14ac:dyDescent="0.15">
      <c r="A62" t="s">
        <v>7068</v>
      </c>
      <c r="B62" s="2651" t="s">
        <v>8936</v>
      </c>
    </row>
    <row r="63" spans="1:2" x14ac:dyDescent="0.15">
      <c r="A63" s="2652" t="s">
        <v>7126</v>
      </c>
      <c r="B63" s="2651" t="s">
        <v>8924</v>
      </c>
    </row>
    <row r="64" spans="1:2" x14ac:dyDescent="0.15">
      <c r="A64" t="s">
        <v>7127</v>
      </c>
      <c r="B64" s="2651" t="s">
        <v>8926</v>
      </c>
    </row>
    <row r="65" spans="1:2" x14ac:dyDescent="0.15">
      <c r="A65" t="s">
        <v>7128</v>
      </c>
      <c r="B65" s="2651" t="s">
        <v>8927</v>
      </c>
    </row>
    <row r="66" spans="1:2" x14ac:dyDescent="0.15">
      <c r="A66" t="s">
        <v>7129</v>
      </c>
      <c r="B66" s="2651" t="s">
        <v>8928</v>
      </c>
    </row>
    <row r="67" spans="1:2" x14ac:dyDescent="0.15">
      <c r="A67" t="s">
        <v>7130</v>
      </c>
      <c r="B67" s="2651" t="s">
        <v>8929</v>
      </c>
    </row>
    <row r="68" spans="1:2" x14ac:dyDescent="0.15">
      <c r="A68" t="s">
        <v>7131</v>
      </c>
      <c r="B68" s="2651" t="s">
        <v>8930</v>
      </c>
    </row>
    <row r="69" spans="1:2" x14ac:dyDescent="0.15">
      <c r="A69" t="s">
        <v>7132</v>
      </c>
      <c r="B69" s="2651" t="s">
        <v>8931</v>
      </c>
    </row>
    <row r="70" spans="1:2" x14ac:dyDescent="0.15">
      <c r="A70" t="s">
        <v>7133</v>
      </c>
      <c r="B70" s="2651" t="s">
        <v>8932</v>
      </c>
    </row>
    <row r="71" spans="1:2" x14ac:dyDescent="0.15">
      <c r="A71" t="s">
        <v>7134</v>
      </c>
      <c r="B71" s="2651" t="s">
        <v>8933</v>
      </c>
    </row>
    <row r="72" spans="1:2" x14ac:dyDescent="0.15">
      <c r="A72" t="s">
        <v>7069</v>
      </c>
      <c r="B72" s="2651" t="s">
        <v>8934</v>
      </c>
    </row>
    <row r="73" spans="1:2" x14ac:dyDescent="0.15">
      <c r="A73" t="s">
        <v>7070</v>
      </c>
      <c r="B73" s="2651" t="s">
        <v>8935</v>
      </c>
    </row>
    <row r="74" spans="1:2" x14ac:dyDescent="0.15">
      <c r="A74" t="s">
        <v>7071</v>
      </c>
      <c r="B74" s="2651" t="s">
        <v>8936</v>
      </c>
    </row>
    <row r="75" spans="1:2" x14ac:dyDescent="0.15">
      <c r="A75" s="2652" t="s">
        <v>7135</v>
      </c>
      <c r="B75" s="2651" t="s">
        <v>8924</v>
      </c>
    </row>
    <row r="76" spans="1:2" x14ac:dyDescent="0.15">
      <c r="A76" t="s">
        <v>7136</v>
      </c>
      <c r="B76" s="2651" t="s">
        <v>8926</v>
      </c>
    </row>
    <row r="77" spans="1:2" x14ac:dyDescent="0.15">
      <c r="A77" t="s">
        <v>7137</v>
      </c>
      <c r="B77" s="2651" t="s">
        <v>8927</v>
      </c>
    </row>
    <row r="78" spans="1:2" x14ac:dyDescent="0.15">
      <c r="A78" t="s">
        <v>7138</v>
      </c>
      <c r="B78" s="2651" t="s">
        <v>8928</v>
      </c>
    </row>
    <row r="79" spans="1:2" x14ac:dyDescent="0.15">
      <c r="A79" t="s">
        <v>7139</v>
      </c>
      <c r="B79" s="2651" t="s">
        <v>8929</v>
      </c>
    </row>
    <row r="80" spans="1:2" x14ac:dyDescent="0.15">
      <c r="A80" t="s">
        <v>7140</v>
      </c>
      <c r="B80" s="2651" t="s">
        <v>8930</v>
      </c>
    </row>
    <row r="81" spans="1:4" x14ac:dyDescent="0.15">
      <c r="A81" t="s">
        <v>7141</v>
      </c>
      <c r="B81" s="2651" t="s">
        <v>8931</v>
      </c>
    </row>
    <row r="82" spans="1:4" x14ac:dyDescent="0.15">
      <c r="A82" t="s">
        <v>7142</v>
      </c>
      <c r="B82" s="2651" t="s">
        <v>8932</v>
      </c>
    </row>
    <row r="83" spans="1:4" x14ac:dyDescent="0.15">
      <c r="A83" t="s">
        <v>7143</v>
      </c>
      <c r="B83" s="2651" t="s">
        <v>8933</v>
      </c>
    </row>
    <row r="84" spans="1:4" x14ac:dyDescent="0.15">
      <c r="A84" t="s">
        <v>7144</v>
      </c>
      <c r="B84" s="2651" t="s">
        <v>8934</v>
      </c>
    </row>
    <row r="85" spans="1:4" x14ac:dyDescent="0.15">
      <c r="A85" t="s">
        <v>7145</v>
      </c>
      <c r="B85" s="2651" t="s">
        <v>8935</v>
      </c>
    </row>
    <row r="86" spans="1:4" x14ac:dyDescent="0.15">
      <c r="A86" t="s">
        <v>7146</v>
      </c>
      <c r="B86" s="2651" t="s">
        <v>8936</v>
      </c>
    </row>
    <row r="87" spans="1:4" x14ac:dyDescent="0.15">
      <c r="A87" s="2652" t="s">
        <v>7147</v>
      </c>
      <c r="B87" s="2651" t="s">
        <v>9048</v>
      </c>
      <c r="C87" s="2677" t="s">
        <v>9050</v>
      </c>
      <c r="D87" s="2677" t="s">
        <v>9052</v>
      </c>
    </row>
    <row r="88" spans="1:4" x14ac:dyDescent="0.15">
      <c r="A88" t="s">
        <v>7148</v>
      </c>
      <c r="B88" s="2651" t="s">
        <v>9053</v>
      </c>
      <c r="C88" s="2651" t="s">
        <v>9062</v>
      </c>
      <c r="D88" s="2651" t="s">
        <v>9071</v>
      </c>
    </row>
    <row r="89" spans="1:4" x14ac:dyDescent="0.15">
      <c r="A89" t="s">
        <v>7149</v>
      </c>
      <c r="B89" s="2651" t="s">
        <v>9054</v>
      </c>
      <c r="C89" s="2651" t="s">
        <v>9063</v>
      </c>
      <c r="D89" s="2651" t="s">
        <v>9072</v>
      </c>
    </row>
    <row r="90" spans="1:4" x14ac:dyDescent="0.15">
      <c r="A90" s="2652" t="s">
        <v>7150</v>
      </c>
      <c r="B90" s="2651" t="s">
        <v>9048</v>
      </c>
      <c r="C90" s="2677" t="s">
        <v>9050</v>
      </c>
      <c r="D90" s="2677" t="s">
        <v>9052</v>
      </c>
    </row>
    <row r="91" spans="1:4" x14ac:dyDescent="0.15">
      <c r="A91" t="s">
        <v>7151</v>
      </c>
      <c r="B91" s="2651" t="s">
        <v>9053</v>
      </c>
      <c r="C91" s="2651" t="s">
        <v>9062</v>
      </c>
      <c r="D91" s="2651" t="s">
        <v>9071</v>
      </c>
    </row>
    <row r="92" spans="1:4" x14ac:dyDescent="0.15">
      <c r="A92" t="s">
        <v>7152</v>
      </c>
      <c r="B92" s="2651" t="s">
        <v>9054</v>
      </c>
      <c r="C92" s="2651" t="s">
        <v>9063</v>
      </c>
      <c r="D92" s="2651" t="s">
        <v>9072</v>
      </c>
    </row>
    <row r="93" spans="1:4" x14ac:dyDescent="0.15">
      <c r="A93" s="2652" t="s">
        <v>9100</v>
      </c>
      <c r="B93" s="2651" t="s">
        <v>9048</v>
      </c>
      <c r="C93" s="2677" t="s">
        <v>9050</v>
      </c>
      <c r="D93" s="2677" t="s">
        <v>9052</v>
      </c>
    </row>
    <row r="94" spans="1:4" x14ac:dyDescent="0.15">
      <c r="A94" t="s">
        <v>9101</v>
      </c>
      <c r="B94" s="2651" t="s">
        <v>9053</v>
      </c>
      <c r="C94" s="2651" t="s">
        <v>9062</v>
      </c>
      <c r="D94" s="2651" t="s">
        <v>9071</v>
      </c>
    </row>
    <row r="95" spans="1:4" x14ac:dyDescent="0.15">
      <c r="A95" t="s">
        <v>9102</v>
      </c>
      <c r="B95" s="2651" t="s">
        <v>9054</v>
      </c>
      <c r="C95" s="2651" t="s">
        <v>9063</v>
      </c>
      <c r="D95" s="2651" t="s">
        <v>9072</v>
      </c>
    </row>
    <row r="96" spans="1:4" x14ac:dyDescent="0.15">
      <c r="A96" t="s">
        <v>9103</v>
      </c>
      <c r="B96" s="2651" t="s">
        <v>9055</v>
      </c>
      <c r="C96" s="2651" t="s">
        <v>9064</v>
      </c>
      <c r="D96" s="2651" t="s">
        <v>9073</v>
      </c>
    </row>
    <row r="97" spans="1:4" x14ac:dyDescent="0.15">
      <c r="A97" t="s">
        <v>9104</v>
      </c>
      <c r="B97" s="2651" t="s">
        <v>9056</v>
      </c>
      <c r="C97" s="2651" t="s">
        <v>9065</v>
      </c>
      <c r="D97" s="2651" t="s">
        <v>9074</v>
      </c>
    </row>
    <row r="98" spans="1:4" x14ac:dyDescent="0.15">
      <c r="A98" t="s">
        <v>9105</v>
      </c>
      <c r="B98" s="2651" t="s">
        <v>9057</v>
      </c>
      <c r="C98" s="2651" t="s">
        <v>9066</v>
      </c>
      <c r="D98" s="2651" t="s">
        <v>9075</v>
      </c>
    </row>
  </sheetData>
  <mergeCells count="2">
    <mergeCell ref="A1:A2"/>
    <mergeCell ref="B1:B2"/>
  </mergeCells>
  <phoneticPr fontId="1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3.5" x14ac:dyDescent="0.15"/>
  <cols>
    <col min="1" max="1" customWidth="true" width="3.88671875" collapsed="false"/>
    <col min="2" max="2" bestFit="true" customWidth="true" width="17.33203125" collapsed="false"/>
    <col min="3" max="3" bestFit="true" customWidth="true" width="19.109375" collapsed="false"/>
    <col min="4" max="4" bestFit="true" customWidth="true" style="124" width="38.21875" collapsed="false"/>
    <col min="5" max="5" style="50" width="8.6640625" collapsed="false"/>
    <col min="6" max="6" bestFit="true" customWidth="true" style="50" width="14.77734375" collapsed="false"/>
    <col min="7" max="7" customWidth="true" style="50" width="11.21875" collapsed="false"/>
    <col min="8" max="8" bestFit="true" customWidth="true" style="50" width="11.109375" collapsed="false"/>
    <col min="10" max="41" customWidth="true" width="4.109375" collapsed="false"/>
  </cols>
  <sheetData>
    <row r="1" spans="1:30" ht="14.25" thickBot="1" x14ac:dyDescent="0.2">
      <c r="J1" s="3673" t="s">
        <v>6317</v>
      </c>
      <c r="K1" s="3674"/>
      <c r="L1" s="3674"/>
      <c r="M1" s="3674"/>
      <c r="N1" s="3674"/>
      <c r="O1" s="3675"/>
    </row>
    <row r="2" spans="1:30" ht="14.45" customHeight="1" thickTop="1" x14ac:dyDescent="0.15">
      <c r="A2" s="3686" t="s">
        <v>6318</v>
      </c>
      <c r="B2" s="3695" t="s">
        <v>7022</v>
      </c>
      <c r="C2" s="3689" t="s">
        <v>6319</v>
      </c>
      <c r="D2" s="3684" t="s">
        <v>6320</v>
      </c>
      <c r="E2" s="3692" t="s">
        <v>6321</v>
      </c>
      <c r="F2" s="3682" t="s">
        <v>6322</v>
      </c>
      <c r="G2" s="3682" t="s">
        <v>6323</v>
      </c>
      <c r="H2" s="3682" t="s">
        <v>6324</v>
      </c>
      <c r="I2" s="3676" t="s">
        <v>6325</v>
      </c>
      <c r="J2" s="3678" t="s">
        <v>6326</v>
      </c>
      <c r="K2" s="3679"/>
      <c r="L2" s="3680"/>
      <c r="M2" s="3681" t="s">
        <v>5644</v>
      </c>
      <c r="N2" s="3679"/>
      <c r="O2" s="3679"/>
      <c r="P2" s="3679" t="s">
        <v>6327</v>
      </c>
      <c r="Q2" s="3679"/>
      <c r="R2" s="3679"/>
      <c r="S2" s="3679" t="s">
        <v>6328</v>
      </c>
      <c r="T2" s="3679"/>
      <c r="U2" s="3679"/>
      <c r="V2" s="3679" t="s">
        <v>6329</v>
      </c>
      <c r="W2" s="3679"/>
      <c r="X2" s="3679"/>
      <c r="Y2" s="3679" t="s">
        <v>6330</v>
      </c>
      <c r="Z2" s="3679"/>
      <c r="AA2" s="3679"/>
      <c r="AB2" s="3679" t="s">
        <v>4995</v>
      </c>
      <c r="AC2" s="3679"/>
      <c r="AD2" s="3684"/>
    </row>
    <row r="3" spans="1:30" ht="17.25" thickBot="1" x14ac:dyDescent="0.2">
      <c r="A3" s="3687"/>
      <c r="B3" s="3696"/>
      <c r="C3" s="3690"/>
      <c r="D3" s="3691"/>
      <c r="E3" s="3693"/>
      <c r="F3" s="3683"/>
      <c r="G3" s="3683"/>
      <c r="H3" s="3683"/>
      <c r="I3" s="3677"/>
      <c r="J3" s="197" t="s">
        <v>6331</v>
      </c>
      <c r="K3" s="198" t="s">
        <v>4575</v>
      </c>
      <c r="L3" s="199" t="s">
        <v>4723</v>
      </c>
      <c r="M3" s="200" t="s">
        <v>6331</v>
      </c>
      <c r="N3" s="198" t="s">
        <v>4575</v>
      </c>
      <c r="O3" s="201" t="s">
        <v>4723</v>
      </c>
      <c r="P3" s="202" t="s">
        <v>6331</v>
      </c>
      <c r="Q3" s="198" t="s">
        <v>4575</v>
      </c>
      <c r="R3" s="201" t="s">
        <v>4723</v>
      </c>
      <c r="S3" s="202" t="s">
        <v>6331</v>
      </c>
      <c r="T3" s="198" t="s">
        <v>4575</v>
      </c>
      <c r="U3" s="201" t="s">
        <v>4723</v>
      </c>
      <c r="V3" s="202" t="s">
        <v>6331</v>
      </c>
      <c r="W3" s="198" t="s">
        <v>4575</v>
      </c>
      <c r="X3" s="201" t="s">
        <v>4723</v>
      </c>
      <c r="Y3" s="202" t="s">
        <v>6331</v>
      </c>
      <c r="Z3" s="198" t="s">
        <v>4575</v>
      </c>
      <c r="AA3" s="201" t="s">
        <v>4723</v>
      </c>
      <c r="AB3" s="202" t="s">
        <v>6331</v>
      </c>
      <c r="AC3" s="198" t="s">
        <v>4575</v>
      </c>
      <c r="AD3" s="203" t="s">
        <v>4723</v>
      </c>
    </row>
    <row r="4" spans="1:30" x14ac:dyDescent="0.15">
      <c r="A4" s="3687"/>
      <c r="B4" s="251" t="s">
        <v>7049</v>
      </c>
      <c r="C4" s="2157" t="s">
        <v>4973</v>
      </c>
      <c r="D4" s="204" t="s">
        <v>4627</v>
      </c>
      <c r="E4" s="205">
        <v>400</v>
      </c>
      <c r="F4" s="206">
        <f>SQRT(3)*380*E4/1000</f>
        <v>263.27172275046934</v>
      </c>
      <c r="G4" s="206">
        <f t="shared" ref="G4:G11" si="0">$G$12*E4/$E$12</f>
        <v>200</v>
      </c>
      <c r="H4" s="2171" t="e">
        <f>220*(#REF!+#REF!+#REF!)/1000</f>
        <v>#REF!</v>
      </c>
      <c r="I4" s="207" t="e">
        <f>H4/G4</f>
        <v>#REF!</v>
      </c>
      <c r="J4" s="208">
        <f>COUNTA(#REF!)</f>
        <v>1</v>
      </c>
      <c r="K4" s="209" t="e">
        <f>COUNTIF(#REF!,각_층_분전반_부하량!K3)</f>
        <v>#REF!</v>
      </c>
      <c r="L4" s="210" t="e">
        <f>J4-K4</f>
        <v>#REF!</v>
      </c>
      <c r="M4" s="211">
        <f>COUNTA(#REF!)</f>
        <v>1</v>
      </c>
      <c r="N4" s="209" t="e">
        <f>COUNTIF(#REF!,각_층_분전반_부하량!N3)</f>
        <v>#REF!</v>
      </c>
      <c r="O4" s="209" t="e">
        <f>M4-N4</f>
        <v>#REF!</v>
      </c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12"/>
    </row>
    <row r="5" spans="1:30" x14ac:dyDescent="0.15">
      <c r="A5" s="3687"/>
      <c r="B5" s="251" t="s">
        <v>7050</v>
      </c>
      <c r="C5" s="1160" t="s">
        <v>4976</v>
      </c>
      <c r="D5" s="204" t="s">
        <v>4859</v>
      </c>
      <c r="E5" s="214">
        <v>400</v>
      </c>
      <c r="F5" s="215">
        <f>SQRT(3)*380*E5/1000</f>
        <v>263.27172275046934</v>
      </c>
      <c r="G5" s="215">
        <f t="shared" si="0"/>
        <v>200</v>
      </c>
      <c r="H5" s="2172" t="e">
        <f>220*(#REF!+#REF!+#REF!)/1000</f>
        <v>#REF!</v>
      </c>
      <c r="I5" s="216" t="e">
        <f>H5/G5</f>
        <v>#REF!</v>
      </c>
      <c r="J5" s="217">
        <f>COUNTA(#REF!)</f>
        <v>1</v>
      </c>
      <c r="K5" s="218" t="e">
        <f>COUNTIF(#REF!,각_층_분전반_부하량!K3)</f>
        <v>#REF!</v>
      </c>
      <c r="L5" s="219" t="e">
        <f>J5-K5</f>
        <v>#REF!</v>
      </c>
      <c r="M5" s="220">
        <f>COUNTA(#REF!)</f>
        <v>1</v>
      </c>
      <c r="N5" s="218" t="e">
        <f>COUNTIF(#REF!,각_층_분전반_부하량!N3)</f>
        <v>#REF!</v>
      </c>
      <c r="O5" s="218" t="e">
        <f>M5-N5</f>
        <v>#REF!</v>
      </c>
      <c r="P5" s="218"/>
      <c r="Q5" s="218"/>
      <c r="R5" s="218"/>
      <c r="S5" s="218"/>
      <c r="T5" s="218"/>
      <c r="U5" s="218"/>
      <c r="V5" s="218"/>
      <c r="W5" s="218"/>
      <c r="X5" s="218"/>
      <c r="Y5" s="218"/>
      <c r="Z5" s="218"/>
      <c r="AA5" s="218"/>
      <c r="AB5" s="218"/>
      <c r="AC5" s="218"/>
      <c r="AD5" s="221"/>
    </row>
    <row r="6" spans="1:30" x14ac:dyDescent="0.15">
      <c r="A6" s="3687"/>
      <c r="B6" s="251" t="s">
        <v>7051</v>
      </c>
      <c r="C6" s="2159" t="s">
        <v>4982</v>
      </c>
      <c r="D6" s="213" t="s">
        <v>4799</v>
      </c>
      <c r="E6" s="214">
        <v>300</v>
      </c>
      <c r="F6" s="215">
        <f>SQRT(3)*380*E6/1000</f>
        <v>197.45379206285202</v>
      </c>
      <c r="G6" s="215">
        <f t="shared" si="0"/>
        <v>150</v>
      </c>
      <c r="H6" s="2172" t="e">
        <f>220*(#REF!+#REF!+#REF!)/1000</f>
        <v>#REF!</v>
      </c>
      <c r="I6" s="216" t="e">
        <f>H6/G6</f>
        <v>#REF!</v>
      </c>
      <c r="J6" s="217"/>
      <c r="K6" s="218"/>
      <c r="L6" s="219"/>
      <c r="M6" s="220">
        <f>COUNTA(#REF!,#REF!)</f>
        <v>2</v>
      </c>
      <c r="N6" s="218" t="e">
        <f>SUM(COUNTIF(#REF!,각_층_분전반_부하량!N3),COUNTIF(#REF!,각_층_분전반_부하량!N3))</f>
        <v>#REF!</v>
      </c>
      <c r="O6" s="218" t="e">
        <f>M6-N6</f>
        <v>#REF!</v>
      </c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21"/>
    </row>
    <row r="7" spans="1:30" x14ac:dyDescent="0.15">
      <c r="A7" s="3687"/>
      <c r="B7" s="251" t="s">
        <v>7052</v>
      </c>
      <c r="C7" s="2158" t="s">
        <v>4984</v>
      </c>
      <c r="D7" s="213" t="s">
        <v>4714</v>
      </c>
      <c r="E7" s="214">
        <v>300</v>
      </c>
      <c r="F7" s="215">
        <f t="shared" ref="F7:F68" si="1">SQRT(3)*380*E7/1000</f>
        <v>197.45379206285202</v>
      </c>
      <c r="G7" s="215">
        <f t="shared" si="0"/>
        <v>150</v>
      </c>
      <c r="H7" s="2172" t="e">
        <f>220*(#REF!+#REF!+#REF!)/1000</f>
        <v>#REF!</v>
      </c>
      <c r="I7" s="216" t="e">
        <f t="shared" ref="I7:I69" si="2">H7/G7</f>
        <v>#REF!</v>
      </c>
      <c r="J7" s="217"/>
      <c r="K7" s="218"/>
      <c r="L7" s="219"/>
      <c r="M7" s="220">
        <f>COUNTA(#REF!,#REF!)</f>
        <v>2</v>
      </c>
      <c r="N7" s="218" t="e">
        <f>SUM(COUNTIF(#REF!,각_층_분전반_부하량!N3),COUNTIF(#REF!,각_층_분전반_부하량!N3))</f>
        <v>#REF!</v>
      </c>
      <c r="O7" s="218" t="e">
        <f>M7-N7</f>
        <v>#REF!</v>
      </c>
      <c r="P7" s="218"/>
      <c r="Q7" s="218"/>
      <c r="R7" s="218"/>
      <c r="S7" s="218"/>
      <c r="T7" s="218"/>
      <c r="U7" s="218"/>
      <c r="V7" s="218"/>
      <c r="W7" s="218"/>
      <c r="X7" s="218"/>
      <c r="Y7" s="218"/>
      <c r="Z7" s="218"/>
      <c r="AA7" s="218"/>
      <c r="AB7" s="218"/>
      <c r="AC7" s="218"/>
      <c r="AD7" s="221"/>
    </row>
    <row r="8" spans="1:30" x14ac:dyDescent="0.15">
      <c r="A8" s="3687"/>
      <c r="B8" s="251" t="s">
        <v>7053</v>
      </c>
      <c r="C8" s="2157" t="s">
        <v>4977</v>
      </c>
      <c r="D8" s="2161" t="s">
        <v>6332</v>
      </c>
      <c r="E8" s="214">
        <v>225</v>
      </c>
      <c r="F8" s="215">
        <f t="shared" si="1"/>
        <v>148.09034404713898</v>
      </c>
      <c r="G8" s="215">
        <f t="shared" si="0"/>
        <v>112.5</v>
      </c>
      <c r="H8" s="2172" t="e">
        <f>220*(#REF!+#REF!+#REF!)/1000</f>
        <v>#REF!</v>
      </c>
      <c r="I8" s="216" t="e">
        <f t="shared" si="2"/>
        <v>#REF!</v>
      </c>
      <c r="J8" s="217"/>
      <c r="K8" s="218"/>
      <c r="L8" s="219"/>
      <c r="M8" s="220"/>
      <c r="N8" s="218"/>
      <c r="O8" s="218"/>
      <c r="P8" s="218">
        <f>COUNTA(#REF!,#REF!)</f>
        <v>2</v>
      </c>
      <c r="Q8" s="218" t="e">
        <f>SUM(COUNTIF(#REF!,각_층_분전반_부하량!Q3),COUNTIF(#REF!,각_층_분전반_부하량!Q3))</f>
        <v>#REF!</v>
      </c>
      <c r="R8" s="218" t="e">
        <f>P8-Q8</f>
        <v>#REF!</v>
      </c>
      <c r="S8" s="218"/>
      <c r="T8" s="218"/>
      <c r="U8" s="218"/>
      <c r="V8" s="218"/>
      <c r="W8" s="218"/>
      <c r="X8" s="218"/>
      <c r="Y8" s="218"/>
      <c r="Z8" s="218"/>
      <c r="AA8" s="218"/>
      <c r="AB8" s="218"/>
      <c r="AC8" s="218"/>
      <c r="AD8" s="221"/>
    </row>
    <row r="9" spans="1:30" x14ac:dyDescent="0.15">
      <c r="A9" s="3687"/>
      <c r="B9" s="251" t="s">
        <v>7054</v>
      </c>
      <c r="C9" s="1160" t="s">
        <v>4979</v>
      </c>
      <c r="D9" s="2161" t="s">
        <v>6333</v>
      </c>
      <c r="E9" s="214">
        <v>225</v>
      </c>
      <c r="F9" s="215">
        <f t="shared" si="1"/>
        <v>148.09034404713898</v>
      </c>
      <c r="G9" s="215">
        <f t="shared" si="0"/>
        <v>112.5</v>
      </c>
      <c r="H9" s="2172" t="e">
        <f>220*(#REF!+#REF!+#REF!)/1000</f>
        <v>#REF!</v>
      </c>
      <c r="I9" s="216" t="e">
        <f t="shared" si="2"/>
        <v>#REF!</v>
      </c>
      <c r="J9" s="217"/>
      <c r="K9" s="218"/>
      <c r="L9" s="219"/>
      <c r="M9" s="220"/>
      <c r="N9" s="218"/>
      <c r="O9" s="218"/>
      <c r="P9" s="218">
        <f>COUNTA(#REF!,#REF!)</f>
        <v>2</v>
      </c>
      <c r="Q9" s="218" t="e">
        <f>SUM(COUNTIF(#REF!,각_층_분전반_부하량!Q3),COUNTIF(#REF!,각_층_분전반_부하량!Q3))</f>
        <v>#REF!</v>
      </c>
      <c r="R9" s="218" t="e">
        <f>P9-Q9</f>
        <v>#REF!</v>
      </c>
      <c r="S9" s="218"/>
      <c r="T9" s="218"/>
      <c r="U9" s="218"/>
      <c r="V9" s="218"/>
      <c r="W9" s="218"/>
      <c r="X9" s="218"/>
      <c r="Y9" s="218"/>
      <c r="Z9" s="218"/>
      <c r="AA9" s="218"/>
      <c r="AB9" s="218"/>
      <c r="AC9" s="218"/>
      <c r="AD9" s="221"/>
    </row>
    <row r="10" spans="1:30" x14ac:dyDescent="0.15">
      <c r="A10" s="3687"/>
      <c r="B10" s="251" t="s">
        <v>7055</v>
      </c>
      <c r="C10" s="2157" t="s">
        <v>6334</v>
      </c>
      <c r="D10" s="204" t="s">
        <v>4959</v>
      </c>
      <c r="E10" s="214">
        <v>400</v>
      </c>
      <c r="F10" s="215">
        <f t="shared" si="1"/>
        <v>263.27172275046934</v>
      </c>
      <c r="G10" s="215">
        <f t="shared" si="0"/>
        <v>200</v>
      </c>
      <c r="H10" s="2172" t="e">
        <f>SQRT(3)*380*((#REF!+#REF!+#REF!)/3)/1000</f>
        <v>#REF!</v>
      </c>
      <c r="I10" s="216" t="e">
        <f t="shared" si="2"/>
        <v>#REF!</v>
      </c>
      <c r="J10" s="217"/>
      <c r="K10" s="218"/>
      <c r="L10" s="219"/>
      <c r="M10" s="220"/>
      <c r="N10" s="218"/>
      <c r="O10" s="218"/>
      <c r="P10" s="218"/>
      <c r="Q10" s="218"/>
      <c r="R10" s="218"/>
      <c r="S10" s="218">
        <f>COUNTA(#REF!,#REF!)</f>
        <v>2</v>
      </c>
      <c r="T10" s="218" t="e">
        <f>SUM(COUNTIF(#REF!,각_층_분전반_부하량!T3),COUNTIF(#REF!,각_층_분전반_부하량!T3))</f>
        <v>#REF!</v>
      </c>
      <c r="U10" s="218" t="e">
        <f>S10-T10</f>
        <v>#REF!</v>
      </c>
      <c r="V10" s="218">
        <f>COUNTA(#REF!,#REF!)</f>
        <v>2</v>
      </c>
      <c r="W10" s="218" t="e">
        <f>SUM(COUNTIF(#REF!,각_층_분전반_부하량!W3),COUNTIF(#REF!,각_층_분전반_부하량!W3))</f>
        <v>#REF!</v>
      </c>
      <c r="X10" s="218" t="e">
        <f>V10-W10</f>
        <v>#REF!</v>
      </c>
      <c r="Y10" s="218"/>
      <c r="Z10" s="218"/>
      <c r="AA10" s="218"/>
      <c r="AB10" s="218"/>
      <c r="AC10" s="218"/>
      <c r="AD10" s="221"/>
    </row>
    <row r="11" spans="1:30" x14ac:dyDescent="0.15">
      <c r="A11" s="3687"/>
      <c r="B11" s="251" t="s">
        <v>7056</v>
      </c>
      <c r="C11" s="1160" t="s">
        <v>6335</v>
      </c>
      <c r="D11" s="204" t="s">
        <v>4965</v>
      </c>
      <c r="E11" s="214">
        <v>400</v>
      </c>
      <c r="F11" s="215">
        <f t="shared" si="1"/>
        <v>263.27172275046934</v>
      </c>
      <c r="G11" s="215">
        <f t="shared" si="0"/>
        <v>200</v>
      </c>
      <c r="H11" s="2172" t="e">
        <f>SQRT(3)*380*((#REF!+#REF!+#REF!)/3)/1000</f>
        <v>#REF!</v>
      </c>
      <c r="I11" s="216" t="e">
        <f t="shared" si="2"/>
        <v>#REF!</v>
      </c>
      <c r="J11" s="217"/>
      <c r="K11" s="218"/>
      <c r="L11" s="219"/>
      <c r="M11" s="220"/>
      <c r="N11" s="218"/>
      <c r="O11" s="218"/>
      <c r="P11" s="218"/>
      <c r="Q11" s="218"/>
      <c r="R11" s="218"/>
      <c r="S11" s="218"/>
      <c r="T11" s="218"/>
      <c r="U11" s="218"/>
      <c r="V11" s="218">
        <f>COUNTA(#REF!,#REF!)</f>
        <v>2</v>
      </c>
      <c r="W11" s="218" t="e">
        <f>SUM(COUNTIF(#REF!,각_층_분전반_부하량!W3),COUNTIF(#REF!,각_층_분전반_부하량!W3))</f>
        <v>#REF!</v>
      </c>
      <c r="X11" s="218" t="e">
        <f>V11-W11</f>
        <v>#REF!</v>
      </c>
      <c r="Y11" s="218">
        <f>COUNTA(#REF!,#REF!)</f>
        <v>2</v>
      </c>
      <c r="Z11" s="218" t="e">
        <f>SUM(COUNTIF(#REF!,각_층_분전반_부하량!Z3),COUNTIF(#REF!,각_층_분전반_부하량!Z3))</f>
        <v>#REF!</v>
      </c>
      <c r="AA11" s="218" t="e">
        <f>Y11-Z11</f>
        <v>#REF!</v>
      </c>
      <c r="AB11" s="218"/>
      <c r="AC11" s="218"/>
      <c r="AD11" s="221"/>
    </row>
    <row r="12" spans="1:30" ht="14.25" thickBot="1" x14ac:dyDescent="0.2">
      <c r="A12" s="3688"/>
      <c r="B12" s="2553"/>
      <c r="C12" s="2173" t="s">
        <v>6331</v>
      </c>
      <c r="D12" s="2174" t="s">
        <v>6331</v>
      </c>
      <c r="E12" s="2175">
        <f>E7+E6+E10+E11</f>
        <v>1400</v>
      </c>
      <c r="F12" s="2176">
        <f>F7+F6+F10+F11</f>
        <v>921.45102962664259</v>
      </c>
      <c r="G12" s="2177">
        <v>700</v>
      </c>
      <c r="H12" s="2178" t="e">
        <f>H7+H6+H10+H11</f>
        <v>#REF!</v>
      </c>
      <c r="I12" s="2179" t="e">
        <f t="shared" si="2"/>
        <v>#REF!</v>
      </c>
      <c r="J12" s="222"/>
      <c r="K12" s="223"/>
      <c r="L12" s="224"/>
      <c r="M12" s="225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>
        <f>COUNTA(#REF!,#REF!)</f>
        <v>2</v>
      </c>
      <c r="AC12" s="223" t="e">
        <f>SUM(COUNTIF(#REF!,각_층_분전반_부하량!AC3),COUNTIF(#REF!,각_층_분전반_부하량!AC3))</f>
        <v>#REF!</v>
      </c>
      <c r="AD12" s="226" t="e">
        <f>AB12-AC12</f>
        <v>#REF!</v>
      </c>
    </row>
    <row r="13" spans="1:30" ht="14.45" customHeight="1" thickTop="1" x14ac:dyDescent="0.15">
      <c r="A13" s="3686" t="s">
        <v>6336</v>
      </c>
      <c r="B13" s="3695" t="s">
        <v>7022</v>
      </c>
      <c r="C13" s="3689" t="s">
        <v>6319</v>
      </c>
      <c r="D13" s="3684" t="s">
        <v>6320</v>
      </c>
      <c r="E13" s="3692" t="s">
        <v>6321</v>
      </c>
      <c r="F13" s="3682" t="s">
        <v>6322</v>
      </c>
      <c r="G13" s="3682" t="s">
        <v>6323</v>
      </c>
      <c r="H13" s="3682" t="s">
        <v>6324</v>
      </c>
      <c r="I13" s="3676" t="s">
        <v>6325</v>
      </c>
      <c r="J13" s="3678" t="s">
        <v>5644</v>
      </c>
      <c r="K13" s="3679"/>
      <c r="L13" s="3680"/>
      <c r="M13" s="3685"/>
      <c r="N13" s="3657"/>
      <c r="O13" s="3657"/>
    </row>
    <row r="14" spans="1:30" ht="17.25" thickBot="1" x14ac:dyDescent="0.2">
      <c r="A14" s="3687"/>
      <c r="B14" s="3696"/>
      <c r="C14" s="3690"/>
      <c r="D14" s="3691"/>
      <c r="E14" s="3693"/>
      <c r="F14" s="3683"/>
      <c r="G14" s="3683"/>
      <c r="H14" s="3683"/>
      <c r="I14" s="3677"/>
      <c r="J14" s="197" t="s">
        <v>6331</v>
      </c>
      <c r="K14" s="198" t="s">
        <v>4575</v>
      </c>
      <c r="L14" s="199" t="s">
        <v>4723</v>
      </c>
      <c r="M14" s="50"/>
      <c r="N14" s="196"/>
      <c r="O14" s="133"/>
      <c r="P14" s="50"/>
      <c r="Q14" s="196"/>
      <c r="R14" s="133"/>
      <c r="S14" s="50"/>
      <c r="T14" s="196"/>
      <c r="U14" s="133"/>
      <c r="V14" s="50"/>
      <c r="W14" s="196"/>
      <c r="X14" s="133"/>
      <c r="Y14" s="50"/>
      <c r="Z14" s="196"/>
      <c r="AA14" s="133"/>
      <c r="AB14" s="50"/>
      <c r="AC14" s="196"/>
      <c r="AD14" s="133"/>
    </row>
    <row r="15" spans="1:30" x14ac:dyDescent="0.15">
      <c r="A15" s="3687"/>
      <c r="B15" s="251" t="s">
        <v>7003</v>
      </c>
      <c r="C15" s="2159" t="s">
        <v>6337</v>
      </c>
      <c r="D15" s="213" t="s">
        <v>6338</v>
      </c>
      <c r="E15" s="214">
        <v>200</v>
      </c>
      <c r="F15" s="215">
        <f t="shared" si="1"/>
        <v>131.63586137523467</v>
      </c>
      <c r="G15" s="215">
        <f t="shared" ref="G15:G28" si="3">$G$29*E15/$E$29</f>
        <v>41.176470588235297</v>
      </c>
      <c r="H15" s="2172" t="e">
        <f>220*(#REF!+#REF!+#REF!)/1000</f>
        <v>#REF!</v>
      </c>
      <c r="I15" s="216" t="e">
        <f t="shared" si="2"/>
        <v>#REF!</v>
      </c>
      <c r="J15" s="217">
        <f>COUNTA(#REF!,#REF!)</f>
        <v>2</v>
      </c>
      <c r="K15" s="218" t="e">
        <f>SUM(COUNTIF(#REF!,각_층_분전반_부하량!K14),COUNTIF(#REF!,각_층_분전반_부하량!K14))</f>
        <v>#REF!</v>
      </c>
      <c r="L15" s="219" t="e">
        <f t="shared" ref="L15:L28" si="4">J15-K15</f>
        <v>#REF!</v>
      </c>
    </row>
    <row r="16" spans="1:30" x14ac:dyDescent="0.15">
      <c r="A16" s="3687"/>
      <c r="B16" s="251" t="s">
        <v>7004</v>
      </c>
      <c r="C16" s="2158" t="s">
        <v>6339</v>
      </c>
      <c r="D16" s="213" t="s">
        <v>6340</v>
      </c>
      <c r="E16" s="214">
        <v>200</v>
      </c>
      <c r="F16" s="215">
        <f t="shared" si="1"/>
        <v>131.63586137523467</v>
      </c>
      <c r="G16" s="215">
        <f t="shared" si="3"/>
        <v>41.176470588235297</v>
      </c>
      <c r="H16" s="2172" t="e">
        <f>220*(#REF!+#REF!+#REF!)/1000</f>
        <v>#REF!</v>
      </c>
      <c r="I16" s="216" t="e">
        <f t="shared" si="2"/>
        <v>#REF!</v>
      </c>
      <c r="J16" s="217">
        <f>COUNTA(#REF!,#REF!)</f>
        <v>2</v>
      </c>
      <c r="K16" s="218" t="e">
        <f>SUM(COUNTIF(#REF!,각_층_분전반_부하량!K14),COUNTIF(#REF!,각_층_분전반_부하량!K14))</f>
        <v>#REF!</v>
      </c>
      <c r="L16" s="219" t="e">
        <f t="shared" si="4"/>
        <v>#REF!</v>
      </c>
    </row>
    <row r="17" spans="1:33" x14ac:dyDescent="0.15">
      <c r="A17" s="3687"/>
      <c r="B17" s="251" t="s">
        <v>7005</v>
      </c>
      <c r="C17" s="2159" t="s">
        <v>6341</v>
      </c>
      <c r="D17" s="213" t="s">
        <v>6342</v>
      </c>
      <c r="E17" s="214">
        <v>200</v>
      </c>
      <c r="F17" s="215">
        <f t="shared" si="1"/>
        <v>131.63586137523467</v>
      </c>
      <c r="G17" s="215">
        <f t="shared" si="3"/>
        <v>41.176470588235297</v>
      </c>
      <c r="H17" s="2172" t="e">
        <f>220*(#REF!+#REF!+#REF!)/1000</f>
        <v>#REF!</v>
      </c>
      <c r="I17" s="216" t="e">
        <f t="shared" si="2"/>
        <v>#REF!</v>
      </c>
      <c r="J17" s="217">
        <f>COUNTA(#REF!,#REF!)</f>
        <v>2</v>
      </c>
      <c r="K17" s="218" t="e">
        <f>SUM(COUNTIF(#REF!,각_층_분전반_부하량!K14),COUNTIF(#REF!,각_층_분전반_부하량!K14))</f>
        <v>#REF!</v>
      </c>
      <c r="L17" s="219" t="e">
        <f t="shared" si="4"/>
        <v>#REF!</v>
      </c>
    </row>
    <row r="18" spans="1:33" x14ac:dyDescent="0.15">
      <c r="A18" s="3687"/>
      <c r="B18" s="251" t="s">
        <v>7006</v>
      </c>
      <c r="C18" s="2158" t="s">
        <v>6343</v>
      </c>
      <c r="D18" s="213" t="s">
        <v>6344</v>
      </c>
      <c r="E18" s="214">
        <v>200</v>
      </c>
      <c r="F18" s="215">
        <f t="shared" si="1"/>
        <v>131.63586137523467</v>
      </c>
      <c r="G18" s="215">
        <f t="shared" si="3"/>
        <v>41.176470588235297</v>
      </c>
      <c r="H18" s="2172" t="e">
        <f>220*(#REF!+#REF!+#REF!)/1000</f>
        <v>#REF!</v>
      </c>
      <c r="I18" s="216" t="e">
        <f t="shared" si="2"/>
        <v>#REF!</v>
      </c>
      <c r="J18" s="217">
        <f>COUNTA(#REF!,#REF!)</f>
        <v>2</v>
      </c>
      <c r="K18" s="218" t="e">
        <f>SUM(COUNTIF(#REF!,각_층_분전반_부하량!K14),COUNTIF(#REF!,각_층_분전반_부하량!K14))</f>
        <v>#REF!</v>
      </c>
      <c r="L18" s="219" t="e">
        <f t="shared" si="4"/>
        <v>#REF!</v>
      </c>
    </row>
    <row r="19" spans="1:33" x14ac:dyDescent="0.15">
      <c r="A19" s="3687"/>
      <c r="B19" s="251" t="s">
        <v>7007</v>
      </c>
      <c r="C19" s="2159" t="s">
        <v>6345</v>
      </c>
      <c r="D19" s="213" t="s">
        <v>6346</v>
      </c>
      <c r="E19" s="214">
        <v>300</v>
      </c>
      <c r="F19" s="215">
        <f t="shared" si="1"/>
        <v>197.45379206285202</v>
      </c>
      <c r="G19" s="215">
        <f t="shared" si="3"/>
        <v>61.764705882352942</v>
      </c>
      <c r="H19" s="2172" t="e">
        <f>220*(#REF!+#REF!+#REF!)/1000</f>
        <v>#REF!</v>
      </c>
      <c r="I19" s="216" t="e">
        <f t="shared" si="2"/>
        <v>#REF!</v>
      </c>
      <c r="J19" s="217">
        <f>COUNTA(#REF!,#REF!)</f>
        <v>2</v>
      </c>
      <c r="K19" s="218" t="e">
        <f>SUM(COUNTIF(#REF!,각_층_분전반_부하량!K14),COUNTIF(#REF!,각_층_분전반_부하량!K14))</f>
        <v>#REF!</v>
      </c>
      <c r="L19" s="219" t="e">
        <f t="shared" si="4"/>
        <v>#REF!</v>
      </c>
    </row>
    <row r="20" spans="1:33" x14ac:dyDescent="0.15">
      <c r="A20" s="3687"/>
      <c r="B20" s="251" t="s">
        <v>7008</v>
      </c>
      <c r="C20" s="2158" t="s">
        <v>6347</v>
      </c>
      <c r="D20" s="213" t="s">
        <v>6348</v>
      </c>
      <c r="E20" s="214">
        <v>300</v>
      </c>
      <c r="F20" s="215">
        <f t="shared" si="1"/>
        <v>197.45379206285202</v>
      </c>
      <c r="G20" s="215">
        <f t="shared" si="3"/>
        <v>61.764705882352942</v>
      </c>
      <c r="H20" s="2172" t="e">
        <f>220*(#REF!+#REF!+#REF!)/1000</f>
        <v>#REF!</v>
      </c>
      <c r="I20" s="216" t="e">
        <f t="shared" si="2"/>
        <v>#REF!</v>
      </c>
      <c r="J20" s="217">
        <f>COUNTA(#REF!,#REF!)</f>
        <v>2</v>
      </c>
      <c r="K20" s="218" t="e">
        <f>SUM(COUNTIF(#REF!,각_층_분전반_부하량!K14),COUNTIF(#REF!,각_층_분전반_부하량!K14))</f>
        <v>#REF!</v>
      </c>
      <c r="L20" s="219" t="e">
        <f t="shared" si="4"/>
        <v>#REF!</v>
      </c>
    </row>
    <row r="21" spans="1:33" x14ac:dyDescent="0.15">
      <c r="A21" s="3687"/>
      <c r="B21" s="251" t="s">
        <v>7009</v>
      </c>
      <c r="C21" s="2159" t="s">
        <v>6349</v>
      </c>
      <c r="D21" s="213" t="s">
        <v>6350</v>
      </c>
      <c r="E21" s="214">
        <v>300</v>
      </c>
      <c r="F21" s="215">
        <f t="shared" si="1"/>
        <v>197.45379206285202</v>
      </c>
      <c r="G21" s="215">
        <f t="shared" si="3"/>
        <v>61.764705882352942</v>
      </c>
      <c r="H21" s="2172" t="e">
        <f>220*(#REF!+#REF!+#REF!)/1000</f>
        <v>#REF!</v>
      </c>
      <c r="I21" s="216" t="e">
        <f t="shared" si="2"/>
        <v>#REF!</v>
      </c>
      <c r="J21" s="217">
        <f>COUNTA(#REF!,#REF!)</f>
        <v>2</v>
      </c>
      <c r="K21" s="218" t="e">
        <f>SUM(COUNTIF(#REF!,각_층_분전반_부하량!K14),COUNTIF(#REF!,각_층_분전반_부하량!K14))</f>
        <v>#REF!</v>
      </c>
      <c r="L21" s="219" t="e">
        <f t="shared" si="4"/>
        <v>#REF!</v>
      </c>
    </row>
    <row r="22" spans="1:33" x14ac:dyDescent="0.15">
      <c r="A22" s="3687"/>
      <c r="B22" s="251" t="s">
        <v>7010</v>
      </c>
      <c r="C22" s="2158" t="s">
        <v>6351</v>
      </c>
      <c r="D22" s="213" t="s">
        <v>6352</v>
      </c>
      <c r="E22" s="214">
        <v>300</v>
      </c>
      <c r="F22" s="215">
        <f t="shared" si="1"/>
        <v>197.45379206285202</v>
      </c>
      <c r="G22" s="215">
        <f t="shared" si="3"/>
        <v>61.764705882352942</v>
      </c>
      <c r="H22" s="2172" t="e">
        <f>220*(#REF!+#REF!+#REF!)/1000</f>
        <v>#REF!</v>
      </c>
      <c r="I22" s="216" t="e">
        <f t="shared" si="2"/>
        <v>#REF!</v>
      </c>
      <c r="J22" s="217">
        <f>COUNTA(#REF!,#REF!)</f>
        <v>2</v>
      </c>
      <c r="K22" s="218" t="e">
        <f>SUM(COUNTIF(#REF!,각_층_분전반_부하량!K14),COUNTIF(#REF!,각_층_분전반_부하량!K14))</f>
        <v>#REF!</v>
      </c>
      <c r="L22" s="219" t="e">
        <f t="shared" si="4"/>
        <v>#REF!</v>
      </c>
    </row>
    <row r="23" spans="1:33" x14ac:dyDescent="0.15">
      <c r="A23" s="3687"/>
      <c r="B23" s="251" t="s">
        <v>6999</v>
      </c>
      <c r="C23" s="2159" t="s">
        <v>6353</v>
      </c>
      <c r="D23" s="213" t="s">
        <v>6354</v>
      </c>
      <c r="E23" s="214">
        <v>200</v>
      </c>
      <c r="F23" s="215">
        <f t="shared" si="1"/>
        <v>131.63586137523467</v>
      </c>
      <c r="G23" s="215">
        <f t="shared" si="3"/>
        <v>41.176470588235297</v>
      </c>
      <c r="H23" s="2172" t="e">
        <f>220*(#REF!+#REF!+#REF!)/1000</f>
        <v>#REF!</v>
      </c>
      <c r="I23" s="216" t="e">
        <f t="shared" si="2"/>
        <v>#REF!</v>
      </c>
      <c r="J23" s="217">
        <f>COUNTA(#REF!,#REF!)</f>
        <v>2</v>
      </c>
      <c r="K23" s="218" t="e">
        <f>SUM(COUNTIF(#REF!,각_층_분전반_부하량!K14),COUNTIF(#REF!,각_층_분전반_부하량!K14))</f>
        <v>#REF!</v>
      </c>
      <c r="L23" s="219" t="e">
        <f t="shared" si="4"/>
        <v>#REF!</v>
      </c>
      <c r="N23" s="50"/>
    </row>
    <row r="24" spans="1:33" x14ac:dyDescent="0.15">
      <c r="A24" s="3687"/>
      <c r="B24" s="251" t="s">
        <v>7000</v>
      </c>
      <c r="C24" s="2158" t="s">
        <v>6355</v>
      </c>
      <c r="D24" s="213" t="s">
        <v>6356</v>
      </c>
      <c r="E24" s="214">
        <v>200</v>
      </c>
      <c r="F24" s="215">
        <f t="shared" si="1"/>
        <v>131.63586137523467</v>
      </c>
      <c r="G24" s="215">
        <f t="shared" si="3"/>
        <v>41.176470588235297</v>
      </c>
      <c r="H24" s="2172" t="e">
        <f>220*(#REF!+#REF!+#REF!)/1000</f>
        <v>#REF!</v>
      </c>
      <c r="I24" s="216" t="e">
        <f t="shared" si="2"/>
        <v>#REF!</v>
      </c>
      <c r="J24" s="217">
        <f>COUNTA(#REF!,#REF!)</f>
        <v>2</v>
      </c>
      <c r="K24" s="218" t="e">
        <f>SUM(COUNTIF(#REF!,각_층_분전반_부하량!K14),COUNTIF(#REF!,각_층_분전반_부하량!K14))</f>
        <v>#REF!</v>
      </c>
      <c r="L24" s="219" t="e">
        <f t="shared" si="4"/>
        <v>#REF!</v>
      </c>
    </row>
    <row r="25" spans="1:33" x14ac:dyDescent="0.15">
      <c r="A25" s="3687"/>
      <c r="B25" s="251" t="s">
        <v>7001</v>
      </c>
      <c r="C25" s="2159" t="s">
        <v>6357</v>
      </c>
      <c r="D25" s="213" t="s">
        <v>6358</v>
      </c>
      <c r="E25" s="214">
        <v>200</v>
      </c>
      <c r="F25" s="215">
        <f t="shared" si="1"/>
        <v>131.63586137523467</v>
      </c>
      <c r="G25" s="215">
        <f t="shared" si="3"/>
        <v>41.176470588235297</v>
      </c>
      <c r="H25" s="2172" t="e">
        <f>220*(#REF!+#REF!+#REF!)/1000</f>
        <v>#REF!</v>
      </c>
      <c r="I25" s="216" t="e">
        <f t="shared" si="2"/>
        <v>#REF!</v>
      </c>
      <c r="J25" s="217">
        <f>COUNTA(#REF!,#REF!)</f>
        <v>2</v>
      </c>
      <c r="K25" s="218" t="e">
        <f>SUM(COUNTIF(#REF!,각_층_분전반_부하량!K14),COUNTIF(#REF!,각_층_분전반_부하량!K14))</f>
        <v>#REF!</v>
      </c>
      <c r="L25" s="219" t="e">
        <f t="shared" si="4"/>
        <v>#REF!</v>
      </c>
    </row>
    <row r="26" spans="1:33" x14ac:dyDescent="0.15">
      <c r="A26" s="3687"/>
      <c r="B26" s="251" t="s">
        <v>7002</v>
      </c>
      <c r="C26" s="2158" t="s">
        <v>6359</v>
      </c>
      <c r="D26" s="213" t="s">
        <v>6360</v>
      </c>
      <c r="E26" s="214">
        <v>200</v>
      </c>
      <c r="F26" s="215">
        <f t="shared" si="1"/>
        <v>131.63586137523467</v>
      </c>
      <c r="G26" s="215">
        <f t="shared" si="3"/>
        <v>41.176470588235297</v>
      </c>
      <c r="H26" s="2172" t="e">
        <f>220*(#REF!+#REF!+#REF!)/1000</f>
        <v>#REF!</v>
      </c>
      <c r="I26" s="216" t="e">
        <f t="shared" si="2"/>
        <v>#REF!</v>
      </c>
      <c r="J26" s="217">
        <f>COUNTA(#REF!,#REF!)</f>
        <v>2</v>
      </c>
      <c r="K26" s="218" t="e">
        <f>SUM(COUNTIF(#REF!,각_층_분전반_부하량!K14),COUNTIF(#REF!,각_층_분전반_부하량!K14))</f>
        <v>#REF!</v>
      </c>
      <c r="L26" s="219" t="e">
        <f t="shared" si="4"/>
        <v>#REF!</v>
      </c>
    </row>
    <row r="27" spans="1:33" x14ac:dyDescent="0.15">
      <c r="A27" s="3687"/>
      <c r="B27" s="251" t="s">
        <v>6997</v>
      </c>
      <c r="C27" s="2159" t="s">
        <v>6361</v>
      </c>
      <c r="D27" s="213" t="s">
        <v>6362</v>
      </c>
      <c r="E27" s="205">
        <v>300</v>
      </c>
      <c r="F27" s="206">
        <f t="shared" si="1"/>
        <v>197.45379206285202</v>
      </c>
      <c r="G27" s="206">
        <f t="shared" si="3"/>
        <v>61.764705882352942</v>
      </c>
      <c r="H27" s="2171" t="e">
        <f>220*(#REF!+#REF!+#REF!)/1000</f>
        <v>#REF!</v>
      </c>
      <c r="I27" s="207" t="e">
        <f t="shared" si="2"/>
        <v>#REF!</v>
      </c>
      <c r="J27" s="208">
        <f>COUNTA(#REF!,#REF!)</f>
        <v>2</v>
      </c>
      <c r="K27" s="209" t="e">
        <f>SUM(COUNTIF(#REF!,각_층_분전반_부하량!K14),COUNTIF(#REF!,각_층_분전반_부하량!K14))</f>
        <v>#REF!</v>
      </c>
      <c r="L27" s="210" t="e">
        <f t="shared" si="4"/>
        <v>#REF!</v>
      </c>
      <c r="N27" s="50"/>
    </row>
    <row r="28" spans="1:33" x14ac:dyDescent="0.15">
      <c r="A28" s="3687"/>
      <c r="B28" s="251" t="s">
        <v>6998</v>
      </c>
      <c r="C28" s="2158" t="s">
        <v>6363</v>
      </c>
      <c r="D28" s="213" t="s">
        <v>6364</v>
      </c>
      <c r="E28" s="214">
        <v>300</v>
      </c>
      <c r="F28" s="215">
        <f t="shared" si="1"/>
        <v>197.45379206285202</v>
      </c>
      <c r="G28" s="215">
        <f t="shared" si="3"/>
        <v>61.764705882352942</v>
      </c>
      <c r="H28" s="2172" t="e">
        <f>220*(#REF!+#REF!+#REF!)/1000</f>
        <v>#REF!</v>
      </c>
      <c r="I28" s="216" t="e">
        <f t="shared" si="2"/>
        <v>#REF!</v>
      </c>
      <c r="J28" s="217">
        <f>COUNTA(#REF!,#REF!)</f>
        <v>2</v>
      </c>
      <c r="K28" s="218" t="e">
        <f>SUM(COUNTIF(#REF!,각_층_분전반_부하량!K14),COUNTIF(#REF!,각_층_분전반_부하량!K14))</f>
        <v>#REF!</v>
      </c>
      <c r="L28" s="219" t="e">
        <f t="shared" si="4"/>
        <v>#REF!</v>
      </c>
    </row>
    <row r="29" spans="1:33" ht="14.25" thickBot="1" x14ac:dyDescent="0.2">
      <c r="A29" s="3688"/>
      <c r="B29" s="2553"/>
      <c r="C29" s="2173" t="s">
        <v>6331</v>
      </c>
      <c r="D29" s="2174" t="s">
        <v>6331</v>
      </c>
      <c r="E29" s="2175">
        <f>SUM(E15:E28)</f>
        <v>3400</v>
      </c>
      <c r="F29" s="2176">
        <f>SUM(F15:F28)</f>
        <v>2237.8096433789897</v>
      </c>
      <c r="G29" s="2177">
        <v>700</v>
      </c>
      <c r="H29" s="2178" t="e">
        <f>SUM(H15:H28)</f>
        <v>#REF!</v>
      </c>
      <c r="I29" s="2179" t="e">
        <f t="shared" si="2"/>
        <v>#REF!</v>
      </c>
      <c r="J29" s="222"/>
      <c r="K29" s="223"/>
      <c r="L29" s="224"/>
    </row>
    <row r="30" spans="1:33" ht="14.45" customHeight="1" thickTop="1" x14ac:dyDescent="0.15">
      <c r="A30" s="3686" t="s">
        <v>6365</v>
      </c>
      <c r="B30" s="3695" t="s">
        <v>7022</v>
      </c>
      <c r="C30" s="3689" t="s">
        <v>6319</v>
      </c>
      <c r="D30" s="3684" t="s">
        <v>6320</v>
      </c>
      <c r="E30" s="3692" t="s">
        <v>6321</v>
      </c>
      <c r="F30" s="3682" t="s">
        <v>6322</v>
      </c>
      <c r="G30" s="3682" t="s">
        <v>6323</v>
      </c>
      <c r="H30" s="3682" t="s">
        <v>6324</v>
      </c>
      <c r="I30" s="3676" t="s">
        <v>6325</v>
      </c>
      <c r="J30" s="3678" t="s">
        <v>5644</v>
      </c>
      <c r="K30" s="3679"/>
      <c r="L30" s="3680"/>
      <c r="M30" s="3678" t="s">
        <v>6327</v>
      </c>
      <c r="N30" s="3679"/>
      <c r="O30" s="3680"/>
      <c r="P30" s="3681" t="s">
        <v>6366</v>
      </c>
      <c r="Q30" s="3679"/>
      <c r="R30" s="3694"/>
      <c r="S30" s="3697" t="s">
        <v>5790</v>
      </c>
      <c r="T30" s="3679"/>
      <c r="U30" s="3680"/>
      <c r="V30" s="3681" t="s">
        <v>5801</v>
      </c>
      <c r="W30" s="3679"/>
      <c r="X30" s="3694"/>
      <c r="Y30" s="3697" t="s">
        <v>5898</v>
      </c>
      <c r="Z30" s="3679"/>
      <c r="AA30" s="3684"/>
      <c r="AB30" s="3657"/>
      <c r="AC30" s="3657"/>
      <c r="AD30" s="3657"/>
      <c r="AE30" s="3657"/>
      <c r="AF30" s="3657"/>
      <c r="AG30" s="3657"/>
    </row>
    <row r="31" spans="1:33" ht="17.25" thickBot="1" x14ac:dyDescent="0.2">
      <c r="A31" s="3687"/>
      <c r="B31" s="3696"/>
      <c r="C31" s="3690"/>
      <c r="D31" s="3691"/>
      <c r="E31" s="3693"/>
      <c r="F31" s="3683"/>
      <c r="G31" s="3683"/>
      <c r="H31" s="3683"/>
      <c r="I31" s="3677"/>
      <c r="J31" s="197" t="s">
        <v>6331</v>
      </c>
      <c r="K31" s="198" t="s">
        <v>4575</v>
      </c>
      <c r="L31" s="199" t="s">
        <v>4723</v>
      </c>
      <c r="M31" s="197" t="s">
        <v>6331</v>
      </c>
      <c r="N31" s="198" t="s">
        <v>4575</v>
      </c>
      <c r="O31" s="199" t="s">
        <v>4723</v>
      </c>
      <c r="P31" s="200" t="s">
        <v>6331</v>
      </c>
      <c r="Q31" s="198" t="s">
        <v>4575</v>
      </c>
      <c r="R31" s="227" t="s">
        <v>4723</v>
      </c>
      <c r="S31" s="228" t="s">
        <v>6331</v>
      </c>
      <c r="T31" s="198" t="s">
        <v>4575</v>
      </c>
      <c r="U31" s="199" t="s">
        <v>4723</v>
      </c>
      <c r="V31" s="200" t="s">
        <v>6331</v>
      </c>
      <c r="W31" s="198" t="s">
        <v>4575</v>
      </c>
      <c r="X31" s="227" t="s">
        <v>4723</v>
      </c>
      <c r="Y31" s="228" t="s">
        <v>6331</v>
      </c>
      <c r="Z31" s="198" t="s">
        <v>4575</v>
      </c>
      <c r="AA31" s="203" t="s">
        <v>4723</v>
      </c>
      <c r="AB31" s="50"/>
      <c r="AC31" s="196"/>
      <c r="AD31" s="133"/>
      <c r="AE31" s="50"/>
      <c r="AF31" s="196"/>
      <c r="AG31" s="133"/>
    </row>
    <row r="32" spans="1:33" x14ac:dyDescent="0.15">
      <c r="A32" s="3687"/>
      <c r="B32" s="251" t="s">
        <v>6945</v>
      </c>
      <c r="C32" s="2157" t="s">
        <v>6367</v>
      </c>
      <c r="D32" s="204" t="s">
        <v>5651</v>
      </c>
      <c r="E32" s="205">
        <v>300</v>
      </c>
      <c r="F32" s="206">
        <f t="shared" si="1"/>
        <v>197.45379206285202</v>
      </c>
      <c r="G32" s="206">
        <f t="shared" ref="G32:G53" si="5">$G$56*E32/$E$56</f>
        <v>35.897435897435898</v>
      </c>
      <c r="H32" s="2171" t="e">
        <f>220*(#REF!+#REF!+#REF!)/1000</f>
        <v>#REF!</v>
      </c>
      <c r="I32" s="207" t="e">
        <f t="shared" si="2"/>
        <v>#REF!</v>
      </c>
      <c r="J32" s="208">
        <f>COUNTA(#REF!,#REF!)</f>
        <v>2</v>
      </c>
      <c r="K32" s="209" t="e">
        <f>SUM(COUNTIF(#REF!,각_층_분전반_부하량!K31),COUNTIF(#REF!,각_층_분전반_부하량!K31))</f>
        <v>#REF!</v>
      </c>
      <c r="L32" s="210" t="e">
        <f t="shared" ref="L32:L37" si="6">J32-K32</f>
        <v>#REF!</v>
      </c>
      <c r="M32" s="208"/>
      <c r="N32" s="209"/>
      <c r="O32" s="210"/>
      <c r="P32" s="211">
        <v>2</v>
      </c>
      <c r="Q32" s="209">
        <v>1</v>
      </c>
      <c r="R32" s="229">
        <v>1</v>
      </c>
      <c r="S32" s="230"/>
      <c r="T32" s="209"/>
      <c r="U32" s="210"/>
      <c r="V32" s="211"/>
      <c r="W32" s="209"/>
      <c r="X32" s="229"/>
      <c r="Y32" s="230"/>
      <c r="Z32" s="209"/>
      <c r="AA32" s="212"/>
    </row>
    <row r="33" spans="1:27" x14ac:dyDescent="0.15">
      <c r="A33" s="3687"/>
      <c r="B33" s="251" t="s">
        <v>6946</v>
      </c>
      <c r="C33" s="1160" t="s">
        <v>6368</v>
      </c>
      <c r="D33" s="204" t="s">
        <v>6369</v>
      </c>
      <c r="E33" s="214">
        <v>300</v>
      </c>
      <c r="F33" s="215">
        <f t="shared" si="1"/>
        <v>197.45379206285202</v>
      </c>
      <c r="G33" s="215">
        <f t="shared" si="5"/>
        <v>35.897435897435898</v>
      </c>
      <c r="H33" s="2172" t="e">
        <f>220*(#REF!+#REF!+#REF!)/1000</f>
        <v>#REF!</v>
      </c>
      <c r="I33" s="216" t="e">
        <f t="shared" si="2"/>
        <v>#REF!</v>
      </c>
      <c r="J33" s="217">
        <f>COUNTA(#REF!,#REF!)</f>
        <v>2</v>
      </c>
      <c r="K33" s="218" t="e">
        <f>SUM(COUNTIF(#REF!,각_층_분전반_부하량!K31),COUNTIF(#REF!,각_층_분전반_부하량!K31))</f>
        <v>#REF!</v>
      </c>
      <c r="L33" s="219" t="e">
        <f t="shared" si="6"/>
        <v>#REF!</v>
      </c>
      <c r="M33" s="217"/>
      <c r="N33" s="218"/>
      <c r="O33" s="219"/>
      <c r="P33" s="220">
        <v>2</v>
      </c>
      <c r="Q33" s="218">
        <v>1</v>
      </c>
      <c r="R33" s="231">
        <v>1</v>
      </c>
      <c r="S33" s="232"/>
      <c r="T33" s="218"/>
      <c r="U33" s="219"/>
      <c r="V33" s="220"/>
      <c r="W33" s="218"/>
      <c r="X33" s="231"/>
      <c r="Y33" s="232"/>
      <c r="Z33" s="218"/>
      <c r="AA33" s="221"/>
    </row>
    <row r="34" spans="1:27" x14ac:dyDescent="0.15">
      <c r="A34" s="3687"/>
      <c r="B34" s="251" t="s">
        <v>6947</v>
      </c>
      <c r="C34" s="2157" t="s">
        <v>6370</v>
      </c>
      <c r="D34" s="204" t="s">
        <v>6371</v>
      </c>
      <c r="E34" s="214">
        <v>300</v>
      </c>
      <c r="F34" s="215">
        <f t="shared" si="1"/>
        <v>197.45379206285202</v>
      </c>
      <c r="G34" s="215">
        <f t="shared" si="5"/>
        <v>35.897435897435898</v>
      </c>
      <c r="H34" s="2172" t="e">
        <f>220*(#REF!+#REF!+#REF!)/1000</f>
        <v>#REF!</v>
      </c>
      <c r="I34" s="216" t="e">
        <f t="shared" si="2"/>
        <v>#REF!</v>
      </c>
      <c r="J34" s="217">
        <f>COUNTA(#REF!,#REF!)</f>
        <v>2</v>
      </c>
      <c r="K34" s="218" t="e">
        <f>SUM(COUNTIF(#REF!,각_층_분전반_부하량!K31),COUNTIF(#REF!,각_층_분전반_부하량!K31))</f>
        <v>#REF!</v>
      </c>
      <c r="L34" s="219" t="e">
        <f t="shared" si="6"/>
        <v>#REF!</v>
      </c>
      <c r="M34" s="217"/>
      <c r="N34" s="218"/>
      <c r="O34" s="219"/>
      <c r="P34" s="220">
        <v>2</v>
      </c>
      <c r="Q34" s="218">
        <v>1</v>
      </c>
      <c r="R34" s="231">
        <v>1</v>
      </c>
      <c r="S34" s="232"/>
      <c r="T34" s="218"/>
      <c r="U34" s="219"/>
      <c r="V34" s="220"/>
      <c r="W34" s="218"/>
      <c r="X34" s="231"/>
      <c r="Y34" s="232"/>
      <c r="Z34" s="218"/>
      <c r="AA34" s="221"/>
    </row>
    <row r="35" spans="1:27" x14ac:dyDescent="0.15">
      <c r="A35" s="3687"/>
      <c r="B35" s="251" t="s">
        <v>6948</v>
      </c>
      <c r="C35" s="1160" t="s">
        <v>6343</v>
      </c>
      <c r="D35" s="204" t="s">
        <v>6372</v>
      </c>
      <c r="E35" s="214">
        <v>300</v>
      </c>
      <c r="F35" s="215">
        <f t="shared" si="1"/>
        <v>197.45379206285202</v>
      </c>
      <c r="G35" s="215">
        <f t="shared" si="5"/>
        <v>35.897435897435898</v>
      </c>
      <c r="H35" s="2172" t="e">
        <f>220*(#REF!+#REF!+#REF!)/1000</f>
        <v>#REF!</v>
      </c>
      <c r="I35" s="216" t="e">
        <f t="shared" si="2"/>
        <v>#REF!</v>
      </c>
      <c r="J35" s="217">
        <f>COUNTA(#REF!,#REF!)</f>
        <v>2</v>
      </c>
      <c r="K35" s="218" t="e">
        <f>SUM(COUNTIF(#REF!,각_층_분전반_부하량!K31),COUNTIF(#REF!,각_층_분전반_부하량!K31))</f>
        <v>#REF!</v>
      </c>
      <c r="L35" s="219" t="e">
        <f t="shared" si="6"/>
        <v>#REF!</v>
      </c>
      <c r="M35" s="217"/>
      <c r="N35" s="218"/>
      <c r="O35" s="219"/>
      <c r="P35" s="220">
        <v>2</v>
      </c>
      <c r="Q35" s="218">
        <v>1</v>
      </c>
      <c r="R35" s="231">
        <v>1</v>
      </c>
      <c r="S35" s="232"/>
      <c r="T35" s="218"/>
      <c r="U35" s="219"/>
      <c r="V35" s="220"/>
      <c r="W35" s="218"/>
      <c r="X35" s="231"/>
      <c r="Y35" s="232"/>
      <c r="Z35" s="218"/>
      <c r="AA35" s="221"/>
    </row>
    <row r="36" spans="1:27" x14ac:dyDescent="0.15">
      <c r="A36" s="3687"/>
      <c r="B36" s="251" t="s">
        <v>6949</v>
      </c>
      <c r="C36" s="2157" t="s">
        <v>6373</v>
      </c>
      <c r="D36" s="204" t="s">
        <v>6374</v>
      </c>
      <c r="E36" s="214">
        <v>300</v>
      </c>
      <c r="F36" s="215">
        <f t="shared" si="1"/>
        <v>197.45379206285202</v>
      </c>
      <c r="G36" s="215">
        <f t="shared" si="5"/>
        <v>35.897435897435898</v>
      </c>
      <c r="H36" s="2172" t="e">
        <f>220*(#REF!+#REF!+#REF!)/1000</f>
        <v>#REF!</v>
      </c>
      <c r="I36" s="216" t="e">
        <f t="shared" si="2"/>
        <v>#REF!</v>
      </c>
      <c r="J36" s="217">
        <f>COUNTA(#REF!,#REF!)</f>
        <v>2</v>
      </c>
      <c r="K36" s="218" t="e">
        <f>SUM(COUNTIF(#REF!,각_층_분전반_부하량!K31),COUNTIF(#REF!,각_층_분전반_부하량!K31))</f>
        <v>#REF!</v>
      </c>
      <c r="L36" s="219" t="e">
        <f t="shared" si="6"/>
        <v>#REF!</v>
      </c>
      <c r="M36" s="217"/>
      <c r="N36" s="218"/>
      <c r="O36" s="219"/>
      <c r="P36" s="220"/>
      <c r="Q36" s="218"/>
      <c r="R36" s="231"/>
      <c r="S36" s="232"/>
      <c r="T36" s="218"/>
      <c r="U36" s="219"/>
      <c r="V36" s="220"/>
      <c r="W36" s="218"/>
      <c r="X36" s="231"/>
      <c r="Y36" s="232"/>
      <c r="Z36" s="218"/>
      <c r="AA36" s="221"/>
    </row>
    <row r="37" spans="1:27" x14ac:dyDescent="0.15">
      <c r="A37" s="3687"/>
      <c r="B37" s="251" t="s">
        <v>6950</v>
      </c>
      <c r="C37" s="1160" t="s">
        <v>6375</v>
      </c>
      <c r="D37" s="204" t="s">
        <v>6376</v>
      </c>
      <c r="E37" s="214">
        <v>300</v>
      </c>
      <c r="F37" s="215">
        <f t="shared" si="1"/>
        <v>197.45379206285202</v>
      </c>
      <c r="G37" s="215">
        <f t="shared" si="5"/>
        <v>35.897435897435898</v>
      </c>
      <c r="H37" s="2172" t="e">
        <f>220*(#REF!+#REF!+#REF!)/1000</f>
        <v>#REF!</v>
      </c>
      <c r="I37" s="216" t="e">
        <f t="shared" si="2"/>
        <v>#REF!</v>
      </c>
      <c r="J37" s="217">
        <f>COUNTA(#REF!,#REF!)</f>
        <v>2</v>
      </c>
      <c r="K37" s="218" t="e">
        <f>SUM(COUNTIF(#REF!,각_층_분전반_부하량!K31),COUNTIF(#REF!,각_층_분전반_부하량!K31))</f>
        <v>#REF!</v>
      </c>
      <c r="L37" s="219" t="e">
        <f t="shared" si="6"/>
        <v>#REF!</v>
      </c>
      <c r="M37" s="217"/>
      <c r="N37" s="218"/>
      <c r="O37" s="219"/>
      <c r="P37" s="220"/>
      <c r="Q37" s="218"/>
      <c r="R37" s="231"/>
      <c r="S37" s="232"/>
      <c r="T37" s="218"/>
      <c r="U37" s="219"/>
      <c r="V37" s="220"/>
      <c r="W37" s="218"/>
      <c r="X37" s="231"/>
      <c r="Y37" s="232"/>
      <c r="Z37" s="218"/>
      <c r="AA37" s="221"/>
    </row>
    <row r="38" spans="1:27" x14ac:dyDescent="0.15">
      <c r="A38" s="3687"/>
      <c r="B38" s="251" t="s">
        <v>6951</v>
      </c>
      <c r="C38" s="2157" t="s">
        <v>6377</v>
      </c>
      <c r="D38" s="204" t="s">
        <v>6378</v>
      </c>
      <c r="E38" s="214">
        <v>200</v>
      </c>
      <c r="F38" s="215">
        <f t="shared" si="1"/>
        <v>131.63586137523467</v>
      </c>
      <c r="G38" s="215">
        <f t="shared" si="5"/>
        <v>23.931623931623932</v>
      </c>
      <c r="H38" s="2172" t="e">
        <f>220*(#REF!+#REF!+#REF!)/1000</f>
        <v>#REF!</v>
      </c>
      <c r="I38" s="216" t="e">
        <f t="shared" si="2"/>
        <v>#REF!</v>
      </c>
      <c r="J38" s="217"/>
      <c r="K38" s="218"/>
      <c r="L38" s="219"/>
      <c r="M38" s="217"/>
      <c r="N38" s="218"/>
      <c r="O38" s="219"/>
      <c r="P38" s="220"/>
      <c r="Q38" s="218"/>
      <c r="R38" s="231"/>
      <c r="S38" s="232">
        <f>COUNTA(#REF!,#REF!)</f>
        <v>2</v>
      </c>
      <c r="T38" s="218" t="e">
        <f>SUM(COUNTIF(#REF!,각_층_분전반_부하량!T31),COUNTIF(#REF!,각_층_분전반_부하량!T31))</f>
        <v>#REF!</v>
      </c>
      <c r="U38" s="219" t="e">
        <f t="shared" ref="U38:U47" si="7">S38-T38</f>
        <v>#REF!</v>
      </c>
      <c r="V38" s="220">
        <f>COUNTA(#REF!,#REF!)</f>
        <v>2</v>
      </c>
      <c r="W38" s="218" t="e">
        <f>SUM(COUNTIF(#REF!,각_층_분전반_부하량!W31),COUNTIF(#REF!,각_층_분전반_부하량!W31))</f>
        <v>#REF!</v>
      </c>
      <c r="X38" s="231" t="e">
        <f t="shared" ref="X38:X47" si="8">V38-W38</f>
        <v>#REF!</v>
      </c>
      <c r="Y38" s="232"/>
      <c r="Z38" s="218"/>
      <c r="AA38" s="221"/>
    </row>
    <row r="39" spans="1:27" x14ac:dyDescent="0.15">
      <c r="A39" s="3687"/>
      <c r="B39" s="251" t="s">
        <v>6953</v>
      </c>
      <c r="C39" s="1160" t="s">
        <v>6379</v>
      </c>
      <c r="D39" s="204" t="s">
        <v>6380</v>
      </c>
      <c r="E39" s="214">
        <v>200</v>
      </c>
      <c r="F39" s="215">
        <f t="shared" si="1"/>
        <v>131.63586137523467</v>
      </c>
      <c r="G39" s="215">
        <f t="shared" si="5"/>
        <v>23.931623931623932</v>
      </c>
      <c r="H39" s="2172" t="e">
        <f>220*(#REF!+#REF!+#REF!)/1000</f>
        <v>#REF!</v>
      </c>
      <c r="I39" s="216" t="e">
        <f t="shared" si="2"/>
        <v>#REF!</v>
      </c>
      <c r="J39" s="217"/>
      <c r="K39" s="218"/>
      <c r="L39" s="219"/>
      <c r="M39" s="217"/>
      <c r="N39" s="218"/>
      <c r="O39" s="219"/>
      <c r="P39" s="220"/>
      <c r="Q39" s="218"/>
      <c r="R39" s="231"/>
      <c r="S39" s="232">
        <f>COUNTA(#REF!,#REF!)</f>
        <v>2</v>
      </c>
      <c r="T39" s="218" t="e">
        <f>SUM(COUNTIF(#REF!,각_층_분전반_부하량!T31),COUNTIF(#REF!,각_층_분전반_부하량!T31))</f>
        <v>#REF!</v>
      </c>
      <c r="U39" s="219" t="e">
        <f t="shared" si="7"/>
        <v>#REF!</v>
      </c>
      <c r="V39" s="220">
        <f>COUNTA(#REF!,#REF!)</f>
        <v>2</v>
      </c>
      <c r="W39" s="218" t="e">
        <f>SUM(COUNTIF(#REF!,각_층_분전반_부하량!W31),COUNTIF(#REF!,각_층_분전반_부하량!W31))</f>
        <v>#REF!</v>
      </c>
      <c r="X39" s="231" t="e">
        <f t="shared" si="8"/>
        <v>#REF!</v>
      </c>
      <c r="Y39" s="232"/>
      <c r="Z39" s="218"/>
      <c r="AA39" s="221"/>
    </row>
    <row r="40" spans="1:27" x14ac:dyDescent="0.15">
      <c r="A40" s="3687"/>
      <c r="B40" s="251" t="s">
        <v>6952</v>
      </c>
      <c r="C40" s="2157" t="s">
        <v>6381</v>
      </c>
      <c r="D40" s="204" t="s">
        <v>6382</v>
      </c>
      <c r="E40" s="214">
        <v>200</v>
      </c>
      <c r="F40" s="215">
        <f t="shared" si="1"/>
        <v>131.63586137523467</v>
      </c>
      <c r="G40" s="215">
        <f t="shared" si="5"/>
        <v>23.931623931623932</v>
      </c>
      <c r="H40" s="2172" t="e">
        <f>220*(#REF!+#REF!+#REF!)/1000</f>
        <v>#REF!</v>
      </c>
      <c r="I40" s="216" t="e">
        <f t="shared" si="2"/>
        <v>#REF!</v>
      </c>
      <c r="J40" s="217"/>
      <c r="K40" s="218"/>
      <c r="L40" s="219"/>
      <c r="M40" s="217"/>
      <c r="N40" s="218"/>
      <c r="O40" s="219"/>
      <c r="P40" s="220"/>
      <c r="Q40" s="218"/>
      <c r="R40" s="231"/>
      <c r="S40" s="232">
        <f>COUNTA(#REF!,#REF!)</f>
        <v>2</v>
      </c>
      <c r="T40" s="218" t="e">
        <f>SUM(COUNTIF(#REF!,각_층_분전반_부하량!T31),COUNTIF(#REF!,각_층_분전반_부하량!T31))</f>
        <v>#REF!</v>
      </c>
      <c r="U40" s="219" t="e">
        <f t="shared" si="7"/>
        <v>#REF!</v>
      </c>
      <c r="V40" s="220">
        <f>COUNTA(#REF!,#REF!)</f>
        <v>2</v>
      </c>
      <c r="W40" s="218" t="e">
        <f>SUM(COUNTIF(#REF!,각_층_분전반_부하량!W31),COUNTIF(#REF!,각_층_분전반_부하량!W31))</f>
        <v>#REF!</v>
      </c>
      <c r="X40" s="231" t="e">
        <f t="shared" si="8"/>
        <v>#REF!</v>
      </c>
      <c r="Y40" s="232"/>
      <c r="Z40" s="218"/>
      <c r="AA40" s="221"/>
    </row>
    <row r="41" spans="1:27" x14ac:dyDescent="0.15">
      <c r="A41" s="3687"/>
      <c r="B41" s="251" t="s">
        <v>6954</v>
      </c>
      <c r="C41" s="1160" t="s">
        <v>6383</v>
      </c>
      <c r="D41" s="204" t="s">
        <v>6384</v>
      </c>
      <c r="E41" s="214">
        <v>200</v>
      </c>
      <c r="F41" s="215">
        <f t="shared" si="1"/>
        <v>131.63586137523467</v>
      </c>
      <c r="G41" s="215">
        <f t="shared" si="5"/>
        <v>23.931623931623932</v>
      </c>
      <c r="H41" s="2172" t="e">
        <f>220*(#REF!+#REF!+#REF!)/1000</f>
        <v>#REF!</v>
      </c>
      <c r="I41" s="216" t="e">
        <f t="shared" si="2"/>
        <v>#REF!</v>
      </c>
      <c r="J41" s="217"/>
      <c r="K41" s="218"/>
      <c r="L41" s="219"/>
      <c r="M41" s="217"/>
      <c r="N41" s="218"/>
      <c r="O41" s="219"/>
      <c r="P41" s="220"/>
      <c r="Q41" s="218"/>
      <c r="R41" s="231"/>
      <c r="S41" s="232">
        <f>COUNTA(#REF!,#REF!)</f>
        <v>2</v>
      </c>
      <c r="T41" s="218" t="e">
        <f>SUM(COUNTIF(#REF!,각_층_분전반_부하량!T31),COUNTIF(#REF!,각_층_분전반_부하량!T31))</f>
        <v>#REF!</v>
      </c>
      <c r="U41" s="219" t="e">
        <f t="shared" si="7"/>
        <v>#REF!</v>
      </c>
      <c r="V41" s="220">
        <f>COUNTA(#REF!,#REF!)</f>
        <v>2</v>
      </c>
      <c r="W41" s="218" t="e">
        <f>SUM(COUNTIF(#REF!,각_층_분전반_부하량!W31),COUNTIF(#REF!,각_층_분전반_부하량!W31))</f>
        <v>#REF!</v>
      </c>
      <c r="X41" s="231" t="e">
        <f t="shared" si="8"/>
        <v>#REF!</v>
      </c>
      <c r="Y41" s="232"/>
      <c r="Z41" s="218"/>
      <c r="AA41" s="221"/>
    </row>
    <row r="42" spans="1:27" x14ac:dyDescent="0.15">
      <c r="A42" s="3687"/>
      <c r="B42" s="251" t="s">
        <v>6955</v>
      </c>
      <c r="C42" s="2157" t="s">
        <v>6385</v>
      </c>
      <c r="D42" s="204" t="s">
        <v>6386</v>
      </c>
      <c r="E42" s="214">
        <v>150</v>
      </c>
      <c r="F42" s="215">
        <f t="shared" si="1"/>
        <v>98.726896031426008</v>
      </c>
      <c r="G42" s="215">
        <f t="shared" si="5"/>
        <v>17.948717948717949</v>
      </c>
      <c r="H42" s="2172" t="e">
        <f>220*(#REF!+#REF!+#REF!)/1000</f>
        <v>#REF!</v>
      </c>
      <c r="I42" s="216" t="e">
        <f t="shared" si="2"/>
        <v>#REF!</v>
      </c>
      <c r="J42" s="217"/>
      <c r="K42" s="218"/>
      <c r="L42" s="219"/>
      <c r="M42" s="217"/>
      <c r="N42" s="218"/>
      <c r="O42" s="219"/>
      <c r="P42" s="220"/>
      <c r="Q42" s="218"/>
      <c r="R42" s="231"/>
      <c r="S42" s="232">
        <f>COUNTA(#REF!,#REF!)</f>
        <v>2</v>
      </c>
      <c r="T42" s="218" t="e">
        <f>SUM(COUNTIF(#REF!,각_층_분전반_부하량!T31),COUNTIF(#REF!,각_층_분전반_부하량!T31))</f>
        <v>#REF!</v>
      </c>
      <c r="U42" s="219" t="e">
        <f t="shared" si="7"/>
        <v>#REF!</v>
      </c>
      <c r="V42" s="220">
        <f>COUNTA(#REF!,#REF!)</f>
        <v>2</v>
      </c>
      <c r="W42" s="218" t="e">
        <f>SUM(COUNTIF(#REF!,각_층_분전반_부하량!W31),COUNTIF(#REF!,각_층_분전반_부하량!W31))</f>
        <v>#REF!</v>
      </c>
      <c r="X42" s="231" t="e">
        <f t="shared" si="8"/>
        <v>#REF!</v>
      </c>
      <c r="Y42" s="232"/>
      <c r="Z42" s="218"/>
      <c r="AA42" s="221"/>
    </row>
    <row r="43" spans="1:27" x14ac:dyDescent="0.15">
      <c r="A43" s="3687"/>
      <c r="B43" s="251" t="s">
        <v>6958</v>
      </c>
      <c r="C43" s="1160" t="s">
        <v>6387</v>
      </c>
      <c r="D43" s="204" t="s">
        <v>6388</v>
      </c>
      <c r="E43" s="214">
        <v>150</v>
      </c>
      <c r="F43" s="215">
        <f t="shared" si="1"/>
        <v>98.726896031426008</v>
      </c>
      <c r="G43" s="215">
        <f t="shared" si="5"/>
        <v>17.948717948717949</v>
      </c>
      <c r="H43" s="2172" t="e">
        <f>220*(#REF!+#REF!+#REF!)/1000</f>
        <v>#REF!</v>
      </c>
      <c r="I43" s="216" t="e">
        <f t="shared" si="2"/>
        <v>#REF!</v>
      </c>
      <c r="J43" s="217"/>
      <c r="K43" s="218"/>
      <c r="L43" s="219"/>
      <c r="M43" s="217"/>
      <c r="N43" s="218"/>
      <c r="O43" s="219"/>
      <c r="P43" s="220"/>
      <c r="Q43" s="218"/>
      <c r="R43" s="231"/>
      <c r="S43" s="232">
        <f>COUNTA(#REF!,#REF!)</f>
        <v>2</v>
      </c>
      <c r="T43" s="218" t="e">
        <f>SUM(COUNTIF(#REF!,각_층_분전반_부하량!T31),COUNTIF(#REF!,각_층_분전반_부하량!T31))</f>
        <v>#REF!</v>
      </c>
      <c r="U43" s="219" t="e">
        <f t="shared" si="7"/>
        <v>#REF!</v>
      </c>
      <c r="V43" s="220">
        <f>COUNTA(#REF!,#REF!)</f>
        <v>2</v>
      </c>
      <c r="W43" s="218" t="e">
        <f>SUM(COUNTIF(#REF!,각_층_분전반_부하량!W31),COUNTIF(#REF!,각_층_분전반_부하량!W31))</f>
        <v>#REF!</v>
      </c>
      <c r="X43" s="231" t="e">
        <f t="shared" si="8"/>
        <v>#REF!</v>
      </c>
      <c r="Y43" s="232"/>
      <c r="Z43" s="218"/>
      <c r="AA43" s="221"/>
    </row>
    <row r="44" spans="1:27" x14ac:dyDescent="0.15">
      <c r="A44" s="3687"/>
      <c r="B44" s="251" t="s">
        <v>6956</v>
      </c>
      <c r="C44" s="2157" t="s">
        <v>6389</v>
      </c>
      <c r="D44" s="204" t="s">
        <v>6390</v>
      </c>
      <c r="E44" s="214">
        <v>150</v>
      </c>
      <c r="F44" s="215">
        <f t="shared" si="1"/>
        <v>98.726896031426008</v>
      </c>
      <c r="G44" s="215">
        <f t="shared" si="5"/>
        <v>17.948717948717949</v>
      </c>
      <c r="H44" s="2172" t="e">
        <f>220*(#REF!+#REF!+#REF!)/1000</f>
        <v>#REF!</v>
      </c>
      <c r="I44" s="216" t="e">
        <f t="shared" si="2"/>
        <v>#REF!</v>
      </c>
      <c r="J44" s="217"/>
      <c r="K44" s="218"/>
      <c r="L44" s="219"/>
      <c r="M44" s="217"/>
      <c r="N44" s="218"/>
      <c r="O44" s="219"/>
      <c r="P44" s="220"/>
      <c r="Q44" s="218"/>
      <c r="R44" s="231"/>
      <c r="S44" s="232">
        <f>COUNTA(#REF!,#REF!)</f>
        <v>2</v>
      </c>
      <c r="T44" s="218" t="e">
        <f>SUM(COUNTIF(#REF!,각_층_분전반_부하량!T31),COUNTIF(#REF!,각_층_분전반_부하량!T31))</f>
        <v>#REF!</v>
      </c>
      <c r="U44" s="219" t="e">
        <f t="shared" si="7"/>
        <v>#REF!</v>
      </c>
      <c r="V44" s="220">
        <f>COUNTA(#REF!,#REF!)</f>
        <v>2</v>
      </c>
      <c r="W44" s="218" t="e">
        <f>SUM(COUNTIF(#REF!,각_층_분전반_부하량!W31),COUNTIF(#REF!,각_층_분전반_부하량!W31))</f>
        <v>#REF!</v>
      </c>
      <c r="X44" s="231" t="e">
        <f t="shared" si="8"/>
        <v>#REF!</v>
      </c>
      <c r="Y44" s="232"/>
      <c r="Z44" s="218"/>
      <c r="AA44" s="221"/>
    </row>
    <row r="45" spans="1:27" x14ac:dyDescent="0.15">
      <c r="A45" s="3687"/>
      <c r="B45" s="251" t="s">
        <v>6959</v>
      </c>
      <c r="C45" s="1160" t="s">
        <v>6391</v>
      </c>
      <c r="D45" s="204" t="s">
        <v>6392</v>
      </c>
      <c r="E45" s="214">
        <v>150</v>
      </c>
      <c r="F45" s="215">
        <f t="shared" si="1"/>
        <v>98.726896031426008</v>
      </c>
      <c r="G45" s="215">
        <f t="shared" si="5"/>
        <v>17.948717948717949</v>
      </c>
      <c r="H45" s="2172" t="e">
        <f>220*(#REF!+#REF!+#REF!)/1000</f>
        <v>#REF!</v>
      </c>
      <c r="I45" s="216" t="e">
        <f t="shared" si="2"/>
        <v>#REF!</v>
      </c>
      <c r="J45" s="217"/>
      <c r="K45" s="218"/>
      <c r="L45" s="219"/>
      <c r="M45" s="217"/>
      <c r="N45" s="218"/>
      <c r="O45" s="219"/>
      <c r="P45" s="220"/>
      <c r="Q45" s="218"/>
      <c r="R45" s="231"/>
      <c r="S45" s="232">
        <f>COUNTA(#REF!,#REF!)</f>
        <v>2</v>
      </c>
      <c r="T45" s="218" t="e">
        <f>SUM(COUNTIF(#REF!,각_층_분전반_부하량!T31),COUNTIF(#REF!,각_층_분전반_부하량!T31))</f>
        <v>#REF!</v>
      </c>
      <c r="U45" s="219" t="e">
        <f t="shared" si="7"/>
        <v>#REF!</v>
      </c>
      <c r="V45" s="220">
        <f>COUNTA(#REF!,#REF!)</f>
        <v>2</v>
      </c>
      <c r="W45" s="218" t="e">
        <f>SUM(COUNTIF(#REF!,각_층_분전반_부하량!W31),COUNTIF(#REF!,각_층_분전반_부하량!W31))</f>
        <v>#REF!</v>
      </c>
      <c r="X45" s="231" t="e">
        <f t="shared" si="8"/>
        <v>#REF!</v>
      </c>
      <c r="Y45" s="232"/>
      <c r="Z45" s="218"/>
      <c r="AA45" s="221"/>
    </row>
    <row r="46" spans="1:27" x14ac:dyDescent="0.15">
      <c r="A46" s="3687"/>
      <c r="B46" s="251" t="s">
        <v>6957</v>
      </c>
      <c r="C46" s="2157" t="s">
        <v>6393</v>
      </c>
      <c r="D46" s="204" t="s">
        <v>6394</v>
      </c>
      <c r="E46" s="214">
        <v>300</v>
      </c>
      <c r="F46" s="215">
        <f t="shared" si="1"/>
        <v>197.45379206285202</v>
      </c>
      <c r="G46" s="215">
        <f t="shared" si="5"/>
        <v>35.897435897435898</v>
      </c>
      <c r="H46" s="2172" t="e">
        <f>220*(#REF!+#REF!+#REF!)/1000</f>
        <v>#REF!</v>
      </c>
      <c r="I46" s="216" t="e">
        <f t="shared" si="2"/>
        <v>#REF!</v>
      </c>
      <c r="J46" s="217"/>
      <c r="K46" s="218"/>
      <c r="L46" s="219"/>
      <c r="M46" s="217"/>
      <c r="N46" s="218"/>
      <c r="O46" s="219"/>
      <c r="P46" s="220"/>
      <c r="Q46" s="218"/>
      <c r="R46" s="231"/>
      <c r="S46" s="232">
        <f>COUNTA(#REF!,#REF!)</f>
        <v>2</v>
      </c>
      <c r="T46" s="218" t="e">
        <f>SUM(COUNTIF(#REF!,각_층_분전반_부하량!T31),COUNTIF(#REF!,각_층_분전반_부하량!T31))</f>
        <v>#REF!</v>
      </c>
      <c r="U46" s="219" t="e">
        <f t="shared" si="7"/>
        <v>#REF!</v>
      </c>
      <c r="V46" s="220">
        <f>COUNTA(#REF!,#REF!)</f>
        <v>2</v>
      </c>
      <c r="W46" s="218" t="e">
        <f>SUM(COUNTIF(#REF!,각_층_분전반_부하량!W31),COUNTIF(#REF!,각_층_분전반_부하량!W31))</f>
        <v>#REF!</v>
      </c>
      <c r="X46" s="231" t="e">
        <f t="shared" si="8"/>
        <v>#REF!</v>
      </c>
      <c r="Y46" s="232">
        <f>COUNTA(#REF!,#REF!)</f>
        <v>2</v>
      </c>
      <c r="Z46" s="218" t="e">
        <f>SUM(COUNTIF(#REF!,각_층_분전반_부하량!Z31),COUNTIF(#REF!,각_층_분전반_부하량!Z31))</f>
        <v>#REF!</v>
      </c>
      <c r="AA46" s="221" t="e">
        <f>Y46-Z46</f>
        <v>#REF!</v>
      </c>
    </row>
    <row r="47" spans="1:27" x14ac:dyDescent="0.15">
      <c r="A47" s="3687"/>
      <c r="B47" s="251" t="s">
        <v>6960</v>
      </c>
      <c r="C47" s="1160" t="s">
        <v>6395</v>
      </c>
      <c r="D47" s="204" t="s">
        <v>6396</v>
      </c>
      <c r="E47" s="214">
        <v>300</v>
      </c>
      <c r="F47" s="215">
        <f t="shared" si="1"/>
        <v>197.45379206285202</v>
      </c>
      <c r="G47" s="215">
        <f t="shared" si="5"/>
        <v>35.897435897435898</v>
      </c>
      <c r="H47" s="2180" t="e">
        <f>220*(#REF!+#REF!+#REF!)/1000</f>
        <v>#REF!</v>
      </c>
      <c r="I47" s="216" t="e">
        <f t="shared" si="2"/>
        <v>#REF!</v>
      </c>
      <c r="J47" s="217"/>
      <c r="K47" s="218"/>
      <c r="L47" s="219"/>
      <c r="M47" s="217"/>
      <c r="N47" s="218"/>
      <c r="O47" s="219"/>
      <c r="P47" s="220"/>
      <c r="Q47" s="218"/>
      <c r="R47" s="231"/>
      <c r="S47" s="232">
        <f>COUNTA(#REF!,#REF!)</f>
        <v>2</v>
      </c>
      <c r="T47" s="218" t="e">
        <f>SUM(COUNTIF(#REF!,각_층_분전반_부하량!T31),COUNTIF(#REF!,각_층_분전반_부하량!T31))</f>
        <v>#REF!</v>
      </c>
      <c r="U47" s="219" t="e">
        <f t="shared" si="7"/>
        <v>#REF!</v>
      </c>
      <c r="V47" s="220">
        <f>COUNTA(#REF!)</f>
        <v>1</v>
      </c>
      <c r="W47" s="218" t="e">
        <f>COUNTIF(#REF!,각_층_분전반_부하량!W31)</f>
        <v>#REF!</v>
      </c>
      <c r="X47" s="231" t="e">
        <f t="shared" si="8"/>
        <v>#REF!</v>
      </c>
      <c r="Y47" s="232">
        <f>COUNTA(#REF!,#REF!)</f>
        <v>2</v>
      </c>
      <c r="Z47" s="218" t="e">
        <f>SUM(COUNTIF(#REF!,각_층_분전반_부하량!Z31),COUNTIF(#REF!,각_층_분전반_부하량!Z31))</f>
        <v>#REF!</v>
      </c>
      <c r="AA47" s="221" t="e">
        <f>Y47-Z47</f>
        <v>#REF!</v>
      </c>
    </row>
    <row r="48" spans="1:27" x14ac:dyDescent="0.15">
      <c r="A48" s="3687"/>
      <c r="B48" s="251" t="s">
        <v>6961</v>
      </c>
      <c r="C48" s="2157" t="s">
        <v>6397</v>
      </c>
      <c r="D48" s="2161" t="s">
        <v>6398</v>
      </c>
      <c r="E48" s="214">
        <v>200</v>
      </c>
      <c r="F48" s="215">
        <f t="shared" si="1"/>
        <v>131.63586137523467</v>
      </c>
      <c r="G48" s="215">
        <f t="shared" si="5"/>
        <v>23.931623931623932</v>
      </c>
      <c r="H48" s="2172" t="e">
        <f>220*SUM(#REF!)/1000</f>
        <v>#REF!</v>
      </c>
      <c r="I48" s="2181" t="e">
        <f t="shared" si="2"/>
        <v>#REF!</v>
      </c>
      <c r="J48" s="217">
        <f>COUNTA(#REF!,#REF!)</f>
        <v>2</v>
      </c>
      <c r="K48" s="218" t="e">
        <f>SUM(COUNTIF(#REF!,각_층_분전반_부하량!K31),COUNTIF(#REF!,각_층_분전반_부하량!K31))</f>
        <v>#REF!</v>
      </c>
      <c r="L48" s="219" t="e">
        <f>J48-K48</f>
        <v>#REF!</v>
      </c>
      <c r="M48" s="217"/>
      <c r="N48" s="218"/>
      <c r="O48" s="219"/>
      <c r="P48" s="220"/>
      <c r="Q48" s="218"/>
      <c r="R48" s="231"/>
      <c r="S48" s="232"/>
      <c r="T48" s="218"/>
      <c r="U48" s="219"/>
      <c r="V48" s="220"/>
      <c r="W48" s="218"/>
      <c r="X48" s="231"/>
      <c r="Y48" s="232"/>
      <c r="Z48" s="218"/>
      <c r="AA48" s="221"/>
    </row>
    <row r="49" spans="1:30" x14ac:dyDescent="0.15">
      <c r="A49" s="3687"/>
      <c r="B49" s="251" t="s">
        <v>6962</v>
      </c>
      <c r="C49" s="1160" t="s">
        <v>6399</v>
      </c>
      <c r="D49" s="2168" t="s">
        <v>6400</v>
      </c>
      <c r="E49" s="214">
        <v>200</v>
      </c>
      <c r="F49" s="215">
        <f t="shared" si="1"/>
        <v>131.63586137523467</v>
      </c>
      <c r="G49" s="215">
        <f t="shared" si="5"/>
        <v>23.931623931623932</v>
      </c>
      <c r="H49" s="2172" t="e">
        <f>220*SUM(#REF!)/1000</f>
        <v>#REF!</v>
      </c>
      <c r="I49" s="2181" t="e">
        <f t="shared" si="2"/>
        <v>#REF!</v>
      </c>
      <c r="J49" s="217">
        <f>COUNTA(#REF!,#REF!)</f>
        <v>2</v>
      </c>
      <c r="K49" s="218" t="e">
        <f>SUM(COUNTIF(#REF!,각_층_분전반_부하량!K31),COUNTIF(#REF!,각_층_분전반_부하량!K31))</f>
        <v>#REF!</v>
      </c>
      <c r="L49" s="219" t="e">
        <f>J49-K49</f>
        <v>#REF!</v>
      </c>
      <c r="M49" s="217"/>
      <c r="N49" s="218"/>
      <c r="O49" s="219"/>
      <c r="P49" s="220"/>
      <c r="Q49" s="218"/>
      <c r="R49" s="231"/>
      <c r="S49" s="232"/>
      <c r="T49" s="218"/>
      <c r="U49" s="219"/>
      <c r="V49" s="220"/>
      <c r="W49" s="218"/>
      <c r="X49" s="231"/>
      <c r="Y49" s="232"/>
      <c r="Z49" s="218"/>
      <c r="AA49" s="221"/>
    </row>
    <row r="50" spans="1:30" x14ac:dyDescent="0.15">
      <c r="A50" s="3687"/>
      <c r="B50" s="251" t="s">
        <v>6963</v>
      </c>
      <c r="C50" s="2157" t="s">
        <v>6401</v>
      </c>
      <c r="D50" s="2161" t="s">
        <v>6402</v>
      </c>
      <c r="E50" s="214">
        <v>300</v>
      </c>
      <c r="F50" s="215">
        <f t="shared" si="1"/>
        <v>197.45379206285202</v>
      </c>
      <c r="G50" s="215">
        <f t="shared" si="5"/>
        <v>35.897435897435898</v>
      </c>
      <c r="H50" s="2172" t="e">
        <f>220*SUM(#REF!)/1000</f>
        <v>#REF!</v>
      </c>
      <c r="I50" s="2181" t="e">
        <f t="shared" si="2"/>
        <v>#REF!</v>
      </c>
      <c r="J50" s="217">
        <f>COUNTA(#REF!,#REF!,#REF!)</f>
        <v>3</v>
      </c>
      <c r="K50" s="218" t="e">
        <f>SUM(COUNTIF(#REF!,각_층_분전반_부하량!K31),COUNTIF(#REF!,각_층_분전반_부하량!K31),COUNTIF(#REF!,각_층_분전반_부하량!K31))</f>
        <v>#REF!</v>
      </c>
      <c r="L50" s="219" t="e">
        <f>J50-K50</f>
        <v>#REF!</v>
      </c>
      <c r="M50" s="217">
        <f>COUNTA(#REF!,#REF!,#REF!,#REF!,#REF!)</f>
        <v>5</v>
      </c>
      <c r="N50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9" t="e">
        <f t="shared" ref="O50:O53" si="9">M50-N50</f>
        <v>#REF!</v>
      </c>
      <c r="P50" s="220"/>
      <c r="Q50" s="218"/>
      <c r="R50" s="231"/>
      <c r="S50" s="232">
        <f>COUNTA(#REF!,#REF!)</f>
        <v>2</v>
      </c>
      <c r="T50" s="218" t="e">
        <f>SUM(COUNTIF(#REF!,각_층_분전반_부하량!T37),COUNTIF(#REF!,각_층_분전반_부하량!T37))</f>
        <v>#REF!</v>
      </c>
      <c r="U50" s="219" t="e">
        <f t="shared" ref="U50:U53" si="10">S50-T50</f>
        <v>#REF!</v>
      </c>
      <c r="V50" s="220">
        <f>COUNTA(#REF!,#REF!)</f>
        <v>2</v>
      </c>
      <c r="W50" s="218" t="e">
        <f>SUM(COUNTIF(#REF!,각_층_분전반_부하량!W37),COUNTIF(#REF!,각_층_분전반_부하량!W37))</f>
        <v>#REF!</v>
      </c>
      <c r="X50" s="231" t="e">
        <f t="shared" ref="X50:X53" si="11">V50-W50</f>
        <v>#REF!</v>
      </c>
      <c r="Y50" s="232">
        <f>COUNTA(#REF!,#REF!)</f>
        <v>2</v>
      </c>
      <c r="Z50" s="218" t="e">
        <f>SUM(COUNTIF(#REF!,각_층_분전반_부하량!Z37),COUNTIF(#REF!,각_층_분전반_부하량!Z37))</f>
        <v>#REF!</v>
      </c>
      <c r="AA50" s="221" t="e">
        <f>Y50-Z50</f>
        <v>#REF!</v>
      </c>
    </row>
    <row r="51" spans="1:30" x14ac:dyDescent="0.15">
      <c r="A51" s="3687"/>
      <c r="B51" s="251" t="s">
        <v>6964</v>
      </c>
      <c r="C51" s="1160" t="s">
        <v>6403</v>
      </c>
      <c r="D51" s="2168" t="s">
        <v>6404</v>
      </c>
      <c r="E51" s="214">
        <v>300</v>
      </c>
      <c r="F51" s="215">
        <f t="shared" si="1"/>
        <v>197.45379206285202</v>
      </c>
      <c r="G51" s="215">
        <f t="shared" si="5"/>
        <v>35.897435897435898</v>
      </c>
      <c r="H51" s="2172" t="e">
        <f>220*SUM(#REF!)/1000</f>
        <v>#REF!</v>
      </c>
      <c r="I51" s="2181" t="e">
        <f t="shared" si="2"/>
        <v>#REF!</v>
      </c>
      <c r="J51" s="217">
        <f>COUNTA(#REF!,#REF!,#REF!)</f>
        <v>3</v>
      </c>
      <c r="K51" s="218" t="e">
        <f>SUM(COUNTIF(#REF!,각_층_분전반_부하량!K31),COUNTIF(#REF!,각_층_분전반_부하량!K31),COUNTIF(#REF!,각_층_분전반_부하량!K31))</f>
        <v>#REF!</v>
      </c>
      <c r="L51" s="219" t="e">
        <f>J51-K51</f>
        <v>#REF!</v>
      </c>
      <c r="M51" s="217">
        <f>COUNTA(#REF!,#REF!,#REF!,#REF!,#REF!)</f>
        <v>5</v>
      </c>
      <c r="N51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9" t="e">
        <f t="shared" si="9"/>
        <v>#REF!</v>
      </c>
      <c r="P51" s="220"/>
      <c r="Q51" s="218"/>
      <c r="R51" s="231"/>
      <c r="S51" s="232">
        <f>COUNTA(#REF!,#REF!)</f>
        <v>2</v>
      </c>
      <c r="T51" s="218" t="e">
        <f>SUM(COUNTIF(#REF!,각_층_분전반_부하량!T37),COUNTIF(#REF!,각_층_분전반_부하량!T37))</f>
        <v>#REF!</v>
      </c>
      <c r="U51" s="219" t="e">
        <f t="shared" si="10"/>
        <v>#REF!</v>
      </c>
      <c r="V51" s="220">
        <f>COUNTA(#REF!,#REF!)</f>
        <v>2</v>
      </c>
      <c r="W51" s="218" t="e">
        <f>SUM(COUNTIF(#REF!,각_층_분전반_부하량!W37),COUNTIF(#REF!,각_층_분전반_부하량!W37))</f>
        <v>#REF!</v>
      </c>
      <c r="X51" s="231" t="e">
        <f t="shared" si="11"/>
        <v>#REF!</v>
      </c>
      <c r="Y51" s="232"/>
      <c r="Z51" s="218"/>
      <c r="AA51" s="221"/>
    </row>
    <row r="52" spans="1:30" x14ac:dyDescent="0.15">
      <c r="A52" s="3687"/>
      <c r="B52" s="251" t="s">
        <v>6965</v>
      </c>
      <c r="C52" s="2157" t="s">
        <v>6405</v>
      </c>
      <c r="D52" s="2161" t="s">
        <v>6406</v>
      </c>
      <c r="E52" s="214">
        <v>300</v>
      </c>
      <c r="F52" s="215">
        <f t="shared" si="1"/>
        <v>197.45379206285202</v>
      </c>
      <c r="G52" s="215">
        <f t="shared" si="5"/>
        <v>35.897435897435898</v>
      </c>
      <c r="H52" s="2172" t="e">
        <f>220*SUM(#REF!)/1000</f>
        <v>#REF!</v>
      </c>
      <c r="I52" s="2181" t="e">
        <f t="shared" si="2"/>
        <v>#REF!</v>
      </c>
      <c r="J52" s="217">
        <f>COUNTA(#REF!,#REF!,#REF!)</f>
        <v>3</v>
      </c>
      <c r="K52" s="218" t="e">
        <f>SUM(COUNTIF(#REF!,각_층_분전반_부하량!K31),COUNTIF(#REF!,각_층_분전반_부하량!K31),COUNTIF(#REF!,각_층_분전반_부하량!K31))</f>
        <v>#REF!</v>
      </c>
      <c r="L52" s="219" t="e">
        <f t="shared" ref="L52:L53" si="12">J52-K52</f>
        <v>#REF!</v>
      </c>
      <c r="M52" s="217">
        <f>COUNTA(#REF!,#REF!,#REF!,#REF!,#REF!)</f>
        <v>5</v>
      </c>
      <c r="N52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9" t="e">
        <f t="shared" si="9"/>
        <v>#REF!</v>
      </c>
      <c r="P52" s="220"/>
      <c r="Q52" s="218"/>
      <c r="R52" s="231"/>
      <c r="S52" s="232">
        <f>COUNTA(#REF!,#REF!)</f>
        <v>2</v>
      </c>
      <c r="T52" s="218" t="e">
        <f>SUM(COUNTIF(#REF!,각_층_분전반_부하량!T37),COUNTIF(#REF!,각_층_분전반_부하량!T37))</f>
        <v>#REF!</v>
      </c>
      <c r="U52" s="219" t="e">
        <f t="shared" si="10"/>
        <v>#REF!</v>
      </c>
      <c r="V52" s="220">
        <f>COUNTA(#REF!,#REF!)</f>
        <v>2</v>
      </c>
      <c r="W52" s="218" t="e">
        <f>SUM(COUNTIF(#REF!,각_층_분전반_부하량!W37),COUNTIF(#REF!,각_층_분전반_부하량!W37))</f>
        <v>#REF!</v>
      </c>
      <c r="X52" s="231" t="e">
        <f t="shared" si="11"/>
        <v>#REF!</v>
      </c>
      <c r="Y52" s="232"/>
      <c r="Z52" s="218"/>
      <c r="AA52" s="221"/>
    </row>
    <row r="53" spans="1:30" x14ac:dyDescent="0.15">
      <c r="A53" s="3687"/>
      <c r="B53" s="251" t="s">
        <v>6966</v>
      </c>
      <c r="C53" s="1160" t="s">
        <v>6407</v>
      </c>
      <c r="D53" s="2168" t="s">
        <v>6408</v>
      </c>
      <c r="E53" s="214">
        <v>300</v>
      </c>
      <c r="F53" s="215">
        <f t="shared" si="1"/>
        <v>197.45379206285202</v>
      </c>
      <c r="G53" s="215">
        <f t="shared" si="5"/>
        <v>35.897435897435898</v>
      </c>
      <c r="H53" s="2172" t="e">
        <f>220*SUM(#REF!)/1000</f>
        <v>#REF!</v>
      </c>
      <c r="I53" s="2181" t="e">
        <f t="shared" si="2"/>
        <v>#REF!</v>
      </c>
      <c r="J53" s="217">
        <f>COUNTA(#REF!,#REF!,#REF!)</f>
        <v>3</v>
      </c>
      <c r="K53" s="218" t="e">
        <f>SUM(COUNTIF(#REF!,각_층_분전반_부하량!K31),COUNTIF(#REF!,각_층_분전반_부하량!K31),COUNTIF(#REF!,각_층_분전반_부하량!K31))</f>
        <v>#REF!</v>
      </c>
      <c r="L53" s="219" t="e">
        <f t="shared" si="12"/>
        <v>#REF!</v>
      </c>
      <c r="M53" s="217">
        <f>COUNTA(#REF!,#REF!,#REF!,#REF!,#REF!)</f>
        <v>5</v>
      </c>
      <c r="N53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9" t="e">
        <f t="shared" si="9"/>
        <v>#REF!</v>
      </c>
      <c r="P53" s="220"/>
      <c r="Q53" s="218"/>
      <c r="R53" s="231"/>
      <c r="S53" s="232">
        <f>COUNTA(#REF!,#REF!)</f>
        <v>2</v>
      </c>
      <c r="T53" s="218" t="e">
        <f>SUM(COUNTIF(#REF!,각_층_분전반_부하량!T37),COUNTIF(#REF!,각_층_분전반_부하량!T37))</f>
        <v>#REF!</v>
      </c>
      <c r="U53" s="219" t="e">
        <f t="shared" si="10"/>
        <v>#REF!</v>
      </c>
      <c r="V53" s="220">
        <f>COUNTA(#REF!)</f>
        <v>1</v>
      </c>
      <c r="W53" s="218" t="e">
        <f>COUNTIF(#REF!,각_층_분전반_부하량!W37)</f>
        <v>#REF!</v>
      </c>
      <c r="X53" s="231" t="e">
        <f t="shared" si="11"/>
        <v>#REF!</v>
      </c>
      <c r="Y53" s="232">
        <f>COUNTA(#REF!,#REF!)</f>
        <v>2</v>
      </c>
      <c r="Z53" s="218" t="e">
        <f>SUM(COUNTIF(#REF!,각_층_분전반_부하량!Z37),COUNTIF(#REF!,각_층_분전반_부하량!Z37))</f>
        <v>#REF!</v>
      </c>
      <c r="AA53" s="221" t="e">
        <f>Y53-Z53</f>
        <v>#REF!</v>
      </c>
    </row>
    <row r="54" spans="1:30" x14ac:dyDescent="0.15">
      <c r="A54" s="3687"/>
      <c r="B54" s="2552"/>
      <c r="C54" s="2157"/>
      <c r="D54" s="204" t="s">
        <v>6409</v>
      </c>
      <c r="E54" s="214">
        <v>150</v>
      </c>
      <c r="F54" s="215">
        <f t="shared" si="1"/>
        <v>98.726896031426008</v>
      </c>
      <c r="G54" s="215">
        <f>$G$56*E54/$E$56</f>
        <v>17.948717948717949</v>
      </c>
      <c r="H54" s="2172" t="e">
        <f>220*(#REF!+#REF!+#REF!)/1000</f>
        <v>#REF!</v>
      </c>
      <c r="I54" s="216" t="e">
        <f t="shared" si="2"/>
        <v>#REF!</v>
      </c>
      <c r="J54" s="217"/>
      <c r="K54" s="218"/>
      <c r="L54" s="219"/>
      <c r="M54" s="217"/>
      <c r="N54" s="218"/>
      <c r="O54" s="219"/>
      <c r="P54" s="220"/>
      <c r="Q54" s="218"/>
      <c r="R54" s="231"/>
      <c r="S54" s="232">
        <f>COUNTA(#REF!,#REF!)</f>
        <v>2</v>
      </c>
      <c r="T54" s="218" t="e">
        <f>SUM(COUNTIF(#REF!,각_층_분전반_부하량!T31),COUNTIF(#REF!,각_층_분전반_부하량!T31))</f>
        <v>#REF!</v>
      </c>
      <c r="U54" s="219" t="e">
        <f>S54-T54</f>
        <v>#REF!</v>
      </c>
      <c r="V54" s="220">
        <f>COUNTA(#REF!,#REF!)</f>
        <v>2</v>
      </c>
      <c r="W54" s="218" t="e">
        <f>SUM(COUNTIF(#REF!,각_층_분전반_부하량!W31),COUNTIF(#REF!,각_층_분전반_부하량!W31))</f>
        <v>#REF!</v>
      </c>
      <c r="X54" s="231" t="e">
        <f>V54-W54</f>
        <v>#REF!</v>
      </c>
      <c r="Y54" s="232"/>
      <c r="Z54" s="218"/>
      <c r="AA54" s="221"/>
    </row>
    <row r="55" spans="1:30" x14ac:dyDescent="0.15">
      <c r="A55" s="3687"/>
      <c r="B55" s="2552"/>
      <c r="C55" s="2157"/>
      <c r="D55" s="204" t="s">
        <v>6410</v>
      </c>
      <c r="E55" s="214">
        <v>300</v>
      </c>
      <c r="F55" s="215">
        <f t="shared" si="1"/>
        <v>197.45379206285202</v>
      </c>
      <c r="G55" s="215">
        <f>$G$56*E55/$E$56</f>
        <v>35.897435897435898</v>
      </c>
      <c r="H55" s="2172" t="e">
        <f>220*(#REF!+#REF!+#REF!)/1000</f>
        <v>#REF!</v>
      </c>
      <c r="I55" s="216" t="e">
        <f t="shared" si="2"/>
        <v>#REF!</v>
      </c>
      <c r="J55" s="217"/>
      <c r="K55" s="218"/>
      <c r="L55" s="219"/>
      <c r="M55" s="217"/>
      <c r="N55" s="218"/>
      <c r="O55" s="219"/>
      <c r="P55" s="220"/>
      <c r="Q55" s="218"/>
      <c r="R55" s="231"/>
      <c r="S55" s="232">
        <f>COUNTA(#REF!,#REF!)</f>
        <v>2</v>
      </c>
      <c r="T55" s="218" t="e">
        <f>SUM(COUNTIF(#REF!,각_층_분전반_부하량!T31),COUNTIF(#REF!,각_층_분전반_부하량!T31))</f>
        <v>#REF!</v>
      </c>
      <c r="U55" s="219" t="e">
        <f t="shared" ref="U55" si="13">S55-T55</f>
        <v>#REF!</v>
      </c>
      <c r="V55" s="220">
        <f>COUNTA(#REF!,#REF!)</f>
        <v>2</v>
      </c>
      <c r="W55" s="218" t="e">
        <f>SUM(COUNTIF(#REF!,각_층_분전반_부하량!W31),COUNTIF(#REF!,각_층_분전반_부하량!W31))</f>
        <v>#REF!</v>
      </c>
      <c r="X55" s="231" t="e">
        <f t="shared" ref="X55" si="14">V55-W55</f>
        <v>#REF!</v>
      </c>
      <c r="Y55" s="232">
        <v>2</v>
      </c>
      <c r="Z55" s="218">
        <v>0</v>
      </c>
      <c r="AA55" s="221">
        <v>2</v>
      </c>
    </row>
    <row r="56" spans="1:30" ht="14.25" thickBot="1" x14ac:dyDescent="0.2">
      <c r="A56" s="3688"/>
      <c r="B56" s="2553"/>
      <c r="C56" s="2173" t="s">
        <v>6331</v>
      </c>
      <c r="D56" s="2174" t="s">
        <v>6331</v>
      </c>
      <c r="E56" s="2175">
        <f>SUM(E32:E55)</f>
        <v>5850</v>
      </c>
      <c r="F56" s="2176">
        <f>SUM(F32:F55)</f>
        <v>3850.3489452256126</v>
      </c>
      <c r="G56" s="2177">
        <v>700</v>
      </c>
      <c r="H56" s="2178" t="e">
        <f>SUM(H32:H55)</f>
        <v>#REF!</v>
      </c>
      <c r="I56" s="2179" t="e">
        <f t="shared" si="2"/>
        <v>#REF!</v>
      </c>
      <c r="J56" s="222"/>
      <c r="K56" s="223"/>
      <c r="L56" s="224"/>
      <c r="M56" s="222"/>
      <c r="N56" s="223"/>
      <c r="O56" s="219"/>
      <c r="P56" s="225"/>
      <c r="Q56" s="223"/>
      <c r="R56" s="233"/>
      <c r="S56" s="234"/>
      <c r="T56" s="223"/>
      <c r="U56" s="224"/>
      <c r="V56" s="225"/>
      <c r="W56" s="223"/>
      <c r="X56" s="233"/>
      <c r="Y56" s="234"/>
      <c r="Z56" s="223"/>
      <c r="AA56" s="226"/>
    </row>
    <row r="57" spans="1:30" ht="14.45" customHeight="1" thickTop="1" x14ac:dyDescent="0.15">
      <c r="A57" s="3686" t="s">
        <v>6306</v>
      </c>
      <c r="B57" s="3695" t="s">
        <v>7022</v>
      </c>
      <c r="C57" s="3689" t="s">
        <v>6319</v>
      </c>
      <c r="D57" s="3684" t="s">
        <v>6320</v>
      </c>
      <c r="E57" s="3692" t="s">
        <v>6321</v>
      </c>
      <c r="F57" s="3682" t="s">
        <v>6322</v>
      </c>
      <c r="G57" s="3682" t="s">
        <v>6411</v>
      </c>
      <c r="H57" s="3682" t="s">
        <v>6324</v>
      </c>
      <c r="I57" s="3676" t="s">
        <v>6325</v>
      </c>
      <c r="J57" s="3678" t="s">
        <v>6205</v>
      </c>
      <c r="K57" s="3679"/>
      <c r="L57" s="3680"/>
      <c r="M57" s="3697" t="s">
        <v>6412</v>
      </c>
      <c r="N57" s="3679"/>
      <c r="O57" s="3680"/>
      <c r="P57" s="3681" t="s">
        <v>6252</v>
      </c>
      <c r="Q57" s="3679"/>
      <c r="R57" s="3684"/>
    </row>
    <row r="58" spans="1:30" ht="17.25" thickBot="1" x14ac:dyDescent="0.2">
      <c r="A58" s="3687"/>
      <c r="B58" s="3696"/>
      <c r="C58" s="3690"/>
      <c r="D58" s="3691"/>
      <c r="E58" s="3693"/>
      <c r="F58" s="3683"/>
      <c r="G58" s="3683"/>
      <c r="H58" s="3683"/>
      <c r="I58" s="3677"/>
      <c r="J58" s="197" t="s">
        <v>6331</v>
      </c>
      <c r="K58" s="198" t="s">
        <v>4575</v>
      </c>
      <c r="L58" s="199" t="s">
        <v>4723</v>
      </c>
      <c r="M58" s="228" t="s">
        <v>6331</v>
      </c>
      <c r="N58" s="198" t="s">
        <v>4575</v>
      </c>
      <c r="O58" s="199" t="s">
        <v>4723</v>
      </c>
      <c r="P58" s="200" t="s">
        <v>6331</v>
      </c>
      <c r="Q58" s="198" t="s">
        <v>4575</v>
      </c>
      <c r="R58" s="203" t="s">
        <v>4723</v>
      </c>
      <c r="S58" s="50"/>
      <c r="T58" s="196"/>
      <c r="U58" s="133"/>
      <c r="V58" s="50"/>
      <c r="W58" s="196"/>
      <c r="X58" s="133"/>
      <c r="Y58" s="50"/>
      <c r="Z58" s="196"/>
      <c r="AA58" s="133"/>
      <c r="AB58" s="50"/>
      <c r="AC58" s="196"/>
      <c r="AD58" s="133"/>
    </row>
    <row r="59" spans="1:30" x14ac:dyDescent="0.15">
      <c r="A59" s="3687"/>
      <c r="B59" s="251" t="s">
        <v>6938</v>
      </c>
      <c r="C59" s="2157" t="s">
        <v>6413</v>
      </c>
      <c r="D59" s="204" t="s">
        <v>6249</v>
      </c>
      <c r="E59" s="214">
        <v>300</v>
      </c>
      <c r="F59" s="215">
        <f>SQRT(3)*380*E59/1000</f>
        <v>197.45379206285202</v>
      </c>
      <c r="G59" s="215">
        <f t="shared" ref="G59:G68" si="15">$G$69*E59/$E$69</f>
        <v>70</v>
      </c>
      <c r="H59" s="2172" t="e">
        <f>220*(#REF!+#REF!+#REF!)/1000</f>
        <v>#REF!</v>
      </c>
      <c r="I59" s="216" t="e">
        <f>H59/G59</f>
        <v>#REF!</v>
      </c>
      <c r="J59" s="217">
        <f>COUNTA(#REF!)</f>
        <v>1</v>
      </c>
      <c r="K59" s="218" t="e">
        <f>COUNTIF(#REF!,각_층_분전반_부하량!K58)</f>
        <v>#REF!</v>
      </c>
      <c r="L59" s="219" t="e">
        <f t="shared" ref="L59:L66" si="16">J59-K59</f>
        <v>#REF!</v>
      </c>
      <c r="M59" s="232">
        <v>1</v>
      </c>
      <c r="N59" s="218">
        <v>1</v>
      </c>
      <c r="O59" s="219">
        <v>0</v>
      </c>
      <c r="P59" s="220"/>
      <c r="Q59" s="218"/>
      <c r="R59" s="221"/>
    </row>
    <row r="60" spans="1:30" x14ac:dyDescent="0.15">
      <c r="A60" s="3687"/>
      <c r="B60" s="251" t="s">
        <v>6933</v>
      </c>
      <c r="C60" s="1160" t="s">
        <v>6414</v>
      </c>
      <c r="D60" s="204" t="s">
        <v>6195</v>
      </c>
      <c r="E60" s="205">
        <v>300</v>
      </c>
      <c r="F60" s="206">
        <f t="shared" si="1"/>
        <v>197.45379206285202</v>
      </c>
      <c r="G60" s="206">
        <f t="shared" si="15"/>
        <v>70</v>
      </c>
      <c r="H60" s="2171" t="e">
        <f>220*(#REF!+#REF!+#REF!)/1000</f>
        <v>#REF!</v>
      </c>
      <c r="I60" s="207" t="e">
        <f t="shared" si="2"/>
        <v>#REF!</v>
      </c>
      <c r="J60" s="208">
        <f>COUNTA(#REF!)</f>
        <v>1</v>
      </c>
      <c r="K60" s="209" t="e">
        <f>COUNTIF(#REF!,각_층_분전반_부하량!K58)</f>
        <v>#REF!</v>
      </c>
      <c r="L60" s="210" t="e">
        <f t="shared" si="16"/>
        <v>#REF!</v>
      </c>
      <c r="M60" s="230">
        <v>1</v>
      </c>
      <c r="N60" s="209">
        <v>1</v>
      </c>
      <c r="O60" s="210">
        <v>0</v>
      </c>
      <c r="P60" s="211"/>
      <c r="Q60" s="209"/>
      <c r="R60" s="212"/>
    </row>
    <row r="61" spans="1:30" x14ac:dyDescent="0.15">
      <c r="A61" s="3687"/>
      <c r="B61" s="251" t="s">
        <v>6939</v>
      </c>
      <c r="C61" s="2157" t="s">
        <v>6415</v>
      </c>
      <c r="D61" s="204" t="s">
        <v>6263</v>
      </c>
      <c r="E61" s="214">
        <v>300</v>
      </c>
      <c r="F61" s="215">
        <f>SQRT(3)*380*E61/1000</f>
        <v>197.45379206285202</v>
      </c>
      <c r="G61" s="215">
        <f t="shared" si="15"/>
        <v>70</v>
      </c>
      <c r="H61" s="2172" t="e">
        <f>220*(#REF!+#REF!+#REF!)/1000</f>
        <v>#REF!</v>
      </c>
      <c r="I61" s="216" t="e">
        <f>H61/G61</f>
        <v>#REF!</v>
      </c>
      <c r="J61" s="217">
        <f>COUNTA(#REF!)</f>
        <v>1</v>
      </c>
      <c r="K61" s="218" t="e">
        <f>COUNTIF(#REF!,각_층_분전반_부하량!K58)</f>
        <v>#REF!</v>
      </c>
      <c r="L61" s="219" t="e">
        <f t="shared" si="16"/>
        <v>#REF!</v>
      </c>
      <c r="M61" s="232">
        <v>1</v>
      </c>
      <c r="N61" s="218">
        <v>0</v>
      </c>
      <c r="O61" s="219">
        <v>1</v>
      </c>
      <c r="P61" s="220"/>
      <c r="Q61" s="218"/>
      <c r="R61" s="221"/>
    </row>
    <row r="62" spans="1:30" x14ac:dyDescent="0.15">
      <c r="A62" s="3687"/>
      <c r="B62" s="251" t="s">
        <v>6934</v>
      </c>
      <c r="C62" s="1160" t="s">
        <v>6416</v>
      </c>
      <c r="D62" s="204" t="s">
        <v>6198</v>
      </c>
      <c r="E62" s="214">
        <v>300</v>
      </c>
      <c r="F62" s="215">
        <f t="shared" si="1"/>
        <v>197.45379206285202</v>
      </c>
      <c r="G62" s="215">
        <f t="shared" si="15"/>
        <v>70</v>
      </c>
      <c r="H62" s="2172" t="e">
        <f>220*(#REF!+#REF!+#REF!)/1000</f>
        <v>#REF!</v>
      </c>
      <c r="I62" s="216" t="e">
        <f t="shared" si="2"/>
        <v>#REF!</v>
      </c>
      <c r="J62" s="217">
        <f>COUNTA(#REF!)</f>
        <v>1</v>
      </c>
      <c r="K62" s="218" t="e">
        <f>COUNTIF(#REF!,각_층_분전반_부하량!K58)</f>
        <v>#REF!</v>
      </c>
      <c r="L62" s="219" t="e">
        <f t="shared" si="16"/>
        <v>#REF!</v>
      </c>
      <c r="M62" s="232">
        <v>1</v>
      </c>
      <c r="N62" s="218">
        <v>0</v>
      </c>
      <c r="O62" s="219">
        <v>1</v>
      </c>
      <c r="P62" s="220"/>
      <c r="Q62" s="218"/>
      <c r="R62" s="221"/>
    </row>
    <row r="63" spans="1:30" x14ac:dyDescent="0.15">
      <c r="A63" s="3687"/>
      <c r="B63" s="251" t="s">
        <v>6940</v>
      </c>
      <c r="C63" s="2157" t="s">
        <v>6417</v>
      </c>
      <c r="D63" s="204" t="s">
        <v>6265</v>
      </c>
      <c r="E63" s="214">
        <v>300</v>
      </c>
      <c r="F63" s="215">
        <f>SQRT(3)*380*E63/1000</f>
        <v>197.45379206285202</v>
      </c>
      <c r="G63" s="215">
        <f t="shared" si="15"/>
        <v>70</v>
      </c>
      <c r="H63" s="2172" t="e">
        <f>220*(#REF!+#REF!+#REF!)/1000</f>
        <v>#REF!</v>
      </c>
      <c r="I63" s="216" t="e">
        <f>H63/G63</f>
        <v>#REF!</v>
      </c>
      <c r="J63" s="217">
        <f>COUNTA(#REF!)</f>
        <v>1</v>
      </c>
      <c r="K63" s="218" t="e">
        <f>COUNTIF(#REF!,각_층_분전반_부하량!K58)</f>
        <v>#REF!</v>
      </c>
      <c r="L63" s="219" t="e">
        <f t="shared" si="16"/>
        <v>#REF!</v>
      </c>
      <c r="M63" s="232"/>
      <c r="N63" s="218"/>
      <c r="O63" s="219"/>
      <c r="P63" s="220"/>
      <c r="Q63" s="218"/>
      <c r="R63" s="221"/>
    </row>
    <row r="64" spans="1:30" x14ac:dyDescent="0.15">
      <c r="A64" s="3687"/>
      <c r="B64" s="251" t="s">
        <v>6935</v>
      </c>
      <c r="C64" s="1160" t="s">
        <v>6418</v>
      </c>
      <c r="D64" s="204" t="s">
        <v>6218</v>
      </c>
      <c r="E64" s="214">
        <v>300</v>
      </c>
      <c r="F64" s="215">
        <f t="shared" si="1"/>
        <v>197.45379206285202</v>
      </c>
      <c r="G64" s="215">
        <f t="shared" si="15"/>
        <v>70</v>
      </c>
      <c r="H64" s="2172" t="e">
        <f>220*(#REF!+#REF!+#REF!)/1000</f>
        <v>#REF!</v>
      </c>
      <c r="I64" s="216" t="e">
        <f t="shared" si="2"/>
        <v>#REF!</v>
      </c>
      <c r="J64" s="217">
        <f>COUNTA(#REF!)</f>
        <v>1</v>
      </c>
      <c r="K64" s="218" t="e">
        <f>COUNTIF(#REF!,각_층_분전반_부하량!K58)</f>
        <v>#REF!</v>
      </c>
      <c r="L64" s="219" t="e">
        <f t="shared" si="16"/>
        <v>#REF!</v>
      </c>
      <c r="M64" s="232"/>
      <c r="N64" s="218"/>
      <c r="O64" s="219"/>
      <c r="P64" s="220"/>
      <c r="Q64" s="218"/>
      <c r="R64" s="221"/>
    </row>
    <row r="65" spans="1:18" x14ac:dyDescent="0.15">
      <c r="A65" s="3687"/>
      <c r="B65" s="251" t="s">
        <v>6941</v>
      </c>
      <c r="C65" s="2157" t="s">
        <v>6419</v>
      </c>
      <c r="D65" s="204" t="s">
        <v>6284</v>
      </c>
      <c r="E65" s="214">
        <v>300</v>
      </c>
      <c r="F65" s="215">
        <f>SQRT(3)*380*E65/1000</f>
        <v>197.45379206285202</v>
      </c>
      <c r="G65" s="215">
        <f t="shared" si="15"/>
        <v>70</v>
      </c>
      <c r="H65" s="2172" t="e">
        <f>220*(#REF!+#REF!+#REF!)/1000</f>
        <v>#REF!</v>
      </c>
      <c r="I65" s="216" t="e">
        <f>H65/G65</f>
        <v>#REF!</v>
      </c>
      <c r="J65" s="217">
        <f>COUNTA(#REF!)</f>
        <v>1</v>
      </c>
      <c r="K65" s="218" t="e">
        <f>COUNTIF(#REF!,각_층_분전반_부하량!K58)</f>
        <v>#REF!</v>
      </c>
      <c r="L65" s="219" t="e">
        <f t="shared" si="16"/>
        <v>#REF!</v>
      </c>
      <c r="M65" s="232"/>
      <c r="N65" s="218"/>
      <c r="O65" s="219"/>
      <c r="P65" s="220"/>
      <c r="Q65" s="218"/>
      <c r="R65" s="221"/>
    </row>
    <row r="66" spans="1:18" x14ac:dyDescent="0.15">
      <c r="A66" s="3687"/>
      <c r="B66" s="251" t="s">
        <v>6936</v>
      </c>
      <c r="C66" s="1160" t="s">
        <v>6420</v>
      </c>
      <c r="D66" s="204" t="s">
        <v>6220</v>
      </c>
      <c r="E66" s="214">
        <v>300</v>
      </c>
      <c r="F66" s="215">
        <f t="shared" si="1"/>
        <v>197.45379206285202</v>
      </c>
      <c r="G66" s="215">
        <f t="shared" si="15"/>
        <v>70</v>
      </c>
      <c r="H66" s="2172" t="e">
        <f>220*(#REF!+#REF!+#REF!)/1000</f>
        <v>#REF!</v>
      </c>
      <c r="I66" s="216" t="e">
        <f t="shared" si="2"/>
        <v>#REF!</v>
      </c>
      <c r="J66" s="217">
        <f>COUNTA(#REF!)</f>
        <v>1</v>
      </c>
      <c r="K66" s="218" t="e">
        <f>COUNTIF(#REF!,각_층_분전반_부하량!K58)</f>
        <v>#REF!</v>
      </c>
      <c r="L66" s="219" t="e">
        <f t="shared" si="16"/>
        <v>#REF!</v>
      </c>
      <c r="M66" s="232"/>
      <c r="N66" s="218"/>
      <c r="O66" s="219"/>
      <c r="P66" s="220"/>
      <c r="Q66" s="218"/>
      <c r="R66" s="221"/>
    </row>
    <row r="67" spans="1:18" x14ac:dyDescent="0.15">
      <c r="A67" s="3687"/>
      <c r="B67" s="251" t="s">
        <v>6942</v>
      </c>
      <c r="C67" s="2157" t="s">
        <v>6421</v>
      </c>
      <c r="D67" s="204" t="s">
        <v>6286</v>
      </c>
      <c r="E67" s="214">
        <v>300</v>
      </c>
      <c r="F67" s="215">
        <f>SQRT(3)*380*E67/1000</f>
        <v>197.45379206285202</v>
      </c>
      <c r="G67" s="215">
        <f t="shared" si="15"/>
        <v>70</v>
      </c>
      <c r="H67" s="2172" t="e">
        <f>220*(#REF!+#REF!+#REF!)/1000</f>
        <v>#REF!</v>
      </c>
      <c r="I67" s="216" t="e">
        <f>H67/G67</f>
        <v>#REF!</v>
      </c>
      <c r="J67" s="217"/>
      <c r="K67" s="218"/>
      <c r="L67" s="219"/>
      <c r="M67" s="232"/>
      <c r="N67" s="218"/>
      <c r="O67" s="219"/>
      <c r="P67" s="220">
        <f>COUNTA(#REF!)</f>
        <v>1</v>
      </c>
      <c r="Q67" s="218" t="e">
        <f>COUNTIF(#REF!,각_층_분전반_부하량!Q58)</f>
        <v>#REF!</v>
      </c>
      <c r="R67" s="221" t="e">
        <f>P67-Q67</f>
        <v>#REF!</v>
      </c>
    </row>
    <row r="68" spans="1:18" x14ac:dyDescent="0.15">
      <c r="A68" s="3687"/>
      <c r="B68" s="251" t="s">
        <v>6937</v>
      </c>
      <c r="C68" s="1160" t="s">
        <v>6422</v>
      </c>
      <c r="D68" s="204" t="s">
        <v>6247</v>
      </c>
      <c r="E68" s="214">
        <v>300</v>
      </c>
      <c r="F68" s="215">
        <f t="shared" si="1"/>
        <v>197.45379206285202</v>
      </c>
      <c r="G68" s="215">
        <f t="shared" si="15"/>
        <v>70</v>
      </c>
      <c r="H68" s="2172" t="e">
        <f>220*(#REF!+#REF!+#REF!)/1000</f>
        <v>#REF!</v>
      </c>
      <c r="I68" s="216" t="e">
        <f t="shared" si="2"/>
        <v>#REF!</v>
      </c>
      <c r="J68" s="217"/>
      <c r="K68" s="218"/>
      <c r="L68" s="219"/>
      <c r="M68" s="232"/>
      <c r="N68" s="218"/>
      <c r="O68" s="219"/>
      <c r="P68" s="220">
        <f>COUNTA(#REF!)</f>
        <v>1</v>
      </c>
      <c r="Q68" s="218" t="e">
        <f>COUNTIF(#REF!,각_층_분전반_부하량!Q58)</f>
        <v>#REF!</v>
      </c>
      <c r="R68" s="221" t="e">
        <f>P68-Q68</f>
        <v>#REF!</v>
      </c>
    </row>
    <row r="69" spans="1:18" ht="14.25" thickBot="1" x14ac:dyDescent="0.2">
      <c r="A69" s="3688"/>
      <c r="B69" s="2553"/>
      <c r="C69" s="2173" t="s">
        <v>6331</v>
      </c>
      <c r="D69" s="2174" t="s">
        <v>6331</v>
      </c>
      <c r="E69" s="2175">
        <f>SUM(E59:E68)</f>
        <v>3000</v>
      </c>
      <c r="F69" s="2176">
        <f>SUM(F59:F68)</f>
        <v>1974.5379206285202</v>
      </c>
      <c r="G69" s="2177">
        <v>700</v>
      </c>
      <c r="H69" s="2178" t="e">
        <f>SUM(H59:H68)</f>
        <v>#REF!</v>
      </c>
      <c r="I69" s="2179" t="e">
        <f t="shared" si="2"/>
        <v>#REF!</v>
      </c>
      <c r="J69" s="222"/>
      <c r="K69" s="223"/>
      <c r="L69" s="224"/>
      <c r="M69" s="234"/>
      <c r="N69" s="223"/>
      <c r="O69" s="224"/>
      <c r="P69" s="225"/>
      <c r="Q69" s="223"/>
      <c r="R69" s="226"/>
    </row>
    <row r="70" spans="1:18" ht="15" thickTop="1" thickBot="1" x14ac:dyDescent="0.2">
      <c r="D70" s="56"/>
    </row>
    <row r="71" spans="1:18" x14ac:dyDescent="0.15">
      <c r="D71" s="235" t="s">
        <v>6423</v>
      </c>
      <c r="E71" s="236"/>
      <c r="F71" s="237"/>
      <c r="G71" s="238" t="s">
        <v>6424</v>
      </c>
      <c r="H71" s="239" t="s">
        <v>6425</v>
      </c>
    </row>
    <row r="72" spans="1:18" x14ac:dyDescent="0.15">
      <c r="D72" s="340" t="s">
        <v>6306</v>
      </c>
      <c r="E72" s="240" t="s">
        <v>4649</v>
      </c>
      <c r="F72" s="215" t="s">
        <v>4649</v>
      </c>
      <c r="G72" s="241" t="e">
        <f>#REF!</f>
        <v>#REF!</v>
      </c>
      <c r="H72" s="242" t="e">
        <f>#REF!</f>
        <v>#REF!</v>
      </c>
    </row>
    <row r="73" spans="1:18" x14ac:dyDescent="0.15">
      <c r="D73" s="243"/>
      <c r="E73" s="240" t="s">
        <v>6307</v>
      </c>
      <c r="F73" s="215" t="s">
        <v>6308</v>
      </c>
      <c r="G73" s="241" t="e">
        <f>#REF!</f>
        <v>#REF!</v>
      </c>
      <c r="H73" s="242" t="e">
        <f>#REF!</f>
        <v>#REF!</v>
      </c>
    </row>
    <row r="74" spans="1:18" x14ac:dyDescent="0.15">
      <c r="D74" s="243"/>
      <c r="E74" s="240" t="s">
        <v>4666</v>
      </c>
      <c r="F74" s="215" t="s">
        <v>6308</v>
      </c>
      <c r="G74" s="241" t="e">
        <f>#REF!</f>
        <v>#REF!</v>
      </c>
      <c r="H74" s="242" t="e">
        <f>#REF!</f>
        <v>#REF!</v>
      </c>
    </row>
    <row r="75" spans="1:18" x14ac:dyDescent="0.15">
      <c r="D75" s="243"/>
      <c r="E75" s="240" t="s">
        <v>6307</v>
      </c>
      <c r="F75" s="215" t="s">
        <v>6309</v>
      </c>
      <c r="G75" s="241" t="e">
        <f>#REF!</f>
        <v>#REF!</v>
      </c>
      <c r="H75" s="242" t="e">
        <f>#REF!</f>
        <v>#REF!</v>
      </c>
    </row>
    <row r="76" spans="1:18" ht="14.25" thickBot="1" x14ac:dyDescent="0.2">
      <c r="D76" s="244"/>
      <c r="E76" s="245"/>
      <c r="F76" s="246" t="s">
        <v>4985</v>
      </c>
      <c r="G76" s="241" t="e">
        <f>#REF!</f>
        <v>#REF!</v>
      </c>
      <c r="H76" s="242" t="e">
        <f>#REF!</f>
        <v>#REF!</v>
      </c>
    </row>
    <row r="77" spans="1:18" ht="14.25" thickBot="1" x14ac:dyDescent="0.2">
      <c r="D77" s="247" t="s">
        <v>6365</v>
      </c>
      <c r="E77" s="236" t="s">
        <v>4649</v>
      </c>
      <c r="F77" s="237" t="s">
        <v>4649</v>
      </c>
      <c r="G77" s="248" t="e">
        <f>#REF!</f>
        <v>#REF!</v>
      </c>
      <c r="H77" s="1006"/>
    </row>
    <row r="78" spans="1:18" ht="14.25" thickBot="1" x14ac:dyDescent="0.2">
      <c r="D78" s="247" t="s">
        <v>6336</v>
      </c>
      <c r="E78" s="236" t="s">
        <v>4649</v>
      </c>
      <c r="F78" s="237" t="s">
        <v>4649</v>
      </c>
      <c r="G78" s="281" t="e">
        <f>#REF!</f>
        <v>#REF!</v>
      </c>
      <c r="H78" s="282"/>
    </row>
    <row r="79" spans="1:18" x14ac:dyDescent="0.15">
      <c r="D79" s="339" t="s">
        <v>6318</v>
      </c>
      <c r="E79" s="236" t="s">
        <v>4649</v>
      </c>
      <c r="F79" s="237" t="s">
        <v>4972</v>
      </c>
      <c r="G79" s="281" t="e">
        <f>#REF!</f>
        <v>#REF!</v>
      </c>
      <c r="H79" s="282" t="e">
        <f>#REF!</f>
        <v>#REF!</v>
      </c>
    </row>
    <row r="80" spans="1:18" x14ac:dyDescent="0.15">
      <c r="D80" s="243"/>
      <c r="E80" s="2311" t="s">
        <v>6426</v>
      </c>
      <c r="F80" s="215" t="s">
        <v>6427</v>
      </c>
      <c r="G80" s="215" t="e">
        <f>#REF!</f>
        <v>#REF!</v>
      </c>
      <c r="H80" s="242" t="e">
        <f>#REF!</f>
        <v>#REF!</v>
      </c>
    </row>
    <row r="81" spans="4:8" x14ac:dyDescent="0.15">
      <c r="D81" s="243"/>
      <c r="E81" s="240" t="s">
        <v>4634</v>
      </c>
      <c r="F81" s="215" t="s">
        <v>4634</v>
      </c>
      <c r="G81" s="215" t="e">
        <f>#REF!</f>
        <v>#REF!</v>
      </c>
      <c r="H81" s="242" t="e">
        <f>#REF!</f>
        <v>#REF!</v>
      </c>
    </row>
    <row r="82" spans="4:8" x14ac:dyDescent="0.15">
      <c r="D82" s="243"/>
      <c r="E82" s="240" t="s">
        <v>4634</v>
      </c>
      <c r="F82" s="215" t="s">
        <v>4978</v>
      </c>
      <c r="G82" s="215" t="e">
        <f>#REF!</f>
        <v>#REF!</v>
      </c>
      <c r="H82" s="242" t="e">
        <f>#REF!</f>
        <v>#REF!</v>
      </c>
    </row>
    <row r="83" spans="4:8" x14ac:dyDescent="0.15">
      <c r="D83" s="243"/>
      <c r="E83" s="240" t="s">
        <v>4980</v>
      </c>
      <c r="F83" s="215" t="s">
        <v>6428</v>
      </c>
      <c r="G83" s="206" t="e">
        <f>#REF!</f>
        <v>#REF!</v>
      </c>
      <c r="H83" s="242" t="e">
        <f>#REF!</f>
        <v>#REF!</v>
      </c>
    </row>
    <row r="84" spans="4:8" ht="14.25" thickBot="1" x14ac:dyDescent="0.2">
      <c r="D84" s="249"/>
      <c r="E84" s="228"/>
      <c r="F84" s="2312" t="s">
        <v>4985</v>
      </c>
      <c r="G84" s="2312" t="e">
        <f>#REF!</f>
        <v>#REF!</v>
      </c>
      <c r="H84" s="2313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1" type="noConversion"/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3.5" x14ac:dyDescent="0.15"/>
  <cols>
    <col min="1" max="1" customWidth="true" width="3.88671875" collapsed="false"/>
    <col min="2" max="2" bestFit="true" customWidth="true" width="17.44140625" collapsed="false"/>
    <col min="3" max="3" bestFit="true" customWidth="true" width="19.109375" collapsed="false"/>
    <col min="4" max="4" bestFit="true" customWidth="true" style="124" width="38.21875" collapsed="false"/>
    <col min="5" max="5" style="50" width="8.6640625" collapsed="false"/>
    <col min="6" max="6" bestFit="true" customWidth="true" style="50" width="14.77734375" collapsed="false"/>
    <col min="7" max="7" customWidth="true" style="50" width="11.21875" collapsed="false"/>
    <col min="8" max="8" bestFit="true" customWidth="true" style="50" width="11.109375" collapsed="false"/>
    <col min="9" max="9" bestFit="true" customWidth="true" width="9.44140625" collapsed="false"/>
    <col min="10" max="41" customWidth="true" width="4.109375" collapsed="false"/>
  </cols>
  <sheetData>
    <row r="1" spans="1:30" ht="14.25" thickBot="1" x14ac:dyDescent="0.2">
      <c r="J1" s="3673" t="s">
        <v>6317</v>
      </c>
      <c r="K1" s="3674"/>
      <c r="L1" s="3674"/>
      <c r="M1" s="3674"/>
      <c r="N1" s="3674"/>
      <c r="O1" s="3675"/>
    </row>
    <row r="2" spans="1:30" ht="14.45" customHeight="1" thickTop="1" x14ac:dyDescent="0.15">
      <c r="A2" s="3686" t="s">
        <v>6318</v>
      </c>
      <c r="B2" s="3695" t="s">
        <v>7022</v>
      </c>
      <c r="C2" s="3689" t="s">
        <v>6319</v>
      </c>
      <c r="D2" s="3684" t="s">
        <v>6320</v>
      </c>
      <c r="E2" s="3692" t="s">
        <v>6321</v>
      </c>
      <c r="F2" s="3682" t="s">
        <v>6322</v>
      </c>
      <c r="G2" s="3682" t="s">
        <v>6323</v>
      </c>
      <c r="H2" s="3682" t="s">
        <v>6324</v>
      </c>
      <c r="I2" s="3676" t="s">
        <v>6325</v>
      </c>
      <c r="J2" s="3678" t="s">
        <v>6326</v>
      </c>
      <c r="K2" s="3679"/>
      <c r="L2" s="3680"/>
      <c r="M2" s="3681" t="s">
        <v>5644</v>
      </c>
      <c r="N2" s="3679"/>
      <c r="O2" s="3679"/>
      <c r="P2" s="3679" t="s">
        <v>6327</v>
      </c>
      <c r="Q2" s="3679"/>
      <c r="R2" s="3679"/>
      <c r="S2" s="3679" t="s">
        <v>6328</v>
      </c>
      <c r="T2" s="3679"/>
      <c r="U2" s="3679"/>
      <c r="V2" s="3679" t="s">
        <v>6329</v>
      </c>
      <c r="W2" s="3679"/>
      <c r="X2" s="3679"/>
      <c r="Y2" s="3679" t="s">
        <v>6330</v>
      </c>
      <c r="Z2" s="3679"/>
      <c r="AA2" s="3679"/>
      <c r="AB2" s="3679" t="s">
        <v>4995</v>
      </c>
      <c r="AC2" s="3679"/>
      <c r="AD2" s="3684"/>
    </row>
    <row r="3" spans="1:30" ht="17.25" thickBot="1" x14ac:dyDescent="0.2">
      <c r="A3" s="3687"/>
      <c r="B3" s="3696"/>
      <c r="C3" s="3711"/>
      <c r="D3" s="3691"/>
      <c r="E3" s="3693"/>
      <c r="F3" s="3683"/>
      <c r="G3" s="3683"/>
      <c r="H3" s="3683"/>
      <c r="I3" s="3677"/>
      <c r="J3" s="197" t="s">
        <v>6331</v>
      </c>
      <c r="K3" s="198" t="s">
        <v>4575</v>
      </c>
      <c r="L3" s="199" t="s">
        <v>4723</v>
      </c>
      <c r="M3" s="200" t="s">
        <v>6331</v>
      </c>
      <c r="N3" s="198" t="s">
        <v>4575</v>
      </c>
      <c r="O3" s="201" t="s">
        <v>4723</v>
      </c>
      <c r="P3" s="202" t="s">
        <v>6331</v>
      </c>
      <c r="Q3" s="198" t="s">
        <v>4575</v>
      </c>
      <c r="R3" s="201" t="s">
        <v>4723</v>
      </c>
      <c r="S3" s="202" t="s">
        <v>6331</v>
      </c>
      <c r="T3" s="198" t="s">
        <v>4575</v>
      </c>
      <c r="U3" s="201" t="s">
        <v>4723</v>
      </c>
      <c r="V3" s="202" t="s">
        <v>6331</v>
      </c>
      <c r="W3" s="198" t="s">
        <v>4575</v>
      </c>
      <c r="X3" s="201" t="s">
        <v>4723</v>
      </c>
      <c r="Y3" s="202" t="s">
        <v>6331</v>
      </c>
      <c r="Z3" s="198" t="s">
        <v>4575</v>
      </c>
      <c r="AA3" s="201" t="s">
        <v>4723</v>
      </c>
      <c r="AB3" s="202" t="s">
        <v>6331</v>
      </c>
      <c r="AC3" s="198" t="s">
        <v>4575</v>
      </c>
      <c r="AD3" s="203" t="s">
        <v>4723</v>
      </c>
    </row>
    <row r="4" spans="1:30" x14ac:dyDescent="0.15">
      <c r="A4" s="3687"/>
      <c r="B4" s="251" t="s">
        <v>7018</v>
      </c>
      <c r="C4" s="2157" t="s">
        <v>4973</v>
      </c>
      <c r="D4" s="204" t="s">
        <v>4627</v>
      </c>
      <c r="E4" s="205">
        <v>400</v>
      </c>
      <c r="F4" s="206">
        <f>SQRT(3)*380*E4/1000</f>
        <v>263.27172275046934</v>
      </c>
      <c r="G4" s="206">
        <f t="shared" ref="G4:G11" si="0">$G$12*E4/$E$12</f>
        <v>200</v>
      </c>
      <c r="H4" s="2467" t="e">
        <f>220*(#REF!+#REF!+#REF!)/1000</f>
        <v>#REF!</v>
      </c>
      <c r="I4" s="207" t="e">
        <f>H4/G4</f>
        <v>#REF!</v>
      </c>
      <c r="J4" s="208">
        <f>COUNTA(#REF!)</f>
        <v>1</v>
      </c>
      <c r="K4" s="209" t="e">
        <f>COUNTIF(#REF!,각_층_분전반_부하량!K3)</f>
        <v>#REF!</v>
      </c>
      <c r="L4" s="210" t="e">
        <f>J4-K4</f>
        <v>#REF!</v>
      </c>
      <c r="M4" s="211">
        <f>COUNTA(#REF!)</f>
        <v>1</v>
      </c>
      <c r="N4" s="209" t="e">
        <f>COUNTIF(#REF!,각_층_분전반_부하량!N3)</f>
        <v>#REF!</v>
      </c>
      <c r="O4" s="209" t="e">
        <f>M4-N4</f>
        <v>#REF!</v>
      </c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12"/>
    </row>
    <row r="5" spans="1:30" x14ac:dyDescent="0.15">
      <c r="A5" s="3687"/>
      <c r="B5" s="251" t="s">
        <v>7020</v>
      </c>
      <c r="C5" s="2159" t="s">
        <v>4982</v>
      </c>
      <c r="D5" s="213" t="s">
        <v>4799</v>
      </c>
      <c r="E5" s="214">
        <v>300</v>
      </c>
      <c r="F5" s="215">
        <f>SQRT(3)*380*E5/1000</f>
        <v>197.45379206285202</v>
      </c>
      <c r="G5" s="215">
        <f t="shared" si="0"/>
        <v>150</v>
      </c>
      <c r="H5" s="2468" t="e">
        <f>220*(#REF!+#REF!+#REF!)/1000</f>
        <v>#REF!</v>
      </c>
      <c r="I5" s="216" t="e">
        <f>H5/G5</f>
        <v>#REF!</v>
      </c>
      <c r="J5" s="217"/>
      <c r="K5" s="218"/>
      <c r="L5" s="219"/>
      <c r="M5" s="220">
        <f>COUNTA(#REF!,#REF!)</f>
        <v>2</v>
      </c>
      <c r="N5" s="218" t="e">
        <f>SUM(COUNTIF(#REF!,각_층_분전반_부하량!N3),COUNTIF(#REF!,각_층_분전반_부하량!N3))</f>
        <v>#REF!</v>
      </c>
      <c r="O5" s="218" t="e">
        <f>M5-N5</f>
        <v>#REF!</v>
      </c>
      <c r="P5" s="218"/>
      <c r="Q5" s="218"/>
      <c r="R5" s="218"/>
      <c r="S5" s="218"/>
      <c r="T5" s="218"/>
      <c r="U5" s="218"/>
      <c r="V5" s="218"/>
      <c r="W5" s="218"/>
      <c r="X5" s="218"/>
      <c r="Y5" s="218"/>
      <c r="Z5" s="218"/>
      <c r="AA5" s="218"/>
      <c r="AB5" s="218"/>
      <c r="AC5" s="218"/>
      <c r="AD5" s="221"/>
    </row>
    <row r="6" spans="1:30" x14ac:dyDescent="0.15">
      <c r="A6" s="3687"/>
      <c r="B6" s="251" t="s">
        <v>7017</v>
      </c>
      <c r="C6" s="2157" t="s">
        <v>4977</v>
      </c>
      <c r="D6" s="2161" t="s">
        <v>6332</v>
      </c>
      <c r="E6" s="214">
        <v>225</v>
      </c>
      <c r="F6" s="215">
        <f>SQRT(3)*380*E6/1000</f>
        <v>148.09034404713898</v>
      </c>
      <c r="G6" s="215">
        <f t="shared" si="0"/>
        <v>112.5</v>
      </c>
      <c r="H6" s="2468" t="e">
        <f>220*(#REF!+#REF!+#REF!)/1000</f>
        <v>#REF!</v>
      </c>
      <c r="I6" s="216" t="e">
        <f>H6/G6</f>
        <v>#REF!</v>
      </c>
      <c r="J6" s="217"/>
      <c r="K6" s="218"/>
      <c r="L6" s="219"/>
      <c r="M6" s="220"/>
      <c r="N6" s="218"/>
      <c r="O6" s="218"/>
      <c r="P6" s="218">
        <f>COUNTA(#REF!,#REF!)</f>
        <v>2</v>
      </c>
      <c r="Q6" s="218" t="e">
        <f>SUM(COUNTIF(#REF!,각_층_분전반_부하량!Q3),COUNTIF(#REF!,각_층_분전반_부하량!Q3))</f>
        <v>#REF!</v>
      </c>
      <c r="R6" s="218" t="e">
        <f>P6-Q6</f>
        <v>#REF!</v>
      </c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21"/>
    </row>
    <row r="7" spans="1:30" x14ac:dyDescent="0.15">
      <c r="A7" s="3687"/>
      <c r="B7" s="251" t="s">
        <v>7016</v>
      </c>
      <c r="C7" s="2157" t="s">
        <v>6334</v>
      </c>
      <c r="D7" s="204" t="s">
        <v>4959</v>
      </c>
      <c r="E7" s="214">
        <v>400</v>
      </c>
      <c r="F7" s="215">
        <f>SQRT(3)*380*E7/1000</f>
        <v>263.27172275046934</v>
      </c>
      <c r="G7" s="215">
        <f t="shared" si="0"/>
        <v>200</v>
      </c>
      <c r="H7" s="2468" t="e">
        <f>SQRT(3)*380*((#REF!+#REF!+#REF!)/3)/1000</f>
        <v>#REF!</v>
      </c>
      <c r="I7" s="216" t="e">
        <f>H7/G7</f>
        <v>#REF!</v>
      </c>
      <c r="J7" s="217"/>
      <c r="K7" s="218"/>
      <c r="L7" s="219"/>
      <c r="M7" s="220"/>
      <c r="N7" s="218"/>
      <c r="O7" s="218"/>
      <c r="P7" s="218"/>
      <c r="Q7" s="218"/>
      <c r="R7" s="218"/>
      <c r="S7" s="218">
        <f>COUNTA(#REF!,#REF!)</f>
        <v>2</v>
      </c>
      <c r="T7" s="218" t="e">
        <f>SUM(COUNTIF(#REF!,각_층_분전반_부하량!T3),COUNTIF(#REF!,각_층_분전반_부하량!T3))</f>
        <v>#REF!</v>
      </c>
      <c r="U7" s="218" t="e">
        <f>S7-T7</f>
        <v>#REF!</v>
      </c>
      <c r="V7" s="218">
        <f>COUNTA(#REF!,#REF!)</f>
        <v>2</v>
      </c>
      <c r="W7" s="218" t="e">
        <f>SUM(COUNTIF(#REF!,각_층_분전반_부하량!W3),COUNTIF(#REF!,각_층_분전반_부하량!W3))</f>
        <v>#REF!</v>
      </c>
      <c r="X7" s="218" t="e">
        <f>V7-W7</f>
        <v>#REF!</v>
      </c>
      <c r="Y7" s="218"/>
      <c r="Z7" s="218"/>
      <c r="AA7" s="218"/>
      <c r="AB7" s="218"/>
      <c r="AC7" s="218"/>
      <c r="AD7" s="221"/>
    </row>
    <row r="8" spans="1:30" x14ac:dyDescent="0.15">
      <c r="A8" s="3687"/>
      <c r="B8" s="251" t="s">
        <v>7014</v>
      </c>
      <c r="C8" s="1160" t="s">
        <v>4976</v>
      </c>
      <c r="D8" s="204" t="s">
        <v>4859</v>
      </c>
      <c r="E8" s="214">
        <v>400</v>
      </c>
      <c r="F8" s="215">
        <f>SQRT(3)*380*E8/1000</f>
        <v>263.27172275046934</v>
      </c>
      <c r="G8" s="215">
        <f t="shared" si="0"/>
        <v>200</v>
      </c>
      <c r="H8" s="2468" t="e">
        <f>220*(#REF!+#REF!+#REF!)/1000</f>
        <v>#REF!</v>
      </c>
      <c r="I8" s="216" t="e">
        <f>H8/G8</f>
        <v>#REF!</v>
      </c>
      <c r="J8" s="217">
        <f>COUNTA(#REF!)</f>
        <v>1</v>
      </c>
      <c r="K8" s="218" t="e">
        <f>COUNTIF(#REF!,각_층_분전반_부하량!K3)</f>
        <v>#REF!</v>
      </c>
      <c r="L8" s="219" t="e">
        <f>J8-K8</f>
        <v>#REF!</v>
      </c>
      <c r="M8" s="220">
        <f>COUNTA(#REF!)</f>
        <v>1</v>
      </c>
      <c r="N8" s="218" t="e">
        <f>COUNTIF(#REF!,각_층_분전반_부하량!N3)</f>
        <v>#REF!</v>
      </c>
      <c r="O8" s="218" t="e">
        <f>M8-N8</f>
        <v>#REF!</v>
      </c>
      <c r="P8" s="218"/>
      <c r="Q8" s="218"/>
      <c r="R8" s="218"/>
      <c r="S8" s="218"/>
      <c r="T8" s="218"/>
      <c r="U8" s="218"/>
      <c r="V8" s="218"/>
      <c r="W8" s="218"/>
      <c r="X8" s="218"/>
      <c r="Y8" s="218"/>
      <c r="Z8" s="218"/>
      <c r="AA8" s="218"/>
      <c r="AB8" s="218"/>
      <c r="AC8" s="218"/>
      <c r="AD8" s="221"/>
    </row>
    <row r="9" spans="1:30" x14ac:dyDescent="0.15">
      <c r="A9" s="3687"/>
      <c r="B9" s="251" t="s">
        <v>7019</v>
      </c>
      <c r="C9" s="2158" t="s">
        <v>4984</v>
      </c>
      <c r="D9" s="213" t="s">
        <v>4714</v>
      </c>
      <c r="E9" s="214">
        <v>300</v>
      </c>
      <c r="F9" s="215">
        <f t="shared" ref="F9:F68" si="1">SQRT(3)*380*E9/1000</f>
        <v>197.45379206285202</v>
      </c>
      <c r="G9" s="215">
        <f t="shared" si="0"/>
        <v>150</v>
      </c>
      <c r="H9" s="2468" t="e">
        <f>220*(#REF!+#REF!+#REF!)/1000</f>
        <v>#REF!</v>
      </c>
      <c r="I9" s="216" t="e">
        <f t="shared" ref="I9:I69" si="2">H9/G9</f>
        <v>#REF!</v>
      </c>
      <c r="J9" s="217"/>
      <c r="K9" s="218"/>
      <c r="L9" s="219"/>
      <c r="M9" s="220">
        <f>COUNTA(#REF!,#REF!)</f>
        <v>2</v>
      </c>
      <c r="N9" s="218" t="e">
        <f>SUM(COUNTIF(#REF!,각_층_분전반_부하량!N3),COUNTIF(#REF!,각_층_분전반_부하량!N3))</f>
        <v>#REF!</v>
      </c>
      <c r="O9" s="218" t="e">
        <f>M9-N9</f>
        <v>#REF!</v>
      </c>
      <c r="P9" s="218"/>
      <c r="Q9" s="218"/>
      <c r="R9" s="218"/>
      <c r="S9" s="218"/>
      <c r="T9" s="218"/>
      <c r="U9" s="218"/>
      <c r="V9" s="218"/>
      <c r="W9" s="218"/>
      <c r="X9" s="218"/>
      <c r="Y9" s="218"/>
      <c r="Z9" s="218"/>
      <c r="AA9" s="218"/>
      <c r="AB9" s="218"/>
      <c r="AC9" s="218"/>
      <c r="AD9" s="221"/>
    </row>
    <row r="10" spans="1:30" x14ac:dyDescent="0.15">
      <c r="A10" s="3687"/>
      <c r="B10" s="251" t="s">
        <v>7015</v>
      </c>
      <c r="C10" s="1160" t="s">
        <v>4979</v>
      </c>
      <c r="D10" s="2161" t="s">
        <v>6333</v>
      </c>
      <c r="E10" s="214">
        <v>225</v>
      </c>
      <c r="F10" s="215">
        <f t="shared" si="1"/>
        <v>148.09034404713898</v>
      </c>
      <c r="G10" s="215">
        <f t="shared" si="0"/>
        <v>112.5</v>
      </c>
      <c r="H10" s="2468" t="e">
        <f>220*(#REF!+#REF!+#REF!)/1000</f>
        <v>#REF!</v>
      </c>
      <c r="I10" s="216" t="e">
        <f t="shared" si="2"/>
        <v>#REF!</v>
      </c>
      <c r="J10" s="217"/>
      <c r="K10" s="218"/>
      <c r="L10" s="219"/>
      <c r="M10" s="220"/>
      <c r="N10" s="218"/>
      <c r="O10" s="218"/>
      <c r="P10" s="218">
        <f>COUNTA(#REF!,#REF!)</f>
        <v>2</v>
      </c>
      <c r="Q10" s="218" t="e">
        <f>SUM(COUNTIF(#REF!,각_층_분전반_부하량!Q3),COUNTIF(#REF!,각_층_분전반_부하량!Q3))</f>
        <v>#REF!</v>
      </c>
      <c r="R10" s="218" t="e">
        <f>P10-Q10</f>
        <v>#REF!</v>
      </c>
      <c r="S10" s="218"/>
      <c r="T10" s="218"/>
      <c r="U10" s="218"/>
      <c r="V10" s="218"/>
      <c r="W10" s="218"/>
      <c r="X10" s="218"/>
      <c r="Y10" s="218"/>
      <c r="Z10" s="218"/>
      <c r="AA10" s="218"/>
      <c r="AB10" s="218"/>
      <c r="AC10" s="218"/>
      <c r="AD10" s="221"/>
    </row>
    <row r="11" spans="1:30" x14ac:dyDescent="0.15">
      <c r="A11" s="3687"/>
      <c r="B11" s="251" t="s">
        <v>7013</v>
      </c>
      <c r="C11" s="1160" t="s">
        <v>6335</v>
      </c>
      <c r="D11" s="204" t="s">
        <v>4965</v>
      </c>
      <c r="E11" s="214">
        <v>400</v>
      </c>
      <c r="F11" s="215">
        <f t="shared" si="1"/>
        <v>263.27172275046934</v>
      </c>
      <c r="G11" s="215">
        <f t="shared" si="0"/>
        <v>200</v>
      </c>
      <c r="H11" s="2468" t="e">
        <f>SQRT(3)*380*((#REF!+#REF!+#REF!)/3)/1000</f>
        <v>#REF!</v>
      </c>
      <c r="I11" s="216" t="e">
        <f t="shared" si="2"/>
        <v>#REF!</v>
      </c>
      <c r="J11" s="217"/>
      <c r="K11" s="218"/>
      <c r="L11" s="219"/>
      <c r="M11" s="220"/>
      <c r="N11" s="218"/>
      <c r="O11" s="218"/>
      <c r="P11" s="218"/>
      <c r="Q11" s="218"/>
      <c r="R11" s="218"/>
      <c r="S11" s="218"/>
      <c r="T11" s="218"/>
      <c r="U11" s="218"/>
      <c r="V11" s="218">
        <f>COUNTA(#REF!,#REF!)</f>
        <v>2</v>
      </c>
      <c r="W11" s="218" t="e">
        <f>SUM(COUNTIF(#REF!,각_층_분전반_부하량!W3),COUNTIF(#REF!,각_층_분전반_부하량!W3))</f>
        <v>#REF!</v>
      </c>
      <c r="X11" s="218" t="e">
        <f>V11-W11</f>
        <v>#REF!</v>
      </c>
      <c r="Y11" s="218">
        <f>COUNTA(#REF!,#REF!)</f>
        <v>2</v>
      </c>
      <c r="Z11" s="218" t="e">
        <f>SUM(COUNTIF(#REF!,각_층_분전반_부하량!Z3),COUNTIF(#REF!,각_층_분전반_부하량!Z3))</f>
        <v>#REF!</v>
      </c>
      <c r="AA11" s="218" t="e">
        <f>Y11-Z11</f>
        <v>#REF!</v>
      </c>
      <c r="AB11" s="218"/>
      <c r="AC11" s="218"/>
      <c r="AD11" s="221"/>
    </row>
    <row r="12" spans="1:30" ht="14.25" thickBot="1" x14ac:dyDescent="0.2">
      <c r="A12" s="3688"/>
      <c r="B12" s="2553"/>
      <c r="C12" s="2554" t="s">
        <v>6331</v>
      </c>
      <c r="D12" s="2174" t="s">
        <v>6331</v>
      </c>
      <c r="E12" s="2175">
        <f>E9+E5+E7+E11</f>
        <v>1400</v>
      </c>
      <c r="F12" s="2176">
        <f>F9+F5+F7+F11</f>
        <v>921.45102962664259</v>
      </c>
      <c r="G12" s="2182">
        <v>700</v>
      </c>
      <c r="H12" s="2178" t="e">
        <f>H9+H5+H7+H11</f>
        <v>#REF!</v>
      </c>
      <c r="I12" s="2179" t="e">
        <f t="shared" si="2"/>
        <v>#REF!</v>
      </c>
      <c r="J12" s="222"/>
      <c r="K12" s="223"/>
      <c r="L12" s="224"/>
      <c r="M12" s="225"/>
      <c r="N12" s="223"/>
      <c r="O12" s="223"/>
      <c r="P12" s="223"/>
      <c r="Q12" s="223"/>
      <c r="R12" s="223"/>
      <c r="S12" s="223"/>
      <c r="T12" s="223"/>
      <c r="U12" s="223"/>
      <c r="V12" s="223"/>
      <c r="W12" s="223"/>
      <c r="X12" s="223"/>
      <c r="Y12" s="223"/>
      <c r="Z12" s="223"/>
      <c r="AA12" s="223"/>
      <c r="AB12" s="223">
        <f>COUNTA(#REF!,#REF!)</f>
        <v>2</v>
      </c>
      <c r="AC12" s="223" t="e">
        <f>SUM(COUNTIF(#REF!,각_층_분전반_부하량!AC3),COUNTIF(#REF!,각_층_분전반_부하량!AC3))</f>
        <v>#REF!</v>
      </c>
      <c r="AD12" s="226" t="e">
        <f>AB12-AC12</f>
        <v>#REF!</v>
      </c>
    </row>
    <row r="13" spans="1:30" ht="14.45" customHeight="1" thickTop="1" x14ac:dyDescent="0.15">
      <c r="A13" s="3686" t="s">
        <v>6336</v>
      </c>
      <c r="B13" s="3695" t="s">
        <v>7022</v>
      </c>
      <c r="C13" s="3689" t="s">
        <v>6319</v>
      </c>
      <c r="D13" s="3684" t="s">
        <v>6320</v>
      </c>
      <c r="E13" s="3692" t="s">
        <v>6321</v>
      </c>
      <c r="F13" s="3682" t="s">
        <v>6322</v>
      </c>
      <c r="G13" s="3682" t="s">
        <v>6323</v>
      </c>
      <c r="H13" s="3709" t="s">
        <v>6324</v>
      </c>
      <c r="I13" s="3676" t="s">
        <v>6325</v>
      </c>
      <c r="J13" s="3678" t="s">
        <v>5644</v>
      </c>
      <c r="K13" s="3679"/>
      <c r="L13" s="3680"/>
      <c r="M13" s="3685"/>
      <c r="N13" s="3657"/>
      <c r="O13" s="3657"/>
    </row>
    <row r="14" spans="1:30" ht="17.25" thickBot="1" x14ac:dyDescent="0.2">
      <c r="A14" s="3687"/>
      <c r="B14" s="3696"/>
      <c r="C14" s="3690"/>
      <c r="D14" s="3691"/>
      <c r="E14" s="3693"/>
      <c r="F14" s="3683"/>
      <c r="G14" s="3683"/>
      <c r="H14" s="3710"/>
      <c r="I14" s="3677"/>
      <c r="J14" s="197" t="s">
        <v>6331</v>
      </c>
      <c r="K14" s="198" t="s">
        <v>4575</v>
      </c>
      <c r="L14" s="199" t="s">
        <v>4723</v>
      </c>
      <c r="M14" s="50"/>
      <c r="N14" s="196"/>
      <c r="O14" s="133"/>
      <c r="P14" s="50"/>
      <c r="Q14" s="196"/>
      <c r="R14" s="133"/>
      <c r="S14" s="50"/>
      <c r="T14" s="196"/>
      <c r="U14" s="133"/>
      <c r="V14" s="50"/>
      <c r="W14" s="196"/>
      <c r="X14" s="133"/>
      <c r="Y14" s="50"/>
      <c r="Z14" s="196"/>
      <c r="AA14" s="133"/>
      <c r="AB14" s="50"/>
      <c r="AC14" s="196"/>
      <c r="AD14" s="133"/>
    </row>
    <row r="15" spans="1:30" x14ac:dyDescent="0.15">
      <c r="A15" s="3687"/>
      <c r="B15" s="251" t="s">
        <v>7003</v>
      </c>
      <c r="C15" s="2159" t="s">
        <v>6337</v>
      </c>
      <c r="D15" s="213" t="s">
        <v>6338</v>
      </c>
      <c r="E15" s="214">
        <v>200</v>
      </c>
      <c r="F15" s="215">
        <f t="shared" si="1"/>
        <v>131.63586137523467</v>
      </c>
      <c r="G15" s="215">
        <f t="shared" ref="G15:G28" si="3">$G$29*E15/$E$29</f>
        <v>41.176470588235297</v>
      </c>
      <c r="H15" s="2468" t="e">
        <f>220*(#REF!+#REF!+#REF!)/1000</f>
        <v>#REF!</v>
      </c>
      <c r="I15" s="216" t="e">
        <f t="shared" si="2"/>
        <v>#REF!</v>
      </c>
      <c r="J15" s="217">
        <f>COUNTA(#REF!,#REF!)</f>
        <v>2</v>
      </c>
      <c r="K15" s="218" t="e">
        <f>SUM(COUNTIF(#REF!,각_층_분전반_부하량!K14),COUNTIF(#REF!,각_층_분전반_부하량!K14))</f>
        <v>#REF!</v>
      </c>
      <c r="L15" s="219" t="e">
        <f t="shared" ref="L15:L24" si="4">J15-K15</f>
        <v>#REF!</v>
      </c>
    </row>
    <row r="16" spans="1:30" x14ac:dyDescent="0.15">
      <c r="A16" s="3687"/>
      <c r="B16" s="251" t="s">
        <v>7005</v>
      </c>
      <c r="C16" s="2159" t="s">
        <v>6341</v>
      </c>
      <c r="D16" s="213" t="s">
        <v>6342</v>
      </c>
      <c r="E16" s="214">
        <v>200</v>
      </c>
      <c r="F16" s="215">
        <f t="shared" ref="F16:F21" si="5">SQRT(3)*380*E16/1000</f>
        <v>131.63586137523467</v>
      </c>
      <c r="G16" s="215">
        <f t="shared" si="3"/>
        <v>41.176470588235297</v>
      </c>
      <c r="H16" s="2468" t="e">
        <f>220*(#REF!+#REF!+#REF!)/1000</f>
        <v>#REF!</v>
      </c>
      <c r="I16" s="216" t="e">
        <f t="shared" ref="I16:I21" si="6">H16/G16</f>
        <v>#REF!</v>
      </c>
      <c r="J16" s="217">
        <f>COUNTA(#REF!,#REF!)</f>
        <v>2</v>
      </c>
      <c r="K16" s="218" t="e">
        <f>SUM(COUNTIF(#REF!,각_층_분전반_부하량!K14),COUNTIF(#REF!,각_층_분전반_부하량!K14))</f>
        <v>#REF!</v>
      </c>
      <c r="L16" s="219" t="e">
        <f t="shared" ref="L16:L21" si="7">J16-K16</f>
        <v>#REF!</v>
      </c>
    </row>
    <row r="17" spans="1:30" x14ac:dyDescent="0.15">
      <c r="A17" s="3687"/>
      <c r="B17" s="251" t="s">
        <v>7007</v>
      </c>
      <c r="C17" s="2159" t="s">
        <v>6345</v>
      </c>
      <c r="D17" s="213" t="s">
        <v>6346</v>
      </c>
      <c r="E17" s="214">
        <v>300</v>
      </c>
      <c r="F17" s="215">
        <f t="shared" si="5"/>
        <v>197.45379206285202</v>
      </c>
      <c r="G17" s="215">
        <f t="shared" si="3"/>
        <v>61.764705882352942</v>
      </c>
      <c r="H17" s="2468" t="e">
        <f>220*(#REF!+#REF!+#REF!)/1000</f>
        <v>#REF!</v>
      </c>
      <c r="I17" s="216" t="e">
        <f t="shared" si="6"/>
        <v>#REF!</v>
      </c>
      <c r="J17" s="217">
        <f>COUNTA(#REF!,#REF!)</f>
        <v>2</v>
      </c>
      <c r="K17" s="218" t="e">
        <f>SUM(COUNTIF(#REF!,각_층_분전반_부하량!K14),COUNTIF(#REF!,각_층_분전반_부하량!K14))</f>
        <v>#REF!</v>
      </c>
      <c r="L17" s="219" t="e">
        <f t="shared" si="7"/>
        <v>#REF!</v>
      </c>
    </row>
    <row r="18" spans="1:30" x14ac:dyDescent="0.15">
      <c r="A18" s="3687"/>
      <c r="B18" s="251" t="s">
        <v>7009</v>
      </c>
      <c r="C18" s="2159" t="s">
        <v>6349</v>
      </c>
      <c r="D18" s="213" t="s">
        <v>6350</v>
      </c>
      <c r="E18" s="214">
        <v>300</v>
      </c>
      <c r="F18" s="215">
        <f t="shared" si="5"/>
        <v>197.45379206285202</v>
      </c>
      <c r="G18" s="215">
        <f t="shared" si="3"/>
        <v>61.764705882352942</v>
      </c>
      <c r="H18" s="2468" t="e">
        <f>220*(#REF!+#REF!+#REF!)/1000</f>
        <v>#REF!</v>
      </c>
      <c r="I18" s="216" t="e">
        <f t="shared" si="6"/>
        <v>#REF!</v>
      </c>
      <c r="J18" s="217">
        <f>COUNTA(#REF!,#REF!)</f>
        <v>2</v>
      </c>
      <c r="K18" s="218" t="e">
        <f>SUM(COUNTIF(#REF!,각_층_분전반_부하량!K14),COUNTIF(#REF!,각_층_분전반_부하량!K14))</f>
        <v>#REF!</v>
      </c>
      <c r="L18" s="219" t="e">
        <f t="shared" si="7"/>
        <v>#REF!</v>
      </c>
    </row>
    <row r="19" spans="1:30" x14ac:dyDescent="0.15">
      <c r="A19" s="3687"/>
      <c r="B19" s="251" t="s">
        <v>6999</v>
      </c>
      <c r="C19" s="2159" t="s">
        <v>6353</v>
      </c>
      <c r="D19" s="213" t="s">
        <v>6354</v>
      </c>
      <c r="E19" s="214">
        <v>200</v>
      </c>
      <c r="F19" s="215">
        <f t="shared" si="5"/>
        <v>131.63586137523467</v>
      </c>
      <c r="G19" s="215">
        <f t="shared" si="3"/>
        <v>41.176470588235297</v>
      </c>
      <c r="H19" s="2468" t="e">
        <f>220*(#REF!+#REF!+#REF!)/1000</f>
        <v>#REF!</v>
      </c>
      <c r="I19" s="216" t="e">
        <f t="shared" si="6"/>
        <v>#REF!</v>
      </c>
      <c r="J19" s="217">
        <f>COUNTA(#REF!,#REF!)</f>
        <v>2</v>
      </c>
      <c r="K19" s="218" t="e">
        <f>SUM(COUNTIF(#REF!,각_층_분전반_부하량!K14),COUNTIF(#REF!,각_층_분전반_부하량!K14))</f>
        <v>#REF!</v>
      </c>
      <c r="L19" s="219" t="e">
        <f t="shared" si="7"/>
        <v>#REF!</v>
      </c>
      <c r="N19" s="50"/>
    </row>
    <row r="20" spans="1:30" x14ac:dyDescent="0.15">
      <c r="A20" s="3687"/>
      <c r="B20" s="251" t="s">
        <v>7001</v>
      </c>
      <c r="C20" s="2159" t="s">
        <v>6357</v>
      </c>
      <c r="D20" s="213" t="s">
        <v>6358</v>
      </c>
      <c r="E20" s="214">
        <v>200</v>
      </c>
      <c r="F20" s="215">
        <f t="shared" si="5"/>
        <v>131.63586137523467</v>
      </c>
      <c r="G20" s="215">
        <f t="shared" si="3"/>
        <v>41.176470588235297</v>
      </c>
      <c r="H20" s="2468" t="e">
        <f>220*(#REF!+#REF!+#REF!)/1000</f>
        <v>#REF!</v>
      </c>
      <c r="I20" s="216" t="e">
        <f t="shared" si="6"/>
        <v>#REF!</v>
      </c>
      <c r="J20" s="217">
        <f>COUNTA(#REF!,#REF!)</f>
        <v>2</v>
      </c>
      <c r="K20" s="218" t="e">
        <f>SUM(COUNTIF(#REF!,각_층_분전반_부하량!K14),COUNTIF(#REF!,각_층_분전반_부하량!K14))</f>
        <v>#REF!</v>
      </c>
      <c r="L20" s="219" t="e">
        <f t="shared" si="7"/>
        <v>#REF!</v>
      </c>
    </row>
    <row r="21" spans="1:30" x14ac:dyDescent="0.15">
      <c r="A21" s="3687"/>
      <c r="B21" s="251" t="s">
        <v>6997</v>
      </c>
      <c r="C21" s="2159" t="s">
        <v>6361</v>
      </c>
      <c r="D21" s="213" t="s">
        <v>6362</v>
      </c>
      <c r="E21" s="205">
        <v>300</v>
      </c>
      <c r="F21" s="206">
        <f t="shared" si="5"/>
        <v>197.45379206285202</v>
      </c>
      <c r="G21" s="206">
        <f t="shared" si="3"/>
        <v>61.764705882352942</v>
      </c>
      <c r="H21" s="2467" t="e">
        <f>220*(#REF!+#REF!+#REF!)/1000</f>
        <v>#REF!</v>
      </c>
      <c r="I21" s="207" t="e">
        <f t="shared" si="6"/>
        <v>#REF!</v>
      </c>
      <c r="J21" s="208">
        <f>COUNTA(#REF!,#REF!)</f>
        <v>2</v>
      </c>
      <c r="K21" s="209" t="e">
        <f>SUM(COUNTIF(#REF!,각_층_분전반_부하량!K14),COUNTIF(#REF!,각_층_분전반_부하량!K14))</f>
        <v>#REF!</v>
      </c>
      <c r="L21" s="210" t="e">
        <f t="shared" si="7"/>
        <v>#REF!</v>
      </c>
      <c r="N21" s="50"/>
    </row>
    <row r="22" spans="1:30" x14ac:dyDescent="0.15">
      <c r="A22" s="3687"/>
      <c r="B22" s="251" t="s">
        <v>7004</v>
      </c>
      <c r="C22" s="2158" t="s">
        <v>6339</v>
      </c>
      <c r="D22" s="213" t="s">
        <v>6340</v>
      </c>
      <c r="E22" s="214">
        <v>200</v>
      </c>
      <c r="F22" s="215">
        <f t="shared" si="1"/>
        <v>131.63586137523467</v>
      </c>
      <c r="G22" s="215">
        <f t="shared" si="3"/>
        <v>41.176470588235297</v>
      </c>
      <c r="H22" s="2468" t="e">
        <f>220*(#REF!+#REF!+#REF!)/1000</f>
        <v>#REF!</v>
      </c>
      <c r="I22" s="216" t="e">
        <f t="shared" si="2"/>
        <v>#REF!</v>
      </c>
      <c r="J22" s="217">
        <f>COUNTA(#REF!,#REF!)</f>
        <v>2</v>
      </c>
      <c r="K22" s="218" t="e">
        <f>SUM(COUNTIF(#REF!,각_층_분전반_부하량!K14),COUNTIF(#REF!,각_층_분전반_부하량!K14))</f>
        <v>#REF!</v>
      </c>
      <c r="L22" s="219" t="e">
        <f t="shared" si="4"/>
        <v>#REF!</v>
      </c>
    </row>
    <row r="23" spans="1:30" x14ac:dyDescent="0.15">
      <c r="A23" s="3687"/>
      <c r="B23" s="251" t="s">
        <v>7006</v>
      </c>
      <c r="C23" s="2158" t="s">
        <v>6343</v>
      </c>
      <c r="D23" s="213" t="s">
        <v>6344</v>
      </c>
      <c r="E23" s="214">
        <v>200</v>
      </c>
      <c r="F23" s="215">
        <f t="shared" si="1"/>
        <v>131.63586137523467</v>
      </c>
      <c r="G23" s="215">
        <f t="shared" si="3"/>
        <v>41.176470588235297</v>
      </c>
      <c r="H23" s="2468" t="e">
        <f>220*(#REF!+#REF!+#REF!)/1000</f>
        <v>#REF!</v>
      </c>
      <c r="I23" s="216" t="e">
        <f t="shared" si="2"/>
        <v>#REF!</v>
      </c>
      <c r="J23" s="217">
        <f>COUNTA(#REF!,#REF!)</f>
        <v>2</v>
      </c>
      <c r="K23" s="218" t="e">
        <f>SUM(COUNTIF(#REF!,각_층_분전반_부하량!K14),COUNTIF(#REF!,각_층_분전반_부하량!K14))</f>
        <v>#REF!</v>
      </c>
      <c r="L23" s="219" t="e">
        <f t="shared" si="4"/>
        <v>#REF!</v>
      </c>
    </row>
    <row r="24" spans="1:30" x14ac:dyDescent="0.15">
      <c r="A24" s="3687"/>
      <c r="B24" s="251" t="s">
        <v>7008</v>
      </c>
      <c r="C24" s="2158" t="s">
        <v>6347</v>
      </c>
      <c r="D24" s="213" t="s">
        <v>6348</v>
      </c>
      <c r="E24" s="214">
        <v>300</v>
      </c>
      <c r="F24" s="215">
        <f t="shared" si="1"/>
        <v>197.45379206285202</v>
      </c>
      <c r="G24" s="215">
        <f t="shared" si="3"/>
        <v>61.764705882352942</v>
      </c>
      <c r="H24" s="2468" t="e">
        <f>220*(#REF!+#REF!+#REF!)/1000</f>
        <v>#REF!</v>
      </c>
      <c r="I24" s="216" t="e">
        <f t="shared" si="2"/>
        <v>#REF!</v>
      </c>
      <c r="J24" s="217">
        <f>COUNTA(#REF!,#REF!)</f>
        <v>2</v>
      </c>
      <c r="K24" s="218" t="e">
        <f>SUM(COUNTIF(#REF!,각_층_분전반_부하량!K14),COUNTIF(#REF!,각_층_분전반_부하량!K14))</f>
        <v>#REF!</v>
      </c>
      <c r="L24" s="219" t="e">
        <f t="shared" si="4"/>
        <v>#REF!</v>
      </c>
    </row>
    <row r="25" spans="1:30" x14ac:dyDescent="0.15">
      <c r="A25" s="3687"/>
      <c r="B25" s="251" t="s">
        <v>7010</v>
      </c>
      <c r="C25" s="2158" t="s">
        <v>6351</v>
      </c>
      <c r="D25" s="213" t="s">
        <v>6352</v>
      </c>
      <c r="E25" s="214">
        <v>300</v>
      </c>
      <c r="F25" s="215">
        <f>SQRT(3)*380*E25/1000</f>
        <v>197.45379206285202</v>
      </c>
      <c r="G25" s="215">
        <f t="shared" si="3"/>
        <v>61.764705882352942</v>
      </c>
      <c r="H25" s="2468" t="e">
        <f>220*(#REF!+#REF!+#REF!)/1000</f>
        <v>#REF!</v>
      </c>
      <c r="I25" s="216" t="e">
        <f>H25/G25</f>
        <v>#REF!</v>
      </c>
      <c r="J25" s="217">
        <f>COUNTA(#REF!,#REF!)</f>
        <v>2</v>
      </c>
      <c r="K25" s="218" t="e">
        <f>SUM(COUNTIF(#REF!,각_층_분전반_부하량!K14),COUNTIF(#REF!,각_층_분전반_부하량!K14))</f>
        <v>#REF!</v>
      </c>
      <c r="L25" s="219" t="e">
        <f>J25-K25</f>
        <v>#REF!</v>
      </c>
    </row>
    <row r="26" spans="1:30" x14ac:dyDescent="0.15">
      <c r="A26" s="3687"/>
      <c r="B26" s="251" t="s">
        <v>7000</v>
      </c>
      <c r="C26" s="2158" t="s">
        <v>6355</v>
      </c>
      <c r="D26" s="213" t="s">
        <v>6356</v>
      </c>
      <c r="E26" s="214">
        <v>200</v>
      </c>
      <c r="F26" s="215">
        <f>SQRT(3)*380*E26/1000</f>
        <v>131.63586137523467</v>
      </c>
      <c r="G26" s="215">
        <f t="shared" si="3"/>
        <v>41.176470588235297</v>
      </c>
      <c r="H26" s="2468" t="e">
        <f>220*(#REF!+#REF!+#REF!)/1000</f>
        <v>#REF!</v>
      </c>
      <c r="I26" s="216" t="e">
        <f>H26/G26</f>
        <v>#REF!</v>
      </c>
      <c r="J26" s="217">
        <f>COUNTA(#REF!,#REF!)</f>
        <v>2</v>
      </c>
      <c r="K26" s="218" t="e">
        <f>SUM(COUNTIF(#REF!,각_층_분전반_부하량!K14),COUNTIF(#REF!,각_층_분전반_부하량!K14))</f>
        <v>#REF!</v>
      </c>
      <c r="L26" s="219" t="e">
        <f>J26-K26</f>
        <v>#REF!</v>
      </c>
    </row>
    <row r="27" spans="1:30" x14ac:dyDescent="0.15">
      <c r="A27" s="3687"/>
      <c r="B27" s="251" t="s">
        <v>7002</v>
      </c>
      <c r="C27" s="2158" t="s">
        <v>6359</v>
      </c>
      <c r="D27" s="213" t="s">
        <v>6360</v>
      </c>
      <c r="E27" s="214">
        <v>200</v>
      </c>
      <c r="F27" s="215">
        <f>SQRT(3)*380*E27/1000</f>
        <v>131.63586137523467</v>
      </c>
      <c r="G27" s="215">
        <f t="shared" si="3"/>
        <v>41.176470588235297</v>
      </c>
      <c r="H27" s="2468" t="e">
        <f>220*(#REF!+#REF!+#REF!)/1000</f>
        <v>#REF!</v>
      </c>
      <c r="I27" s="216" t="e">
        <f>H27/G27</f>
        <v>#REF!</v>
      </c>
      <c r="J27" s="217">
        <f>COUNTA(#REF!,#REF!)</f>
        <v>2</v>
      </c>
      <c r="K27" s="218" t="e">
        <f>SUM(COUNTIF(#REF!,각_층_분전반_부하량!K14),COUNTIF(#REF!,각_층_분전반_부하량!K14))</f>
        <v>#REF!</v>
      </c>
      <c r="L27" s="219" t="e">
        <f>J27-K27</f>
        <v>#REF!</v>
      </c>
    </row>
    <row r="28" spans="1:30" x14ac:dyDescent="0.15">
      <c r="A28" s="3687"/>
      <c r="B28" s="251" t="s">
        <v>6998</v>
      </c>
      <c r="C28" s="2158" t="s">
        <v>6363</v>
      </c>
      <c r="D28" s="213" t="s">
        <v>6364</v>
      </c>
      <c r="E28" s="214">
        <v>300</v>
      </c>
      <c r="F28" s="215">
        <f>SQRT(3)*380*E28/1000</f>
        <v>197.45379206285202</v>
      </c>
      <c r="G28" s="215">
        <f t="shared" si="3"/>
        <v>61.764705882352942</v>
      </c>
      <c r="H28" s="2468" t="e">
        <f>220*(#REF!+#REF!+#REF!)/1000</f>
        <v>#REF!</v>
      </c>
      <c r="I28" s="216" t="e">
        <f>H28/G28</f>
        <v>#REF!</v>
      </c>
      <c r="J28" s="217">
        <f>COUNTA(#REF!,#REF!)</f>
        <v>2</v>
      </c>
      <c r="K28" s="218" t="e">
        <f>SUM(COUNTIF(#REF!,각_층_분전반_부하량!K14),COUNTIF(#REF!,각_층_분전반_부하량!K14))</f>
        <v>#REF!</v>
      </c>
      <c r="L28" s="219" t="e">
        <f>J28-K28</f>
        <v>#REF!</v>
      </c>
    </row>
    <row r="29" spans="1:30" ht="14.25" thickBot="1" x14ac:dyDescent="0.2">
      <c r="A29" s="3688"/>
      <c r="B29" s="2553"/>
      <c r="C29" s="2173" t="s">
        <v>6331</v>
      </c>
      <c r="D29" s="2174" t="s">
        <v>6331</v>
      </c>
      <c r="E29" s="2175">
        <f>SUM(E15:E28)</f>
        <v>3400</v>
      </c>
      <c r="F29" s="2176">
        <f>SUM(F15:F28)</f>
        <v>2237.8096433789897</v>
      </c>
      <c r="G29" s="2182">
        <v>700</v>
      </c>
      <c r="H29" s="2178" t="e">
        <f>SUM(H15:H28)</f>
        <v>#REF!</v>
      </c>
      <c r="I29" s="2179" t="e">
        <f t="shared" si="2"/>
        <v>#REF!</v>
      </c>
      <c r="J29" s="222"/>
      <c r="K29" s="223"/>
      <c r="L29" s="224"/>
    </row>
    <row r="30" spans="1:30" ht="14.45" customHeight="1" thickTop="1" x14ac:dyDescent="0.15">
      <c r="A30" s="3686" t="s">
        <v>6365</v>
      </c>
      <c r="B30" s="3695" t="s">
        <v>7022</v>
      </c>
      <c r="C30" s="3689" t="s">
        <v>6319</v>
      </c>
      <c r="D30" s="3684" t="s">
        <v>6320</v>
      </c>
      <c r="E30" s="3692" t="s">
        <v>6321</v>
      </c>
      <c r="F30" s="3682" t="s">
        <v>6322</v>
      </c>
      <c r="G30" s="3682" t="s">
        <v>6323</v>
      </c>
      <c r="H30" s="3709" t="s">
        <v>6324</v>
      </c>
      <c r="I30" s="3676" t="s">
        <v>6325</v>
      </c>
      <c r="J30" s="3678" t="s">
        <v>5644</v>
      </c>
      <c r="K30" s="3679"/>
      <c r="L30" s="3680"/>
      <c r="M30" s="3678" t="s">
        <v>6327</v>
      </c>
      <c r="N30" s="3679"/>
      <c r="O30" s="3680"/>
      <c r="P30" s="3681" t="s">
        <v>6366</v>
      </c>
      <c r="Q30" s="3679"/>
      <c r="R30" s="3694"/>
      <c r="S30" s="3697" t="s">
        <v>5790</v>
      </c>
      <c r="T30" s="3679"/>
      <c r="U30" s="3680"/>
      <c r="V30" s="3681" t="s">
        <v>5801</v>
      </c>
      <c r="W30" s="3679"/>
      <c r="X30" s="3694"/>
      <c r="Y30" s="3697" t="s">
        <v>5898</v>
      </c>
      <c r="Z30" s="3679"/>
      <c r="AA30" s="3684"/>
      <c r="AB30" s="3657"/>
      <c r="AC30" s="3657"/>
      <c r="AD30" s="3657"/>
    </row>
    <row r="31" spans="1:30" ht="17.25" thickBot="1" x14ac:dyDescent="0.2">
      <c r="A31" s="3687"/>
      <c r="B31" s="3696"/>
      <c r="C31" s="3690"/>
      <c r="D31" s="3691"/>
      <c r="E31" s="3693"/>
      <c r="F31" s="3683"/>
      <c r="G31" s="3683"/>
      <c r="H31" s="3710"/>
      <c r="I31" s="3677"/>
      <c r="J31" s="197" t="s">
        <v>6331</v>
      </c>
      <c r="K31" s="198" t="s">
        <v>4575</v>
      </c>
      <c r="L31" s="199" t="s">
        <v>4723</v>
      </c>
      <c r="M31" s="197" t="s">
        <v>6331</v>
      </c>
      <c r="N31" s="198" t="s">
        <v>4575</v>
      </c>
      <c r="O31" s="199" t="s">
        <v>4723</v>
      </c>
      <c r="P31" s="200" t="s">
        <v>6331</v>
      </c>
      <c r="Q31" s="198" t="s">
        <v>4575</v>
      </c>
      <c r="R31" s="227" t="s">
        <v>4723</v>
      </c>
      <c r="S31" s="228" t="s">
        <v>6331</v>
      </c>
      <c r="T31" s="198" t="s">
        <v>4575</v>
      </c>
      <c r="U31" s="199" t="s">
        <v>4723</v>
      </c>
      <c r="V31" s="200" t="s">
        <v>6331</v>
      </c>
      <c r="W31" s="198" t="s">
        <v>4575</v>
      </c>
      <c r="X31" s="227" t="s">
        <v>4723</v>
      </c>
      <c r="Y31" s="228" t="s">
        <v>6331</v>
      </c>
      <c r="Z31" s="198" t="s">
        <v>4575</v>
      </c>
      <c r="AA31" s="203" t="s">
        <v>4723</v>
      </c>
      <c r="AB31" s="50"/>
      <c r="AC31" s="196"/>
      <c r="AD31" s="133"/>
    </row>
    <row r="32" spans="1:30" x14ac:dyDescent="0.15">
      <c r="A32" s="3687"/>
      <c r="B32" s="251" t="s">
        <v>6945</v>
      </c>
      <c r="C32" s="2157" t="s">
        <v>6367</v>
      </c>
      <c r="D32" s="204" t="s">
        <v>5651</v>
      </c>
      <c r="E32" s="205">
        <v>300</v>
      </c>
      <c r="F32" s="206">
        <f t="shared" si="1"/>
        <v>197.45379206285202</v>
      </c>
      <c r="G32" s="206">
        <f t="shared" ref="G32:G55" si="8">$G$56*E32/$E$56</f>
        <v>35.897435897435898</v>
      </c>
      <c r="H32" s="2467" t="e">
        <f>220*(#REF!+#REF!+#REF!)/1000</f>
        <v>#REF!</v>
      </c>
      <c r="I32" s="207" t="e">
        <f t="shared" si="2"/>
        <v>#REF!</v>
      </c>
      <c r="J32" s="208">
        <f>COUNTA(#REF!,#REF!)</f>
        <v>2</v>
      </c>
      <c r="K32" s="209" t="e">
        <f>SUM(COUNTIF(#REF!,각_층_분전반_부하량!K31),COUNTIF(#REF!,각_층_분전반_부하량!K31))</f>
        <v>#REF!</v>
      </c>
      <c r="L32" s="210" t="e">
        <f>J32-K32</f>
        <v>#REF!</v>
      </c>
      <c r="M32" s="2160"/>
      <c r="N32" s="238"/>
      <c r="O32" s="239"/>
      <c r="P32" s="211">
        <v>2</v>
      </c>
      <c r="Q32" s="209">
        <v>1</v>
      </c>
      <c r="R32" s="229">
        <v>1</v>
      </c>
      <c r="S32" s="230"/>
      <c r="T32" s="209"/>
      <c r="U32" s="210"/>
      <c r="V32" s="211"/>
      <c r="W32" s="209"/>
      <c r="X32" s="229"/>
      <c r="Y32" s="230"/>
      <c r="Z32" s="209"/>
      <c r="AA32" s="212"/>
    </row>
    <row r="33" spans="1:27" x14ac:dyDescent="0.15">
      <c r="A33" s="3687"/>
      <c r="B33" s="251" t="s">
        <v>6947</v>
      </c>
      <c r="C33" s="2157" t="s">
        <v>6370</v>
      </c>
      <c r="D33" s="204" t="s">
        <v>6371</v>
      </c>
      <c r="E33" s="214">
        <v>300</v>
      </c>
      <c r="F33" s="215">
        <f t="shared" ref="F33:F42" si="9">SQRT(3)*380*E33/1000</f>
        <v>197.45379206285202</v>
      </c>
      <c r="G33" s="215">
        <f t="shared" si="8"/>
        <v>35.897435897435898</v>
      </c>
      <c r="H33" s="2468" t="e">
        <f>220*(#REF!+#REF!+#REF!)/1000</f>
        <v>#REF!</v>
      </c>
      <c r="I33" s="216" t="e">
        <f t="shared" ref="I33:I42" si="10">H33/G33</f>
        <v>#REF!</v>
      </c>
      <c r="J33" s="217">
        <f>COUNTA(#REF!,#REF!)</f>
        <v>2</v>
      </c>
      <c r="K33" s="218" t="e">
        <f>SUM(COUNTIF(#REF!,각_층_분전반_부하량!K31),COUNTIF(#REF!,각_층_분전반_부하량!K31))</f>
        <v>#REF!</v>
      </c>
      <c r="L33" s="219" t="e">
        <f>J33-K33</f>
        <v>#REF!</v>
      </c>
      <c r="M33" s="220"/>
      <c r="N33" s="218"/>
      <c r="O33" s="219"/>
      <c r="P33" s="220">
        <v>2</v>
      </c>
      <c r="Q33" s="218">
        <v>1</v>
      </c>
      <c r="R33" s="231">
        <v>1</v>
      </c>
      <c r="S33" s="232"/>
      <c r="T33" s="218"/>
      <c r="U33" s="219"/>
      <c r="V33" s="220"/>
      <c r="W33" s="218"/>
      <c r="X33" s="231"/>
      <c r="Y33" s="232"/>
      <c r="Z33" s="218"/>
      <c r="AA33" s="221"/>
    </row>
    <row r="34" spans="1:27" x14ac:dyDescent="0.15">
      <c r="A34" s="3687"/>
      <c r="B34" s="251" t="s">
        <v>7023</v>
      </c>
      <c r="C34" s="2157" t="s">
        <v>6373</v>
      </c>
      <c r="D34" s="204" t="s">
        <v>6374</v>
      </c>
      <c r="E34" s="214">
        <v>300</v>
      </c>
      <c r="F34" s="215">
        <f t="shared" si="9"/>
        <v>197.45379206285202</v>
      </c>
      <c r="G34" s="215">
        <f t="shared" si="8"/>
        <v>35.897435897435898</v>
      </c>
      <c r="H34" s="2468" t="e">
        <f>220*(#REF!+#REF!+#REF!)/1000</f>
        <v>#REF!</v>
      </c>
      <c r="I34" s="216" t="e">
        <f t="shared" si="10"/>
        <v>#REF!</v>
      </c>
      <c r="J34" s="217">
        <f>COUNTA(#REF!,#REF!)</f>
        <v>2</v>
      </c>
      <c r="K34" s="218" t="e">
        <f>SUM(COUNTIF(#REF!,각_층_분전반_부하량!K31),COUNTIF(#REF!,각_층_분전반_부하량!K31))</f>
        <v>#REF!</v>
      </c>
      <c r="L34" s="219" t="e">
        <f>J34-K34</f>
        <v>#REF!</v>
      </c>
      <c r="M34" s="220"/>
      <c r="N34" s="218"/>
      <c r="O34" s="219"/>
      <c r="P34" s="220"/>
      <c r="Q34" s="218"/>
      <c r="R34" s="231"/>
      <c r="S34" s="232"/>
      <c r="T34" s="218"/>
      <c r="U34" s="219"/>
      <c r="V34" s="220"/>
      <c r="W34" s="218"/>
      <c r="X34" s="231"/>
      <c r="Y34" s="232"/>
      <c r="Z34" s="218"/>
      <c r="AA34" s="221"/>
    </row>
    <row r="35" spans="1:27" x14ac:dyDescent="0.15">
      <c r="A35" s="3687"/>
      <c r="B35" s="251" t="s">
        <v>7024</v>
      </c>
      <c r="C35" s="2157" t="s">
        <v>6377</v>
      </c>
      <c r="D35" s="204" t="s">
        <v>6378</v>
      </c>
      <c r="E35" s="214">
        <v>200</v>
      </c>
      <c r="F35" s="215">
        <f t="shared" si="9"/>
        <v>131.63586137523467</v>
      </c>
      <c r="G35" s="215">
        <f t="shared" si="8"/>
        <v>23.931623931623932</v>
      </c>
      <c r="H35" s="2468" t="e">
        <f>220*(#REF!+#REF!+#REF!)/1000</f>
        <v>#REF!</v>
      </c>
      <c r="I35" s="216" t="e">
        <f t="shared" si="10"/>
        <v>#REF!</v>
      </c>
      <c r="J35" s="217"/>
      <c r="K35" s="218"/>
      <c r="L35" s="219"/>
      <c r="M35" s="220"/>
      <c r="N35" s="218"/>
      <c r="O35" s="219"/>
      <c r="P35" s="220"/>
      <c r="Q35" s="218"/>
      <c r="R35" s="231"/>
      <c r="S35" s="232">
        <f>COUNTA(#REF!,#REF!)</f>
        <v>2</v>
      </c>
      <c r="T35" s="218" t="e">
        <f>SUM(COUNTIF(#REF!,각_층_분전반_부하량!T31),COUNTIF(#REF!,각_층_분전반_부하량!T31))</f>
        <v>#REF!</v>
      </c>
      <c r="U35" s="219" t="e">
        <f>S35-T35</f>
        <v>#REF!</v>
      </c>
      <c r="V35" s="220">
        <f>COUNTA(#REF!,#REF!)</f>
        <v>2</v>
      </c>
      <c r="W35" s="218" t="e">
        <f>SUM(COUNTIF(#REF!,각_층_분전반_부하량!W31),COUNTIF(#REF!,각_층_분전반_부하량!W31))</f>
        <v>#REF!</v>
      </c>
      <c r="X35" s="231" t="e">
        <f>V35-W35</f>
        <v>#REF!</v>
      </c>
      <c r="Y35" s="232"/>
      <c r="Z35" s="218"/>
      <c r="AA35" s="221"/>
    </row>
    <row r="36" spans="1:27" x14ac:dyDescent="0.15">
      <c r="A36" s="3687"/>
      <c r="B36" s="251" t="s">
        <v>7025</v>
      </c>
      <c r="C36" s="2157" t="s">
        <v>6381</v>
      </c>
      <c r="D36" s="204" t="s">
        <v>6382</v>
      </c>
      <c r="E36" s="214">
        <v>200</v>
      </c>
      <c r="F36" s="215">
        <f t="shared" si="9"/>
        <v>131.63586137523467</v>
      </c>
      <c r="G36" s="215">
        <f t="shared" si="8"/>
        <v>23.931623931623932</v>
      </c>
      <c r="H36" s="2468" t="e">
        <f>220*(#REF!+#REF!+#REF!)/1000</f>
        <v>#REF!</v>
      </c>
      <c r="I36" s="216" t="e">
        <f t="shared" si="10"/>
        <v>#REF!</v>
      </c>
      <c r="J36" s="217"/>
      <c r="K36" s="218"/>
      <c r="L36" s="219"/>
      <c r="M36" s="220"/>
      <c r="N36" s="218"/>
      <c r="O36" s="219"/>
      <c r="P36" s="220"/>
      <c r="Q36" s="218"/>
      <c r="R36" s="231"/>
      <c r="S36" s="232">
        <f>COUNTA(#REF!,#REF!)</f>
        <v>2</v>
      </c>
      <c r="T36" s="218" t="e">
        <f>SUM(COUNTIF(#REF!,각_층_분전반_부하량!T31),COUNTIF(#REF!,각_층_분전반_부하량!T31))</f>
        <v>#REF!</v>
      </c>
      <c r="U36" s="219" t="e">
        <f>S36-T36</f>
        <v>#REF!</v>
      </c>
      <c r="V36" s="220">
        <f>COUNTA(#REF!,#REF!)</f>
        <v>2</v>
      </c>
      <c r="W36" s="218" t="e">
        <f>SUM(COUNTIF(#REF!,각_층_분전반_부하량!W31),COUNTIF(#REF!,각_층_분전반_부하량!W31))</f>
        <v>#REF!</v>
      </c>
      <c r="X36" s="231" t="e">
        <f>V36-W36</f>
        <v>#REF!</v>
      </c>
      <c r="Y36" s="232"/>
      <c r="Z36" s="218"/>
      <c r="AA36" s="221"/>
    </row>
    <row r="37" spans="1:27" x14ac:dyDescent="0.15">
      <c r="A37" s="3687"/>
      <c r="B37" s="251" t="s">
        <v>7026</v>
      </c>
      <c r="C37" s="2157" t="s">
        <v>6385</v>
      </c>
      <c r="D37" s="204" t="s">
        <v>6386</v>
      </c>
      <c r="E37" s="214">
        <v>150</v>
      </c>
      <c r="F37" s="215">
        <f t="shared" si="9"/>
        <v>98.726896031426008</v>
      </c>
      <c r="G37" s="215">
        <f t="shared" si="8"/>
        <v>17.948717948717949</v>
      </c>
      <c r="H37" s="2468" t="e">
        <f>220*(#REF!+#REF!+#REF!)/1000</f>
        <v>#REF!</v>
      </c>
      <c r="I37" s="216" t="e">
        <f t="shared" si="10"/>
        <v>#REF!</v>
      </c>
      <c r="J37" s="217"/>
      <c r="K37" s="218"/>
      <c r="L37" s="219"/>
      <c r="M37" s="220"/>
      <c r="N37" s="218"/>
      <c r="O37" s="219"/>
      <c r="P37" s="220"/>
      <c r="Q37" s="218"/>
      <c r="R37" s="231"/>
      <c r="S37" s="232">
        <f>COUNTA(#REF!,#REF!)</f>
        <v>2</v>
      </c>
      <c r="T37" s="218" t="e">
        <f>SUM(COUNTIF(#REF!,각_층_분전반_부하량!T31),COUNTIF(#REF!,각_층_분전반_부하량!T31))</f>
        <v>#REF!</v>
      </c>
      <c r="U37" s="219" t="e">
        <f>S37-T37</f>
        <v>#REF!</v>
      </c>
      <c r="V37" s="220">
        <f>COUNTA(#REF!,#REF!)</f>
        <v>2</v>
      </c>
      <c r="W37" s="218" t="e">
        <f>SUM(COUNTIF(#REF!,각_층_분전반_부하량!W31),COUNTIF(#REF!,각_층_분전반_부하량!W31))</f>
        <v>#REF!</v>
      </c>
      <c r="X37" s="231" t="e">
        <f>V37-W37</f>
        <v>#REF!</v>
      </c>
      <c r="Y37" s="232"/>
      <c r="Z37" s="218"/>
      <c r="AA37" s="221"/>
    </row>
    <row r="38" spans="1:27" x14ac:dyDescent="0.15">
      <c r="A38" s="3687"/>
      <c r="B38" s="251" t="s">
        <v>7027</v>
      </c>
      <c r="C38" s="2157" t="s">
        <v>6389</v>
      </c>
      <c r="D38" s="204" t="s">
        <v>6390</v>
      </c>
      <c r="E38" s="214">
        <v>150</v>
      </c>
      <c r="F38" s="215">
        <f t="shared" si="9"/>
        <v>98.726896031426008</v>
      </c>
      <c r="G38" s="215">
        <f t="shared" si="8"/>
        <v>17.948717948717949</v>
      </c>
      <c r="H38" s="2468" t="e">
        <f>220*(#REF!+#REF!+#REF!)/1000</f>
        <v>#REF!</v>
      </c>
      <c r="I38" s="216" t="e">
        <f t="shared" si="10"/>
        <v>#REF!</v>
      </c>
      <c r="J38" s="217"/>
      <c r="K38" s="218"/>
      <c r="L38" s="219"/>
      <c r="M38" s="220"/>
      <c r="N38" s="218"/>
      <c r="O38" s="219"/>
      <c r="P38" s="220"/>
      <c r="Q38" s="218"/>
      <c r="R38" s="231"/>
      <c r="S38" s="232">
        <f>COUNTA(#REF!,#REF!)</f>
        <v>2</v>
      </c>
      <c r="T38" s="218" t="e">
        <f>SUM(COUNTIF(#REF!,각_층_분전반_부하량!T31),COUNTIF(#REF!,각_층_분전반_부하량!T31))</f>
        <v>#REF!</v>
      </c>
      <c r="U38" s="219" t="e">
        <f>S38-T38</f>
        <v>#REF!</v>
      </c>
      <c r="V38" s="220">
        <f>COUNTA(#REF!,#REF!)</f>
        <v>2</v>
      </c>
      <c r="W38" s="218" t="e">
        <f>SUM(COUNTIF(#REF!,각_층_분전반_부하량!W31),COUNTIF(#REF!,각_층_분전반_부하량!W31))</f>
        <v>#REF!</v>
      </c>
      <c r="X38" s="231" t="e">
        <f>V38-W38</f>
        <v>#REF!</v>
      </c>
      <c r="Y38" s="232"/>
      <c r="Z38" s="218"/>
      <c r="AA38" s="221"/>
    </row>
    <row r="39" spans="1:27" x14ac:dyDescent="0.15">
      <c r="A39" s="3687"/>
      <c r="B39" s="251" t="s">
        <v>7028</v>
      </c>
      <c r="C39" s="2157" t="s">
        <v>6393</v>
      </c>
      <c r="D39" s="204" t="s">
        <v>6394</v>
      </c>
      <c r="E39" s="214">
        <v>300</v>
      </c>
      <c r="F39" s="215">
        <f t="shared" si="9"/>
        <v>197.45379206285202</v>
      </c>
      <c r="G39" s="215">
        <f t="shared" si="8"/>
        <v>35.897435897435898</v>
      </c>
      <c r="H39" s="2468" t="e">
        <f>220*(#REF!+#REF!+#REF!)/1000</f>
        <v>#REF!</v>
      </c>
      <c r="I39" s="216" t="e">
        <f t="shared" si="10"/>
        <v>#REF!</v>
      </c>
      <c r="J39" s="217"/>
      <c r="K39" s="218"/>
      <c r="L39" s="219"/>
      <c r="M39" s="220"/>
      <c r="N39" s="218"/>
      <c r="O39" s="219"/>
      <c r="P39" s="220"/>
      <c r="Q39" s="218"/>
      <c r="R39" s="231"/>
      <c r="S39" s="232">
        <f>COUNTA(#REF!,#REF!)</f>
        <v>2</v>
      </c>
      <c r="T39" s="218" t="e">
        <f>SUM(COUNTIF(#REF!,각_층_분전반_부하량!T31),COUNTIF(#REF!,각_층_분전반_부하량!T31))</f>
        <v>#REF!</v>
      </c>
      <c r="U39" s="219" t="e">
        <f>S39-T39</f>
        <v>#REF!</v>
      </c>
      <c r="V39" s="220">
        <f>COUNTA(#REF!,#REF!)</f>
        <v>2</v>
      </c>
      <c r="W39" s="218" t="e">
        <f>SUM(COUNTIF(#REF!,각_층_분전반_부하량!W31),COUNTIF(#REF!,각_층_분전반_부하량!W31))</f>
        <v>#REF!</v>
      </c>
      <c r="X39" s="231" t="e">
        <f>V39-W39</f>
        <v>#REF!</v>
      </c>
      <c r="Y39" s="232">
        <f>COUNTA(#REF!,#REF!)</f>
        <v>2</v>
      </c>
      <c r="Z39" s="218" t="e">
        <f>SUM(COUNTIF(#REF!,각_층_분전반_부하량!Z31),COUNTIF(#REF!,각_층_분전반_부하량!Z31))</f>
        <v>#REF!</v>
      </c>
      <c r="AA39" s="221" t="e">
        <f>Y39-Z39</f>
        <v>#REF!</v>
      </c>
    </row>
    <row r="40" spans="1:27" x14ac:dyDescent="0.15">
      <c r="A40" s="3687"/>
      <c r="B40" s="251" t="s">
        <v>7029</v>
      </c>
      <c r="C40" s="2157" t="s">
        <v>6397</v>
      </c>
      <c r="D40" s="2161" t="s">
        <v>6398</v>
      </c>
      <c r="E40" s="214">
        <v>200</v>
      </c>
      <c r="F40" s="215">
        <f t="shared" si="9"/>
        <v>131.63586137523467</v>
      </c>
      <c r="G40" s="215">
        <f t="shared" si="8"/>
        <v>23.931623931623932</v>
      </c>
      <c r="H40" s="2468" t="e">
        <f>220*SUM(#REF!)/1000</f>
        <v>#REF!</v>
      </c>
      <c r="I40" s="216" t="e">
        <f t="shared" si="10"/>
        <v>#REF!</v>
      </c>
      <c r="J40" s="217">
        <f>COUNTA(#REF!,#REF!)</f>
        <v>2</v>
      </c>
      <c r="K40" s="218" t="e">
        <f>SUM(COUNTIF(#REF!,각_층_분전반_부하량!K31),COUNTIF(#REF!,각_층_분전반_부하량!K31))</f>
        <v>#REF!</v>
      </c>
      <c r="L40" s="219" t="e">
        <f>J40-K40</f>
        <v>#REF!</v>
      </c>
      <c r="M40" s="217"/>
      <c r="N40" s="218"/>
      <c r="O40" s="219"/>
      <c r="P40" s="2162"/>
      <c r="Q40" s="2163"/>
      <c r="R40" s="2164"/>
      <c r="S40" s="2165"/>
      <c r="T40" s="2163"/>
      <c r="U40" s="2166"/>
      <c r="V40" s="2162"/>
      <c r="W40" s="2163"/>
      <c r="X40" s="2164"/>
      <c r="Y40" s="2165"/>
      <c r="Z40" s="2163"/>
      <c r="AA40" s="2167"/>
    </row>
    <row r="41" spans="1:27" x14ac:dyDescent="0.15">
      <c r="A41" s="3687"/>
      <c r="B41" s="251" t="s">
        <v>7030</v>
      </c>
      <c r="C41" s="2157" t="s">
        <v>6401</v>
      </c>
      <c r="D41" s="2161" t="s">
        <v>6402</v>
      </c>
      <c r="E41" s="214">
        <v>300</v>
      </c>
      <c r="F41" s="215">
        <f t="shared" si="9"/>
        <v>197.45379206285202</v>
      </c>
      <c r="G41" s="215">
        <f t="shared" si="8"/>
        <v>35.897435897435898</v>
      </c>
      <c r="H41" s="2468" t="e">
        <f>220*SUM(#REF!)/1000</f>
        <v>#REF!</v>
      </c>
      <c r="I41" s="216" t="e">
        <f t="shared" si="10"/>
        <v>#REF!</v>
      </c>
      <c r="J41" s="217">
        <f>COUNTA(#REF!,#REF!,#REF!)</f>
        <v>3</v>
      </c>
      <c r="K41" s="218" t="e">
        <f>SUM(COUNTIF(#REF!,각_층_분전반_부하량!K31),COUNTIF(#REF!,각_층_분전반_부하량!K31),COUNTIF(#REF!,각_층_분전반_부하량!K31))</f>
        <v>#REF!</v>
      </c>
      <c r="L41" s="219" t="e">
        <f>J41-K41</f>
        <v>#REF!</v>
      </c>
      <c r="M41" s="217">
        <f>COUNTA(#REF!,#REF!,#REF!,#REF!,#REF!)</f>
        <v>5</v>
      </c>
      <c r="N41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9" t="e">
        <f t="shared" ref="O41:O42" si="11">M41-N41</f>
        <v>#REF!</v>
      </c>
      <c r="P41" s="2162"/>
      <c r="Q41" s="2163"/>
      <c r="R41" s="2164"/>
      <c r="S41" s="2165"/>
      <c r="T41" s="2163"/>
      <c r="U41" s="2166"/>
      <c r="V41" s="2162"/>
      <c r="W41" s="2163"/>
      <c r="X41" s="2164"/>
      <c r="Y41" s="2165"/>
      <c r="Z41" s="2163"/>
      <c r="AA41" s="2167"/>
    </row>
    <row r="42" spans="1:27" x14ac:dyDescent="0.15">
      <c r="A42" s="3687"/>
      <c r="B42" s="251" t="s">
        <v>7031</v>
      </c>
      <c r="C42" s="2157" t="s">
        <v>6405</v>
      </c>
      <c r="D42" s="2161" t="s">
        <v>6406</v>
      </c>
      <c r="E42" s="214">
        <v>300</v>
      </c>
      <c r="F42" s="215">
        <f t="shared" si="9"/>
        <v>197.45379206285202</v>
      </c>
      <c r="G42" s="215">
        <f t="shared" si="8"/>
        <v>35.897435897435898</v>
      </c>
      <c r="H42" s="2468" t="e">
        <f>220*SUM(#REF!)/1000</f>
        <v>#REF!</v>
      </c>
      <c r="I42" s="216" t="e">
        <f t="shared" si="10"/>
        <v>#REF!</v>
      </c>
      <c r="J42" s="217">
        <f>COUNTA(#REF!,#REF!,#REF!)</f>
        <v>3</v>
      </c>
      <c r="K42" s="218" t="e">
        <f>SUM(COUNTIF(#REF!,각_층_분전반_부하량!K31),COUNTIF(#REF!,각_층_분전반_부하량!K31),COUNTIF(#REF!,각_층_분전반_부하량!K31))</f>
        <v>#REF!</v>
      </c>
      <c r="L42" s="219" t="e">
        <f t="shared" ref="L42" si="12">J42-K42</f>
        <v>#REF!</v>
      </c>
      <c r="M42" s="217">
        <f>COUNTA(#REF!,#REF!,#REF!,#REF!,#REF!)</f>
        <v>5</v>
      </c>
      <c r="N42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9" t="e">
        <f t="shared" si="11"/>
        <v>#REF!</v>
      </c>
      <c r="P42" s="2162"/>
      <c r="Q42" s="2163"/>
      <c r="R42" s="2164"/>
      <c r="S42" s="2165"/>
      <c r="T42" s="2163"/>
      <c r="U42" s="2166"/>
      <c r="V42" s="2162"/>
      <c r="W42" s="2163"/>
      <c r="X42" s="2164"/>
      <c r="Y42" s="2165"/>
      <c r="Z42" s="2163"/>
      <c r="AA42" s="2167"/>
    </row>
    <row r="43" spans="1:27" x14ac:dyDescent="0.15">
      <c r="A43" s="3687"/>
      <c r="B43" s="251" t="s">
        <v>6946</v>
      </c>
      <c r="C43" s="1160" t="s">
        <v>6368</v>
      </c>
      <c r="D43" s="204" t="s">
        <v>6369</v>
      </c>
      <c r="E43" s="214">
        <v>300</v>
      </c>
      <c r="F43" s="215">
        <f t="shared" si="1"/>
        <v>197.45379206285202</v>
      </c>
      <c r="G43" s="215">
        <f t="shared" si="8"/>
        <v>35.897435897435898</v>
      </c>
      <c r="H43" s="2468" t="e">
        <f>220*(#REF!+#REF!+#REF!)/1000</f>
        <v>#REF!</v>
      </c>
      <c r="I43" s="216" t="e">
        <f t="shared" si="2"/>
        <v>#REF!</v>
      </c>
      <c r="J43" s="217">
        <f>COUNTA(#REF!,#REF!)</f>
        <v>2</v>
      </c>
      <c r="K43" s="218" t="e">
        <f>SUM(COUNTIF(#REF!,각_층_분전반_부하량!K31),COUNTIF(#REF!,각_층_분전반_부하량!K31))</f>
        <v>#REF!</v>
      </c>
      <c r="L43" s="219" t="e">
        <f>J43-K43</f>
        <v>#REF!</v>
      </c>
      <c r="M43" s="220"/>
      <c r="N43" s="218"/>
      <c r="O43" s="219"/>
      <c r="P43" s="220">
        <v>2</v>
      </c>
      <c r="Q43" s="218">
        <v>1</v>
      </c>
      <c r="R43" s="231">
        <v>1</v>
      </c>
      <c r="S43" s="232"/>
      <c r="T43" s="218"/>
      <c r="U43" s="219"/>
      <c r="V43" s="220"/>
      <c r="W43" s="218"/>
      <c r="X43" s="231"/>
      <c r="Y43" s="232"/>
      <c r="Z43" s="218"/>
      <c r="AA43" s="221"/>
    </row>
    <row r="44" spans="1:27" x14ac:dyDescent="0.15">
      <c r="A44" s="3687"/>
      <c r="B44" s="251" t="s">
        <v>7032</v>
      </c>
      <c r="C44" s="1160" t="s">
        <v>6343</v>
      </c>
      <c r="D44" s="204" t="s">
        <v>6372</v>
      </c>
      <c r="E44" s="214">
        <v>300</v>
      </c>
      <c r="F44" s="215">
        <f t="shared" si="1"/>
        <v>197.45379206285202</v>
      </c>
      <c r="G44" s="215">
        <f t="shared" si="8"/>
        <v>35.897435897435898</v>
      </c>
      <c r="H44" s="2468" t="e">
        <f>220*(#REF!+#REF!+#REF!)/1000</f>
        <v>#REF!</v>
      </c>
      <c r="I44" s="216" t="e">
        <f t="shared" si="2"/>
        <v>#REF!</v>
      </c>
      <c r="J44" s="217">
        <f>COUNTA(#REF!,#REF!)</f>
        <v>2</v>
      </c>
      <c r="K44" s="218" t="e">
        <f>SUM(COUNTIF(#REF!,각_층_분전반_부하량!K31),COUNTIF(#REF!,각_층_분전반_부하량!K31))</f>
        <v>#REF!</v>
      </c>
      <c r="L44" s="219" t="e">
        <f>J44-K44</f>
        <v>#REF!</v>
      </c>
      <c r="M44" s="220"/>
      <c r="N44" s="218"/>
      <c r="O44" s="219"/>
      <c r="P44" s="220">
        <v>2</v>
      </c>
      <c r="Q44" s="218">
        <v>1</v>
      </c>
      <c r="R44" s="231">
        <v>1</v>
      </c>
      <c r="S44" s="232"/>
      <c r="T44" s="218"/>
      <c r="U44" s="219"/>
      <c r="V44" s="220"/>
      <c r="W44" s="218"/>
      <c r="X44" s="231"/>
      <c r="Y44" s="232"/>
      <c r="Z44" s="218"/>
      <c r="AA44" s="221"/>
    </row>
    <row r="45" spans="1:27" x14ac:dyDescent="0.15">
      <c r="A45" s="3687"/>
      <c r="B45" s="251" t="s">
        <v>7033</v>
      </c>
      <c r="C45" s="1160" t="s">
        <v>6375</v>
      </c>
      <c r="D45" s="204" t="s">
        <v>6376</v>
      </c>
      <c r="E45" s="214">
        <v>300</v>
      </c>
      <c r="F45" s="215">
        <f t="shared" ref="F45:F53" si="13">SQRT(3)*380*E45/1000</f>
        <v>197.45379206285202</v>
      </c>
      <c r="G45" s="215">
        <f t="shared" si="8"/>
        <v>35.897435897435898</v>
      </c>
      <c r="H45" s="2468" t="e">
        <f>220*(#REF!+#REF!+#REF!)/1000</f>
        <v>#REF!</v>
      </c>
      <c r="I45" s="216" t="e">
        <f t="shared" ref="I45:I53" si="14">H45/G45</f>
        <v>#REF!</v>
      </c>
      <c r="J45" s="217">
        <f>COUNTA(#REF!,#REF!)</f>
        <v>2</v>
      </c>
      <c r="K45" s="218" t="e">
        <f>SUM(COUNTIF(#REF!,각_층_분전반_부하량!K31),COUNTIF(#REF!,각_층_분전반_부하량!K31))</f>
        <v>#REF!</v>
      </c>
      <c r="L45" s="219" t="e">
        <f>J45-K45</f>
        <v>#REF!</v>
      </c>
      <c r="M45" s="220"/>
      <c r="N45" s="218"/>
      <c r="O45" s="219"/>
      <c r="P45" s="220"/>
      <c r="Q45" s="218"/>
      <c r="R45" s="231"/>
      <c r="S45" s="232"/>
      <c r="T45" s="218"/>
      <c r="U45" s="219"/>
      <c r="V45" s="220"/>
      <c r="W45" s="218"/>
      <c r="X45" s="231"/>
      <c r="Y45" s="232"/>
      <c r="Z45" s="218"/>
      <c r="AA45" s="221"/>
    </row>
    <row r="46" spans="1:27" x14ac:dyDescent="0.15">
      <c r="A46" s="3687"/>
      <c r="B46" s="251" t="s">
        <v>7034</v>
      </c>
      <c r="C46" s="1160" t="s">
        <v>6379</v>
      </c>
      <c r="D46" s="204" t="s">
        <v>6380</v>
      </c>
      <c r="E46" s="214">
        <v>200</v>
      </c>
      <c r="F46" s="215">
        <f t="shared" si="13"/>
        <v>131.63586137523467</v>
      </c>
      <c r="G46" s="215">
        <f t="shared" si="8"/>
        <v>23.931623931623932</v>
      </c>
      <c r="H46" s="2468" t="e">
        <f>220*(#REF!+#REF!+#REF!)/1000</f>
        <v>#REF!</v>
      </c>
      <c r="I46" s="216" t="e">
        <f t="shared" si="14"/>
        <v>#REF!</v>
      </c>
      <c r="J46" s="217"/>
      <c r="K46" s="218"/>
      <c r="L46" s="219"/>
      <c r="M46" s="220"/>
      <c r="N46" s="218"/>
      <c r="O46" s="219"/>
      <c r="P46" s="220"/>
      <c r="Q46" s="218"/>
      <c r="R46" s="231"/>
      <c r="S46" s="232">
        <f>COUNTA(#REF!,#REF!)</f>
        <v>2</v>
      </c>
      <c r="T46" s="218" t="e">
        <f>SUM(COUNTIF(#REF!,각_층_분전반_부하량!T31),COUNTIF(#REF!,각_층_분전반_부하량!T31))</f>
        <v>#REF!</v>
      </c>
      <c r="U46" s="219" t="e">
        <f>S46-T46</f>
        <v>#REF!</v>
      </c>
      <c r="V46" s="220">
        <f>COUNTA(#REF!,#REF!)</f>
        <v>2</v>
      </c>
      <c r="W46" s="218" t="e">
        <f>SUM(COUNTIF(#REF!,각_층_분전반_부하량!W31),COUNTIF(#REF!,각_층_분전반_부하량!W31))</f>
        <v>#REF!</v>
      </c>
      <c r="X46" s="231" t="e">
        <f>V46-W46</f>
        <v>#REF!</v>
      </c>
      <c r="Y46" s="232"/>
      <c r="Z46" s="218"/>
      <c r="AA46" s="221"/>
    </row>
    <row r="47" spans="1:27" x14ac:dyDescent="0.15">
      <c r="A47" s="3687"/>
      <c r="B47" s="251" t="s">
        <v>7035</v>
      </c>
      <c r="C47" s="1160" t="s">
        <v>6383</v>
      </c>
      <c r="D47" s="204" t="s">
        <v>6384</v>
      </c>
      <c r="E47" s="214">
        <v>200</v>
      </c>
      <c r="F47" s="215">
        <f t="shared" si="13"/>
        <v>131.63586137523467</v>
      </c>
      <c r="G47" s="215">
        <f t="shared" si="8"/>
        <v>23.931623931623932</v>
      </c>
      <c r="H47" s="2468" t="e">
        <f>220*(#REF!+#REF!+#REF!)/1000</f>
        <v>#REF!</v>
      </c>
      <c r="I47" s="216" t="e">
        <f t="shared" si="14"/>
        <v>#REF!</v>
      </c>
      <c r="J47" s="217"/>
      <c r="K47" s="218"/>
      <c r="L47" s="219"/>
      <c r="M47" s="220"/>
      <c r="N47" s="218"/>
      <c r="O47" s="219"/>
      <c r="P47" s="220"/>
      <c r="Q47" s="218"/>
      <c r="R47" s="231"/>
      <c r="S47" s="232">
        <f>COUNTA(#REF!,#REF!)</f>
        <v>2</v>
      </c>
      <c r="T47" s="218" t="e">
        <f>SUM(COUNTIF(#REF!,각_층_분전반_부하량!T31),COUNTIF(#REF!,각_층_분전반_부하량!T31))</f>
        <v>#REF!</v>
      </c>
      <c r="U47" s="219" t="e">
        <f>S47-T47</f>
        <v>#REF!</v>
      </c>
      <c r="V47" s="220">
        <f>COUNTA(#REF!,#REF!)</f>
        <v>2</v>
      </c>
      <c r="W47" s="218" t="e">
        <f>SUM(COUNTIF(#REF!,각_층_분전반_부하량!W31),COUNTIF(#REF!,각_층_분전반_부하량!W31))</f>
        <v>#REF!</v>
      </c>
      <c r="X47" s="231" t="e">
        <f>V47-W47</f>
        <v>#REF!</v>
      </c>
      <c r="Y47" s="232"/>
      <c r="Z47" s="218"/>
      <c r="AA47" s="221"/>
    </row>
    <row r="48" spans="1:27" x14ac:dyDescent="0.15">
      <c r="A48" s="3687"/>
      <c r="B48" s="251" t="s">
        <v>7036</v>
      </c>
      <c r="C48" s="1160" t="s">
        <v>6387</v>
      </c>
      <c r="D48" s="204" t="s">
        <v>6388</v>
      </c>
      <c r="E48" s="214">
        <v>150</v>
      </c>
      <c r="F48" s="215">
        <f t="shared" si="13"/>
        <v>98.726896031426008</v>
      </c>
      <c r="G48" s="215">
        <f t="shared" si="8"/>
        <v>17.948717948717949</v>
      </c>
      <c r="H48" s="2468" t="e">
        <f>220*(#REF!+#REF!+#REF!)/1000</f>
        <v>#REF!</v>
      </c>
      <c r="I48" s="216" t="e">
        <f t="shared" si="14"/>
        <v>#REF!</v>
      </c>
      <c r="J48" s="217"/>
      <c r="K48" s="218"/>
      <c r="L48" s="219"/>
      <c r="M48" s="220"/>
      <c r="N48" s="218"/>
      <c r="O48" s="219"/>
      <c r="P48" s="220"/>
      <c r="Q48" s="218"/>
      <c r="R48" s="231"/>
      <c r="S48" s="232">
        <f>COUNTA(#REF!,#REF!)</f>
        <v>2</v>
      </c>
      <c r="T48" s="218" t="e">
        <f>SUM(COUNTIF(#REF!,각_층_분전반_부하량!T31),COUNTIF(#REF!,각_층_분전반_부하량!T31))</f>
        <v>#REF!</v>
      </c>
      <c r="U48" s="219" t="e">
        <f>S48-T48</f>
        <v>#REF!</v>
      </c>
      <c r="V48" s="220">
        <f>COUNTA(#REF!,#REF!)</f>
        <v>2</v>
      </c>
      <c r="W48" s="218" t="e">
        <f>SUM(COUNTIF(#REF!,각_층_분전반_부하량!W31),COUNTIF(#REF!,각_층_분전반_부하량!W31))</f>
        <v>#REF!</v>
      </c>
      <c r="X48" s="231" t="e">
        <f>V48-W48</f>
        <v>#REF!</v>
      </c>
      <c r="Y48" s="232"/>
      <c r="Z48" s="218"/>
      <c r="AA48" s="221"/>
    </row>
    <row r="49" spans="1:30" x14ac:dyDescent="0.15">
      <c r="A49" s="3687"/>
      <c r="B49" s="251" t="s">
        <v>7037</v>
      </c>
      <c r="C49" s="1160" t="s">
        <v>6391</v>
      </c>
      <c r="D49" s="204" t="s">
        <v>6392</v>
      </c>
      <c r="E49" s="214">
        <v>150</v>
      </c>
      <c r="F49" s="215">
        <f t="shared" si="13"/>
        <v>98.726896031426008</v>
      </c>
      <c r="G49" s="215">
        <f t="shared" si="8"/>
        <v>17.948717948717949</v>
      </c>
      <c r="H49" s="2468" t="e">
        <f>220*(#REF!+#REF!+#REF!)/1000</f>
        <v>#REF!</v>
      </c>
      <c r="I49" s="216" t="e">
        <f t="shared" si="14"/>
        <v>#REF!</v>
      </c>
      <c r="J49" s="217"/>
      <c r="K49" s="218"/>
      <c r="L49" s="219"/>
      <c r="M49" s="220"/>
      <c r="N49" s="218"/>
      <c r="O49" s="219"/>
      <c r="P49" s="220"/>
      <c r="Q49" s="218"/>
      <c r="R49" s="231"/>
      <c r="S49" s="232">
        <f>COUNTA(#REF!,#REF!)</f>
        <v>2</v>
      </c>
      <c r="T49" s="218" t="e">
        <f>SUM(COUNTIF(#REF!,각_층_분전반_부하량!T31),COUNTIF(#REF!,각_층_분전반_부하량!T31))</f>
        <v>#REF!</v>
      </c>
      <c r="U49" s="219" t="e">
        <f>S49-T49</f>
        <v>#REF!</v>
      </c>
      <c r="V49" s="220">
        <f>COUNTA(#REF!,#REF!)</f>
        <v>2</v>
      </c>
      <c r="W49" s="218" t="e">
        <f>SUM(COUNTIF(#REF!,각_층_분전반_부하량!W31),COUNTIF(#REF!,각_층_분전반_부하량!W31))</f>
        <v>#REF!</v>
      </c>
      <c r="X49" s="231" t="e">
        <f>V49-W49</f>
        <v>#REF!</v>
      </c>
      <c r="Y49" s="232"/>
      <c r="Z49" s="218"/>
      <c r="AA49" s="221"/>
    </row>
    <row r="50" spans="1:30" x14ac:dyDescent="0.15">
      <c r="A50" s="3687"/>
      <c r="B50" s="251" t="s">
        <v>7038</v>
      </c>
      <c r="C50" s="1160" t="s">
        <v>6395</v>
      </c>
      <c r="D50" s="204" t="s">
        <v>6396</v>
      </c>
      <c r="E50" s="214">
        <v>300</v>
      </c>
      <c r="F50" s="215">
        <f t="shared" si="13"/>
        <v>197.45379206285202</v>
      </c>
      <c r="G50" s="215">
        <f t="shared" si="8"/>
        <v>35.897435897435898</v>
      </c>
      <c r="H50" s="2468" t="e">
        <f>220*(#REF!+#REF!+#REF!)/1000</f>
        <v>#REF!</v>
      </c>
      <c r="I50" s="216" t="e">
        <f t="shared" si="14"/>
        <v>#REF!</v>
      </c>
      <c r="J50" s="217"/>
      <c r="K50" s="218"/>
      <c r="L50" s="219"/>
      <c r="M50" s="220"/>
      <c r="N50" s="218"/>
      <c r="O50" s="219"/>
      <c r="P50" s="220"/>
      <c r="Q50" s="218"/>
      <c r="R50" s="231"/>
      <c r="S50" s="232">
        <f>COUNTA(#REF!,#REF!)</f>
        <v>2</v>
      </c>
      <c r="T50" s="218" t="e">
        <f>SUM(COUNTIF(#REF!,각_층_분전반_부하량!T31),COUNTIF(#REF!,각_층_분전반_부하량!T31))</f>
        <v>#REF!</v>
      </c>
      <c r="U50" s="219" t="e">
        <f>S50-T50</f>
        <v>#REF!</v>
      </c>
      <c r="V50" s="220">
        <f>COUNTA(#REF!)</f>
        <v>1</v>
      </c>
      <c r="W50" s="218" t="e">
        <f>COUNTIF(#REF!,각_층_분전반_부하량!W31)</f>
        <v>#REF!</v>
      </c>
      <c r="X50" s="231" t="e">
        <f>V50-W50</f>
        <v>#REF!</v>
      </c>
      <c r="Y50" s="232">
        <f>COUNTA(#REF!,#REF!)</f>
        <v>2</v>
      </c>
      <c r="Z50" s="218" t="e">
        <f>SUM(COUNTIF(#REF!,각_층_분전반_부하량!Z31),COUNTIF(#REF!,각_층_분전반_부하량!Z31))</f>
        <v>#REF!</v>
      </c>
      <c r="AA50" s="221" t="e">
        <f>Y50-Z50</f>
        <v>#REF!</v>
      </c>
    </row>
    <row r="51" spans="1:30" x14ac:dyDescent="0.15">
      <c r="A51" s="3687"/>
      <c r="B51" s="251" t="s">
        <v>7039</v>
      </c>
      <c r="C51" s="1160" t="s">
        <v>6399</v>
      </c>
      <c r="D51" s="2168" t="s">
        <v>6400</v>
      </c>
      <c r="E51" s="214">
        <v>200</v>
      </c>
      <c r="F51" s="215">
        <f t="shared" si="13"/>
        <v>131.63586137523467</v>
      </c>
      <c r="G51" s="215">
        <f t="shared" si="8"/>
        <v>23.931623931623932</v>
      </c>
      <c r="H51" s="2468" t="e">
        <f>220*SUM(#REF!)/1000</f>
        <v>#REF!</v>
      </c>
      <c r="I51" s="216" t="e">
        <f t="shared" si="14"/>
        <v>#REF!</v>
      </c>
      <c r="J51" s="217">
        <f>COUNTA(#REF!,#REF!)</f>
        <v>2</v>
      </c>
      <c r="K51" s="218" t="e">
        <f>SUM(COUNTIF(#REF!,각_층_분전반_부하량!K31),COUNTIF(#REF!,각_층_분전반_부하량!K31))</f>
        <v>#REF!</v>
      </c>
      <c r="L51" s="219" t="e">
        <f>J51-K51</f>
        <v>#REF!</v>
      </c>
      <c r="M51" s="217"/>
      <c r="N51" s="218"/>
      <c r="O51" s="219"/>
      <c r="P51" s="2162"/>
      <c r="Q51" s="2163"/>
      <c r="R51" s="2164"/>
      <c r="S51" s="2165"/>
      <c r="T51" s="2163"/>
      <c r="U51" s="2166"/>
      <c r="V51" s="2162"/>
      <c r="W51" s="2163"/>
      <c r="X51" s="2164"/>
      <c r="Y51" s="2165"/>
      <c r="Z51" s="2163"/>
      <c r="AA51" s="2167"/>
    </row>
    <row r="52" spans="1:30" x14ac:dyDescent="0.15">
      <c r="A52" s="3687"/>
      <c r="B52" s="251" t="s">
        <v>7040</v>
      </c>
      <c r="C52" s="1160" t="s">
        <v>6403</v>
      </c>
      <c r="D52" s="2168" t="s">
        <v>6404</v>
      </c>
      <c r="E52" s="214">
        <v>300</v>
      </c>
      <c r="F52" s="215">
        <f t="shared" si="13"/>
        <v>197.45379206285202</v>
      </c>
      <c r="G52" s="215">
        <f t="shared" si="8"/>
        <v>35.897435897435898</v>
      </c>
      <c r="H52" s="2468" t="e">
        <f>220*SUM(#REF!)/1000</f>
        <v>#REF!</v>
      </c>
      <c r="I52" s="216" t="e">
        <f t="shared" si="14"/>
        <v>#REF!</v>
      </c>
      <c r="J52" s="217">
        <f>COUNTA(#REF!,#REF!,#REF!)</f>
        <v>3</v>
      </c>
      <c r="K52" s="218" t="e">
        <f>SUM(COUNTIF(#REF!,각_층_분전반_부하량!K31),COUNTIF(#REF!,각_층_분전반_부하량!K31),COUNTIF(#REF!,각_층_분전반_부하량!K31))</f>
        <v>#REF!</v>
      </c>
      <c r="L52" s="219" t="e">
        <f>J52-K52</f>
        <v>#REF!</v>
      </c>
      <c r="M52" s="217">
        <f>COUNTA(#REF!,#REF!,#REF!,#REF!,#REF!)</f>
        <v>5</v>
      </c>
      <c r="N52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9" t="e">
        <f>M52-N52</f>
        <v>#REF!</v>
      </c>
      <c r="P52" s="2162"/>
      <c r="Q52" s="2163"/>
      <c r="R52" s="2164"/>
      <c r="S52" s="2165"/>
      <c r="T52" s="2163"/>
      <c r="U52" s="2166"/>
      <c r="V52" s="2162"/>
      <c r="W52" s="2163"/>
      <c r="X52" s="2164"/>
      <c r="Y52" s="2165"/>
      <c r="Z52" s="2163"/>
      <c r="AA52" s="2167"/>
    </row>
    <row r="53" spans="1:30" x14ac:dyDescent="0.15">
      <c r="A53" s="3687"/>
      <c r="B53" s="251" t="s">
        <v>6967</v>
      </c>
      <c r="C53" s="1160" t="s">
        <v>6407</v>
      </c>
      <c r="D53" s="2168" t="s">
        <v>6408</v>
      </c>
      <c r="E53" s="214">
        <v>300</v>
      </c>
      <c r="F53" s="215">
        <f t="shared" si="13"/>
        <v>197.45379206285202</v>
      </c>
      <c r="G53" s="215">
        <f t="shared" si="8"/>
        <v>35.897435897435898</v>
      </c>
      <c r="H53" s="2468" t="e">
        <f>220*SUM(#REF!)/1000</f>
        <v>#REF!</v>
      </c>
      <c r="I53" s="216" t="e">
        <f t="shared" si="14"/>
        <v>#REF!</v>
      </c>
      <c r="J53" s="217">
        <f>COUNTA(#REF!,#REF!,#REF!)</f>
        <v>3</v>
      </c>
      <c r="K53" s="218" t="e">
        <f>SUM(COUNTIF(#REF!,각_층_분전반_부하량!K31),COUNTIF(#REF!,각_층_분전반_부하량!K31),COUNTIF(#REF!,각_층_분전반_부하량!K31))</f>
        <v>#REF!</v>
      </c>
      <c r="L53" s="219" t="e">
        <f>J53-K53</f>
        <v>#REF!</v>
      </c>
      <c r="M53" s="217">
        <f>COUNTA(#REF!,#REF!,#REF!,#REF!,#REF!)</f>
        <v>5</v>
      </c>
      <c r="N53" s="218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9" t="e">
        <f>M53-N53</f>
        <v>#REF!</v>
      </c>
      <c r="P53" s="2162"/>
      <c r="Q53" s="2163"/>
      <c r="R53" s="2164"/>
      <c r="S53" s="2165"/>
      <c r="T53" s="2163"/>
      <c r="U53" s="2166"/>
      <c r="V53" s="2162"/>
      <c r="W53" s="2163"/>
      <c r="X53" s="2164"/>
      <c r="Y53" s="2165"/>
      <c r="Z53" s="2163"/>
      <c r="AA53" s="2167"/>
    </row>
    <row r="54" spans="1:30" x14ac:dyDescent="0.15">
      <c r="A54" s="3687"/>
      <c r="B54" s="2552"/>
      <c r="C54" s="2157"/>
      <c r="D54" s="204" t="s">
        <v>6409</v>
      </c>
      <c r="E54" s="214">
        <v>150</v>
      </c>
      <c r="F54" s="215">
        <f t="shared" si="1"/>
        <v>98.726896031426008</v>
      </c>
      <c r="G54" s="215">
        <f t="shared" si="8"/>
        <v>17.948717948717949</v>
      </c>
      <c r="H54" s="2172" t="e">
        <f>220*(#REF!+#REF!+#REF!)/1000</f>
        <v>#REF!</v>
      </c>
      <c r="I54" s="216" t="e">
        <f t="shared" si="2"/>
        <v>#REF!</v>
      </c>
      <c r="J54" s="217"/>
      <c r="K54" s="218"/>
      <c r="L54" s="219"/>
      <c r="M54" s="220"/>
      <c r="N54" s="218"/>
      <c r="O54" s="219"/>
      <c r="P54" s="220"/>
      <c r="Q54" s="218"/>
      <c r="R54" s="231"/>
      <c r="S54" s="232">
        <f>COUNTA(#REF!,#REF!)</f>
        <v>2</v>
      </c>
      <c r="T54" s="218" t="e">
        <f>SUM(COUNTIF(#REF!,각_층_분전반_부하량!T31),COUNTIF(#REF!,각_층_분전반_부하량!T31))</f>
        <v>#REF!</v>
      </c>
      <c r="U54" s="219" t="e">
        <f>S54-T54</f>
        <v>#REF!</v>
      </c>
      <c r="V54" s="220">
        <f>COUNTA(#REF!,#REF!)</f>
        <v>2</v>
      </c>
      <c r="W54" s="218" t="e">
        <f>SUM(COUNTIF(#REF!,각_층_분전반_부하량!W31),COUNTIF(#REF!,각_층_분전반_부하량!W31))</f>
        <v>#REF!</v>
      </c>
      <c r="X54" s="231" t="e">
        <f>V54-W54</f>
        <v>#REF!</v>
      </c>
      <c r="Y54" s="232"/>
      <c r="Z54" s="218"/>
      <c r="AA54" s="221"/>
    </row>
    <row r="55" spans="1:30" x14ac:dyDescent="0.15">
      <c r="A55" s="3687"/>
      <c r="B55" s="2552"/>
      <c r="C55" s="2157"/>
      <c r="D55" s="204" t="s">
        <v>6410</v>
      </c>
      <c r="E55" s="214">
        <v>300</v>
      </c>
      <c r="F55" s="215">
        <f t="shared" si="1"/>
        <v>197.45379206285202</v>
      </c>
      <c r="G55" s="215">
        <f t="shared" si="8"/>
        <v>35.897435897435898</v>
      </c>
      <c r="H55" s="2172" t="e">
        <f>220*(#REF!+#REF!+#REF!)/1000</f>
        <v>#REF!</v>
      </c>
      <c r="I55" s="216" t="e">
        <f t="shared" si="2"/>
        <v>#REF!</v>
      </c>
      <c r="J55" s="217"/>
      <c r="K55" s="218"/>
      <c r="L55" s="219"/>
      <c r="M55" s="220"/>
      <c r="N55" s="218"/>
      <c r="O55" s="219"/>
      <c r="P55" s="220"/>
      <c r="Q55" s="218"/>
      <c r="R55" s="231"/>
      <c r="S55" s="232">
        <f>COUNTA(#REF!,#REF!)</f>
        <v>2</v>
      </c>
      <c r="T55" s="218" t="e">
        <f>SUM(COUNTIF(#REF!,각_층_분전반_부하량!T31),COUNTIF(#REF!,각_층_분전반_부하량!T31))</f>
        <v>#REF!</v>
      </c>
      <c r="U55" s="219" t="e">
        <f t="shared" ref="U55" si="15">S55-T55</f>
        <v>#REF!</v>
      </c>
      <c r="V55" s="220">
        <f>COUNTA(#REF!,#REF!)</f>
        <v>2</v>
      </c>
      <c r="W55" s="218" t="e">
        <f>SUM(COUNTIF(#REF!,각_층_분전반_부하량!W31),COUNTIF(#REF!,각_층_분전반_부하량!W31))</f>
        <v>#REF!</v>
      </c>
      <c r="X55" s="231" t="e">
        <f t="shared" ref="X55" si="16">V55-W55</f>
        <v>#REF!</v>
      </c>
      <c r="Y55" s="232">
        <v>2</v>
      </c>
      <c r="Z55" s="218">
        <v>0</v>
      </c>
      <c r="AA55" s="221">
        <v>2</v>
      </c>
    </row>
    <row r="56" spans="1:30" ht="14.25" thickBot="1" x14ac:dyDescent="0.2">
      <c r="A56" s="3688"/>
      <c r="B56" s="2553"/>
      <c r="C56" s="2173" t="s">
        <v>6331</v>
      </c>
      <c r="D56" s="2174" t="s">
        <v>6331</v>
      </c>
      <c r="E56" s="2175">
        <f>SUM(E32:E55)</f>
        <v>5850</v>
      </c>
      <c r="F56" s="2176">
        <f>SUM(F32:F55)</f>
        <v>3850.3489452256126</v>
      </c>
      <c r="G56" s="2182">
        <v>700</v>
      </c>
      <c r="H56" s="2178" t="e">
        <f>SUM(H32:H55)</f>
        <v>#REF!</v>
      </c>
      <c r="I56" s="2179" t="e">
        <f t="shared" si="2"/>
        <v>#REF!</v>
      </c>
      <c r="J56" s="222"/>
      <c r="K56" s="223"/>
      <c r="L56" s="224"/>
      <c r="M56" s="2169"/>
      <c r="N56" s="2169"/>
      <c r="O56" s="2170"/>
      <c r="P56" s="225"/>
      <c r="Q56" s="223"/>
      <c r="R56" s="233"/>
      <c r="S56" s="234"/>
      <c r="T56" s="223"/>
      <c r="U56" s="224"/>
      <c r="V56" s="225"/>
      <c r="W56" s="223"/>
      <c r="X56" s="233"/>
      <c r="Y56" s="234"/>
      <c r="Z56" s="223"/>
      <c r="AA56" s="226"/>
    </row>
    <row r="57" spans="1:30" ht="14.45" customHeight="1" thickTop="1" x14ac:dyDescent="0.15">
      <c r="A57" s="3686" t="s">
        <v>6306</v>
      </c>
      <c r="B57" s="3695" t="s">
        <v>7022</v>
      </c>
      <c r="C57" s="3689" t="s">
        <v>6319</v>
      </c>
      <c r="D57" s="3684" t="s">
        <v>6320</v>
      </c>
      <c r="E57" s="3692" t="s">
        <v>6321</v>
      </c>
      <c r="F57" s="3682" t="s">
        <v>6322</v>
      </c>
      <c r="G57" s="3682" t="s">
        <v>6323</v>
      </c>
      <c r="H57" s="3709" t="s">
        <v>6324</v>
      </c>
      <c r="I57" s="3676" t="s">
        <v>6325</v>
      </c>
      <c r="J57" s="3678" t="s">
        <v>6205</v>
      </c>
      <c r="K57" s="3679"/>
      <c r="L57" s="3680"/>
      <c r="M57" s="3697" t="s">
        <v>6412</v>
      </c>
      <c r="N57" s="3679"/>
      <c r="O57" s="3680"/>
      <c r="P57" s="3681" t="s">
        <v>6252</v>
      </c>
      <c r="Q57" s="3679"/>
      <c r="R57" s="3684"/>
    </row>
    <row r="58" spans="1:30" ht="17.25" thickBot="1" x14ac:dyDescent="0.2">
      <c r="A58" s="3687"/>
      <c r="B58" s="3696"/>
      <c r="C58" s="3690"/>
      <c r="D58" s="3691"/>
      <c r="E58" s="3693"/>
      <c r="F58" s="3683"/>
      <c r="G58" s="3683"/>
      <c r="H58" s="3710"/>
      <c r="I58" s="3677"/>
      <c r="J58" s="197" t="s">
        <v>6331</v>
      </c>
      <c r="K58" s="198" t="s">
        <v>4575</v>
      </c>
      <c r="L58" s="199" t="s">
        <v>4723</v>
      </c>
      <c r="M58" s="228" t="s">
        <v>6331</v>
      </c>
      <c r="N58" s="198" t="s">
        <v>4575</v>
      </c>
      <c r="O58" s="199" t="s">
        <v>4723</v>
      </c>
      <c r="P58" s="200" t="s">
        <v>6331</v>
      </c>
      <c r="Q58" s="198" t="s">
        <v>4575</v>
      </c>
      <c r="R58" s="203" t="s">
        <v>4723</v>
      </c>
      <c r="S58" s="50"/>
      <c r="T58" s="196"/>
      <c r="U58" s="133"/>
      <c r="V58" s="50"/>
      <c r="W58" s="196"/>
      <c r="X58" s="133"/>
      <c r="Y58" s="50"/>
      <c r="Z58" s="196"/>
      <c r="AA58" s="133"/>
      <c r="AB58" s="50"/>
      <c r="AC58" s="196"/>
      <c r="AD58" s="133"/>
    </row>
    <row r="59" spans="1:30" x14ac:dyDescent="0.15">
      <c r="A59" s="3687"/>
      <c r="B59" s="251" t="s">
        <v>6938</v>
      </c>
      <c r="C59" s="2157" t="s">
        <v>6413</v>
      </c>
      <c r="D59" s="204" t="s">
        <v>6249</v>
      </c>
      <c r="E59" s="214">
        <v>300</v>
      </c>
      <c r="F59" s="215">
        <f>SQRT(3)*380*E59/1000</f>
        <v>197.45379206285202</v>
      </c>
      <c r="G59" s="215">
        <f t="shared" ref="G59:G64" si="17">$G$69*E59/$E$69</f>
        <v>70</v>
      </c>
      <c r="H59" s="2468" t="e">
        <f>220*(#REF!+#REF!+#REF!)/1000</f>
        <v>#REF!</v>
      </c>
      <c r="I59" s="216" t="e">
        <f>H59/G59</f>
        <v>#REF!</v>
      </c>
      <c r="J59" s="217">
        <f>COUNTA(#REF!)</f>
        <v>1</v>
      </c>
      <c r="K59" s="218" t="e">
        <f>COUNTIF(#REF!,각_층_분전반_부하량!K58)</f>
        <v>#REF!</v>
      </c>
      <c r="L59" s="219" t="e">
        <f>J59-K59</f>
        <v>#REF!</v>
      </c>
      <c r="M59" s="232">
        <v>1</v>
      </c>
      <c r="N59" s="218">
        <v>1</v>
      </c>
      <c r="O59" s="219">
        <v>0</v>
      </c>
      <c r="P59" s="220"/>
      <c r="Q59" s="218"/>
      <c r="R59" s="221"/>
    </row>
    <row r="60" spans="1:30" x14ac:dyDescent="0.15">
      <c r="A60" s="3687"/>
      <c r="B60" s="251" t="s">
        <v>7041</v>
      </c>
      <c r="C60" s="2157" t="s">
        <v>6415</v>
      </c>
      <c r="D60" s="204" t="s">
        <v>6263</v>
      </c>
      <c r="E60" s="214">
        <v>300</v>
      </c>
      <c r="F60" s="215">
        <f>SQRT(3)*380*E60/1000</f>
        <v>197.45379206285202</v>
      </c>
      <c r="G60" s="215">
        <f t="shared" si="17"/>
        <v>70</v>
      </c>
      <c r="H60" s="2468" t="e">
        <f>220*(#REF!+#REF!+#REF!)/1000</f>
        <v>#REF!</v>
      </c>
      <c r="I60" s="216" t="e">
        <f>H60/G60</f>
        <v>#REF!</v>
      </c>
      <c r="J60" s="217">
        <f>COUNTA(#REF!)</f>
        <v>1</v>
      </c>
      <c r="K60" s="218" t="e">
        <f>COUNTIF(#REF!,각_층_분전반_부하량!K58)</f>
        <v>#REF!</v>
      </c>
      <c r="L60" s="219" t="e">
        <f>J60-K60</f>
        <v>#REF!</v>
      </c>
      <c r="M60" s="232">
        <v>1</v>
      </c>
      <c r="N60" s="218">
        <v>0</v>
      </c>
      <c r="O60" s="219">
        <v>1</v>
      </c>
      <c r="P60" s="220"/>
      <c r="Q60" s="218"/>
      <c r="R60" s="221"/>
    </row>
    <row r="61" spans="1:30" x14ac:dyDescent="0.15">
      <c r="A61" s="3687"/>
      <c r="B61" s="251" t="s">
        <v>7042</v>
      </c>
      <c r="C61" s="2157" t="s">
        <v>6417</v>
      </c>
      <c r="D61" s="204" t="s">
        <v>6265</v>
      </c>
      <c r="E61" s="214">
        <v>300</v>
      </c>
      <c r="F61" s="215">
        <f>SQRT(3)*380*E61/1000</f>
        <v>197.45379206285202</v>
      </c>
      <c r="G61" s="215">
        <f t="shared" si="17"/>
        <v>70</v>
      </c>
      <c r="H61" s="2468" t="e">
        <f>220*(#REF!+#REF!+#REF!)/1000</f>
        <v>#REF!</v>
      </c>
      <c r="I61" s="216" t="e">
        <f>H61/G61</f>
        <v>#REF!</v>
      </c>
      <c r="J61" s="217">
        <f>COUNTA(#REF!)</f>
        <v>1</v>
      </c>
      <c r="K61" s="218" t="e">
        <f>COUNTIF(#REF!,각_층_분전반_부하량!K58)</f>
        <v>#REF!</v>
      </c>
      <c r="L61" s="219" t="e">
        <f>J61-K61</f>
        <v>#REF!</v>
      </c>
      <c r="M61" s="232"/>
      <c r="N61" s="218"/>
      <c r="O61" s="219"/>
      <c r="P61" s="220"/>
      <c r="Q61" s="218"/>
      <c r="R61" s="221"/>
    </row>
    <row r="62" spans="1:30" x14ac:dyDescent="0.15">
      <c r="A62" s="3687"/>
      <c r="B62" s="251" t="s">
        <v>7043</v>
      </c>
      <c r="C62" s="2157" t="s">
        <v>6419</v>
      </c>
      <c r="D62" s="204" t="s">
        <v>6284</v>
      </c>
      <c r="E62" s="214">
        <v>300</v>
      </c>
      <c r="F62" s="215">
        <f>SQRT(3)*380*E62/1000</f>
        <v>197.45379206285202</v>
      </c>
      <c r="G62" s="215">
        <f t="shared" si="17"/>
        <v>70</v>
      </c>
      <c r="H62" s="2468" t="e">
        <f>220*(#REF!+#REF!+#REF!)/1000</f>
        <v>#REF!</v>
      </c>
      <c r="I62" s="216" t="e">
        <f>H62/G62</f>
        <v>#REF!</v>
      </c>
      <c r="J62" s="217">
        <f>COUNTA(#REF!)</f>
        <v>1</v>
      </c>
      <c r="K62" s="218" t="e">
        <f>COUNTIF(#REF!,각_층_분전반_부하량!K58)</f>
        <v>#REF!</v>
      </c>
      <c r="L62" s="219" t="e">
        <f>J62-K62</f>
        <v>#REF!</v>
      </c>
      <c r="M62" s="232"/>
      <c r="N62" s="218"/>
      <c r="O62" s="219"/>
      <c r="P62" s="220"/>
      <c r="Q62" s="218"/>
      <c r="R62" s="221"/>
    </row>
    <row r="63" spans="1:30" x14ac:dyDescent="0.15">
      <c r="A63" s="3687"/>
      <c r="B63" s="251" t="s">
        <v>7044</v>
      </c>
      <c r="C63" s="2157" t="s">
        <v>6421</v>
      </c>
      <c r="D63" s="204" t="s">
        <v>6286</v>
      </c>
      <c r="E63" s="214">
        <v>300</v>
      </c>
      <c r="F63" s="215">
        <f>SQRT(3)*380*E63/1000</f>
        <v>197.45379206285202</v>
      </c>
      <c r="G63" s="215">
        <f t="shared" si="17"/>
        <v>70</v>
      </c>
      <c r="H63" s="2468" t="e">
        <f>220*(#REF!+#REF!+#REF!)/1000</f>
        <v>#REF!</v>
      </c>
      <c r="I63" s="216" t="e">
        <f>H63/G63</f>
        <v>#REF!</v>
      </c>
      <c r="J63" s="217"/>
      <c r="K63" s="218"/>
      <c r="L63" s="219"/>
      <c r="M63" s="232"/>
      <c r="N63" s="218"/>
      <c r="O63" s="219"/>
      <c r="P63" s="220">
        <f>COUNTA(#REF!)</f>
        <v>1</v>
      </c>
      <c r="Q63" s="218" t="e">
        <f>COUNTIF(#REF!,각_층_분전반_부하량!Q58)</f>
        <v>#REF!</v>
      </c>
      <c r="R63" s="221" t="e">
        <f>P63-Q63</f>
        <v>#REF!</v>
      </c>
    </row>
    <row r="64" spans="1:30" x14ac:dyDescent="0.15">
      <c r="A64" s="3687"/>
      <c r="B64" s="251" t="s">
        <v>6933</v>
      </c>
      <c r="C64" s="1160" t="s">
        <v>6414</v>
      </c>
      <c r="D64" s="204" t="s">
        <v>6195</v>
      </c>
      <c r="E64" s="205">
        <v>300</v>
      </c>
      <c r="F64" s="206">
        <f t="shared" si="1"/>
        <v>197.45379206285202</v>
      </c>
      <c r="G64" s="206">
        <f t="shared" si="17"/>
        <v>70</v>
      </c>
      <c r="H64" s="2467" t="e">
        <f>220*(#REF!+#REF!+#REF!)/1000</f>
        <v>#REF!</v>
      </c>
      <c r="I64" s="207" t="e">
        <f t="shared" si="2"/>
        <v>#REF!</v>
      </c>
      <c r="J64" s="208">
        <f>COUNTA(#REF!)</f>
        <v>1</v>
      </c>
      <c r="K64" s="209" t="e">
        <f>COUNTIF(#REF!,각_층_분전반_부하량!K58)</f>
        <v>#REF!</v>
      </c>
      <c r="L64" s="210" t="e">
        <f>J64-K64</f>
        <v>#REF!</v>
      </c>
      <c r="M64" s="230">
        <v>1</v>
      </c>
      <c r="N64" s="209">
        <v>1</v>
      </c>
      <c r="O64" s="210">
        <v>0</v>
      </c>
      <c r="P64" s="211"/>
      <c r="Q64" s="209"/>
      <c r="R64" s="212"/>
    </row>
    <row r="65" spans="1:32" x14ac:dyDescent="0.15">
      <c r="A65" s="3687"/>
      <c r="B65" s="251" t="s">
        <v>7045</v>
      </c>
      <c r="C65" s="1160" t="s">
        <v>6416</v>
      </c>
      <c r="D65" s="204" t="s">
        <v>6198</v>
      </c>
      <c r="E65" s="214">
        <v>300</v>
      </c>
      <c r="F65" s="215">
        <f t="shared" si="1"/>
        <v>197.45379206285202</v>
      </c>
      <c r="G65" s="215">
        <f t="shared" ref="G65:G68" si="18">$G$69*E65/$E$69</f>
        <v>70</v>
      </c>
      <c r="H65" s="2468" t="e">
        <f>220*(#REF!+#REF!+#REF!)/1000</f>
        <v>#REF!</v>
      </c>
      <c r="I65" s="216" t="e">
        <f t="shared" si="2"/>
        <v>#REF!</v>
      </c>
      <c r="J65" s="217">
        <f>COUNTA(#REF!)</f>
        <v>1</v>
      </c>
      <c r="K65" s="218" t="e">
        <f>COUNTIF(#REF!,각_층_분전반_부하량!K58)</f>
        <v>#REF!</v>
      </c>
      <c r="L65" s="219" t="e">
        <f>J65-K65</f>
        <v>#REF!</v>
      </c>
      <c r="M65" s="232">
        <v>1</v>
      </c>
      <c r="N65" s="218">
        <v>0</v>
      </c>
      <c r="O65" s="219">
        <v>1</v>
      </c>
      <c r="P65" s="220"/>
      <c r="Q65" s="218"/>
      <c r="R65" s="221"/>
    </row>
    <row r="66" spans="1:32" x14ac:dyDescent="0.15">
      <c r="A66" s="3687"/>
      <c r="B66" s="251" t="s">
        <v>7046</v>
      </c>
      <c r="C66" s="1160" t="s">
        <v>6418</v>
      </c>
      <c r="D66" s="204" t="s">
        <v>6218</v>
      </c>
      <c r="E66" s="214">
        <v>300</v>
      </c>
      <c r="F66" s="215">
        <f t="shared" si="1"/>
        <v>197.45379206285202</v>
      </c>
      <c r="G66" s="215">
        <f t="shared" si="18"/>
        <v>70</v>
      </c>
      <c r="H66" s="2468" t="e">
        <f>220*(#REF!+#REF!+#REF!)/1000</f>
        <v>#REF!</v>
      </c>
      <c r="I66" s="216" t="e">
        <f t="shared" si="2"/>
        <v>#REF!</v>
      </c>
      <c r="J66" s="217">
        <f>COUNTA(#REF!)</f>
        <v>1</v>
      </c>
      <c r="K66" s="218" t="e">
        <f>COUNTIF(#REF!,각_층_분전반_부하량!K58)</f>
        <v>#REF!</v>
      </c>
      <c r="L66" s="219" t="e">
        <f>J66-K66</f>
        <v>#REF!</v>
      </c>
      <c r="M66" s="232"/>
      <c r="N66" s="218"/>
      <c r="O66" s="219"/>
      <c r="P66" s="220"/>
      <c r="Q66" s="218"/>
      <c r="R66" s="221"/>
    </row>
    <row r="67" spans="1:32" x14ac:dyDescent="0.15">
      <c r="A67" s="3687"/>
      <c r="B67" s="251" t="s">
        <v>7047</v>
      </c>
      <c r="C67" s="1160" t="s">
        <v>6420</v>
      </c>
      <c r="D67" s="204" t="s">
        <v>6220</v>
      </c>
      <c r="E67" s="214">
        <v>300</v>
      </c>
      <c r="F67" s="215">
        <f t="shared" si="1"/>
        <v>197.45379206285202</v>
      </c>
      <c r="G67" s="215">
        <f t="shared" si="18"/>
        <v>70</v>
      </c>
      <c r="H67" s="2468" t="e">
        <f>220*(#REF!+#REF!+#REF!)/1000</f>
        <v>#REF!</v>
      </c>
      <c r="I67" s="216" t="e">
        <f t="shared" si="2"/>
        <v>#REF!</v>
      </c>
      <c r="J67" s="217">
        <f>COUNTA(#REF!)</f>
        <v>1</v>
      </c>
      <c r="K67" s="218" t="e">
        <f>COUNTIF(#REF!,각_층_분전반_부하량!K58)</f>
        <v>#REF!</v>
      </c>
      <c r="L67" s="219" t="e">
        <f>J67-K67</f>
        <v>#REF!</v>
      </c>
      <c r="M67" s="232"/>
      <c r="N67" s="218"/>
      <c r="O67" s="219"/>
      <c r="P67" s="220"/>
      <c r="Q67" s="218"/>
      <c r="R67" s="221"/>
    </row>
    <row r="68" spans="1:32" x14ac:dyDescent="0.15">
      <c r="A68" s="3687"/>
      <c r="B68" s="251" t="s">
        <v>7048</v>
      </c>
      <c r="C68" s="1160" t="s">
        <v>6422</v>
      </c>
      <c r="D68" s="204" t="s">
        <v>6247</v>
      </c>
      <c r="E68" s="214">
        <v>300</v>
      </c>
      <c r="F68" s="215">
        <f t="shared" si="1"/>
        <v>197.45379206285202</v>
      </c>
      <c r="G68" s="215">
        <f t="shared" si="18"/>
        <v>70</v>
      </c>
      <c r="H68" s="2468" t="e">
        <f>220*(#REF!+#REF!+#REF!)/1000</f>
        <v>#REF!</v>
      </c>
      <c r="I68" s="216" t="e">
        <f t="shared" si="2"/>
        <v>#REF!</v>
      </c>
      <c r="J68" s="217"/>
      <c r="K68" s="218"/>
      <c r="L68" s="219"/>
      <c r="M68" s="232"/>
      <c r="N68" s="218"/>
      <c r="O68" s="219"/>
      <c r="P68" s="220">
        <f>COUNTA(#REF!)</f>
        <v>1</v>
      </c>
      <c r="Q68" s="218" t="e">
        <f>COUNTIF(#REF!,각_층_분전반_부하량!Q58)</f>
        <v>#REF!</v>
      </c>
      <c r="R68" s="221" t="e">
        <f>P68-Q68</f>
        <v>#REF!</v>
      </c>
    </row>
    <row r="69" spans="1:32" ht="14.25" thickBot="1" x14ac:dyDescent="0.2">
      <c r="A69" s="3688"/>
      <c r="B69" s="2553"/>
      <c r="C69" s="2173" t="s">
        <v>6331</v>
      </c>
      <c r="D69" s="2174" t="s">
        <v>6331</v>
      </c>
      <c r="E69" s="2175">
        <f>SUM(E59:E68)</f>
        <v>3000</v>
      </c>
      <c r="F69" s="2176">
        <f>SUM(F59:F68)</f>
        <v>1974.5379206285202</v>
      </c>
      <c r="G69" s="2182">
        <v>700</v>
      </c>
      <c r="H69" s="2178" t="e">
        <f>SUM(H59:H68)</f>
        <v>#REF!</v>
      </c>
      <c r="I69" s="2179" t="e">
        <f t="shared" si="2"/>
        <v>#REF!</v>
      </c>
      <c r="J69" s="222"/>
      <c r="K69" s="223"/>
      <c r="L69" s="224"/>
      <c r="M69" s="234"/>
      <c r="N69" s="223"/>
      <c r="O69" s="224"/>
      <c r="P69" s="225"/>
      <c r="Q69" s="223"/>
      <c r="R69" s="226"/>
    </row>
    <row r="70" spans="1:32" ht="15" thickTop="1" thickBot="1" x14ac:dyDescent="0.2">
      <c r="D70" s="56"/>
      <c r="H70" s="996"/>
      <c r="I70" s="997"/>
      <c r="J70" s="998"/>
    </row>
    <row r="71" spans="1:32" x14ac:dyDescent="0.15">
      <c r="D71" s="235" t="s">
        <v>6423</v>
      </c>
      <c r="E71" s="236"/>
      <c r="F71" s="237"/>
      <c r="G71" s="238" t="s">
        <v>6424</v>
      </c>
      <c r="H71" s="239" t="s">
        <v>6425</v>
      </c>
    </row>
    <row r="72" spans="1:32" x14ac:dyDescent="0.15">
      <c r="D72" s="340" t="s">
        <v>6306</v>
      </c>
      <c r="E72" s="999" t="s">
        <v>4649</v>
      </c>
      <c r="F72" s="1000" t="s">
        <v>6429</v>
      </c>
      <c r="G72" s="241" t="e">
        <f>#REF!</f>
        <v>#REF!</v>
      </c>
      <c r="H72" s="242" t="e">
        <f>#REF!</f>
        <v>#REF!</v>
      </c>
    </row>
    <row r="73" spans="1:32" x14ac:dyDescent="0.15">
      <c r="D73" s="243"/>
      <c r="E73" s="240" t="s">
        <v>6307</v>
      </c>
      <c r="F73" s="215" t="s">
        <v>6308</v>
      </c>
      <c r="G73" s="241" t="e">
        <f>#REF!</f>
        <v>#REF!</v>
      </c>
      <c r="H73" s="242" t="e">
        <f>#REF!</f>
        <v>#REF!</v>
      </c>
    </row>
    <row r="74" spans="1:32" x14ac:dyDescent="0.15">
      <c r="D74" s="243"/>
      <c r="E74" s="240" t="s">
        <v>4666</v>
      </c>
      <c r="F74" s="215" t="s">
        <v>6308</v>
      </c>
      <c r="G74" s="241" t="e">
        <f>#REF!</f>
        <v>#REF!</v>
      </c>
      <c r="H74" s="242" t="e">
        <f>#REF!</f>
        <v>#REF!</v>
      </c>
    </row>
    <row r="75" spans="1:32" x14ac:dyDescent="0.15">
      <c r="D75" s="243"/>
      <c r="E75" s="240" t="s">
        <v>6307</v>
      </c>
      <c r="F75" s="215" t="s">
        <v>6430</v>
      </c>
      <c r="G75" s="241" t="e">
        <f>#REF!</f>
        <v>#REF!</v>
      </c>
      <c r="H75" s="242" t="e">
        <f>#REF!</f>
        <v>#REF!</v>
      </c>
    </row>
    <row r="76" spans="1:32" ht="14.25" thickBot="1" x14ac:dyDescent="0.2">
      <c r="D76" s="244"/>
      <c r="E76" s="245"/>
      <c r="F76" s="246" t="s">
        <v>4985</v>
      </c>
      <c r="G76" s="241" t="e">
        <f>#REF!</f>
        <v>#REF!</v>
      </c>
      <c r="H76" s="242" t="e">
        <f>#REF!</f>
        <v>#REF!</v>
      </c>
    </row>
    <row r="77" spans="1:32" ht="14.25" thickBot="1" x14ac:dyDescent="0.2">
      <c r="D77" s="247" t="s">
        <v>6365</v>
      </c>
      <c r="E77" s="1001" t="s">
        <v>6431</v>
      </c>
      <c r="F77" s="1002" t="s">
        <v>6432</v>
      </c>
      <c r="G77" s="248" t="e">
        <f>#REF!</f>
        <v>#REF!</v>
      </c>
      <c r="H77" s="1006"/>
    </row>
    <row r="78" spans="1:32" ht="14.25" thickBot="1" x14ac:dyDescent="0.2">
      <c r="D78" s="339" t="s">
        <v>6336</v>
      </c>
      <c r="E78" s="1001" t="s">
        <v>6431</v>
      </c>
      <c r="F78" s="1002" t="s">
        <v>6432</v>
      </c>
      <c r="G78" s="237" t="e">
        <f>#REF!</f>
        <v>#REF!</v>
      </c>
      <c r="H78" s="1003"/>
    </row>
    <row r="79" spans="1:32" x14ac:dyDescent="0.15">
      <c r="D79" s="339" t="s">
        <v>6318</v>
      </c>
      <c r="E79" s="1001" t="s">
        <v>4649</v>
      </c>
      <c r="F79" s="1002" t="s">
        <v>6432</v>
      </c>
      <c r="G79" s="281" t="e">
        <f>#REF!</f>
        <v>#REF!</v>
      </c>
      <c r="H79" s="282" t="e">
        <f>#REF!</f>
        <v>#REF!</v>
      </c>
    </row>
    <row r="80" spans="1:32" x14ac:dyDescent="0.15">
      <c r="D80" s="243"/>
      <c r="E80" s="2311" t="s">
        <v>6426</v>
      </c>
      <c r="F80" s="215" t="s">
        <v>6427</v>
      </c>
      <c r="G80" s="215" t="e">
        <f>#REF!</f>
        <v>#REF!</v>
      </c>
      <c r="H80" s="242" t="e">
        <f>#REF!</f>
        <v>#REF!</v>
      </c>
      <c r="N80" s="3702" t="s">
        <v>6907</v>
      </c>
      <c r="O80" s="3702"/>
      <c r="P80" s="3702"/>
      <c r="Q80" s="3702"/>
      <c r="R80" s="3702" t="s">
        <v>6916</v>
      </c>
      <c r="S80" s="3702"/>
      <c r="T80" s="3702"/>
      <c r="U80" s="3702" t="s">
        <v>6917</v>
      </c>
      <c r="V80" s="3702"/>
      <c r="W80" s="3702"/>
      <c r="X80" s="3706" t="s">
        <v>6908</v>
      </c>
      <c r="Y80" s="3707"/>
      <c r="Z80" s="3707"/>
      <c r="AA80" s="3707"/>
      <c r="AB80" s="3708"/>
      <c r="AC80" s="3701" t="s">
        <v>6909</v>
      </c>
      <c r="AD80" s="3701"/>
      <c r="AE80" s="3702" t="s">
        <v>6910</v>
      </c>
      <c r="AF80" s="3702"/>
    </row>
    <row r="81" spans="4:32" x14ac:dyDescent="0.15">
      <c r="D81" s="243"/>
      <c r="E81" s="240" t="s">
        <v>4634</v>
      </c>
      <c r="F81" s="215" t="s">
        <v>6433</v>
      </c>
      <c r="G81" s="215" t="e">
        <f>#REF!</f>
        <v>#REF!</v>
      </c>
      <c r="H81" s="242" t="e">
        <f>#REF!</f>
        <v>#REF!</v>
      </c>
      <c r="N81" s="3246" t="s">
        <v>6911</v>
      </c>
      <c r="O81" s="3246"/>
      <c r="P81" s="3246"/>
      <c r="Q81" s="3246"/>
      <c r="R81" s="3698">
        <f>85.07*20</f>
        <v>1701.3999999999999</v>
      </c>
      <c r="S81" s="3698"/>
      <c r="T81" s="3698"/>
      <c r="U81" s="3698">
        <f>159.7*20</f>
        <v>3194</v>
      </c>
      <c r="V81" s="3698"/>
      <c r="W81" s="3698"/>
      <c r="X81" s="3698">
        <f>U81-R81</f>
        <v>1492.6000000000001</v>
      </c>
      <c r="Y81" s="3698"/>
      <c r="Z81" s="3698"/>
      <c r="AA81" s="3703"/>
      <c r="AB81" s="3703"/>
      <c r="AC81" s="3698">
        <f>X81*1000/(220*24*31)</f>
        <v>9.119012707722387</v>
      </c>
      <c r="AD81" s="3698"/>
      <c r="AE81" s="3699"/>
      <c r="AF81" s="3699"/>
    </row>
    <row r="82" spans="4:32" x14ac:dyDescent="0.15">
      <c r="D82" s="243"/>
      <c r="E82" s="240" t="s">
        <v>4634</v>
      </c>
      <c r="F82" s="215" t="s">
        <v>6434</v>
      </c>
      <c r="G82" s="215" t="e">
        <f>#REF!</f>
        <v>#REF!</v>
      </c>
      <c r="H82" s="242" t="e">
        <f>#REF!</f>
        <v>#REF!</v>
      </c>
      <c r="N82" s="3246" t="s">
        <v>6912</v>
      </c>
      <c r="O82" s="3246"/>
      <c r="P82" s="3246"/>
      <c r="Q82" s="3246"/>
      <c r="R82" s="3698"/>
      <c r="S82" s="3698"/>
      <c r="T82" s="3698"/>
      <c r="U82" s="3698"/>
      <c r="V82" s="3698"/>
      <c r="W82" s="3698"/>
      <c r="X82" s="3698">
        <f>X81-AA83</f>
        <v>1163.9000000000001</v>
      </c>
      <c r="Y82" s="3698"/>
      <c r="Z82" s="3698"/>
      <c r="AA82" s="3703"/>
      <c r="AB82" s="3703"/>
      <c r="AC82" s="3698">
        <f>X82*1000/(220*24*31)</f>
        <v>7.1108260019550338</v>
      </c>
      <c r="AD82" s="3698"/>
      <c r="AE82" s="3699">
        <f>AC82/AC81</f>
        <v>0.77978024922953215</v>
      </c>
      <c r="AF82" s="3699"/>
    </row>
    <row r="83" spans="4:32" x14ac:dyDescent="0.15">
      <c r="D83" s="243"/>
      <c r="E83" s="245" t="s">
        <v>4980</v>
      </c>
      <c r="F83" s="246" t="s">
        <v>6428</v>
      </c>
      <c r="G83" s="215" t="e">
        <f>#REF!</f>
        <v>#REF!</v>
      </c>
      <c r="H83" s="242" t="e">
        <f>#REF!</f>
        <v>#REF!</v>
      </c>
      <c r="N83" s="3246" t="s">
        <v>6913</v>
      </c>
      <c r="O83" s="3246"/>
      <c r="P83" s="3246"/>
      <c r="Q83" s="3246"/>
      <c r="R83" s="3698">
        <v>0.1</v>
      </c>
      <c r="S83" s="3698"/>
      <c r="T83" s="3698"/>
      <c r="U83" s="3698">
        <v>0.1</v>
      </c>
      <c r="V83" s="3698"/>
      <c r="W83" s="3698"/>
      <c r="X83" s="3698">
        <f t="shared" ref="X83:X85" si="19">U83-R83</f>
        <v>0</v>
      </c>
      <c r="Y83" s="3698"/>
      <c r="Z83" s="3698"/>
      <c r="AA83" s="3700">
        <f>SUM(X83:Z85)</f>
        <v>328.7</v>
      </c>
      <c r="AB83" s="3700"/>
      <c r="AC83" s="3698">
        <f>AA83*1000/(220*24*31)</f>
        <v>2.008186705767351</v>
      </c>
      <c r="AD83" s="3698"/>
      <c r="AE83" s="3699">
        <f>AC83/AC81</f>
        <v>0.2202197507704676</v>
      </c>
      <c r="AF83" s="3699"/>
    </row>
    <row r="84" spans="4:32" x14ac:dyDescent="0.15">
      <c r="D84" s="243"/>
      <c r="E84" s="3704" t="s">
        <v>4987</v>
      </c>
      <c r="F84" s="2464" t="s">
        <v>24</v>
      </c>
      <c r="G84" s="2465" t="e">
        <f>#REF!*세분화!AE83</f>
        <v>#REF!</v>
      </c>
      <c r="H84" s="2466" t="e">
        <f>G84/G86</f>
        <v>#REF!</v>
      </c>
      <c r="N84" s="3246" t="s">
        <v>6914</v>
      </c>
      <c r="O84" s="3246"/>
      <c r="P84" s="3246"/>
      <c r="Q84" s="3246"/>
      <c r="R84" s="3698">
        <v>193.2</v>
      </c>
      <c r="S84" s="3698"/>
      <c r="T84" s="3698"/>
      <c r="U84" s="3698">
        <v>320.39999999999998</v>
      </c>
      <c r="V84" s="3698"/>
      <c r="W84" s="3698"/>
      <c r="X84" s="3698">
        <f t="shared" si="19"/>
        <v>127.19999999999999</v>
      </c>
      <c r="Y84" s="3698"/>
      <c r="Z84" s="3698"/>
      <c r="AA84" s="3700"/>
      <c r="AB84" s="3700"/>
      <c r="AC84" s="3698"/>
      <c r="AD84" s="3698"/>
      <c r="AE84" s="3699"/>
      <c r="AF84" s="3699"/>
    </row>
    <row r="85" spans="4:32" x14ac:dyDescent="0.15">
      <c r="D85" s="243"/>
      <c r="E85" s="3705"/>
      <c r="F85" s="2464" t="s">
        <v>6429</v>
      </c>
      <c r="G85" s="2465" t="e">
        <f>#REF!*AE82</f>
        <v>#REF!</v>
      </c>
      <c r="H85" s="2466" t="e">
        <f>G85/G86</f>
        <v>#REF!</v>
      </c>
      <c r="N85" s="3246" t="s">
        <v>6915</v>
      </c>
      <c r="O85" s="3246"/>
      <c r="P85" s="3246"/>
      <c r="Q85" s="3246"/>
      <c r="R85" s="3698">
        <v>364.1</v>
      </c>
      <c r="S85" s="3698"/>
      <c r="T85" s="3698"/>
      <c r="U85" s="3698">
        <v>565.6</v>
      </c>
      <c r="V85" s="3698"/>
      <c r="W85" s="3698"/>
      <c r="X85" s="3698">
        <f t="shared" si="19"/>
        <v>201.5</v>
      </c>
      <c r="Y85" s="3698"/>
      <c r="Z85" s="3698"/>
      <c r="AA85" s="3700"/>
      <c r="AB85" s="3700"/>
      <c r="AC85" s="3698"/>
      <c r="AD85" s="3698"/>
      <c r="AE85" s="3699"/>
      <c r="AF85" s="3699"/>
    </row>
    <row r="86" spans="4:32" ht="14.25" thickBot="1" x14ac:dyDescent="0.2">
      <c r="D86" s="249"/>
      <c r="E86" s="228"/>
      <c r="F86" s="202" t="s">
        <v>4985</v>
      </c>
      <c r="G86" s="2314" t="e">
        <f>#REF!</f>
        <v>#REF!</v>
      </c>
      <c r="H86" s="2315" t="e">
        <f>SUM(H79:H83)</f>
        <v>#REF!</v>
      </c>
    </row>
    <row r="87" spans="4:32" x14ac:dyDescent="0.15">
      <c r="G87" s="50" t="e">
        <f>G76+G77+G78+G86</f>
        <v>#REF!</v>
      </c>
    </row>
    <row r="88" spans="4:32" x14ac:dyDescent="0.15">
      <c r="G88" s="50" t="e">
        <f>SUM(G79:G85)</f>
        <v>#REF!</v>
      </c>
    </row>
    <row r="89" spans="4:32" x14ac:dyDescent="0.15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1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8671875" defaultRowHeight="12" x14ac:dyDescent="0.15"/>
  <cols>
    <col min="1" max="1" customWidth="true" style="252" width="8.33203125" collapsed="false"/>
    <col min="2" max="2" customWidth="true" style="495" width="4.88671875" collapsed="false"/>
    <col min="3" max="3" customWidth="true" style="495" width="21.44140625" collapsed="false"/>
    <col min="4" max="4" customWidth="true" style="495" width="4.88671875" collapsed="false"/>
    <col min="5" max="5" customWidth="true" style="495" width="5.6640625" collapsed="false"/>
    <col min="6" max="6" customWidth="true" style="495" width="8.33203125" collapsed="false"/>
    <col min="7" max="7" customWidth="true" style="495" width="6.6640625" collapsed="false"/>
    <col min="8" max="8" customWidth="true" style="495" width="1.88671875" collapsed="false"/>
    <col min="9" max="9" customWidth="true" style="495" width="6.6640625" collapsed="false"/>
    <col min="10" max="10" customWidth="true" style="495" width="8.33203125" collapsed="false"/>
    <col min="11" max="12" customWidth="true" style="495" width="4.6640625" collapsed="false"/>
    <col min="13" max="13" customWidth="true" style="495" width="25.33203125" collapsed="false"/>
    <col min="14" max="14" customWidth="true" style="495" width="4.88671875" collapsed="false"/>
    <col min="15" max="15" customWidth="true" style="511" width="8.88671875" collapsed="false"/>
    <col min="16" max="16384" style="511" width="8.88671875" collapsed="false"/>
  </cols>
  <sheetData>
    <row r="1" spans="2:15" ht="33" customHeight="1" x14ac:dyDescent="0.15">
      <c r="B1" s="3712" t="s">
        <v>6435</v>
      </c>
      <c r="C1" s="3712"/>
      <c r="D1" s="3712"/>
      <c r="E1" s="3712"/>
      <c r="F1" s="3712"/>
      <c r="G1" s="3712"/>
      <c r="H1" s="3712"/>
      <c r="I1" s="3712"/>
      <c r="J1" s="3712"/>
      <c r="K1" s="3712"/>
      <c r="L1" s="3712"/>
      <c r="M1" s="3712"/>
      <c r="N1" s="3712"/>
    </row>
    <row r="2" spans="2:15" ht="18.95" customHeight="1" x14ac:dyDescent="0.15">
      <c r="F2" s="715"/>
      <c r="K2" s="494"/>
      <c r="L2" s="494"/>
    </row>
    <row r="3" spans="2:15" ht="18.95" customHeight="1" x14ac:dyDescent="0.15">
      <c r="C3" s="716" t="s">
        <v>6436</v>
      </c>
      <c r="J3" s="495" t="s">
        <v>6437</v>
      </c>
      <c r="K3" s="494"/>
      <c r="L3" s="494"/>
      <c r="M3" s="495" t="s">
        <v>6438</v>
      </c>
    </row>
    <row r="4" spans="2:15" ht="18.95" customHeight="1" thickBot="1" x14ac:dyDescent="0.2">
      <c r="C4" s="716" t="s">
        <v>6439</v>
      </c>
    </row>
    <row r="5" spans="2:15" ht="25.5" customHeight="1" x14ac:dyDescent="0.15">
      <c r="B5" s="717" t="s">
        <v>6440</v>
      </c>
      <c r="C5" s="718" t="s">
        <v>6441</v>
      </c>
      <c r="D5" s="718" t="s">
        <v>6442</v>
      </c>
      <c r="E5" s="718" t="s">
        <v>6443</v>
      </c>
      <c r="F5" s="718" t="s">
        <v>6444</v>
      </c>
      <c r="G5" s="719" t="s">
        <v>6445</v>
      </c>
      <c r="H5" s="720"/>
      <c r="I5" s="721" t="s">
        <v>6445</v>
      </c>
      <c r="J5" s="718" t="s">
        <v>6444</v>
      </c>
      <c r="K5" s="718" t="s">
        <v>6442</v>
      </c>
      <c r="L5" s="718" t="s">
        <v>6443</v>
      </c>
      <c r="M5" s="718" t="s">
        <v>6441</v>
      </c>
      <c r="N5" s="722" t="s">
        <v>6440</v>
      </c>
    </row>
    <row r="6" spans="2:15" ht="16.5" customHeight="1" x14ac:dyDescent="0.15">
      <c r="B6" s="745">
        <v>1</v>
      </c>
      <c r="C6" s="746" t="s">
        <v>6446</v>
      </c>
      <c r="D6" s="747" t="s">
        <v>4635</v>
      </c>
      <c r="E6" s="747" t="s">
        <v>565</v>
      </c>
      <c r="F6" s="747"/>
      <c r="G6" s="748"/>
      <c r="H6" s="749"/>
      <c r="I6" s="750"/>
      <c r="J6" s="747"/>
      <c r="K6" s="747" t="s">
        <v>4635</v>
      </c>
      <c r="L6" s="747" t="s">
        <v>565</v>
      </c>
      <c r="M6" s="746" t="s">
        <v>6447</v>
      </c>
      <c r="N6" s="751">
        <v>41</v>
      </c>
    </row>
    <row r="7" spans="2:15" ht="20.25" customHeight="1" x14ac:dyDescent="0.15">
      <c r="B7" s="745">
        <v>2</v>
      </c>
      <c r="C7" s="746" t="s">
        <v>6448</v>
      </c>
      <c r="D7" s="747" t="s">
        <v>4635</v>
      </c>
      <c r="E7" s="747" t="s">
        <v>565</v>
      </c>
      <c r="F7" s="747"/>
      <c r="G7" s="748"/>
      <c r="H7" s="749"/>
      <c r="I7" s="750"/>
      <c r="J7" s="747"/>
      <c r="K7" s="747" t="s">
        <v>4635</v>
      </c>
      <c r="L7" s="747" t="s">
        <v>565</v>
      </c>
      <c r="M7" s="746" t="s">
        <v>6449</v>
      </c>
      <c r="N7" s="751">
        <v>42</v>
      </c>
    </row>
    <row r="8" spans="2:15" ht="20.25" customHeight="1" x14ac:dyDescent="0.15">
      <c r="B8" s="745">
        <v>3</v>
      </c>
      <c r="C8" s="746"/>
      <c r="D8" s="747" t="s">
        <v>565</v>
      </c>
      <c r="E8" s="747" t="s">
        <v>565</v>
      </c>
      <c r="F8" s="747"/>
      <c r="G8" s="748"/>
      <c r="H8" s="749"/>
      <c r="I8" s="808"/>
      <c r="J8" s="804" t="s">
        <v>6450</v>
      </c>
      <c r="K8" s="804" t="s">
        <v>4635</v>
      </c>
      <c r="L8" s="804" t="s">
        <v>4635</v>
      </c>
      <c r="M8" s="803" t="s">
        <v>6451</v>
      </c>
      <c r="N8" s="809">
        <v>43</v>
      </c>
    </row>
    <row r="9" spans="2:15" ht="20.25" customHeight="1" x14ac:dyDescent="0.15">
      <c r="B9" s="745">
        <v>4</v>
      </c>
      <c r="C9" s="746" t="s">
        <v>6452</v>
      </c>
      <c r="D9" s="747" t="s">
        <v>4635</v>
      </c>
      <c r="E9" s="747" t="s">
        <v>565</v>
      </c>
      <c r="F9" s="747"/>
      <c r="G9" s="748"/>
      <c r="H9" s="749"/>
      <c r="I9" s="808"/>
      <c r="J9" s="804" t="s">
        <v>6450</v>
      </c>
      <c r="K9" s="804" t="s">
        <v>4635</v>
      </c>
      <c r="L9" s="804" t="s">
        <v>4635</v>
      </c>
      <c r="M9" s="803" t="s">
        <v>6453</v>
      </c>
      <c r="N9" s="809">
        <v>44</v>
      </c>
    </row>
    <row r="10" spans="2:15" ht="20.25" customHeight="1" x14ac:dyDescent="0.15">
      <c r="B10" s="745">
        <v>5</v>
      </c>
      <c r="C10" s="746" t="s">
        <v>6454</v>
      </c>
      <c r="D10" s="747" t="s">
        <v>4635</v>
      </c>
      <c r="E10" s="747" t="s">
        <v>565</v>
      </c>
      <c r="F10" s="747"/>
      <c r="G10" s="748"/>
      <c r="H10" s="749"/>
      <c r="I10" s="750"/>
      <c r="J10" s="747"/>
      <c r="K10" s="747" t="s">
        <v>4635</v>
      </c>
      <c r="L10" s="747" t="s">
        <v>565</v>
      </c>
      <c r="M10" s="746" t="s">
        <v>6455</v>
      </c>
      <c r="N10" s="751">
        <v>45</v>
      </c>
    </row>
    <row r="11" spans="2:15" ht="20.25" customHeight="1" x14ac:dyDescent="0.15">
      <c r="B11" s="745">
        <v>6</v>
      </c>
      <c r="C11" s="746" t="s">
        <v>6456</v>
      </c>
      <c r="D11" s="747" t="s">
        <v>4635</v>
      </c>
      <c r="E11" s="747" t="s">
        <v>565</v>
      </c>
      <c r="F11" s="747"/>
      <c r="G11" s="748"/>
      <c r="H11" s="749"/>
      <c r="I11" s="752"/>
      <c r="J11" s="747"/>
      <c r="K11" s="747" t="s">
        <v>4635</v>
      </c>
      <c r="L11" s="747" t="s">
        <v>565</v>
      </c>
      <c r="M11" s="746" t="s">
        <v>6457</v>
      </c>
      <c r="N11" s="751">
        <v>46</v>
      </c>
      <c r="O11" s="511" t="s">
        <v>6458</v>
      </c>
    </row>
    <row r="12" spans="2:15" ht="20.25" customHeight="1" x14ac:dyDescent="0.15">
      <c r="B12" s="802">
        <v>7</v>
      </c>
      <c r="C12" s="803" t="s">
        <v>6459</v>
      </c>
      <c r="D12" s="804" t="s">
        <v>4635</v>
      </c>
      <c r="E12" s="804" t="s">
        <v>4635</v>
      </c>
      <c r="F12" s="804" t="s">
        <v>6460</v>
      </c>
      <c r="G12" s="805"/>
      <c r="H12" s="749"/>
      <c r="I12" s="750"/>
      <c r="J12" s="747"/>
      <c r="K12" s="747" t="s">
        <v>4635</v>
      </c>
      <c r="L12" s="747" t="s">
        <v>565</v>
      </c>
      <c r="M12" s="746" t="s">
        <v>6461</v>
      </c>
      <c r="N12" s="751">
        <v>47</v>
      </c>
    </row>
    <row r="13" spans="2:15" ht="20.25" customHeight="1" x14ac:dyDescent="0.15">
      <c r="B13" s="745">
        <v>8</v>
      </c>
      <c r="C13" s="747"/>
      <c r="D13" s="747" t="s">
        <v>565</v>
      </c>
      <c r="E13" s="747" t="s">
        <v>565</v>
      </c>
      <c r="F13" s="747"/>
      <c r="G13" s="748"/>
      <c r="H13" s="749"/>
      <c r="I13" s="750"/>
      <c r="J13" s="747"/>
      <c r="K13" s="747" t="s">
        <v>4635</v>
      </c>
      <c r="L13" s="747" t="s">
        <v>565</v>
      </c>
      <c r="M13" s="746" t="s">
        <v>6462</v>
      </c>
      <c r="N13" s="751">
        <v>48</v>
      </c>
    </row>
    <row r="14" spans="2:15" ht="20.25" customHeight="1" x14ac:dyDescent="0.15">
      <c r="B14" s="745">
        <v>9</v>
      </c>
      <c r="C14" s="747"/>
      <c r="D14" s="747" t="s">
        <v>565</v>
      </c>
      <c r="E14" s="747" t="s">
        <v>565</v>
      </c>
      <c r="F14" s="747"/>
      <c r="G14" s="748"/>
      <c r="H14" s="749"/>
      <c r="I14" s="750"/>
      <c r="J14" s="747"/>
      <c r="K14" s="747" t="s">
        <v>4635</v>
      </c>
      <c r="L14" s="747" t="s">
        <v>565</v>
      </c>
      <c r="M14" s="746" t="s">
        <v>6463</v>
      </c>
      <c r="N14" s="751">
        <v>49</v>
      </c>
    </row>
    <row r="15" spans="2:15" ht="20.25" customHeight="1" x14ac:dyDescent="0.15">
      <c r="B15" s="745">
        <v>10</v>
      </c>
      <c r="C15" s="746" t="s">
        <v>6464</v>
      </c>
      <c r="D15" s="747" t="s">
        <v>4635</v>
      </c>
      <c r="E15" s="747" t="s">
        <v>565</v>
      </c>
      <c r="F15" s="747"/>
      <c r="G15" s="748"/>
      <c r="H15" s="749"/>
      <c r="I15" s="810"/>
      <c r="J15" s="804" t="s">
        <v>6450</v>
      </c>
      <c r="K15" s="804" t="s">
        <v>4635</v>
      </c>
      <c r="L15" s="804" t="s">
        <v>4635</v>
      </c>
      <c r="M15" s="803" t="s">
        <v>6465</v>
      </c>
      <c r="N15" s="809">
        <v>50</v>
      </c>
      <c r="O15" s="511" t="s">
        <v>6466</v>
      </c>
    </row>
    <row r="16" spans="2:15" ht="20.25" customHeight="1" x14ac:dyDescent="0.15">
      <c r="B16" s="802">
        <v>11</v>
      </c>
      <c r="C16" s="803" t="s">
        <v>6467</v>
      </c>
      <c r="D16" s="804" t="s">
        <v>4635</v>
      </c>
      <c r="E16" s="804" t="s">
        <v>4635</v>
      </c>
      <c r="F16" s="804" t="s">
        <v>6450</v>
      </c>
      <c r="G16" s="805"/>
      <c r="H16" s="749"/>
      <c r="I16" s="811"/>
      <c r="J16" s="804" t="s">
        <v>6450</v>
      </c>
      <c r="K16" s="804" t="s">
        <v>4635</v>
      </c>
      <c r="L16" s="804" t="s">
        <v>4635</v>
      </c>
      <c r="M16" s="803" t="s">
        <v>6468</v>
      </c>
      <c r="N16" s="809">
        <v>51</v>
      </c>
    </row>
    <row r="17" spans="2:15" ht="20.25" customHeight="1" x14ac:dyDescent="0.15">
      <c r="B17" s="745">
        <v>12</v>
      </c>
      <c r="C17" s="746" t="s">
        <v>6469</v>
      </c>
      <c r="D17" s="747" t="s">
        <v>4635</v>
      </c>
      <c r="E17" s="747" t="s">
        <v>565</v>
      </c>
      <c r="F17" s="747"/>
      <c r="G17" s="748"/>
      <c r="H17" s="749"/>
      <c r="I17" s="750"/>
      <c r="J17" s="747"/>
      <c r="K17" s="747" t="s">
        <v>4635</v>
      </c>
      <c r="L17" s="747" t="s">
        <v>565</v>
      </c>
      <c r="M17" s="746" t="s">
        <v>6470</v>
      </c>
      <c r="N17" s="751">
        <v>52</v>
      </c>
      <c r="O17" s="511" t="s">
        <v>6458</v>
      </c>
    </row>
    <row r="18" spans="2:15" ht="13.5" customHeight="1" x14ac:dyDescent="0.15">
      <c r="B18" s="745">
        <v>13</v>
      </c>
      <c r="C18" s="747"/>
      <c r="D18" s="747" t="s">
        <v>565</v>
      </c>
      <c r="E18" s="747" t="s">
        <v>565</v>
      </c>
      <c r="F18" s="747"/>
      <c r="G18" s="748"/>
      <c r="H18" s="749"/>
      <c r="I18" s="750"/>
      <c r="J18" s="747"/>
      <c r="K18" s="747" t="s">
        <v>565</v>
      </c>
      <c r="L18" s="747" t="s">
        <v>565</v>
      </c>
      <c r="M18" s="746"/>
      <c r="N18" s="751">
        <v>53</v>
      </c>
    </row>
    <row r="19" spans="2:15" ht="20.25" customHeight="1" x14ac:dyDescent="0.15">
      <c r="B19" s="745">
        <v>14</v>
      </c>
      <c r="C19" s="747"/>
      <c r="D19" s="747" t="s">
        <v>565</v>
      </c>
      <c r="E19" s="747" t="s">
        <v>565</v>
      </c>
      <c r="F19" s="747"/>
      <c r="G19" s="748"/>
      <c r="H19" s="749"/>
      <c r="I19" s="750"/>
      <c r="J19" s="747"/>
      <c r="K19" s="747" t="s">
        <v>565</v>
      </c>
      <c r="L19" s="747" t="s">
        <v>565</v>
      </c>
      <c r="M19" s="746"/>
      <c r="N19" s="751">
        <v>54</v>
      </c>
    </row>
    <row r="20" spans="2:15" ht="20.25" customHeight="1" x14ac:dyDescent="0.15">
      <c r="B20" s="802">
        <v>15</v>
      </c>
      <c r="C20" s="803" t="s">
        <v>6471</v>
      </c>
      <c r="D20" s="804" t="s">
        <v>4635</v>
      </c>
      <c r="E20" s="804" t="s">
        <v>4635</v>
      </c>
      <c r="F20" s="804" t="s">
        <v>6450</v>
      </c>
      <c r="G20" s="806"/>
      <c r="H20" s="749"/>
      <c r="I20" s="750"/>
      <c r="J20" s="747"/>
      <c r="K20" s="747" t="s">
        <v>565</v>
      </c>
      <c r="L20" s="747" t="s">
        <v>565</v>
      </c>
      <c r="M20" s="746"/>
      <c r="N20" s="751">
        <v>55</v>
      </c>
    </row>
    <row r="21" spans="2:15" ht="20.25" customHeight="1" x14ac:dyDescent="0.15">
      <c r="B21" s="802">
        <v>16</v>
      </c>
      <c r="C21" s="803" t="s">
        <v>6472</v>
      </c>
      <c r="D21" s="804" t="s">
        <v>4635</v>
      </c>
      <c r="E21" s="804" t="s">
        <v>4635</v>
      </c>
      <c r="F21" s="804" t="s">
        <v>6450</v>
      </c>
      <c r="G21" s="805"/>
      <c r="H21" s="749"/>
      <c r="I21" s="811"/>
      <c r="J21" s="804" t="s">
        <v>6473</v>
      </c>
      <c r="K21" s="804" t="s">
        <v>4635</v>
      </c>
      <c r="L21" s="804" t="s">
        <v>4635</v>
      </c>
      <c r="M21" s="803" t="s">
        <v>6474</v>
      </c>
      <c r="N21" s="809">
        <v>56</v>
      </c>
    </row>
    <row r="22" spans="2:15" ht="20.25" customHeight="1" x14ac:dyDescent="0.15">
      <c r="B22" s="802">
        <v>17</v>
      </c>
      <c r="C22" s="803" t="s">
        <v>6475</v>
      </c>
      <c r="D22" s="804" t="s">
        <v>4635</v>
      </c>
      <c r="E22" s="804" t="s">
        <v>4635</v>
      </c>
      <c r="F22" s="804" t="s">
        <v>6473</v>
      </c>
      <c r="G22" s="805"/>
      <c r="H22" s="749"/>
      <c r="I22" s="811"/>
      <c r="J22" s="804" t="s">
        <v>6473</v>
      </c>
      <c r="K22" s="804" t="s">
        <v>4635</v>
      </c>
      <c r="L22" s="804" t="s">
        <v>4635</v>
      </c>
      <c r="M22" s="803" t="s">
        <v>6476</v>
      </c>
      <c r="N22" s="809">
        <v>57</v>
      </c>
    </row>
    <row r="23" spans="2:15" ht="20.25" customHeight="1" x14ac:dyDescent="0.15">
      <c r="B23" s="802">
        <v>18</v>
      </c>
      <c r="C23" s="807" t="s">
        <v>6477</v>
      </c>
      <c r="D23" s="804" t="s">
        <v>4635</v>
      </c>
      <c r="E23" s="804" t="s">
        <v>4635</v>
      </c>
      <c r="F23" s="804" t="s">
        <v>6460</v>
      </c>
      <c r="G23" s="805"/>
      <c r="H23" s="749"/>
      <c r="I23" s="750"/>
      <c r="J23" s="747"/>
      <c r="K23" s="747" t="s">
        <v>565</v>
      </c>
      <c r="L23" s="747" t="s">
        <v>565</v>
      </c>
      <c r="M23" s="747"/>
      <c r="N23" s="751">
        <v>58</v>
      </c>
    </row>
    <row r="24" spans="2:15" ht="20.25" customHeight="1" x14ac:dyDescent="0.15">
      <c r="B24" s="802">
        <v>19</v>
      </c>
      <c r="C24" s="803" t="s">
        <v>6478</v>
      </c>
      <c r="D24" s="804" t="s">
        <v>4635</v>
      </c>
      <c r="E24" s="804" t="s">
        <v>4635</v>
      </c>
      <c r="F24" s="804" t="s">
        <v>6460</v>
      </c>
      <c r="G24" s="805"/>
      <c r="H24" s="749"/>
      <c r="I24" s="750"/>
      <c r="J24" s="747"/>
      <c r="K24" s="747" t="s">
        <v>565</v>
      </c>
      <c r="L24" s="747" t="s">
        <v>565</v>
      </c>
      <c r="M24" s="747"/>
      <c r="N24" s="751">
        <v>59</v>
      </c>
    </row>
    <row r="25" spans="2:15" ht="20.25" customHeight="1" x14ac:dyDescent="0.15">
      <c r="B25" s="802">
        <v>20</v>
      </c>
      <c r="C25" s="803" t="s">
        <v>6479</v>
      </c>
      <c r="D25" s="804" t="s">
        <v>4635</v>
      </c>
      <c r="E25" s="804" t="s">
        <v>4635</v>
      </c>
      <c r="F25" s="804" t="s">
        <v>6473</v>
      </c>
      <c r="G25" s="805"/>
      <c r="H25" s="749"/>
      <c r="I25" s="750"/>
      <c r="J25" s="747"/>
      <c r="K25" s="747" t="s">
        <v>565</v>
      </c>
      <c r="L25" s="747" t="s">
        <v>565</v>
      </c>
      <c r="M25" s="747"/>
      <c r="N25" s="751">
        <v>60</v>
      </c>
    </row>
    <row r="26" spans="2:15" ht="20.25" customHeight="1" x14ac:dyDescent="0.15">
      <c r="B26" s="802">
        <v>21</v>
      </c>
      <c r="C26" s="803" t="s">
        <v>6480</v>
      </c>
      <c r="D26" s="804" t="s">
        <v>4635</v>
      </c>
      <c r="E26" s="804" t="s">
        <v>4635</v>
      </c>
      <c r="F26" s="804" t="s">
        <v>6473</v>
      </c>
      <c r="G26" s="805"/>
      <c r="H26" s="749"/>
      <c r="I26" s="750"/>
      <c r="J26" s="747"/>
      <c r="K26" s="747" t="s">
        <v>565</v>
      </c>
      <c r="L26" s="747" t="s">
        <v>565</v>
      </c>
      <c r="M26" s="747"/>
      <c r="N26" s="751">
        <v>61</v>
      </c>
    </row>
    <row r="27" spans="2:15" ht="7.5" customHeight="1" x14ac:dyDescent="0.15">
      <c r="B27" s="723">
        <v>22</v>
      </c>
      <c r="C27" s="478"/>
      <c r="D27" s="478" t="s">
        <v>565</v>
      </c>
      <c r="E27" s="478" t="s">
        <v>565</v>
      </c>
      <c r="F27" s="478"/>
      <c r="G27" s="724"/>
      <c r="H27" s="725"/>
      <c r="I27" s="726"/>
      <c r="J27" s="478"/>
      <c r="K27" s="478" t="s">
        <v>565</v>
      </c>
      <c r="L27" s="478" t="s">
        <v>565</v>
      </c>
      <c r="M27" s="478"/>
      <c r="N27" s="727">
        <v>62</v>
      </c>
    </row>
    <row r="28" spans="2:15" x14ac:dyDescent="0.15">
      <c r="B28" s="981">
        <v>23</v>
      </c>
      <c r="C28" s="982" t="s">
        <v>6481</v>
      </c>
      <c r="D28" s="982" t="s">
        <v>4635</v>
      </c>
      <c r="E28" s="982" t="s">
        <v>4635</v>
      </c>
      <c r="F28" s="982" t="s">
        <v>6482</v>
      </c>
      <c r="G28" s="983"/>
      <c r="H28" s="725"/>
      <c r="I28" s="726"/>
      <c r="J28" s="478"/>
      <c r="K28" s="478" t="s">
        <v>565</v>
      </c>
      <c r="L28" s="478" t="s">
        <v>565</v>
      </c>
      <c r="M28" s="478"/>
      <c r="N28" s="727">
        <v>63</v>
      </c>
    </row>
    <row r="29" spans="2:15" ht="24" x14ac:dyDescent="0.15">
      <c r="B29" s="984">
        <v>24</v>
      </c>
      <c r="C29" s="982" t="s">
        <v>6483</v>
      </c>
      <c r="D29" s="982" t="s">
        <v>4635</v>
      </c>
      <c r="E29" s="982" t="s">
        <v>4635</v>
      </c>
      <c r="F29" s="985" t="s">
        <v>6482</v>
      </c>
      <c r="G29" s="986"/>
      <c r="H29" s="725"/>
      <c r="I29" s="726"/>
      <c r="J29" s="478"/>
      <c r="K29" s="478" t="s">
        <v>565</v>
      </c>
      <c r="L29" s="478" t="s">
        <v>565</v>
      </c>
      <c r="M29" s="478"/>
      <c r="N29" s="727">
        <v>64</v>
      </c>
    </row>
    <row r="30" spans="2:15" ht="7.5" customHeight="1" x14ac:dyDescent="0.15">
      <c r="B30" s="723">
        <v>25</v>
      </c>
      <c r="C30" s="478"/>
      <c r="D30" s="478" t="s">
        <v>565</v>
      </c>
      <c r="E30" s="478" t="s">
        <v>565</v>
      </c>
      <c r="F30" s="478"/>
      <c r="G30" s="724"/>
      <c r="H30" s="725"/>
      <c r="I30" s="726"/>
      <c r="J30" s="747"/>
      <c r="K30" s="747" t="s">
        <v>565</v>
      </c>
      <c r="L30" s="747" t="s">
        <v>565</v>
      </c>
      <c r="M30" s="478"/>
      <c r="N30" s="727">
        <v>65</v>
      </c>
    </row>
    <row r="31" spans="2:15" ht="7.5" customHeight="1" x14ac:dyDescent="0.15">
      <c r="B31" s="723">
        <v>26</v>
      </c>
      <c r="C31" s="478"/>
      <c r="D31" s="478" t="s">
        <v>565</v>
      </c>
      <c r="E31" s="478" t="s">
        <v>565</v>
      </c>
      <c r="F31" s="478"/>
      <c r="G31" s="724"/>
      <c r="H31" s="725"/>
      <c r="I31" s="726"/>
      <c r="J31" s="747"/>
      <c r="K31" s="747" t="s">
        <v>565</v>
      </c>
      <c r="L31" s="747" t="s">
        <v>565</v>
      </c>
      <c r="M31" s="478"/>
      <c r="N31" s="727">
        <v>66</v>
      </c>
    </row>
    <row r="32" spans="2:15" ht="7.5" customHeight="1" x14ac:dyDescent="0.15">
      <c r="B32" s="723">
        <v>27</v>
      </c>
      <c r="C32" s="478"/>
      <c r="D32" s="478" t="s">
        <v>565</v>
      </c>
      <c r="E32" s="478" t="s">
        <v>565</v>
      </c>
      <c r="F32" s="478"/>
      <c r="G32" s="724"/>
      <c r="H32" s="725"/>
      <c r="I32" s="726"/>
      <c r="J32" s="747"/>
      <c r="K32" s="747" t="s">
        <v>565</v>
      </c>
      <c r="L32" s="747" t="s">
        <v>565</v>
      </c>
      <c r="M32" s="478"/>
      <c r="N32" s="727">
        <v>67</v>
      </c>
    </row>
    <row r="33" spans="2:14" ht="7.5" customHeight="1" x14ac:dyDescent="0.15">
      <c r="B33" s="723">
        <v>28</v>
      </c>
      <c r="C33" s="478"/>
      <c r="D33" s="478" t="s">
        <v>565</v>
      </c>
      <c r="E33" s="478" t="s">
        <v>565</v>
      </c>
      <c r="F33" s="478"/>
      <c r="G33" s="724"/>
      <c r="H33" s="725"/>
      <c r="I33" s="726"/>
      <c r="J33" s="747"/>
      <c r="K33" s="747" t="s">
        <v>565</v>
      </c>
      <c r="L33" s="747" t="s">
        <v>565</v>
      </c>
      <c r="M33" s="478"/>
      <c r="N33" s="727">
        <v>68</v>
      </c>
    </row>
    <row r="34" spans="2:14" ht="7.5" customHeight="1" x14ac:dyDescent="0.15">
      <c r="B34" s="723">
        <v>29</v>
      </c>
      <c r="C34" s="478"/>
      <c r="D34" s="478" t="s">
        <v>565</v>
      </c>
      <c r="E34" s="478" t="s">
        <v>565</v>
      </c>
      <c r="F34" s="478"/>
      <c r="G34" s="724"/>
      <c r="H34" s="725"/>
      <c r="I34" s="726"/>
      <c r="J34" s="747"/>
      <c r="K34" s="747" t="s">
        <v>565</v>
      </c>
      <c r="L34" s="747" t="s">
        <v>565</v>
      </c>
      <c r="M34" s="478"/>
      <c r="N34" s="727">
        <v>69</v>
      </c>
    </row>
    <row r="35" spans="2:14" ht="7.5" customHeight="1" x14ac:dyDescent="0.15">
      <c r="B35" s="723">
        <v>30</v>
      </c>
      <c r="C35" s="478"/>
      <c r="D35" s="478" t="s">
        <v>565</v>
      </c>
      <c r="E35" s="478" t="s">
        <v>565</v>
      </c>
      <c r="F35" s="478"/>
      <c r="G35" s="724"/>
      <c r="H35" s="725"/>
      <c r="I35" s="726"/>
      <c r="J35" s="747"/>
      <c r="K35" s="747" t="s">
        <v>565</v>
      </c>
      <c r="L35" s="747" t="s">
        <v>565</v>
      </c>
      <c r="M35" s="478"/>
      <c r="N35" s="727">
        <v>70</v>
      </c>
    </row>
    <row r="36" spans="2:14" ht="7.5" customHeight="1" x14ac:dyDescent="0.15">
      <c r="B36" s="723">
        <v>31</v>
      </c>
      <c r="C36" s="478"/>
      <c r="D36" s="478" t="s">
        <v>565</v>
      </c>
      <c r="E36" s="478" t="s">
        <v>565</v>
      </c>
      <c r="F36" s="478"/>
      <c r="G36" s="724"/>
      <c r="H36" s="725"/>
      <c r="I36" s="726"/>
      <c r="J36" s="747"/>
      <c r="K36" s="747" t="s">
        <v>565</v>
      </c>
      <c r="L36" s="747" t="s">
        <v>565</v>
      </c>
      <c r="M36" s="478"/>
      <c r="N36" s="727">
        <v>71</v>
      </c>
    </row>
    <row r="37" spans="2:14" ht="7.5" customHeight="1" x14ac:dyDescent="0.15">
      <c r="B37" s="723">
        <v>32</v>
      </c>
      <c r="C37" s="478"/>
      <c r="D37" s="478" t="s">
        <v>565</v>
      </c>
      <c r="E37" s="478" t="s">
        <v>565</v>
      </c>
      <c r="F37" s="478"/>
      <c r="G37" s="724"/>
      <c r="H37" s="725"/>
      <c r="I37" s="726"/>
      <c r="J37" s="747"/>
      <c r="K37" s="747" t="s">
        <v>565</v>
      </c>
      <c r="L37" s="747" t="s">
        <v>565</v>
      </c>
      <c r="M37" s="478"/>
      <c r="N37" s="727">
        <v>72</v>
      </c>
    </row>
    <row r="38" spans="2:14" ht="7.5" customHeight="1" x14ac:dyDescent="0.15">
      <c r="B38" s="723">
        <v>33</v>
      </c>
      <c r="C38" s="478"/>
      <c r="D38" s="478" t="s">
        <v>565</v>
      </c>
      <c r="E38" s="478" t="s">
        <v>565</v>
      </c>
      <c r="F38" s="478"/>
      <c r="G38" s="724"/>
      <c r="H38" s="725"/>
      <c r="I38" s="726"/>
      <c r="J38" s="747"/>
      <c r="K38" s="747" t="s">
        <v>565</v>
      </c>
      <c r="L38" s="747" t="s">
        <v>565</v>
      </c>
      <c r="M38" s="478"/>
      <c r="N38" s="727">
        <v>73</v>
      </c>
    </row>
    <row r="39" spans="2:14" ht="7.5" customHeight="1" x14ac:dyDescent="0.15">
      <c r="B39" s="723">
        <v>34</v>
      </c>
      <c r="C39" s="478"/>
      <c r="D39" s="478" t="s">
        <v>565</v>
      </c>
      <c r="E39" s="478" t="s">
        <v>565</v>
      </c>
      <c r="F39" s="478"/>
      <c r="G39" s="724"/>
      <c r="H39" s="725"/>
      <c r="I39" s="726"/>
      <c r="J39" s="747"/>
      <c r="K39" s="747" t="s">
        <v>565</v>
      </c>
      <c r="L39" s="747" t="s">
        <v>565</v>
      </c>
      <c r="M39" s="478"/>
      <c r="N39" s="727">
        <v>74</v>
      </c>
    </row>
    <row r="40" spans="2:14" ht="7.5" customHeight="1" x14ac:dyDescent="0.15">
      <c r="B40" s="723">
        <v>35</v>
      </c>
      <c r="C40" s="478"/>
      <c r="D40" s="478" t="s">
        <v>565</v>
      </c>
      <c r="E40" s="478" t="s">
        <v>565</v>
      </c>
      <c r="F40" s="478"/>
      <c r="G40" s="724"/>
      <c r="H40" s="725"/>
      <c r="I40" s="726"/>
      <c r="J40" s="747"/>
      <c r="K40" s="747" t="s">
        <v>565</v>
      </c>
      <c r="L40" s="747" t="s">
        <v>565</v>
      </c>
      <c r="M40" s="478"/>
      <c r="N40" s="727">
        <v>75</v>
      </c>
    </row>
    <row r="41" spans="2:14" ht="7.5" customHeight="1" x14ac:dyDescent="0.15">
      <c r="B41" s="723">
        <v>36</v>
      </c>
      <c r="C41" s="478"/>
      <c r="D41" s="478" t="s">
        <v>565</v>
      </c>
      <c r="E41" s="478" t="s">
        <v>565</v>
      </c>
      <c r="F41" s="478"/>
      <c r="G41" s="724"/>
      <c r="H41" s="725"/>
      <c r="I41" s="726"/>
      <c r="J41" s="747"/>
      <c r="K41" s="747" t="s">
        <v>565</v>
      </c>
      <c r="L41" s="747" t="s">
        <v>565</v>
      </c>
      <c r="M41" s="478"/>
      <c r="N41" s="727">
        <v>76</v>
      </c>
    </row>
    <row r="42" spans="2:14" ht="7.5" customHeight="1" x14ac:dyDescent="0.15">
      <c r="B42" s="723">
        <v>37</v>
      </c>
      <c r="C42" s="478"/>
      <c r="D42" s="478" t="s">
        <v>565</v>
      </c>
      <c r="E42" s="478" t="s">
        <v>565</v>
      </c>
      <c r="F42" s="478"/>
      <c r="G42" s="724"/>
      <c r="H42" s="725"/>
      <c r="I42" s="726"/>
      <c r="J42" s="747"/>
      <c r="K42" s="747" t="s">
        <v>565</v>
      </c>
      <c r="L42" s="747" t="s">
        <v>565</v>
      </c>
      <c r="M42" s="478"/>
      <c r="N42" s="727">
        <v>77</v>
      </c>
    </row>
    <row r="43" spans="2:14" ht="7.5" customHeight="1" x14ac:dyDescent="0.15">
      <c r="B43" s="723">
        <v>38</v>
      </c>
      <c r="C43" s="478"/>
      <c r="D43" s="478" t="s">
        <v>565</v>
      </c>
      <c r="E43" s="478" t="s">
        <v>565</v>
      </c>
      <c r="F43" s="478"/>
      <c r="G43" s="724"/>
      <c r="H43" s="725"/>
      <c r="I43" s="726"/>
      <c r="J43" s="747"/>
      <c r="K43" s="747" t="s">
        <v>565</v>
      </c>
      <c r="L43" s="747" t="s">
        <v>565</v>
      </c>
      <c r="M43" s="478"/>
      <c r="N43" s="727">
        <v>78</v>
      </c>
    </row>
    <row r="44" spans="2:14" ht="7.5" customHeight="1" x14ac:dyDescent="0.15">
      <c r="B44" s="723">
        <v>39</v>
      </c>
      <c r="C44" s="478"/>
      <c r="D44" s="478" t="s">
        <v>565</v>
      </c>
      <c r="E44" s="478" t="s">
        <v>565</v>
      </c>
      <c r="F44" s="478"/>
      <c r="G44" s="724"/>
      <c r="H44" s="725"/>
      <c r="I44" s="726"/>
      <c r="J44" s="747"/>
      <c r="K44" s="747" t="s">
        <v>565</v>
      </c>
      <c r="L44" s="747" t="s">
        <v>565</v>
      </c>
      <c r="M44" s="478"/>
      <c r="N44" s="727">
        <v>79</v>
      </c>
    </row>
    <row r="45" spans="2:14" ht="7.5" customHeight="1" thickBot="1" x14ac:dyDescent="0.2">
      <c r="B45" s="728">
        <v>40</v>
      </c>
      <c r="C45" s="729"/>
      <c r="D45" s="729" t="s">
        <v>565</v>
      </c>
      <c r="E45" s="729" t="s">
        <v>565</v>
      </c>
      <c r="F45" s="729"/>
      <c r="G45" s="730"/>
      <c r="H45" s="731"/>
      <c r="I45" s="732"/>
      <c r="J45" s="729"/>
      <c r="K45" s="729" t="s">
        <v>565</v>
      </c>
      <c r="L45" s="729" t="s">
        <v>565</v>
      </c>
      <c r="M45" s="729"/>
      <c r="N45" s="733">
        <v>80</v>
      </c>
    </row>
    <row r="46" spans="2:14" ht="25.5" customHeight="1" x14ac:dyDescent="0.15">
      <c r="I46" s="495" t="s">
        <v>6484</v>
      </c>
      <c r="J46" s="734">
        <f>SUM(G6:G45,I6:I45)</f>
        <v>0</v>
      </c>
    </row>
    <row r="47" spans="2:14" ht="18.95" customHeight="1" x14ac:dyDescent="0.15"/>
    <row r="48" spans="2:14" ht="18.95" customHeight="1" x14ac:dyDescent="0.15">
      <c r="C48" s="716" t="s">
        <v>6485</v>
      </c>
      <c r="J48" s="495" t="s">
        <v>6437</v>
      </c>
      <c r="K48" s="494"/>
      <c r="L48" s="494"/>
      <c r="M48" s="495" t="s">
        <v>6438</v>
      </c>
    </row>
    <row r="49" spans="1:15" ht="18.95" customHeight="1" thickBot="1" x14ac:dyDescent="0.2">
      <c r="C49" s="716" t="s">
        <v>6486</v>
      </c>
    </row>
    <row r="50" spans="1:15" ht="22.5" customHeight="1" x14ac:dyDescent="0.15">
      <c r="B50" s="717" t="s">
        <v>6440</v>
      </c>
      <c r="C50" s="718" t="s">
        <v>4564</v>
      </c>
      <c r="D50" s="718" t="s">
        <v>6442</v>
      </c>
      <c r="E50" s="718" t="s">
        <v>6443</v>
      </c>
      <c r="F50" s="718" t="s">
        <v>6444</v>
      </c>
      <c r="G50" s="719" t="s">
        <v>6445</v>
      </c>
      <c r="H50" s="735"/>
      <c r="I50" s="721" t="s">
        <v>6445</v>
      </c>
      <c r="J50" s="718" t="s">
        <v>6444</v>
      </c>
      <c r="K50" s="718" t="s">
        <v>6442</v>
      </c>
      <c r="L50" s="718" t="s">
        <v>6443</v>
      </c>
      <c r="M50" s="718" t="s">
        <v>4564</v>
      </c>
      <c r="N50" s="722" t="s">
        <v>6440</v>
      </c>
    </row>
    <row r="51" spans="1:15" s="755" customFormat="1" ht="20.25" customHeight="1" x14ac:dyDescent="0.15">
      <c r="A51" s="754"/>
      <c r="B51" s="745">
        <v>1</v>
      </c>
      <c r="C51" s="747"/>
      <c r="D51" s="747" t="s">
        <v>565</v>
      </c>
      <c r="E51" s="747" t="s">
        <v>565</v>
      </c>
      <c r="F51" s="747"/>
      <c r="G51" s="748"/>
      <c r="H51" s="749"/>
      <c r="I51" s="811"/>
      <c r="J51" s="804" t="s">
        <v>6460</v>
      </c>
      <c r="K51" s="804" t="s">
        <v>4635</v>
      </c>
      <c r="L51" s="804" t="s">
        <v>4635</v>
      </c>
      <c r="M51" s="803" t="s">
        <v>6487</v>
      </c>
      <c r="N51" s="809">
        <v>41</v>
      </c>
    </row>
    <row r="52" spans="1:15" s="755" customFormat="1" ht="16.5" customHeight="1" x14ac:dyDescent="0.15">
      <c r="A52" s="754"/>
      <c r="B52" s="745">
        <v>2</v>
      </c>
      <c r="C52" s="746" t="s">
        <v>6488</v>
      </c>
      <c r="D52" s="747" t="s">
        <v>4635</v>
      </c>
      <c r="E52" s="747" t="s">
        <v>565</v>
      </c>
      <c r="F52" s="747"/>
      <c r="G52" s="748"/>
      <c r="H52" s="749"/>
      <c r="I52" s="750"/>
      <c r="J52" s="747"/>
      <c r="K52" s="747" t="s">
        <v>565</v>
      </c>
      <c r="L52" s="747" t="s">
        <v>565</v>
      </c>
      <c r="M52" s="747"/>
      <c r="N52" s="751">
        <v>42</v>
      </c>
    </row>
    <row r="53" spans="1:15" s="755" customFormat="1" ht="20.25" customHeight="1" x14ac:dyDescent="0.15">
      <c r="A53" s="754"/>
      <c r="B53" s="745">
        <v>3</v>
      </c>
      <c r="C53" s="746"/>
      <c r="D53" s="747" t="s">
        <v>565</v>
      </c>
      <c r="E53" s="747" t="s">
        <v>565</v>
      </c>
      <c r="F53" s="747"/>
      <c r="G53" s="748"/>
      <c r="H53" s="749"/>
      <c r="I53" s="750"/>
      <c r="J53" s="747"/>
      <c r="K53" s="747" t="s">
        <v>4635</v>
      </c>
      <c r="L53" s="747" t="s">
        <v>565</v>
      </c>
      <c r="M53" s="746" t="s">
        <v>6489</v>
      </c>
      <c r="N53" s="751">
        <v>43</v>
      </c>
    </row>
    <row r="54" spans="1:15" s="755" customFormat="1" ht="20.25" customHeight="1" x14ac:dyDescent="0.15">
      <c r="A54" s="754"/>
      <c r="B54" s="745">
        <v>4</v>
      </c>
      <c r="C54" s="746" t="s">
        <v>6490</v>
      </c>
      <c r="D54" s="747" t="s">
        <v>4635</v>
      </c>
      <c r="E54" s="747" t="s">
        <v>565</v>
      </c>
      <c r="F54" s="747"/>
      <c r="G54" s="748"/>
      <c r="H54" s="749"/>
      <c r="I54" s="750"/>
      <c r="J54" s="747"/>
      <c r="K54" s="747" t="s">
        <v>4635</v>
      </c>
      <c r="L54" s="747" t="s">
        <v>565</v>
      </c>
      <c r="M54" s="746" t="s">
        <v>6491</v>
      </c>
      <c r="N54" s="751">
        <v>44</v>
      </c>
    </row>
    <row r="55" spans="1:15" s="755" customFormat="1" ht="20.25" customHeight="1" x14ac:dyDescent="0.15">
      <c r="A55" s="754"/>
      <c r="B55" s="802">
        <v>5</v>
      </c>
      <c r="C55" s="803" t="s">
        <v>6492</v>
      </c>
      <c r="D55" s="804" t="s">
        <v>4635</v>
      </c>
      <c r="E55" s="804" t="s">
        <v>4635</v>
      </c>
      <c r="F55" s="804" t="s">
        <v>6450</v>
      </c>
      <c r="G55" s="806"/>
      <c r="H55" s="749"/>
      <c r="I55" s="750"/>
      <c r="J55" s="747"/>
      <c r="K55" s="747" t="s">
        <v>4635</v>
      </c>
      <c r="L55" s="747" t="s">
        <v>565</v>
      </c>
      <c r="M55" s="746" t="s">
        <v>6493</v>
      </c>
      <c r="N55" s="751">
        <v>45</v>
      </c>
    </row>
    <row r="56" spans="1:15" s="755" customFormat="1" ht="20.25" customHeight="1" x14ac:dyDescent="0.15">
      <c r="A56" s="754"/>
      <c r="B56" s="802">
        <v>6</v>
      </c>
      <c r="C56" s="803" t="s">
        <v>6494</v>
      </c>
      <c r="D56" s="804" t="s">
        <v>4635</v>
      </c>
      <c r="E56" s="804" t="s">
        <v>4635</v>
      </c>
      <c r="F56" s="804" t="s">
        <v>6450</v>
      </c>
      <c r="G56" s="806"/>
      <c r="H56" s="749"/>
      <c r="I56" s="750"/>
      <c r="J56" s="747"/>
      <c r="K56" s="747" t="s">
        <v>4635</v>
      </c>
      <c r="L56" s="747" t="s">
        <v>565</v>
      </c>
      <c r="M56" s="746" t="s">
        <v>6495</v>
      </c>
      <c r="N56" s="751">
        <v>46</v>
      </c>
    </row>
    <row r="57" spans="1:15" s="755" customFormat="1" ht="20.25" customHeight="1" x14ac:dyDescent="0.15">
      <c r="A57" s="754"/>
      <c r="B57" s="802">
        <v>7</v>
      </c>
      <c r="C57" s="803" t="s">
        <v>6496</v>
      </c>
      <c r="D57" s="804" t="s">
        <v>4635</v>
      </c>
      <c r="E57" s="804" t="s">
        <v>4635</v>
      </c>
      <c r="F57" s="804" t="s">
        <v>6460</v>
      </c>
      <c r="G57" s="805"/>
      <c r="H57" s="749"/>
      <c r="I57" s="810"/>
      <c r="J57" s="804" t="s">
        <v>6473</v>
      </c>
      <c r="K57" s="804" t="s">
        <v>4635</v>
      </c>
      <c r="L57" s="804" t="s">
        <v>4635</v>
      </c>
      <c r="M57" s="803" t="s">
        <v>6497</v>
      </c>
      <c r="N57" s="809">
        <v>47</v>
      </c>
      <c r="O57" s="755" t="s">
        <v>6498</v>
      </c>
    </row>
    <row r="58" spans="1:15" s="755" customFormat="1" ht="20.25" customHeight="1" x14ac:dyDescent="0.15">
      <c r="A58" s="754"/>
      <c r="B58" s="745">
        <v>8</v>
      </c>
      <c r="C58" s="756" t="s">
        <v>6499</v>
      </c>
      <c r="D58" s="747" t="s">
        <v>4635</v>
      </c>
      <c r="E58" s="747" t="s">
        <v>565</v>
      </c>
      <c r="F58" s="747"/>
      <c r="G58" s="748"/>
      <c r="H58" s="749"/>
      <c r="I58" s="750"/>
      <c r="J58" s="747"/>
      <c r="K58" s="747" t="s">
        <v>565</v>
      </c>
      <c r="L58" s="747" t="s">
        <v>565</v>
      </c>
      <c r="M58" s="747"/>
      <c r="N58" s="751">
        <v>48</v>
      </c>
    </row>
    <row r="59" spans="1:15" s="755" customFormat="1" ht="20.25" customHeight="1" x14ac:dyDescent="0.15">
      <c r="A59" s="754"/>
      <c r="B59" s="745">
        <v>9</v>
      </c>
      <c r="C59" s="746" t="s">
        <v>6500</v>
      </c>
      <c r="D59" s="747" t="s">
        <v>4635</v>
      </c>
      <c r="E59" s="747" t="s">
        <v>565</v>
      </c>
      <c r="F59" s="747"/>
      <c r="G59" s="748"/>
      <c r="H59" s="749"/>
      <c r="I59" s="750"/>
      <c r="J59" s="747"/>
      <c r="K59" s="747" t="s">
        <v>565</v>
      </c>
      <c r="L59" s="747" t="s">
        <v>565</v>
      </c>
      <c r="M59" s="747"/>
      <c r="N59" s="751">
        <v>49</v>
      </c>
    </row>
    <row r="60" spans="1:15" s="755" customFormat="1" ht="20.25" customHeight="1" x14ac:dyDescent="0.15">
      <c r="A60" s="754"/>
      <c r="B60" s="745">
        <v>10</v>
      </c>
      <c r="C60" s="746" t="s">
        <v>6501</v>
      </c>
      <c r="D60" s="747" t="s">
        <v>4635</v>
      </c>
      <c r="E60" s="747" t="s">
        <v>565</v>
      </c>
      <c r="F60" s="747"/>
      <c r="G60" s="748"/>
      <c r="H60" s="749"/>
      <c r="I60" s="750"/>
      <c r="J60" s="747"/>
      <c r="K60" s="747" t="s">
        <v>565</v>
      </c>
      <c r="L60" s="747" t="s">
        <v>565</v>
      </c>
      <c r="M60" s="747"/>
      <c r="N60" s="751">
        <v>50</v>
      </c>
    </row>
    <row r="61" spans="1:15" s="755" customFormat="1" ht="20.25" customHeight="1" x14ac:dyDescent="0.15">
      <c r="A61" s="754"/>
      <c r="B61" s="745">
        <v>11</v>
      </c>
      <c r="C61" s="746" t="s">
        <v>6502</v>
      </c>
      <c r="D61" s="747" t="s">
        <v>4635</v>
      </c>
      <c r="E61" s="747" t="s">
        <v>565</v>
      </c>
      <c r="F61" s="747"/>
      <c r="G61" s="748"/>
      <c r="H61" s="749"/>
      <c r="I61" s="811"/>
      <c r="J61" s="804" t="s">
        <v>6450</v>
      </c>
      <c r="K61" s="804" t="s">
        <v>4635</v>
      </c>
      <c r="L61" s="804" t="s">
        <v>4635</v>
      </c>
      <c r="M61" s="803" t="s">
        <v>6503</v>
      </c>
      <c r="N61" s="809">
        <v>51</v>
      </c>
    </row>
    <row r="62" spans="1:15" s="755" customFormat="1" ht="14.25" customHeight="1" x14ac:dyDescent="0.15">
      <c r="A62" s="754"/>
      <c r="B62" s="745">
        <v>12</v>
      </c>
      <c r="C62" s="746" t="s">
        <v>6504</v>
      </c>
      <c r="D62" s="747" t="s">
        <v>4635</v>
      </c>
      <c r="E62" s="747" t="s">
        <v>565</v>
      </c>
      <c r="F62" s="747"/>
      <c r="G62" s="748"/>
      <c r="H62" s="749"/>
      <c r="I62" s="757"/>
      <c r="J62" s="747"/>
      <c r="K62" s="747" t="s">
        <v>565</v>
      </c>
      <c r="L62" s="747" t="s">
        <v>565</v>
      </c>
      <c r="M62" s="746" t="s">
        <v>6505</v>
      </c>
      <c r="N62" s="751">
        <v>52</v>
      </c>
      <c r="O62" s="755" t="s">
        <v>6458</v>
      </c>
    </row>
    <row r="63" spans="1:15" s="755" customFormat="1" ht="20.25" customHeight="1" x14ac:dyDescent="0.15">
      <c r="A63" s="754" t="s">
        <v>6506</v>
      </c>
      <c r="B63" s="745">
        <v>13</v>
      </c>
      <c r="C63" s="756" t="s">
        <v>6507</v>
      </c>
      <c r="D63" s="747" t="s">
        <v>4635</v>
      </c>
      <c r="E63" s="747" t="s">
        <v>565</v>
      </c>
      <c r="F63" s="747"/>
      <c r="G63" s="758"/>
      <c r="H63" s="749"/>
      <c r="I63" s="750"/>
      <c r="J63" s="747"/>
      <c r="K63" s="747" t="s">
        <v>565</v>
      </c>
      <c r="L63" s="747" t="s">
        <v>565</v>
      </c>
      <c r="M63" s="746" t="s">
        <v>6508</v>
      </c>
      <c r="N63" s="751">
        <v>53</v>
      </c>
    </row>
    <row r="64" spans="1:15" s="755" customFormat="1" ht="20.25" customHeight="1" x14ac:dyDescent="0.15">
      <c r="A64" s="754"/>
      <c r="B64" s="802">
        <v>14</v>
      </c>
      <c r="C64" s="803" t="s">
        <v>6509</v>
      </c>
      <c r="D64" s="804" t="s">
        <v>4635</v>
      </c>
      <c r="E64" s="804" t="s">
        <v>4635</v>
      </c>
      <c r="F64" s="804" t="s">
        <v>6450</v>
      </c>
      <c r="G64" s="805"/>
      <c r="H64" s="749"/>
      <c r="I64" s="750"/>
      <c r="J64" s="747"/>
      <c r="K64" s="747" t="s">
        <v>565</v>
      </c>
      <c r="L64" s="747" t="s">
        <v>565</v>
      </c>
      <c r="M64" s="746" t="s">
        <v>6510</v>
      </c>
      <c r="N64" s="751">
        <v>54</v>
      </c>
    </row>
    <row r="65" spans="1:14" s="755" customFormat="1" ht="20.25" customHeight="1" x14ac:dyDescent="0.15">
      <c r="A65" s="754"/>
      <c r="B65" s="802">
        <v>15</v>
      </c>
      <c r="C65" s="803" t="s">
        <v>6511</v>
      </c>
      <c r="D65" s="804" t="s">
        <v>4635</v>
      </c>
      <c r="E65" s="804" t="s">
        <v>4635</v>
      </c>
      <c r="F65" s="804" t="s">
        <v>6450</v>
      </c>
      <c r="G65" s="806"/>
      <c r="H65" s="749"/>
      <c r="I65" s="750"/>
      <c r="J65" s="747"/>
      <c r="K65" s="747" t="s">
        <v>565</v>
      </c>
      <c r="L65" s="747" t="s">
        <v>565</v>
      </c>
      <c r="M65" s="746" t="s">
        <v>6512</v>
      </c>
      <c r="N65" s="751">
        <v>55</v>
      </c>
    </row>
    <row r="66" spans="1:14" s="755" customFormat="1" ht="20.25" customHeight="1" x14ac:dyDescent="0.15">
      <c r="A66" s="754"/>
      <c r="B66" s="802">
        <v>16</v>
      </c>
      <c r="C66" s="803" t="s">
        <v>6513</v>
      </c>
      <c r="D66" s="804" t="s">
        <v>4635</v>
      </c>
      <c r="E66" s="804" t="s">
        <v>4635</v>
      </c>
      <c r="F66" s="804" t="s">
        <v>6450</v>
      </c>
      <c r="G66" s="805"/>
      <c r="H66" s="749"/>
      <c r="I66" s="811"/>
      <c r="J66" s="804" t="s">
        <v>6473</v>
      </c>
      <c r="K66" s="804" t="s">
        <v>4635</v>
      </c>
      <c r="L66" s="804" t="s">
        <v>4635</v>
      </c>
      <c r="M66" s="803" t="s">
        <v>6514</v>
      </c>
      <c r="N66" s="809">
        <v>56</v>
      </c>
    </row>
    <row r="67" spans="1:14" s="755" customFormat="1" ht="20.25" customHeight="1" x14ac:dyDescent="0.15">
      <c r="A67" s="754"/>
      <c r="B67" s="802">
        <v>17</v>
      </c>
      <c r="C67" s="803" t="s">
        <v>6515</v>
      </c>
      <c r="D67" s="804" t="s">
        <v>4635</v>
      </c>
      <c r="E67" s="804" t="s">
        <v>4635</v>
      </c>
      <c r="F67" s="804" t="s">
        <v>6473</v>
      </c>
      <c r="G67" s="805"/>
      <c r="H67" s="749"/>
      <c r="I67" s="811"/>
      <c r="J67" s="804" t="s">
        <v>6473</v>
      </c>
      <c r="K67" s="804" t="s">
        <v>4635</v>
      </c>
      <c r="L67" s="804" t="s">
        <v>4635</v>
      </c>
      <c r="M67" s="803" t="s">
        <v>6516</v>
      </c>
      <c r="N67" s="809">
        <v>57</v>
      </c>
    </row>
    <row r="68" spans="1:14" s="755" customFormat="1" ht="20.25" customHeight="1" x14ac:dyDescent="0.15">
      <c r="A68" s="754"/>
      <c r="B68" s="802">
        <v>18</v>
      </c>
      <c r="C68" s="807" t="s">
        <v>6517</v>
      </c>
      <c r="D68" s="804" t="s">
        <v>4635</v>
      </c>
      <c r="E68" s="804" t="s">
        <v>4635</v>
      </c>
      <c r="F68" s="804" t="s">
        <v>6460</v>
      </c>
      <c r="G68" s="805"/>
      <c r="H68" s="749"/>
      <c r="I68" s="750"/>
      <c r="J68" s="747"/>
      <c r="K68" s="747" t="s">
        <v>565</v>
      </c>
      <c r="L68" s="747" t="s">
        <v>565</v>
      </c>
      <c r="M68" s="747"/>
      <c r="N68" s="751">
        <v>58</v>
      </c>
    </row>
    <row r="69" spans="1:14" s="755" customFormat="1" ht="20.25" customHeight="1" x14ac:dyDescent="0.15">
      <c r="A69" s="754"/>
      <c r="B69" s="802">
        <v>19</v>
      </c>
      <c r="C69" s="803" t="s">
        <v>6518</v>
      </c>
      <c r="D69" s="804" t="s">
        <v>4635</v>
      </c>
      <c r="E69" s="804" t="s">
        <v>4635</v>
      </c>
      <c r="F69" s="804" t="s">
        <v>6460</v>
      </c>
      <c r="G69" s="805"/>
      <c r="H69" s="749"/>
      <c r="I69" s="750"/>
      <c r="J69" s="747"/>
      <c r="K69" s="747" t="s">
        <v>565</v>
      </c>
      <c r="L69" s="747" t="s">
        <v>565</v>
      </c>
      <c r="M69" s="747"/>
      <c r="N69" s="751">
        <v>59</v>
      </c>
    </row>
    <row r="70" spans="1:14" s="755" customFormat="1" ht="20.25" customHeight="1" x14ac:dyDescent="0.15">
      <c r="A70" s="754"/>
      <c r="B70" s="802">
        <v>20</v>
      </c>
      <c r="C70" s="803" t="s">
        <v>6519</v>
      </c>
      <c r="D70" s="804" t="s">
        <v>4635</v>
      </c>
      <c r="E70" s="804" t="s">
        <v>4635</v>
      </c>
      <c r="F70" s="804" t="s">
        <v>6473</v>
      </c>
      <c r="G70" s="805"/>
      <c r="H70" s="749"/>
      <c r="I70" s="750"/>
      <c r="J70" s="747"/>
      <c r="K70" s="747" t="s">
        <v>565</v>
      </c>
      <c r="L70" s="747" t="s">
        <v>565</v>
      </c>
      <c r="M70" s="747"/>
      <c r="N70" s="751">
        <v>60</v>
      </c>
    </row>
    <row r="71" spans="1:14" s="755" customFormat="1" ht="20.25" customHeight="1" x14ac:dyDescent="0.15">
      <c r="A71" s="754"/>
      <c r="B71" s="802">
        <v>21</v>
      </c>
      <c r="C71" s="803" t="s">
        <v>6520</v>
      </c>
      <c r="D71" s="804" t="s">
        <v>4635</v>
      </c>
      <c r="E71" s="804" t="s">
        <v>4635</v>
      </c>
      <c r="F71" s="804" t="s">
        <v>6473</v>
      </c>
      <c r="G71" s="805"/>
      <c r="H71" s="749"/>
      <c r="I71" s="750"/>
      <c r="J71" s="747"/>
      <c r="K71" s="747" t="s">
        <v>565</v>
      </c>
      <c r="L71" s="747" t="s">
        <v>565</v>
      </c>
      <c r="M71" s="747"/>
      <c r="N71" s="751">
        <v>61</v>
      </c>
    </row>
    <row r="72" spans="1:14" ht="8.25" customHeight="1" x14ac:dyDescent="0.15">
      <c r="B72" s="723">
        <v>22</v>
      </c>
      <c r="C72" s="478"/>
      <c r="D72" s="478" t="s">
        <v>565</v>
      </c>
      <c r="E72" s="478" t="s">
        <v>565</v>
      </c>
      <c r="F72" s="478" t="s">
        <v>565</v>
      </c>
      <c r="G72" s="724"/>
      <c r="H72" s="725"/>
      <c r="I72" s="726"/>
      <c r="J72" s="478"/>
      <c r="K72" s="478" t="s">
        <v>565</v>
      </c>
      <c r="L72" s="478" t="s">
        <v>565</v>
      </c>
      <c r="M72" s="478"/>
      <c r="N72" s="727">
        <v>62</v>
      </c>
    </row>
    <row r="73" spans="1:14" x14ac:dyDescent="0.15">
      <c r="B73" s="984">
        <v>23</v>
      </c>
      <c r="C73" s="982" t="s">
        <v>6521</v>
      </c>
      <c r="D73" s="985" t="s">
        <v>4635</v>
      </c>
      <c r="E73" s="985" t="s">
        <v>4635</v>
      </c>
      <c r="F73" s="985" t="s">
        <v>6482</v>
      </c>
      <c r="G73" s="986"/>
      <c r="H73" s="725"/>
      <c r="I73" s="726"/>
      <c r="J73" s="478"/>
      <c r="K73" s="478" t="s">
        <v>565</v>
      </c>
      <c r="L73" s="478" t="s">
        <v>565</v>
      </c>
      <c r="M73" s="478"/>
      <c r="N73" s="727">
        <v>63</v>
      </c>
    </row>
    <row r="74" spans="1:14" ht="24" x14ac:dyDescent="0.15">
      <c r="B74" s="984">
        <v>24</v>
      </c>
      <c r="C74" s="982" t="s">
        <v>6522</v>
      </c>
      <c r="D74" s="982" t="s">
        <v>4635</v>
      </c>
      <c r="E74" s="982" t="s">
        <v>4635</v>
      </c>
      <c r="F74" s="985" t="s">
        <v>6482</v>
      </c>
      <c r="G74" s="986"/>
      <c r="H74" s="725"/>
      <c r="I74" s="726"/>
      <c r="J74" s="478"/>
      <c r="K74" s="478" t="s">
        <v>565</v>
      </c>
      <c r="L74" s="478" t="s">
        <v>565</v>
      </c>
      <c r="M74" s="478"/>
      <c r="N74" s="727">
        <v>64</v>
      </c>
    </row>
    <row r="75" spans="1:14" ht="8.25" customHeight="1" x14ac:dyDescent="0.15">
      <c r="B75" s="723">
        <v>25</v>
      </c>
      <c r="C75" s="478"/>
      <c r="D75" s="478" t="s">
        <v>565</v>
      </c>
      <c r="E75" s="478" t="s">
        <v>565</v>
      </c>
      <c r="F75" s="478"/>
      <c r="G75" s="724"/>
      <c r="H75" s="725"/>
      <c r="I75" s="726"/>
      <c r="J75" s="478"/>
      <c r="K75" s="478" t="s">
        <v>565</v>
      </c>
      <c r="L75" s="478" t="s">
        <v>565</v>
      </c>
      <c r="M75" s="478"/>
      <c r="N75" s="727">
        <v>65</v>
      </c>
    </row>
    <row r="76" spans="1:14" ht="8.25" customHeight="1" x14ac:dyDescent="0.15">
      <c r="B76" s="723">
        <v>26</v>
      </c>
      <c r="C76" s="478"/>
      <c r="D76" s="478" t="s">
        <v>565</v>
      </c>
      <c r="E76" s="478" t="s">
        <v>565</v>
      </c>
      <c r="F76" s="478"/>
      <c r="G76" s="724"/>
      <c r="H76" s="725"/>
      <c r="I76" s="726"/>
      <c r="J76" s="478"/>
      <c r="K76" s="478" t="s">
        <v>565</v>
      </c>
      <c r="L76" s="478" t="s">
        <v>565</v>
      </c>
      <c r="M76" s="478"/>
      <c r="N76" s="727">
        <v>66</v>
      </c>
    </row>
    <row r="77" spans="1:14" ht="8.25" customHeight="1" x14ac:dyDescent="0.15">
      <c r="B77" s="723">
        <v>27</v>
      </c>
      <c r="C77" s="478"/>
      <c r="D77" s="478" t="s">
        <v>565</v>
      </c>
      <c r="E77" s="478" t="s">
        <v>565</v>
      </c>
      <c r="F77" s="478"/>
      <c r="G77" s="724"/>
      <c r="H77" s="725"/>
      <c r="I77" s="726"/>
      <c r="J77" s="478"/>
      <c r="K77" s="478" t="s">
        <v>565</v>
      </c>
      <c r="L77" s="478" t="s">
        <v>565</v>
      </c>
      <c r="M77" s="478"/>
      <c r="N77" s="727">
        <v>67</v>
      </c>
    </row>
    <row r="78" spans="1:14" ht="8.25" customHeight="1" x14ac:dyDescent="0.15">
      <c r="B78" s="723">
        <v>28</v>
      </c>
      <c r="C78" s="478"/>
      <c r="D78" s="478" t="s">
        <v>565</v>
      </c>
      <c r="E78" s="478" t="s">
        <v>565</v>
      </c>
      <c r="F78" s="478"/>
      <c r="G78" s="724"/>
      <c r="H78" s="725"/>
      <c r="I78" s="726"/>
      <c r="J78" s="478"/>
      <c r="K78" s="478" t="s">
        <v>565</v>
      </c>
      <c r="L78" s="478" t="s">
        <v>565</v>
      </c>
      <c r="M78" s="478"/>
      <c r="N78" s="727">
        <v>68</v>
      </c>
    </row>
    <row r="79" spans="1:14" ht="8.25" customHeight="1" x14ac:dyDescent="0.15">
      <c r="B79" s="723">
        <v>29</v>
      </c>
      <c r="C79" s="478"/>
      <c r="D79" s="478" t="s">
        <v>565</v>
      </c>
      <c r="E79" s="478" t="s">
        <v>565</v>
      </c>
      <c r="F79" s="478"/>
      <c r="G79" s="724"/>
      <c r="H79" s="725"/>
      <c r="I79" s="726"/>
      <c r="J79" s="478"/>
      <c r="K79" s="478" t="s">
        <v>565</v>
      </c>
      <c r="L79" s="478" t="s">
        <v>565</v>
      </c>
      <c r="M79" s="478"/>
      <c r="N79" s="727">
        <v>69</v>
      </c>
    </row>
    <row r="80" spans="1:14" ht="8.25" customHeight="1" x14ac:dyDescent="0.15">
      <c r="B80" s="723">
        <v>30</v>
      </c>
      <c r="C80" s="478"/>
      <c r="D80" s="478" t="s">
        <v>565</v>
      </c>
      <c r="E80" s="478" t="s">
        <v>565</v>
      </c>
      <c r="F80" s="478"/>
      <c r="G80" s="724"/>
      <c r="H80" s="725"/>
      <c r="I80" s="726"/>
      <c r="J80" s="478"/>
      <c r="K80" s="478" t="s">
        <v>565</v>
      </c>
      <c r="L80" s="478" t="s">
        <v>565</v>
      </c>
      <c r="M80" s="478"/>
      <c r="N80" s="727">
        <v>70</v>
      </c>
    </row>
    <row r="81" spans="1:14" ht="8.25" customHeight="1" x14ac:dyDescent="0.15">
      <c r="B81" s="723">
        <v>31</v>
      </c>
      <c r="C81" s="478"/>
      <c r="D81" s="478" t="s">
        <v>565</v>
      </c>
      <c r="E81" s="478" t="s">
        <v>565</v>
      </c>
      <c r="F81" s="478"/>
      <c r="G81" s="724"/>
      <c r="H81" s="725"/>
      <c r="I81" s="726"/>
      <c r="J81" s="478"/>
      <c r="K81" s="478" t="s">
        <v>565</v>
      </c>
      <c r="L81" s="478" t="s">
        <v>565</v>
      </c>
      <c r="M81" s="478"/>
      <c r="N81" s="727">
        <v>71</v>
      </c>
    </row>
    <row r="82" spans="1:14" ht="8.25" customHeight="1" x14ac:dyDescent="0.15">
      <c r="B82" s="723">
        <v>32</v>
      </c>
      <c r="C82" s="478"/>
      <c r="D82" s="478" t="s">
        <v>565</v>
      </c>
      <c r="E82" s="478" t="s">
        <v>565</v>
      </c>
      <c r="F82" s="478"/>
      <c r="G82" s="724"/>
      <c r="H82" s="725"/>
      <c r="I82" s="726"/>
      <c r="J82" s="478"/>
      <c r="K82" s="478" t="s">
        <v>565</v>
      </c>
      <c r="L82" s="478" t="s">
        <v>565</v>
      </c>
      <c r="M82" s="478"/>
      <c r="N82" s="727">
        <v>72</v>
      </c>
    </row>
    <row r="83" spans="1:14" ht="8.25" customHeight="1" x14ac:dyDescent="0.15">
      <c r="B83" s="723">
        <v>33</v>
      </c>
      <c r="C83" s="478"/>
      <c r="D83" s="478" t="s">
        <v>565</v>
      </c>
      <c r="E83" s="478" t="s">
        <v>565</v>
      </c>
      <c r="F83" s="478"/>
      <c r="G83" s="724"/>
      <c r="H83" s="725"/>
      <c r="I83" s="726"/>
      <c r="J83" s="478"/>
      <c r="K83" s="478" t="s">
        <v>565</v>
      </c>
      <c r="L83" s="478" t="s">
        <v>565</v>
      </c>
      <c r="M83" s="478"/>
      <c r="N83" s="727">
        <v>73</v>
      </c>
    </row>
    <row r="84" spans="1:14" ht="8.25" customHeight="1" x14ac:dyDescent="0.15">
      <c r="B84" s="723">
        <v>34</v>
      </c>
      <c r="C84" s="478"/>
      <c r="D84" s="478" t="s">
        <v>565</v>
      </c>
      <c r="E84" s="478" t="s">
        <v>565</v>
      </c>
      <c r="F84" s="478"/>
      <c r="G84" s="724"/>
      <c r="H84" s="725"/>
      <c r="I84" s="726"/>
      <c r="J84" s="478"/>
      <c r="K84" s="478" t="s">
        <v>565</v>
      </c>
      <c r="L84" s="478" t="s">
        <v>565</v>
      </c>
      <c r="M84" s="478"/>
      <c r="N84" s="727">
        <v>74</v>
      </c>
    </row>
    <row r="85" spans="1:14" ht="8.25" customHeight="1" x14ac:dyDescent="0.15">
      <c r="B85" s="723">
        <v>35</v>
      </c>
      <c r="C85" s="478"/>
      <c r="D85" s="478" t="s">
        <v>565</v>
      </c>
      <c r="E85" s="478" t="s">
        <v>565</v>
      </c>
      <c r="F85" s="478"/>
      <c r="G85" s="724"/>
      <c r="H85" s="725"/>
      <c r="I85" s="726"/>
      <c r="J85" s="478"/>
      <c r="K85" s="478" t="s">
        <v>565</v>
      </c>
      <c r="L85" s="478" t="s">
        <v>565</v>
      </c>
      <c r="M85" s="478"/>
      <c r="N85" s="727">
        <v>75</v>
      </c>
    </row>
    <row r="86" spans="1:14" ht="8.25" customHeight="1" x14ac:dyDescent="0.15">
      <c r="B86" s="723">
        <v>36</v>
      </c>
      <c r="C86" s="478"/>
      <c r="D86" s="478" t="s">
        <v>565</v>
      </c>
      <c r="E86" s="478" t="s">
        <v>565</v>
      </c>
      <c r="F86" s="478"/>
      <c r="G86" s="724"/>
      <c r="H86" s="725"/>
      <c r="I86" s="726"/>
      <c r="J86" s="478"/>
      <c r="K86" s="478" t="s">
        <v>565</v>
      </c>
      <c r="L86" s="478" t="s">
        <v>565</v>
      </c>
      <c r="M86" s="478"/>
      <c r="N86" s="727">
        <v>76</v>
      </c>
    </row>
    <row r="87" spans="1:14" ht="8.25" customHeight="1" x14ac:dyDescent="0.15">
      <c r="B87" s="723">
        <v>37</v>
      </c>
      <c r="C87" s="478"/>
      <c r="D87" s="478" t="s">
        <v>565</v>
      </c>
      <c r="E87" s="478" t="s">
        <v>565</v>
      </c>
      <c r="F87" s="478"/>
      <c r="G87" s="724"/>
      <c r="H87" s="725"/>
      <c r="I87" s="726"/>
      <c r="J87" s="478"/>
      <c r="K87" s="478" t="s">
        <v>565</v>
      </c>
      <c r="L87" s="478" t="s">
        <v>565</v>
      </c>
      <c r="M87" s="478"/>
      <c r="N87" s="727">
        <v>77</v>
      </c>
    </row>
    <row r="88" spans="1:14" ht="8.25" customHeight="1" x14ac:dyDescent="0.15">
      <c r="B88" s="723">
        <v>38</v>
      </c>
      <c r="C88" s="478"/>
      <c r="D88" s="478" t="s">
        <v>565</v>
      </c>
      <c r="E88" s="478" t="s">
        <v>565</v>
      </c>
      <c r="F88" s="478"/>
      <c r="G88" s="724"/>
      <c r="H88" s="725"/>
      <c r="I88" s="726"/>
      <c r="J88" s="478"/>
      <c r="K88" s="478" t="s">
        <v>565</v>
      </c>
      <c r="L88" s="478" t="s">
        <v>565</v>
      </c>
      <c r="M88" s="478"/>
      <c r="N88" s="727">
        <v>78</v>
      </c>
    </row>
    <row r="89" spans="1:14" ht="8.25" customHeight="1" x14ac:dyDescent="0.15">
      <c r="B89" s="723">
        <v>39</v>
      </c>
      <c r="C89" s="478"/>
      <c r="D89" s="478" t="s">
        <v>565</v>
      </c>
      <c r="E89" s="478" t="s">
        <v>565</v>
      </c>
      <c r="F89" s="478"/>
      <c r="G89" s="724"/>
      <c r="H89" s="725"/>
      <c r="I89" s="726"/>
      <c r="J89" s="478"/>
      <c r="K89" s="478" t="s">
        <v>565</v>
      </c>
      <c r="L89" s="478" t="s">
        <v>565</v>
      </c>
      <c r="M89" s="478"/>
      <c r="N89" s="727">
        <v>79</v>
      </c>
    </row>
    <row r="90" spans="1:14" ht="8.25" customHeight="1" thickBot="1" x14ac:dyDescent="0.2">
      <c r="B90" s="728">
        <v>40</v>
      </c>
      <c r="C90" s="729"/>
      <c r="D90" s="729" t="s">
        <v>565</v>
      </c>
      <c r="E90" s="729" t="s">
        <v>565</v>
      </c>
      <c r="F90" s="729"/>
      <c r="G90" s="730"/>
      <c r="H90" s="731"/>
      <c r="I90" s="732"/>
      <c r="J90" s="729"/>
      <c r="K90" s="729" t="s">
        <v>565</v>
      </c>
      <c r="L90" s="729" t="s">
        <v>565</v>
      </c>
      <c r="M90" s="729"/>
      <c r="N90" s="733">
        <v>80</v>
      </c>
    </row>
    <row r="91" spans="1:14" ht="24.75" customHeight="1" x14ac:dyDescent="0.15">
      <c r="I91" s="495" t="s">
        <v>6484</v>
      </c>
      <c r="J91" s="734">
        <f>SUM(G51:G90,I51:I90)</f>
        <v>0</v>
      </c>
    </row>
    <row r="92" spans="1:14" ht="18.95" customHeight="1" x14ac:dyDescent="0.15"/>
    <row r="93" spans="1:14" ht="18.95" customHeight="1" x14ac:dyDescent="0.15">
      <c r="C93" s="716" t="s">
        <v>6523</v>
      </c>
      <c r="J93" s="495" t="s">
        <v>6437</v>
      </c>
      <c r="K93" s="494"/>
      <c r="L93" s="494"/>
      <c r="M93" s="495" t="s">
        <v>6438</v>
      </c>
    </row>
    <row r="94" spans="1:14" ht="18.95" customHeight="1" thickBot="1" x14ac:dyDescent="0.2">
      <c r="C94" s="716" t="s">
        <v>6524</v>
      </c>
    </row>
    <row r="95" spans="1:14" ht="25.5" customHeight="1" x14ac:dyDescent="0.15">
      <c r="B95" s="717" t="s">
        <v>6440</v>
      </c>
      <c r="C95" s="718" t="s">
        <v>4564</v>
      </c>
      <c r="D95" s="718" t="s">
        <v>6442</v>
      </c>
      <c r="E95" s="718" t="s">
        <v>6443</v>
      </c>
      <c r="F95" s="718" t="s">
        <v>6444</v>
      </c>
      <c r="G95" s="719" t="s">
        <v>6445</v>
      </c>
      <c r="H95" s="735"/>
      <c r="I95" s="721" t="s">
        <v>6445</v>
      </c>
      <c r="J95" s="718" t="s">
        <v>6444</v>
      </c>
      <c r="K95" s="718" t="s">
        <v>6442</v>
      </c>
      <c r="L95" s="718" t="s">
        <v>6443</v>
      </c>
      <c r="M95" s="718" t="s">
        <v>4564</v>
      </c>
      <c r="N95" s="722" t="s">
        <v>6440</v>
      </c>
    </row>
    <row r="96" spans="1:14" s="755" customFormat="1" ht="11.25" customHeight="1" x14ac:dyDescent="0.15">
      <c r="A96" s="754"/>
      <c r="B96" s="745">
        <v>1</v>
      </c>
      <c r="C96" s="747"/>
      <c r="D96" s="747" t="s">
        <v>565</v>
      </c>
      <c r="E96" s="747" t="s">
        <v>565</v>
      </c>
      <c r="F96" s="747"/>
      <c r="G96" s="748"/>
      <c r="H96" s="749"/>
      <c r="I96" s="750"/>
      <c r="J96" s="747"/>
      <c r="K96" s="747" t="s">
        <v>565</v>
      </c>
      <c r="L96" s="747" t="s">
        <v>565</v>
      </c>
      <c r="M96" s="746"/>
      <c r="N96" s="751">
        <v>41</v>
      </c>
    </row>
    <row r="97" spans="1:15" s="755" customFormat="1" ht="11.25" customHeight="1" x14ac:dyDescent="0.15">
      <c r="A97" s="754" t="s">
        <v>6525</v>
      </c>
      <c r="B97" s="745">
        <v>2</v>
      </c>
      <c r="C97" s="756" t="s">
        <v>6526</v>
      </c>
      <c r="D97" s="747" t="s">
        <v>565</v>
      </c>
      <c r="E97" s="747" t="s">
        <v>565</v>
      </c>
      <c r="F97" s="747"/>
      <c r="G97" s="748"/>
      <c r="H97" s="749"/>
      <c r="I97" s="752"/>
      <c r="J97" s="747"/>
      <c r="K97" s="747" t="s">
        <v>565</v>
      </c>
      <c r="L97" s="747" t="s">
        <v>565</v>
      </c>
      <c r="M97" s="746"/>
      <c r="N97" s="751">
        <v>42</v>
      </c>
      <c r="O97" s="755" t="s">
        <v>6527</v>
      </c>
    </row>
    <row r="98" spans="1:15" s="755" customFormat="1" ht="11.25" customHeight="1" x14ac:dyDescent="0.15">
      <c r="A98" s="754"/>
      <c r="B98" s="745">
        <v>3</v>
      </c>
      <c r="C98" s="746" t="s">
        <v>6528</v>
      </c>
      <c r="D98" s="747" t="s">
        <v>565</v>
      </c>
      <c r="E98" s="747" t="s">
        <v>565</v>
      </c>
      <c r="F98" s="747"/>
      <c r="G98" s="748"/>
      <c r="H98" s="749"/>
      <c r="I98" s="759"/>
      <c r="J98" s="760"/>
      <c r="K98" s="760" t="s">
        <v>565</v>
      </c>
      <c r="L98" s="760" t="s">
        <v>565</v>
      </c>
      <c r="M98" s="761"/>
      <c r="N98" s="762">
        <v>43</v>
      </c>
    </row>
    <row r="99" spans="1:15" s="755" customFormat="1" ht="20.25" customHeight="1" x14ac:dyDescent="0.15">
      <c r="A99" s="754"/>
      <c r="B99" s="745">
        <v>4</v>
      </c>
      <c r="C99" s="746" t="s">
        <v>6529</v>
      </c>
      <c r="D99" s="747" t="s">
        <v>565</v>
      </c>
      <c r="E99" s="747" t="s">
        <v>565</v>
      </c>
      <c r="F99" s="747"/>
      <c r="G99" s="748"/>
      <c r="H99" s="749"/>
      <c r="I99" s="811"/>
      <c r="J99" s="804" t="s">
        <v>6530</v>
      </c>
      <c r="K99" s="804" t="s">
        <v>4635</v>
      </c>
      <c r="L99" s="804" t="s">
        <v>4635</v>
      </c>
      <c r="M99" s="803" t="s">
        <v>6531</v>
      </c>
      <c r="N99" s="809">
        <v>44</v>
      </c>
    </row>
    <row r="100" spans="1:15" s="755" customFormat="1" ht="15.75" customHeight="1" x14ac:dyDescent="0.15">
      <c r="A100" s="754"/>
      <c r="B100" s="745">
        <v>5</v>
      </c>
      <c r="C100" s="746" t="s">
        <v>6532</v>
      </c>
      <c r="D100" s="747" t="s">
        <v>565</v>
      </c>
      <c r="E100" s="747" t="s">
        <v>565</v>
      </c>
      <c r="F100" s="747"/>
      <c r="G100" s="748"/>
      <c r="H100" s="749"/>
      <c r="I100" s="750"/>
      <c r="J100" s="747"/>
      <c r="K100" s="747" t="s">
        <v>565</v>
      </c>
      <c r="L100" s="747" t="s">
        <v>565</v>
      </c>
      <c r="M100" s="747"/>
      <c r="N100" s="751">
        <v>45</v>
      </c>
    </row>
    <row r="101" spans="1:15" s="755" customFormat="1" ht="15.75" customHeight="1" x14ac:dyDescent="0.15">
      <c r="A101" s="754" t="s">
        <v>6525</v>
      </c>
      <c r="B101" s="745">
        <v>6</v>
      </c>
      <c r="C101" s="756" t="s">
        <v>6533</v>
      </c>
      <c r="D101" s="747" t="s">
        <v>565</v>
      </c>
      <c r="E101" s="747" t="s">
        <v>565</v>
      </c>
      <c r="F101" s="747"/>
      <c r="G101" s="748"/>
      <c r="H101" s="749"/>
      <c r="I101" s="750"/>
      <c r="J101" s="747"/>
      <c r="K101" s="747" t="s">
        <v>565</v>
      </c>
      <c r="L101" s="747" t="s">
        <v>565</v>
      </c>
      <c r="M101" s="747"/>
      <c r="N101" s="751">
        <v>46</v>
      </c>
    </row>
    <row r="102" spans="1:15" s="755" customFormat="1" ht="20.25" customHeight="1" x14ac:dyDescent="0.15">
      <c r="A102" s="754"/>
      <c r="B102" s="812">
        <v>7</v>
      </c>
      <c r="C102" s="813" t="s">
        <v>6534</v>
      </c>
      <c r="D102" s="814" t="s">
        <v>4635</v>
      </c>
      <c r="E102" s="814" t="s">
        <v>4635</v>
      </c>
      <c r="F102" s="814" t="s">
        <v>6473</v>
      </c>
      <c r="G102" s="815"/>
      <c r="H102" s="749"/>
      <c r="I102" s="811"/>
      <c r="J102" s="804" t="s">
        <v>6450</v>
      </c>
      <c r="K102" s="804" t="s">
        <v>4635</v>
      </c>
      <c r="L102" s="804" t="s">
        <v>4635</v>
      </c>
      <c r="M102" s="803" t="s">
        <v>6535</v>
      </c>
      <c r="N102" s="809">
        <v>47</v>
      </c>
    </row>
    <row r="103" spans="1:15" s="755" customFormat="1" ht="20.25" customHeight="1" x14ac:dyDescent="0.15">
      <c r="A103" s="754" t="s">
        <v>6525</v>
      </c>
      <c r="B103" s="745">
        <v>8</v>
      </c>
      <c r="C103" s="756"/>
      <c r="D103" s="747" t="s">
        <v>565</v>
      </c>
      <c r="E103" s="747" t="s">
        <v>565</v>
      </c>
      <c r="F103" s="747"/>
      <c r="G103" s="748"/>
      <c r="H103" s="749"/>
      <c r="I103" s="811"/>
      <c r="J103" s="804" t="s">
        <v>6473</v>
      </c>
      <c r="K103" s="804" t="s">
        <v>4635</v>
      </c>
      <c r="L103" s="804" t="s">
        <v>4635</v>
      </c>
      <c r="M103" s="803" t="s">
        <v>6536</v>
      </c>
      <c r="N103" s="809">
        <v>48</v>
      </c>
    </row>
    <row r="104" spans="1:15" s="755" customFormat="1" ht="20.25" customHeight="1" x14ac:dyDescent="0.15">
      <c r="A104" s="754" t="s">
        <v>6525</v>
      </c>
      <c r="B104" s="745">
        <v>9</v>
      </c>
      <c r="C104" s="756"/>
      <c r="D104" s="747" t="s">
        <v>565</v>
      </c>
      <c r="E104" s="747" t="s">
        <v>565</v>
      </c>
      <c r="F104" s="747"/>
      <c r="G104" s="748"/>
      <c r="H104" s="749"/>
      <c r="I104" s="811"/>
      <c r="J104" s="804" t="s">
        <v>6450</v>
      </c>
      <c r="K104" s="804" t="s">
        <v>4635</v>
      </c>
      <c r="L104" s="804" t="s">
        <v>4635</v>
      </c>
      <c r="M104" s="803" t="s">
        <v>6537</v>
      </c>
      <c r="N104" s="809">
        <v>49</v>
      </c>
    </row>
    <row r="105" spans="1:15" s="755" customFormat="1" ht="20.25" customHeight="1" x14ac:dyDescent="0.15">
      <c r="A105" s="754"/>
      <c r="B105" s="802">
        <v>10</v>
      </c>
      <c r="C105" s="803" t="s">
        <v>6538</v>
      </c>
      <c r="D105" s="804" t="s">
        <v>4635</v>
      </c>
      <c r="E105" s="804" t="s">
        <v>4635</v>
      </c>
      <c r="F105" s="804" t="s">
        <v>6450</v>
      </c>
      <c r="G105" s="805"/>
      <c r="H105" s="749"/>
      <c r="I105" s="750"/>
      <c r="J105" s="747"/>
      <c r="K105" s="747" t="s">
        <v>565</v>
      </c>
      <c r="L105" s="747" t="s">
        <v>565</v>
      </c>
      <c r="M105" s="747"/>
      <c r="N105" s="751">
        <v>50</v>
      </c>
    </row>
    <row r="106" spans="1:15" s="755" customFormat="1" ht="20.25" customHeight="1" x14ac:dyDescent="0.15">
      <c r="A106" s="754" t="s">
        <v>6525</v>
      </c>
      <c r="B106" s="745">
        <v>11</v>
      </c>
      <c r="C106" s="756"/>
      <c r="D106" s="747" t="s">
        <v>565</v>
      </c>
      <c r="E106" s="747" t="s">
        <v>565</v>
      </c>
      <c r="F106" s="747"/>
      <c r="G106" s="748"/>
      <c r="H106" s="749"/>
      <c r="I106" s="750"/>
      <c r="J106" s="747"/>
      <c r="K106" s="747" t="s">
        <v>565</v>
      </c>
      <c r="L106" s="747" t="s">
        <v>565</v>
      </c>
      <c r="M106" s="746"/>
      <c r="N106" s="751">
        <v>51</v>
      </c>
      <c r="O106" s="755" t="s">
        <v>6539</v>
      </c>
    </row>
    <row r="107" spans="1:15" s="755" customFormat="1" ht="20.25" customHeight="1" x14ac:dyDescent="0.15">
      <c r="A107" s="754"/>
      <c r="B107" s="802">
        <v>12</v>
      </c>
      <c r="C107" s="803" t="s">
        <v>6540</v>
      </c>
      <c r="D107" s="804" t="s">
        <v>4635</v>
      </c>
      <c r="E107" s="804" t="s">
        <v>4635</v>
      </c>
      <c r="F107" s="804" t="s">
        <v>6473</v>
      </c>
      <c r="G107" s="805"/>
      <c r="H107" s="749"/>
      <c r="I107" s="808"/>
      <c r="J107" s="804" t="s">
        <v>6450</v>
      </c>
      <c r="K107" s="804" t="s">
        <v>4635</v>
      </c>
      <c r="L107" s="804" t="s">
        <v>4635</v>
      </c>
      <c r="M107" s="803" t="s">
        <v>6541</v>
      </c>
      <c r="N107" s="809">
        <v>52</v>
      </c>
    </row>
    <row r="108" spans="1:15" s="755" customFormat="1" ht="20.25" customHeight="1" x14ac:dyDescent="0.15">
      <c r="A108" s="754"/>
      <c r="B108" s="745">
        <v>13</v>
      </c>
      <c r="C108" s="784"/>
      <c r="D108" s="747" t="s">
        <v>6542</v>
      </c>
      <c r="E108" s="747" t="s">
        <v>6542</v>
      </c>
      <c r="F108" s="747"/>
      <c r="G108" s="748"/>
      <c r="H108" s="749"/>
      <c r="I108" s="808"/>
      <c r="J108" s="804" t="s">
        <v>6450</v>
      </c>
      <c r="K108" s="804" t="s">
        <v>4635</v>
      </c>
      <c r="L108" s="804" t="s">
        <v>4635</v>
      </c>
      <c r="M108" s="803" t="s">
        <v>6543</v>
      </c>
      <c r="N108" s="809">
        <v>53</v>
      </c>
    </row>
    <row r="109" spans="1:15" s="755" customFormat="1" ht="20.25" customHeight="1" x14ac:dyDescent="0.15">
      <c r="A109" s="754" t="s">
        <v>6525</v>
      </c>
      <c r="B109" s="745">
        <v>14</v>
      </c>
      <c r="C109" s="756"/>
      <c r="D109" s="747" t="s">
        <v>565</v>
      </c>
      <c r="E109" s="747" t="s">
        <v>565</v>
      </c>
      <c r="F109" s="747"/>
      <c r="G109" s="748"/>
      <c r="H109" s="749"/>
      <c r="I109" s="811"/>
      <c r="J109" s="804" t="s">
        <v>6450</v>
      </c>
      <c r="K109" s="804" t="s">
        <v>4635</v>
      </c>
      <c r="L109" s="804" t="s">
        <v>4635</v>
      </c>
      <c r="M109" s="803" t="s">
        <v>6544</v>
      </c>
      <c r="N109" s="809">
        <v>54</v>
      </c>
    </row>
    <row r="110" spans="1:15" s="755" customFormat="1" ht="20.25" customHeight="1" x14ac:dyDescent="0.15">
      <c r="A110" s="754" t="s">
        <v>6545</v>
      </c>
      <c r="B110" s="745">
        <v>15</v>
      </c>
      <c r="C110" s="756"/>
      <c r="D110" s="747" t="s">
        <v>565</v>
      </c>
      <c r="E110" s="747" t="s">
        <v>565</v>
      </c>
      <c r="F110" s="747"/>
      <c r="G110" s="758"/>
      <c r="H110" s="749"/>
      <c r="I110" s="811"/>
      <c r="J110" s="804" t="s">
        <v>6450</v>
      </c>
      <c r="K110" s="804" t="s">
        <v>4635</v>
      </c>
      <c r="L110" s="804" t="s">
        <v>4635</v>
      </c>
      <c r="M110" s="803" t="s">
        <v>6546</v>
      </c>
      <c r="N110" s="809">
        <v>55</v>
      </c>
    </row>
    <row r="111" spans="1:15" s="755" customFormat="1" ht="20.25" customHeight="1" x14ac:dyDescent="0.15">
      <c r="A111" s="754"/>
      <c r="B111" s="745">
        <v>16</v>
      </c>
      <c r="C111" s="746"/>
      <c r="D111" s="747" t="s">
        <v>565</v>
      </c>
      <c r="E111" s="747" t="s">
        <v>565</v>
      </c>
      <c r="F111" s="747"/>
      <c r="G111" s="763"/>
      <c r="H111" s="749"/>
      <c r="I111" s="811"/>
      <c r="J111" s="804" t="s">
        <v>6450</v>
      </c>
      <c r="K111" s="804" t="s">
        <v>4635</v>
      </c>
      <c r="L111" s="804" t="s">
        <v>4635</v>
      </c>
      <c r="M111" s="803" t="s">
        <v>6547</v>
      </c>
      <c r="N111" s="809">
        <v>56</v>
      </c>
    </row>
    <row r="112" spans="1:15" s="755" customFormat="1" ht="20.25" customHeight="1" x14ac:dyDescent="0.15">
      <c r="A112" s="754"/>
      <c r="B112" s="745">
        <v>17</v>
      </c>
      <c r="C112" s="746"/>
      <c r="D112" s="747" t="s">
        <v>565</v>
      </c>
      <c r="E112" s="747" t="s">
        <v>565</v>
      </c>
      <c r="F112" s="747"/>
      <c r="G112" s="763"/>
      <c r="H112" s="749"/>
      <c r="I112" s="811"/>
      <c r="J112" s="804" t="s">
        <v>6450</v>
      </c>
      <c r="K112" s="804" t="s">
        <v>4635</v>
      </c>
      <c r="L112" s="804" t="s">
        <v>4635</v>
      </c>
      <c r="M112" s="803" t="s">
        <v>6548</v>
      </c>
      <c r="N112" s="809">
        <v>57</v>
      </c>
    </row>
    <row r="113" spans="1:14" s="755" customFormat="1" ht="20.25" customHeight="1" x14ac:dyDescent="0.15">
      <c r="A113" s="754"/>
      <c r="B113" s="745">
        <v>18</v>
      </c>
      <c r="C113" s="746"/>
      <c r="D113" s="747" t="s">
        <v>565</v>
      </c>
      <c r="E113" s="747" t="s">
        <v>565</v>
      </c>
      <c r="F113" s="747"/>
      <c r="G113" s="763"/>
      <c r="H113" s="749"/>
      <c r="I113" s="811"/>
      <c r="J113" s="804" t="s">
        <v>6450</v>
      </c>
      <c r="K113" s="804" t="s">
        <v>4635</v>
      </c>
      <c r="L113" s="804" t="s">
        <v>4635</v>
      </c>
      <c r="M113" s="803" t="s">
        <v>6549</v>
      </c>
      <c r="N113" s="809">
        <v>58</v>
      </c>
    </row>
    <row r="114" spans="1:14" s="755" customFormat="1" ht="20.25" customHeight="1" x14ac:dyDescent="0.15">
      <c r="A114" s="754" t="s">
        <v>6525</v>
      </c>
      <c r="B114" s="745">
        <v>19</v>
      </c>
      <c r="C114" s="746"/>
      <c r="D114" s="747" t="s">
        <v>565</v>
      </c>
      <c r="E114" s="747" t="s">
        <v>565</v>
      </c>
      <c r="F114" s="747"/>
      <c r="G114" s="763"/>
      <c r="H114" s="749"/>
      <c r="I114" s="811"/>
      <c r="J114" s="804" t="s">
        <v>6450</v>
      </c>
      <c r="K114" s="804" t="s">
        <v>4635</v>
      </c>
      <c r="L114" s="804" t="s">
        <v>4635</v>
      </c>
      <c r="M114" s="803" t="s">
        <v>6550</v>
      </c>
      <c r="N114" s="809">
        <v>59</v>
      </c>
    </row>
    <row r="115" spans="1:14" s="755" customFormat="1" ht="20.25" customHeight="1" x14ac:dyDescent="0.15">
      <c r="A115" s="754" t="s">
        <v>6525</v>
      </c>
      <c r="B115" s="745">
        <v>20</v>
      </c>
      <c r="C115" s="746"/>
      <c r="D115" s="747" t="s">
        <v>565</v>
      </c>
      <c r="E115" s="747" t="s">
        <v>565</v>
      </c>
      <c r="F115" s="747"/>
      <c r="G115" s="763"/>
      <c r="H115" s="749"/>
      <c r="I115" s="811"/>
      <c r="J115" s="804" t="s">
        <v>6450</v>
      </c>
      <c r="K115" s="804" t="s">
        <v>4635</v>
      </c>
      <c r="L115" s="804" t="s">
        <v>4635</v>
      </c>
      <c r="M115" s="803" t="s">
        <v>6551</v>
      </c>
      <c r="N115" s="809">
        <v>60</v>
      </c>
    </row>
    <row r="116" spans="1:14" s="755" customFormat="1" ht="20.25" customHeight="1" x14ac:dyDescent="0.15">
      <c r="A116" s="754" t="s">
        <v>6545</v>
      </c>
      <c r="B116" s="745">
        <v>21</v>
      </c>
      <c r="C116" s="756"/>
      <c r="D116" s="747" t="s">
        <v>565</v>
      </c>
      <c r="E116" s="747" t="s">
        <v>565</v>
      </c>
      <c r="F116" s="747"/>
      <c r="G116" s="748"/>
      <c r="H116" s="749"/>
      <c r="I116" s="811"/>
      <c r="J116" s="804" t="s">
        <v>6450</v>
      </c>
      <c r="K116" s="804" t="s">
        <v>4635</v>
      </c>
      <c r="L116" s="804" t="s">
        <v>4635</v>
      </c>
      <c r="M116" s="803" t="s">
        <v>6552</v>
      </c>
      <c r="N116" s="809">
        <v>61</v>
      </c>
    </row>
    <row r="117" spans="1:14" s="755" customFormat="1" ht="20.25" customHeight="1" x14ac:dyDescent="0.15">
      <c r="A117" s="754"/>
      <c r="B117" s="802">
        <v>22</v>
      </c>
      <c r="C117" s="807" t="s">
        <v>6553</v>
      </c>
      <c r="D117" s="804" t="s">
        <v>4635</v>
      </c>
      <c r="E117" s="804" t="s">
        <v>4635</v>
      </c>
      <c r="F117" s="804" t="s">
        <v>6473</v>
      </c>
      <c r="G117" s="805"/>
      <c r="H117" s="749"/>
      <c r="I117" s="811"/>
      <c r="J117" s="804" t="s">
        <v>6450</v>
      </c>
      <c r="K117" s="804" t="s">
        <v>4635</v>
      </c>
      <c r="L117" s="804" t="s">
        <v>4635</v>
      </c>
      <c r="M117" s="803" t="s">
        <v>6554</v>
      </c>
      <c r="N117" s="809">
        <v>62</v>
      </c>
    </row>
    <row r="118" spans="1:14" s="755" customFormat="1" ht="20.25" customHeight="1" x14ac:dyDescent="0.15">
      <c r="A118" s="754"/>
      <c r="B118" s="802">
        <v>23</v>
      </c>
      <c r="C118" s="807" t="s">
        <v>6555</v>
      </c>
      <c r="D118" s="804" t="s">
        <v>4635</v>
      </c>
      <c r="E118" s="804" t="s">
        <v>4635</v>
      </c>
      <c r="F118" s="804" t="s">
        <v>6473</v>
      </c>
      <c r="G118" s="805"/>
      <c r="H118" s="749"/>
      <c r="I118" s="811"/>
      <c r="J118" s="804" t="s">
        <v>6450</v>
      </c>
      <c r="K118" s="804" t="s">
        <v>4635</v>
      </c>
      <c r="L118" s="804" t="s">
        <v>4635</v>
      </c>
      <c r="M118" s="803" t="s">
        <v>6556</v>
      </c>
      <c r="N118" s="809">
        <v>63</v>
      </c>
    </row>
    <row r="119" spans="1:14" s="755" customFormat="1" ht="20.25" customHeight="1" x14ac:dyDescent="0.15">
      <c r="A119" s="754"/>
      <c r="B119" s="745">
        <v>24</v>
      </c>
      <c r="C119" s="747"/>
      <c r="D119" s="747" t="s">
        <v>565</v>
      </c>
      <c r="E119" s="747" t="s">
        <v>565</v>
      </c>
      <c r="F119" s="747"/>
      <c r="G119" s="748"/>
      <c r="H119" s="749"/>
      <c r="I119" s="811"/>
      <c r="J119" s="804" t="s">
        <v>6473</v>
      </c>
      <c r="K119" s="804" t="s">
        <v>4635</v>
      </c>
      <c r="L119" s="804" t="s">
        <v>4635</v>
      </c>
      <c r="M119" s="803" t="s">
        <v>6557</v>
      </c>
      <c r="N119" s="809">
        <v>64</v>
      </c>
    </row>
    <row r="120" spans="1:14" s="755" customFormat="1" ht="20.25" customHeight="1" x14ac:dyDescent="0.15">
      <c r="A120" s="754"/>
      <c r="B120" s="745">
        <v>25</v>
      </c>
      <c r="C120" s="747"/>
      <c r="D120" s="747" t="s">
        <v>565</v>
      </c>
      <c r="E120" s="747" t="s">
        <v>565</v>
      </c>
      <c r="F120" s="747"/>
      <c r="G120" s="748"/>
      <c r="H120" s="749"/>
      <c r="I120" s="811"/>
      <c r="J120" s="804" t="s">
        <v>6450</v>
      </c>
      <c r="K120" s="804" t="s">
        <v>4635</v>
      </c>
      <c r="L120" s="804" t="s">
        <v>4635</v>
      </c>
      <c r="M120" s="803" t="s">
        <v>6558</v>
      </c>
      <c r="N120" s="809">
        <v>65</v>
      </c>
    </row>
    <row r="121" spans="1:14" s="755" customFormat="1" ht="20.25" customHeight="1" x14ac:dyDescent="0.15">
      <c r="A121" s="754"/>
      <c r="B121" s="745">
        <v>26</v>
      </c>
      <c r="C121" s="747"/>
      <c r="D121" s="747" t="s">
        <v>565</v>
      </c>
      <c r="E121" s="747" t="s">
        <v>565</v>
      </c>
      <c r="F121" s="747"/>
      <c r="G121" s="748"/>
      <c r="H121" s="749"/>
      <c r="I121" s="811"/>
      <c r="J121" s="804" t="s">
        <v>6473</v>
      </c>
      <c r="K121" s="804" t="s">
        <v>4635</v>
      </c>
      <c r="L121" s="804" t="s">
        <v>4635</v>
      </c>
      <c r="M121" s="803" t="s">
        <v>6559</v>
      </c>
      <c r="N121" s="809">
        <v>66</v>
      </c>
    </row>
    <row r="122" spans="1:14" s="755" customFormat="1" ht="20.25" customHeight="1" x14ac:dyDescent="0.15">
      <c r="A122" s="754"/>
      <c r="B122" s="745">
        <v>27</v>
      </c>
      <c r="C122" s="747"/>
      <c r="D122" s="747" t="s">
        <v>565</v>
      </c>
      <c r="E122" s="747" t="s">
        <v>565</v>
      </c>
      <c r="F122" s="747"/>
      <c r="G122" s="748"/>
      <c r="H122" s="749"/>
      <c r="I122" s="811"/>
      <c r="J122" s="804" t="s">
        <v>6473</v>
      </c>
      <c r="K122" s="804" t="s">
        <v>4635</v>
      </c>
      <c r="L122" s="804" t="s">
        <v>4635</v>
      </c>
      <c r="M122" s="803" t="s">
        <v>6560</v>
      </c>
      <c r="N122" s="809">
        <v>67</v>
      </c>
    </row>
    <row r="123" spans="1:14" ht="9" customHeight="1" x14ac:dyDescent="0.15">
      <c r="B123" s="723">
        <v>28</v>
      </c>
      <c r="C123" s="478"/>
      <c r="D123" s="478" t="s">
        <v>565</v>
      </c>
      <c r="E123" s="478" t="s">
        <v>565</v>
      </c>
      <c r="F123" s="478"/>
      <c r="G123" s="724"/>
      <c r="H123" s="725"/>
      <c r="I123" s="726"/>
      <c r="J123" s="478"/>
      <c r="K123" s="478" t="s">
        <v>565</v>
      </c>
      <c r="L123" s="478" t="s">
        <v>565</v>
      </c>
      <c r="M123" s="478"/>
      <c r="N123" s="727">
        <v>68</v>
      </c>
    </row>
    <row r="124" spans="1:14" ht="9" customHeight="1" x14ac:dyDescent="0.15">
      <c r="B124" s="723">
        <v>29</v>
      </c>
      <c r="C124" s="478"/>
      <c r="D124" s="478" t="s">
        <v>565</v>
      </c>
      <c r="E124" s="478" t="s">
        <v>565</v>
      </c>
      <c r="F124" s="478"/>
      <c r="G124" s="724"/>
      <c r="H124" s="725"/>
      <c r="I124" s="726"/>
      <c r="J124" s="478"/>
      <c r="K124" s="478" t="s">
        <v>565</v>
      </c>
      <c r="L124" s="478" t="s">
        <v>565</v>
      </c>
      <c r="M124" s="478"/>
      <c r="N124" s="727">
        <v>69</v>
      </c>
    </row>
    <row r="125" spans="1:14" ht="9" customHeight="1" x14ac:dyDescent="0.15">
      <c r="B125" s="723">
        <v>30</v>
      </c>
      <c r="C125" s="478"/>
      <c r="D125" s="478" t="s">
        <v>565</v>
      </c>
      <c r="E125" s="478" t="s">
        <v>565</v>
      </c>
      <c r="F125" s="478"/>
      <c r="G125" s="724"/>
      <c r="H125" s="725"/>
      <c r="I125" s="726"/>
      <c r="J125" s="478"/>
      <c r="K125" s="478" t="s">
        <v>565</v>
      </c>
      <c r="L125" s="478" t="s">
        <v>565</v>
      </c>
      <c r="M125" s="478"/>
      <c r="N125" s="727">
        <v>70</v>
      </c>
    </row>
    <row r="126" spans="1:14" ht="9" customHeight="1" x14ac:dyDescent="0.15">
      <c r="B126" s="723">
        <v>31</v>
      </c>
      <c r="C126" s="478"/>
      <c r="D126" s="478" t="s">
        <v>565</v>
      </c>
      <c r="E126" s="478" t="s">
        <v>565</v>
      </c>
      <c r="F126" s="478"/>
      <c r="G126" s="724"/>
      <c r="H126" s="725"/>
      <c r="I126" s="726"/>
      <c r="J126" s="478"/>
      <c r="K126" s="478" t="s">
        <v>565</v>
      </c>
      <c r="L126" s="478" t="s">
        <v>565</v>
      </c>
      <c r="M126" s="478"/>
      <c r="N126" s="727">
        <v>71</v>
      </c>
    </row>
    <row r="127" spans="1:14" ht="9" customHeight="1" x14ac:dyDescent="0.15">
      <c r="B127" s="723">
        <v>32</v>
      </c>
      <c r="C127" s="478"/>
      <c r="D127" s="478" t="s">
        <v>565</v>
      </c>
      <c r="E127" s="478" t="s">
        <v>565</v>
      </c>
      <c r="F127" s="478"/>
      <c r="G127" s="724"/>
      <c r="H127" s="725"/>
      <c r="I127" s="726"/>
      <c r="J127" s="478"/>
      <c r="K127" s="478" t="s">
        <v>565</v>
      </c>
      <c r="L127" s="478" t="s">
        <v>565</v>
      </c>
      <c r="M127" s="478"/>
      <c r="N127" s="727">
        <v>72</v>
      </c>
    </row>
    <row r="128" spans="1:14" ht="9" customHeight="1" x14ac:dyDescent="0.15">
      <c r="B128" s="723">
        <v>33</v>
      </c>
      <c r="C128" s="478"/>
      <c r="D128" s="478" t="s">
        <v>565</v>
      </c>
      <c r="E128" s="478" t="s">
        <v>565</v>
      </c>
      <c r="F128" s="478"/>
      <c r="G128" s="724"/>
      <c r="H128" s="725"/>
      <c r="I128" s="726"/>
      <c r="J128" s="478"/>
      <c r="K128" s="478" t="s">
        <v>565</v>
      </c>
      <c r="L128" s="478" t="s">
        <v>565</v>
      </c>
      <c r="M128" s="478"/>
      <c r="N128" s="727">
        <v>73</v>
      </c>
    </row>
    <row r="129" spans="1:15" ht="9" customHeight="1" x14ac:dyDescent="0.15">
      <c r="B129" s="723">
        <v>34</v>
      </c>
      <c r="C129" s="478"/>
      <c r="D129" s="478" t="s">
        <v>565</v>
      </c>
      <c r="E129" s="478" t="s">
        <v>565</v>
      </c>
      <c r="F129" s="478"/>
      <c r="G129" s="724"/>
      <c r="H129" s="725"/>
      <c r="I129" s="726"/>
      <c r="J129" s="478"/>
      <c r="K129" s="478" t="s">
        <v>565</v>
      </c>
      <c r="L129" s="478" t="s">
        <v>565</v>
      </c>
      <c r="M129" s="478"/>
      <c r="N129" s="727">
        <v>74</v>
      </c>
    </row>
    <row r="130" spans="1:15" ht="9" customHeight="1" x14ac:dyDescent="0.15">
      <c r="B130" s="723">
        <v>35</v>
      </c>
      <c r="C130" s="478"/>
      <c r="D130" s="478" t="s">
        <v>565</v>
      </c>
      <c r="E130" s="478" t="s">
        <v>565</v>
      </c>
      <c r="F130" s="478"/>
      <c r="G130" s="724"/>
      <c r="H130" s="725"/>
      <c r="I130" s="726"/>
      <c r="J130" s="478"/>
      <c r="K130" s="478" t="s">
        <v>565</v>
      </c>
      <c r="L130" s="478" t="s">
        <v>565</v>
      </c>
      <c r="M130" s="478"/>
      <c r="N130" s="727">
        <v>75</v>
      </c>
    </row>
    <row r="131" spans="1:15" ht="9" customHeight="1" x14ac:dyDescent="0.15">
      <c r="B131" s="723">
        <v>36</v>
      </c>
      <c r="C131" s="478"/>
      <c r="D131" s="478" t="s">
        <v>565</v>
      </c>
      <c r="E131" s="478" t="s">
        <v>565</v>
      </c>
      <c r="F131" s="478"/>
      <c r="G131" s="724"/>
      <c r="H131" s="725"/>
      <c r="I131" s="726"/>
      <c r="J131" s="478"/>
      <c r="K131" s="478" t="s">
        <v>565</v>
      </c>
      <c r="L131" s="478" t="s">
        <v>565</v>
      </c>
      <c r="M131" s="478"/>
      <c r="N131" s="727">
        <v>76</v>
      </c>
    </row>
    <row r="132" spans="1:15" ht="9" customHeight="1" x14ac:dyDescent="0.15">
      <c r="B132" s="723">
        <v>37</v>
      </c>
      <c r="C132" s="478"/>
      <c r="D132" s="478" t="s">
        <v>565</v>
      </c>
      <c r="E132" s="478" t="s">
        <v>565</v>
      </c>
      <c r="F132" s="478"/>
      <c r="G132" s="724"/>
      <c r="H132" s="725"/>
      <c r="I132" s="726"/>
      <c r="J132" s="478"/>
      <c r="K132" s="478" t="s">
        <v>565</v>
      </c>
      <c r="L132" s="478" t="s">
        <v>565</v>
      </c>
      <c r="M132" s="478"/>
      <c r="N132" s="727">
        <v>77</v>
      </c>
    </row>
    <row r="133" spans="1:15" ht="9" customHeight="1" x14ac:dyDescent="0.15">
      <c r="B133" s="723">
        <v>38</v>
      </c>
      <c r="C133" s="478"/>
      <c r="D133" s="478" t="s">
        <v>565</v>
      </c>
      <c r="E133" s="478" t="s">
        <v>565</v>
      </c>
      <c r="F133" s="478"/>
      <c r="G133" s="724"/>
      <c r="H133" s="725"/>
      <c r="I133" s="726"/>
      <c r="J133" s="478"/>
      <c r="K133" s="478" t="s">
        <v>565</v>
      </c>
      <c r="L133" s="478" t="s">
        <v>565</v>
      </c>
      <c r="M133" s="478"/>
      <c r="N133" s="727">
        <v>78</v>
      </c>
    </row>
    <row r="134" spans="1:15" ht="9" customHeight="1" x14ac:dyDescent="0.15">
      <c r="B134" s="723">
        <v>39</v>
      </c>
      <c r="C134" s="478"/>
      <c r="D134" s="478" t="s">
        <v>565</v>
      </c>
      <c r="E134" s="478" t="s">
        <v>565</v>
      </c>
      <c r="F134" s="478"/>
      <c r="G134" s="724"/>
      <c r="H134" s="725"/>
      <c r="I134" s="726"/>
      <c r="J134" s="478"/>
      <c r="K134" s="478" t="s">
        <v>565</v>
      </c>
      <c r="L134" s="478" t="s">
        <v>565</v>
      </c>
      <c r="M134" s="478"/>
      <c r="N134" s="727">
        <v>79</v>
      </c>
    </row>
    <row r="135" spans="1:15" ht="9" customHeight="1" thickBot="1" x14ac:dyDescent="0.2">
      <c r="B135" s="728">
        <v>40</v>
      </c>
      <c r="C135" s="729"/>
      <c r="D135" s="729" t="s">
        <v>565</v>
      </c>
      <c r="E135" s="729" t="s">
        <v>565</v>
      </c>
      <c r="F135" s="729"/>
      <c r="G135" s="730"/>
      <c r="H135" s="731"/>
      <c r="I135" s="732"/>
      <c r="J135" s="729"/>
      <c r="K135" s="729" t="s">
        <v>565</v>
      </c>
      <c r="L135" s="729" t="s">
        <v>565</v>
      </c>
      <c r="M135" s="729"/>
      <c r="N135" s="733">
        <v>80</v>
      </c>
    </row>
    <row r="136" spans="1:15" ht="25.5" customHeight="1" x14ac:dyDescent="0.15">
      <c r="I136" s="495" t="s">
        <v>6484</v>
      </c>
      <c r="J136" s="734">
        <f>SUM(G96:G135,I96:I135)</f>
        <v>0</v>
      </c>
    </row>
    <row r="137" spans="1:15" ht="18.95" customHeight="1" x14ac:dyDescent="0.15"/>
    <row r="138" spans="1:15" ht="18.95" customHeight="1" x14ac:dyDescent="0.15">
      <c r="C138" s="716" t="s">
        <v>6561</v>
      </c>
      <c r="J138" s="495" t="s">
        <v>6437</v>
      </c>
      <c r="K138" s="494"/>
      <c r="L138" s="494"/>
      <c r="M138" s="495" t="s">
        <v>6438</v>
      </c>
    </row>
    <row r="139" spans="1:15" ht="18.95" customHeight="1" thickBot="1" x14ac:dyDescent="0.2">
      <c r="C139" s="716" t="s">
        <v>6562</v>
      </c>
    </row>
    <row r="140" spans="1:15" ht="26.25" customHeight="1" x14ac:dyDescent="0.15">
      <c r="B140" s="717" t="s">
        <v>6440</v>
      </c>
      <c r="C140" s="718" t="s">
        <v>4564</v>
      </c>
      <c r="D140" s="718" t="s">
        <v>6442</v>
      </c>
      <c r="E140" s="718" t="s">
        <v>6443</v>
      </c>
      <c r="F140" s="718" t="s">
        <v>6444</v>
      </c>
      <c r="G140" s="719" t="s">
        <v>6445</v>
      </c>
      <c r="H140" s="735"/>
      <c r="I140" s="721" t="s">
        <v>6445</v>
      </c>
      <c r="J140" s="718" t="s">
        <v>6444</v>
      </c>
      <c r="K140" s="718" t="s">
        <v>6442</v>
      </c>
      <c r="L140" s="718" t="s">
        <v>6443</v>
      </c>
      <c r="M140" s="718" t="s">
        <v>4564</v>
      </c>
      <c r="N140" s="722" t="s">
        <v>6440</v>
      </c>
    </row>
    <row r="141" spans="1:15" s="755" customFormat="1" ht="14.25" customHeight="1" x14ac:dyDescent="0.15">
      <c r="A141" s="754" t="s">
        <v>6525</v>
      </c>
      <c r="B141" s="745">
        <v>1</v>
      </c>
      <c r="C141" s="756"/>
      <c r="D141" s="747" t="s">
        <v>565</v>
      </c>
      <c r="E141" s="747" t="s">
        <v>565</v>
      </c>
      <c r="F141" s="747"/>
      <c r="G141" s="748"/>
      <c r="H141" s="749"/>
      <c r="I141" s="750"/>
      <c r="J141" s="747"/>
      <c r="K141" s="747" t="s">
        <v>565</v>
      </c>
      <c r="L141" s="747" t="s">
        <v>565</v>
      </c>
      <c r="M141" s="746"/>
      <c r="N141" s="751">
        <v>41</v>
      </c>
    </row>
    <row r="142" spans="1:15" s="755" customFormat="1" ht="14.25" customHeight="1" x14ac:dyDescent="0.15">
      <c r="A142" s="754"/>
      <c r="B142" s="745">
        <v>2</v>
      </c>
      <c r="C142" s="746"/>
      <c r="D142" s="747" t="s">
        <v>565</v>
      </c>
      <c r="E142" s="747" t="s">
        <v>565</v>
      </c>
      <c r="F142" s="747"/>
      <c r="G142" s="748"/>
      <c r="H142" s="749"/>
      <c r="I142" s="752"/>
      <c r="J142" s="747"/>
      <c r="K142" s="747" t="s">
        <v>565</v>
      </c>
      <c r="L142" s="747" t="s">
        <v>565</v>
      </c>
      <c r="M142" s="746"/>
      <c r="N142" s="751">
        <v>42</v>
      </c>
      <c r="O142" s="755" t="s">
        <v>6563</v>
      </c>
    </row>
    <row r="143" spans="1:15" s="755" customFormat="1" ht="14.25" customHeight="1" x14ac:dyDescent="0.15">
      <c r="A143" s="754"/>
      <c r="B143" s="745">
        <v>3</v>
      </c>
      <c r="C143" s="746"/>
      <c r="D143" s="747" t="s">
        <v>565</v>
      </c>
      <c r="E143" s="747" t="s">
        <v>565</v>
      </c>
      <c r="F143" s="747"/>
      <c r="G143" s="748"/>
      <c r="H143" s="749"/>
      <c r="I143" s="750"/>
      <c r="J143" s="747"/>
      <c r="K143" s="747" t="s">
        <v>565</v>
      </c>
      <c r="L143" s="747" t="s">
        <v>565</v>
      </c>
      <c r="M143" s="746"/>
      <c r="N143" s="751">
        <v>43</v>
      </c>
    </row>
    <row r="144" spans="1:15" s="755" customFormat="1" ht="14.25" customHeight="1" x14ac:dyDescent="0.15">
      <c r="A144" s="754"/>
      <c r="B144" s="745">
        <v>4</v>
      </c>
      <c r="C144" s="746"/>
      <c r="D144" s="747" t="s">
        <v>565</v>
      </c>
      <c r="E144" s="747" t="s">
        <v>565</v>
      </c>
      <c r="F144" s="747"/>
      <c r="G144" s="748"/>
      <c r="H144" s="749"/>
      <c r="I144" s="759"/>
      <c r="J144" s="760"/>
      <c r="K144" s="747" t="s">
        <v>565</v>
      </c>
      <c r="L144" s="760" t="s">
        <v>565</v>
      </c>
      <c r="M144" s="761"/>
      <c r="N144" s="762">
        <v>44</v>
      </c>
    </row>
    <row r="145" spans="1:15" s="755" customFormat="1" ht="14.25" customHeight="1" x14ac:dyDescent="0.15">
      <c r="A145" s="754" t="s">
        <v>6525</v>
      </c>
      <c r="B145" s="745">
        <v>5</v>
      </c>
      <c r="C145" s="756"/>
      <c r="D145" s="747" t="s">
        <v>565</v>
      </c>
      <c r="E145" s="747" t="s">
        <v>565</v>
      </c>
      <c r="F145" s="747"/>
      <c r="G145" s="748"/>
      <c r="H145" s="749"/>
      <c r="I145" s="750"/>
      <c r="J145" s="747"/>
      <c r="K145" s="747" t="s">
        <v>565</v>
      </c>
      <c r="L145" s="747" t="s">
        <v>565</v>
      </c>
      <c r="M145" s="746"/>
      <c r="N145" s="751">
        <v>45</v>
      </c>
    </row>
    <row r="146" spans="1:15" s="755" customFormat="1" ht="20.25" customHeight="1" x14ac:dyDescent="0.15">
      <c r="A146" s="754"/>
      <c r="B146" s="745">
        <v>6</v>
      </c>
      <c r="C146" s="747"/>
      <c r="D146" s="747" t="s">
        <v>565</v>
      </c>
      <c r="E146" s="747" t="s">
        <v>565</v>
      </c>
      <c r="F146" s="747"/>
      <c r="G146" s="748"/>
      <c r="H146" s="749"/>
      <c r="I146" s="811"/>
      <c r="J146" s="804" t="s">
        <v>6530</v>
      </c>
      <c r="K146" s="804" t="s">
        <v>4635</v>
      </c>
      <c r="L146" s="804" t="s">
        <v>4635</v>
      </c>
      <c r="M146" s="803" t="s">
        <v>6564</v>
      </c>
      <c r="N146" s="809">
        <v>46</v>
      </c>
    </row>
    <row r="147" spans="1:15" s="755" customFormat="1" ht="20.25" customHeight="1" x14ac:dyDescent="0.15">
      <c r="A147" s="754"/>
      <c r="B147" s="802">
        <v>7</v>
      </c>
      <c r="C147" s="803" t="s">
        <v>6565</v>
      </c>
      <c r="D147" s="804" t="s">
        <v>4635</v>
      </c>
      <c r="E147" s="804" t="s">
        <v>4635</v>
      </c>
      <c r="F147" s="804" t="s">
        <v>6473</v>
      </c>
      <c r="G147" s="805"/>
      <c r="H147" s="749"/>
      <c r="I147" s="811"/>
      <c r="J147" s="804" t="s">
        <v>6450</v>
      </c>
      <c r="K147" s="804" t="s">
        <v>4635</v>
      </c>
      <c r="L147" s="804" t="s">
        <v>4635</v>
      </c>
      <c r="M147" s="803" t="s">
        <v>6566</v>
      </c>
      <c r="N147" s="809">
        <v>47</v>
      </c>
    </row>
    <row r="148" spans="1:15" s="755" customFormat="1" ht="20.25" customHeight="1" x14ac:dyDescent="0.15">
      <c r="A148" s="754" t="s">
        <v>6525</v>
      </c>
      <c r="B148" s="745">
        <v>8</v>
      </c>
      <c r="C148" s="756"/>
      <c r="D148" s="747" t="s">
        <v>6542</v>
      </c>
      <c r="E148" s="747" t="s">
        <v>565</v>
      </c>
      <c r="F148" s="747"/>
      <c r="G148" s="748"/>
      <c r="H148" s="749"/>
      <c r="I148" s="811"/>
      <c r="J148" s="804" t="s">
        <v>6473</v>
      </c>
      <c r="K148" s="804" t="s">
        <v>4635</v>
      </c>
      <c r="L148" s="804" t="s">
        <v>4635</v>
      </c>
      <c r="M148" s="803" t="s">
        <v>6567</v>
      </c>
      <c r="N148" s="809">
        <v>48</v>
      </c>
    </row>
    <row r="149" spans="1:15" s="755" customFormat="1" ht="20.25" customHeight="1" x14ac:dyDescent="0.15">
      <c r="A149" s="754" t="s">
        <v>6525</v>
      </c>
      <c r="B149" s="745">
        <v>9</v>
      </c>
      <c r="C149" s="756"/>
      <c r="D149" s="747" t="s">
        <v>6542</v>
      </c>
      <c r="E149" s="747" t="s">
        <v>565</v>
      </c>
      <c r="F149" s="747"/>
      <c r="G149" s="748"/>
      <c r="H149" s="749"/>
      <c r="I149" s="811"/>
      <c r="J149" s="804" t="s">
        <v>6450</v>
      </c>
      <c r="K149" s="804" t="s">
        <v>4635</v>
      </c>
      <c r="L149" s="804" t="s">
        <v>4635</v>
      </c>
      <c r="M149" s="803" t="s">
        <v>6568</v>
      </c>
      <c r="N149" s="809">
        <v>49</v>
      </c>
    </row>
    <row r="150" spans="1:15" s="755" customFormat="1" ht="20.25" customHeight="1" x14ac:dyDescent="0.15">
      <c r="A150" s="754"/>
      <c r="B150" s="802">
        <v>10</v>
      </c>
      <c r="C150" s="803" t="s">
        <v>6569</v>
      </c>
      <c r="D150" s="804" t="s">
        <v>4635</v>
      </c>
      <c r="E150" s="804" t="s">
        <v>4635</v>
      </c>
      <c r="F150" s="804" t="s">
        <v>6450</v>
      </c>
      <c r="G150" s="805"/>
      <c r="H150" s="749"/>
      <c r="I150" s="750"/>
      <c r="J150" s="747"/>
      <c r="K150" s="747" t="s">
        <v>565</v>
      </c>
      <c r="L150" s="747" t="s">
        <v>565</v>
      </c>
      <c r="M150" s="747"/>
      <c r="N150" s="751">
        <v>50</v>
      </c>
    </row>
    <row r="151" spans="1:15" s="755" customFormat="1" ht="15.75" customHeight="1" x14ac:dyDescent="0.15">
      <c r="A151" s="754" t="s">
        <v>6525</v>
      </c>
      <c r="B151" s="745">
        <v>11</v>
      </c>
      <c r="C151" s="756"/>
      <c r="D151" s="747" t="s">
        <v>6542</v>
      </c>
      <c r="E151" s="747" t="s">
        <v>565</v>
      </c>
      <c r="F151" s="747"/>
      <c r="G151" s="748"/>
      <c r="H151" s="749"/>
      <c r="I151" s="759"/>
      <c r="J151" s="760"/>
      <c r="K151" s="747" t="s">
        <v>565</v>
      </c>
      <c r="L151" s="760" t="s">
        <v>565</v>
      </c>
      <c r="M151" s="761"/>
      <c r="N151" s="762">
        <v>51</v>
      </c>
      <c r="O151" s="755" t="s">
        <v>6570</v>
      </c>
    </row>
    <row r="152" spans="1:15" s="755" customFormat="1" ht="20.25" customHeight="1" x14ac:dyDescent="0.15">
      <c r="A152" s="754"/>
      <c r="B152" s="802">
        <v>12</v>
      </c>
      <c r="C152" s="803" t="s">
        <v>6571</v>
      </c>
      <c r="D152" s="804" t="s">
        <v>4635</v>
      </c>
      <c r="E152" s="804" t="s">
        <v>4635</v>
      </c>
      <c r="F152" s="804" t="s">
        <v>6473</v>
      </c>
      <c r="G152" s="805"/>
      <c r="H152" s="749"/>
      <c r="I152" s="808"/>
      <c r="J152" s="804" t="s">
        <v>6450</v>
      </c>
      <c r="K152" s="804" t="s">
        <v>4635</v>
      </c>
      <c r="L152" s="804" t="s">
        <v>4635</v>
      </c>
      <c r="M152" s="803" t="s">
        <v>6572</v>
      </c>
      <c r="N152" s="809">
        <v>52</v>
      </c>
    </row>
    <row r="153" spans="1:15" s="755" customFormat="1" ht="20.25" customHeight="1" x14ac:dyDescent="0.15">
      <c r="A153" s="754"/>
      <c r="B153" s="745">
        <v>13</v>
      </c>
      <c r="C153" s="784"/>
      <c r="D153" s="747" t="s">
        <v>6542</v>
      </c>
      <c r="E153" s="747" t="s">
        <v>6542</v>
      </c>
      <c r="F153" s="747"/>
      <c r="G153" s="748"/>
      <c r="H153" s="749"/>
      <c r="I153" s="810"/>
      <c r="J153" s="804" t="s">
        <v>6450</v>
      </c>
      <c r="K153" s="804" t="s">
        <v>4635</v>
      </c>
      <c r="L153" s="804" t="s">
        <v>4635</v>
      </c>
      <c r="M153" s="803" t="s">
        <v>6573</v>
      </c>
      <c r="N153" s="809">
        <v>53</v>
      </c>
    </row>
    <row r="154" spans="1:15" s="755" customFormat="1" ht="20.25" customHeight="1" x14ac:dyDescent="0.15">
      <c r="A154" s="754" t="s">
        <v>6525</v>
      </c>
      <c r="B154" s="764">
        <v>14</v>
      </c>
      <c r="C154" s="765"/>
      <c r="D154" s="747" t="s">
        <v>565</v>
      </c>
      <c r="E154" s="766" t="s">
        <v>565</v>
      </c>
      <c r="F154" s="766"/>
      <c r="G154" s="767"/>
      <c r="H154" s="749"/>
      <c r="I154" s="811"/>
      <c r="J154" s="804" t="s">
        <v>6450</v>
      </c>
      <c r="K154" s="804" t="s">
        <v>4635</v>
      </c>
      <c r="L154" s="804" t="s">
        <v>4635</v>
      </c>
      <c r="M154" s="803" t="s">
        <v>6574</v>
      </c>
      <c r="N154" s="809">
        <v>54</v>
      </c>
    </row>
    <row r="155" spans="1:15" s="755" customFormat="1" ht="20.25" customHeight="1" x14ac:dyDescent="0.15">
      <c r="A155" s="754" t="s">
        <v>6545</v>
      </c>
      <c r="B155" s="745">
        <v>15</v>
      </c>
      <c r="C155" s="756"/>
      <c r="D155" s="747" t="s">
        <v>565</v>
      </c>
      <c r="E155" s="766" t="s">
        <v>565</v>
      </c>
      <c r="F155" s="766"/>
      <c r="G155" s="748"/>
      <c r="H155" s="749"/>
      <c r="I155" s="811"/>
      <c r="J155" s="804" t="s">
        <v>6450</v>
      </c>
      <c r="K155" s="804" t="s">
        <v>4635</v>
      </c>
      <c r="L155" s="804" t="s">
        <v>4635</v>
      </c>
      <c r="M155" s="803" t="s">
        <v>6575</v>
      </c>
      <c r="N155" s="809">
        <v>55</v>
      </c>
    </row>
    <row r="156" spans="1:15" s="755" customFormat="1" ht="20.25" customHeight="1" x14ac:dyDescent="0.15">
      <c r="A156" s="754"/>
      <c r="B156" s="745">
        <v>16</v>
      </c>
      <c r="C156" s="746"/>
      <c r="D156" s="747" t="s">
        <v>565</v>
      </c>
      <c r="E156" s="747" t="s">
        <v>565</v>
      </c>
      <c r="F156" s="747"/>
      <c r="G156" s="763"/>
      <c r="H156" s="749"/>
      <c r="I156" s="811"/>
      <c r="J156" s="804" t="s">
        <v>6450</v>
      </c>
      <c r="K156" s="804" t="s">
        <v>4635</v>
      </c>
      <c r="L156" s="804" t="s">
        <v>4635</v>
      </c>
      <c r="M156" s="803" t="s">
        <v>6576</v>
      </c>
      <c r="N156" s="809">
        <v>56</v>
      </c>
    </row>
    <row r="157" spans="1:15" s="755" customFormat="1" ht="20.25" customHeight="1" x14ac:dyDescent="0.15">
      <c r="A157" s="754"/>
      <c r="B157" s="745">
        <v>17</v>
      </c>
      <c r="C157" s="746"/>
      <c r="D157" s="747" t="s">
        <v>565</v>
      </c>
      <c r="E157" s="747" t="s">
        <v>565</v>
      </c>
      <c r="F157" s="747"/>
      <c r="G157" s="763"/>
      <c r="H157" s="749"/>
      <c r="I157" s="811"/>
      <c r="J157" s="804" t="s">
        <v>6450</v>
      </c>
      <c r="K157" s="804" t="s">
        <v>4635</v>
      </c>
      <c r="L157" s="804" t="s">
        <v>4635</v>
      </c>
      <c r="M157" s="803" t="s">
        <v>6577</v>
      </c>
      <c r="N157" s="809">
        <v>57</v>
      </c>
    </row>
    <row r="158" spans="1:15" s="755" customFormat="1" ht="20.25" customHeight="1" x14ac:dyDescent="0.15">
      <c r="A158" s="754"/>
      <c r="B158" s="745">
        <v>18</v>
      </c>
      <c r="C158" s="784"/>
      <c r="D158" s="747" t="s">
        <v>6542</v>
      </c>
      <c r="E158" s="747" t="s">
        <v>6542</v>
      </c>
      <c r="F158" s="747"/>
      <c r="G158" s="748"/>
      <c r="H158" s="749"/>
      <c r="I158" s="811"/>
      <c r="J158" s="804" t="s">
        <v>6450</v>
      </c>
      <c r="K158" s="804" t="s">
        <v>4635</v>
      </c>
      <c r="L158" s="804" t="s">
        <v>4635</v>
      </c>
      <c r="M158" s="803" t="s">
        <v>6578</v>
      </c>
      <c r="N158" s="809">
        <v>58</v>
      </c>
    </row>
    <row r="159" spans="1:15" s="755" customFormat="1" ht="20.25" customHeight="1" x14ac:dyDescent="0.15">
      <c r="A159" s="754" t="s">
        <v>6525</v>
      </c>
      <c r="B159" s="745">
        <v>19</v>
      </c>
      <c r="C159" s="756"/>
      <c r="D159" s="747" t="s">
        <v>565</v>
      </c>
      <c r="E159" s="747" t="s">
        <v>565</v>
      </c>
      <c r="F159" s="747"/>
      <c r="G159" s="748"/>
      <c r="H159" s="749"/>
      <c r="I159" s="811"/>
      <c r="J159" s="804" t="s">
        <v>6450</v>
      </c>
      <c r="K159" s="804" t="s">
        <v>4635</v>
      </c>
      <c r="L159" s="804" t="s">
        <v>4635</v>
      </c>
      <c r="M159" s="803" t="s">
        <v>6579</v>
      </c>
      <c r="N159" s="809">
        <v>59</v>
      </c>
    </row>
    <row r="160" spans="1:15" s="755" customFormat="1" ht="20.25" customHeight="1" x14ac:dyDescent="0.15">
      <c r="A160" s="754" t="s">
        <v>6525</v>
      </c>
      <c r="B160" s="745">
        <v>20</v>
      </c>
      <c r="C160" s="756"/>
      <c r="D160" s="747" t="s">
        <v>565</v>
      </c>
      <c r="E160" s="747" t="s">
        <v>565</v>
      </c>
      <c r="F160" s="747"/>
      <c r="G160" s="748"/>
      <c r="H160" s="749"/>
      <c r="I160" s="811"/>
      <c r="J160" s="804" t="s">
        <v>6450</v>
      </c>
      <c r="K160" s="804" t="s">
        <v>4635</v>
      </c>
      <c r="L160" s="804" t="s">
        <v>4635</v>
      </c>
      <c r="M160" s="803" t="s">
        <v>6580</v>
      </c>
      <c r="N160" s="809">
        <v>60</v>
      </c>
    </row>
    <row r="161" spans="1:14" s="755" customFormat="1" ht="20.25" customHeight="1" x14ac:dyDescent="0.15">
      <c r="A161" s="754" t="s">
        <v>6545</v>
      </c>
      <c r="B161" s="745">
        <v>21</v>
      </c>
      <c r="C161" s="756"/>
      <c r="D161" s="747" t="s">
        <v>565</v>
      </c>
      <c r="E161" s="747" t="s">
        <v>565</v>
      </c>
      <c r="F161" s="747"/>
      <c r="G161" s="748"/>
      <c r="H161" s="749"/>
      <c r="I161" s="811"/>
      <c r="J161" s="804" t="s">
        <v>6450</v>
      </c>
      <c r="K161" s="804" t="s">
        <v>4635</v>
      </c>
      <c r="L161" s="804" t="s">
        <v>4635</v>
      </c>
      <c r="M161" s="803" t="s">
        <v>6581</v>
      </c>
      <c r="N161" s="809">
        <v>61</v>
      </c>
    </row>
    <row r="162" spans="1:14" s="755" customFormat="1" ht="20.25" customHeight="1" x14ac:dyDescent="0.15">
      <c r="A162" s="754"/>
      <c r="B162" s="802">
        <v>22</v>
      </c>
      <c r="C162" s="807" t="s">
        <v>6582</v>
      </c>
      <c r="D162" s="804" t="s">
        <v>4635</v>
      </c>
      <c r="E162" s="804" t="s">
        <v>4635</v>
      </c>
      <c r="F162" s="804" t="s">
        <v>6473</v>
      </c>
      <c r="G162" s="805"/>
      <c r="H162" s="749"/>
      <c r="I162" s="811"/>
      <c r="J162" s="804" t="s">
        <v>6450</v>
      </c>
      <c r="K162" s="804" t="s">
        <v>4635</v>
      </c>
      <c r="L162" s="804" t="s">
        <v>4635</v>
      </c>
      <c r="M162" s="803" t="s">
        <v>6583</v>
      </c>
      <c r="N162" s="809">
        <v>62</v>
      </c>
    </row>
    <row r="163" spans="1:14" s="755" customFormat="1" ht="20.25" customHeight="1" x14ac:dyDescent="0.15">
      <c r="A163" s="754"/>
      <c r="B163" s="802">
        <v>23</v>
      </c>
      <c r="C163" s="807" t="s">
        <v>6584</v>
      </c>
      <c r="D163" s="804" t="s">
        <v>4635</v>
      </c>
      <c r="E163" s="804" t="s">
        <v>4635</v>
      </c>
      <c r="F163" s="804" t="s">
        <v>6473</v>
      </c>
      <c r="G163" s="805"/>
      <c r="H163" s="749"/>
      <c r="I163" s="811"/>
      <c r="J163" s="804" t="s">
        <v>6450</v>
      </c>
      <c r="K163" s="804" t="s">
        <v>4635</v>
      </c>
      <c r="L163" s="804" t="s">
        <v>4635</v>
      </c>
      <c r="M163" s="803" t="s">
        <v>6585</v>
      </c>
      <c r="N163" s="809">
        <v>63</v>
      </c>
    </row>
    <row r="164" spans="1:14" s="755" customFormat="1" ht="20.25" customHeight="1" x14ac:dyDescent="0.15">
      <c r="A164" s="754"/>
      <c r="B164" s="745">
        <v>24</v>
      </c>
      <c r="C164" s="747"/>
      <c r="D164" s="747" t="s">
        <v>565</v>
      </c>
      <c r="E164" s="747" t="s">
        <v>565</v>
      </c>
      <c r="F164" s="747"/>
      <c r="G164" s="748"/>
      <c r="H164" s="749"/>
      <c r="I164" s="811"/>
      <c r="J164" s="804" t="s">
        <v>6473</v>
      </c>
      <c r="K164" s="804" t="s">
        <v>4635</v>
      </c>
      <c r="L164" s="804" t="s">
        <v>4635</v>
      </c>
      <c r="M164" s="803" t="s">
        <v>6586</v>
      </c>
      <c r="N164" s="809">
        <v>64</v>
      </c>
    </row>
    <row r="165" spans="1:14" s="755" customFormat="1" ht="20.25" customHeight="1" x14ac:dyDescent="0.15">
      <c r="A165" s="754"/>
      <c r="B165" s="745">
        <v>25</v>
      </c>
      <c r="C165" s="747"/>
      <c r="D165" s="747" t="s">
        <v>565</v>
      </c>
      <c r="E165" s="747" t="s">
        <v>565</v>
      </c>
      <c r="F165" s="747"/>
      <c r="G165" s="748"/>
      <c r="H165" s="749"/>
      <c r="I165" s="811"/>
      <c r="J165" s="804" t="s">
        <v>6450</v>
      </c>
      <c r="K165" s="804" t="s">
        <v>4635</v>
      </c>
      <c r="L165" s="804" t="s">
        <v>4635</v>
      </c>
      <c r="M165" s="803" t="s">
        <v>6587</v>
      </c>
      <c r="N165" s="809">
        <v>65</v>
      </c>
    </row>
    <row r="166" spans="1:14" s="755" customFormat="1" ht="20.25" customHeight="1" x14ac:dyDescent="0.15">
      <c r="A166" s="754"/>
      <c r="B166" s="745">
        <v>26</v>
      </c>
      <c r="C166" s="747"/>
      <c r="D166" s="747" t="s">
        <v>565</v>
      </c>
      <c r="E166" s="747" t="s">
        <v>565</v>
      </c>
      <c r="F166" s="747"/>
      <c r="G166" s="748"/>
      <c r="H166" s="749"/>
      <c r="I166" s="811"/>
      <c r="J166" s="804" t="s">
        <v>6473</v>
      </c>
      <c r="K166" s="804" t="s">
        <v>4635</v>
      </c>
      <c r="L166" s="804" t="s">
        <v>4635</v>
      </c>
      <c r="M166" s="803" t="s">
        <v>6588</v>
      </c>
      <c r="N166" s="809">
        <v>66</v>
      </c>
    </row>
    <row r="167" spans="1:14" s="755" customFormat="1" ht="20.25" customHeight="1" x14ac:dyDescent="0.15">
      <c r="A167" s="754"/>
      <c r="B167" s="745">
        <v>27</v>
      </c>
      <c r="C167" s="747"/>
      <c r="D167" s="747" t="s">
        <v>565</v>
      </c>
      <c r="E167" s="747" t="s">
        <v>565</v>
      </c>
      <c r="F167" s="747"/>
      <c r="G167" s="748"/>
      <c r="H167" s="749"/>
      <c r="I167" s="811"/>
      <c r="J167" s="804" t="s">
        <v>6473</v>
      </c>
      <c r="K167" s="804" t="s">
        <v>4635</v>
      </c>
      <c r="L167" s="804" t="s">
        <v>4635</v>
      </c>
      <c r="M167" s="803" t="s">
        <v>6589</v>
      </c>
      <c r="N167" s="809">
        <v>67</v>
      </c>
    </row>
    <row r="168" spans="1:14" ht="8.25" customHeight="1" x14ac:dyDescent="0.15">
      <c r="B168" s="723">
        <v>28</v>
      </c>
      <c r="C168" s="478"/>
      <c r="D168" s="478" t="s">
        <v>565</v>
      </c>
      <c r="E168" s="478" t="s">
        <v>565</v>
      </c>
      <c r="F168" s="478"/>
      <c r="G168" s="724"/>
      <c r="H168" s="725"/>
      <c r="I168" s="726"/>
      <c r="J168" s="478"/>
      <c r="K168" s="478" t="s">
        <v>565</v>
      </c>
      <c r="L168" s="478" t="s">
        <v>565</v>
      </c>
      <c r="M168" s="478"/>
      <c r="N168" s="727">
        <v>68</v>
      </c>
    </row>
    <row r="169" spans="1:14" ht="8.25" customHeight="1" x14ac:dyDescent="0.15">
      <c r="B169" s="723">
        <v>29</v>
      </c>
      <c r="C169" s="478"/>
      <c r="D169" s="478" t="s">
        <v>565</v>
      </c>
      <c r="E169" s="478" t="s">
        <v>565</v>
      </c>
      <c r="F169" s="478"/>
      <c r="G169" s="724"/>
      <c r="H169" s="725"/>
      <c r="I169" s="726"/>
      <c r="J169" s="478"/>
      <c r="K169" s="478" t="s">
        <v>565</v>
      </c>
      <c r="L169" s="478" t="s">
        <v>565</v>
      </c>
      <c r="M169" s="478"/>
      <c r="N169" s="727">
        <v>69</v>
      </c>
    </row>
    <row r="170" spans="1:14" ht="8.25" customHeight="1" x14ac:dyDescent="0.15">
      <c r="B170" s="723">
        <v>30</v>
      </c>
      <c r="C170" s="478"/>
      <c r="D170" s="478" t="s">
        <v>565</v>
      </c>
      <c r="E170" s="478" t="s">
        <v>565</v>
      </c>
      <c r="F170" s="478"/>
      <c r="G170" s="724"/>
      <c r="H170" s="725"/>
      <c r="I170" s="726"/>
      <c r="J170" s="478"/>
      <c r="K170" s="478" t="s">
        <v>565</v>
      </c>
      <c r="L170" s="478" t="s">
        <v>565</v>
      </c>
      <c r="M170" s="478"/>
      <c r="N170" s="727">
        <v>70</v>
      </c>
    </row>
    <row r="171" spans="1:14" ht="8.25" customHeight="1" x14ac:dyDescent="0.15">
      <c r="B171" s="723">
        <v>31</v>
      </c>
      <c r="C171" s="478"/>
      <c r="D171" s="478" t="s">
        <v>565</v>
      </c>
      <c r="E171" s="478" t="s">
        <v>565</v>
      </c>
      <c r="F171" s="478"/>
      <c r="G171" s="724"/>
      <c r="H171" s="725"/>
      <c r="I171" s="726"/>
      <c r="J171" s="478"/>
      <c r="K171" s="478" t="s">
        <v>565</v>
      </c>
      <c r="L171" s="478" t="s">
        <v>565</v>
      </c>
      <c r="M171" s="478"/>
      <c r="N171" s="727">
        <v>71</v>
      </c>
    </row>
    <row r="172" spans="1:14" ht="8.25" customHeight="1" x14ac:dyDescent="0.15">
      <c r="B172" s="723">
        <v>32</v>
      </c>
      <c r="C172" s="478"/>
      <c r="D172" s="478" t="s">
        <v>565</v>
      </c>
      <c r="E172" s="478" t="s">
        <v>565</v>
      </c>
      <c r="F172" s="478"/>
      <c r="G172" s="724"/>
      <c r="H172" s="725"/>
      <c r="I172" s="726"/>
      <c r="J172" s="478"/>
      <c r="K172" s="478" t="s">
        <v>565</v>
      </c>
      <c r="L172" s="478" t="s">
        <v>565</v>
      </c>
      <c r="M172" s="478"/>
      <c r="N172" s="727">
        <v>72</v>
      </c>
    </row>
    <row r="173" spans="1:14" ht="8.25" customHeight="1" x14ac:dyDescent="0.15">
      <c r="B173" s="723">
        <v>33</v>
      </c>
      <c r="C173" s="478"/>
      <c r="D173" s="478" t="s">
        <v>565</v>
      </c>
      <c r="E173" s="478" t="s">
        <v>565</v>
      </c>
      <c r="F173" s="478"/>
      <c r="G173" s="724"/>
      <c r="H173" s="725"/>
      <c r="I173" s="726"/>
      <c r="J173" s="478"/>
      <c r="K173" s="478" t="s">
        <v>565</v>
      </c>
      <c r="L173" s="478" t="s">
        <v>565</v>
      </c>
      <c r="M173" s="478"/>
      <c r="N173" s="727">
        <v>73</v>
      </c>
    </row>
    <row r="174" spans="1:14" ht="8.25" customHeight="1" x14ac:dyDescent="0.15">
      <c r="B174" s="723">
        <v>34</v>
      </c>
      <c r="C174" s="478"/>
      <c r="D174" s="478" t="s">
        <v>565</v>
      </c>
      <c r="E174" s="478" t="s">
        <v>565</v>
      </c>
      <c r="F174" s="478"/>
      <c r="G174" s="724"/>
      <c r="H174" s="725"/>
      <c r="I174" s="726"/>
      <c r="J174" s="478"/>
      <c r="K174" s="478" t="s">
        <v>565</v>
      </c>
      <c r="L174" s="478" t="s">
        <v>565</v>
      </c>
      <c r="M174" s="478"/>
      <c r="N174" s="727">
        <v>74</v>
      </c>
    </row>
    <row r="175" spans="1:14" ht="8.25" customHeight="1" x14ac:dyDescent="0.15">
      <c r="B175" s="723">
        <v>35</v>
      </c>
      <c r="C175" s="478"/>
      <c r="D175" s="478" t="s">
        <v>565</v>
      </c>
      <c r="E175" s="478" t="s">
        <v>565</v>
      </c>
      <c r="F175" s="478"/>
      <c r="G175" s="724"/>
      <c r="H175" s="725"/>
      <c r="I175" s="726"/>
      <c r="J175" s="478"/>
      <c r="K175" s="478" t="s">
        <v>565</v>
      </c>
      <c r="L175" s="478" t="s">
        <v>565</v>
      </c>
      <c r="M175" s="478"/>
      <c r="N175" s="727">
        <v>75</v>
      </c>
    </row>
    <row r="176" spans="1:14" ht="8.25" customHeight="1" x14ac:dyDescent="0.15">
      <c r="B176" s="723">
        <v>36</v>
      </c>
      <c r="C176" s="478"/>
      <c r="D176" s="478" t="s">
        <v>565</v>
      </c>
      <c r="E176" s="478" t="s">
        <v>565</v>
      </c>
      <c r="F176" s="478"/>
      <c r="G176" s="724"/>
      <c r="H176" s="725"/>
      <c r="I176" s="726"/>
      <c r="J176" s="478"/>
      <c r="K176" s="478" t="s">
        <v>565</v>
      </c>
      <c r="L176" s="478" t="s">
        <v>565</v>
      </c>
      <c r="M176" s="478"/>
      <c r="N176" s="727">
        <v>76</v>
      </c>
    </row>
    <row r="177" spans="1:14" ht="8.25" customHeight="1" x14ac:dyDescent="0.15">
      <c r="B177" s="723">
        <v>37</v>
      </c>
      <c r="C177" s="478"/>
      <c r="D177" s="478" t="s">
        <v>565</v>
      </c>
      <c r="E177" s="478" t="s">
        <v>565</v>
      </c>
      <c r="F177" s="478"/>
      <c r="G177" s="724"/>
      <c r="H177" s="725"/>
      <c r="I177" s="726"/>
      <c r="J177" s="478"/>
      <c r="K177" s="478" t="s">
        <v>565</v>
      </c>
      <c r="L177" s="478" t="s">
        <v>565</v>
      </c>
      <c r="M177" s="478"/>
      <c r="N177" s="727">
        <v>77</v>
      </c>
    </row>
    <row r="178" spans="1:14" ht="8.25" customHeight="1" x14ac:dyDescent="0.15">
      <c r="B178" s="723">
        <v>38</v>
      </c>
      <c r="C178" s="478"/>
      <c r="D178" s="478" t="s">
        <v>565</v>
      </c>
      <c r="E178" s="478" t="s">
        <v>565</v>
      </c>
      <c r="F178" s="478"/>
      <c r="G178" s="724"/>
      <c r="H178" s="725"/>
      <c r="I178" s="726"/>
      <c r="J178" s="478"/>
      <c r="K178" s="478" t="s">
        <v>565</v>
      </c>
      <c r="L178" s="478" t="s">
        <v>565</v>
      </c>
      <c r="M178" s="478"/>
      <c r="N178" s="727">
        <v>78</v>
      </c>
    </row>
    <row r="179" spans="1:14" ht="8.25" customHeight="1" x14ac:dyDescent="0.15">
      <c r="B179" s="723">
        <v>39</v>
      </c>
      <c r="C179" s="478"/>
      <c r="D179" s="478" t="s">
        <v>565</v>
      </c>
      <c r="E179" s="478" t="s">
        <v>565</v>
      </c>
      <c r="F179" s="478"/>
      <c r="G179" s="724"/>
      <c r="H179" s="725"/>
      <c r="I179" s="726"/>
      <c r="J179" s="478"/>
      <c r="K179" s="478" t="s">
        <v>565</v>
      </c>
      <c r="L179" s="478" t="s">
        <v>565</v>
      </c>
      <c r="M179" s="478"/>
      <c r="N179" s="727">
        <v>79</v>
      </c>
    </row>
    <row r="180" spans="1:14" ht="8.25" customHeight="1" thickBot="1" x14ac:dyDescent="0.2">
      <c r="B180" s="728">
        <v>40</v>
      </c>
      <c r="C180" s="729"/>
      <c r="D180" s="729" t="s">
        <v>565</v>
      </c>
      <c r="E180" s="729" t="s">
        <v>565</v>
      </c>
      <c r="F180" s="729"/>
      <c r="G180" s="730"/>
      <c r="H180" s="731"/>
      <c r="I180" s="732"/>
      <c r="J180" s="729"/>
      <c r="K180" s="729" t="s">
        <v>565</v>
      </c>
      <c r="L180" s="729" t="s">
        <v>565</v>
      </c>
      <c r="M180" s="729"/>
      <c r="N180" s="733">
        <v>80</v>
      </c>
    </row>
    <row r="181" spans="1:14" ht="26.25" customHeight="1" x14ac:dyDescent="0.15">
      <c r="I181" s="495" t="s">
        <v>6484</v>
      </c>
      <c r="J181" s="734">
        <f>SUM(G141:G180,I141:I180)</f>
        <v>0</v>
      </c>
    </row>
    <row r="182" spans="1:14" ht="18.95" customHeight="1" x14ac:dyDescent="0.15"/>
    <row r="183" spans="1:14" ht="18.95" customHeight="1" x14ac:dyDescent="0.15">
      <c r="C183" s="716" t="s">
        <v>6590</v>
      </c>
      <c r="J183" s="495" t="s">
        <v>6437</v>
      </c>
      <c r="K183" s="494"/>
      <c r="L183" s="494"/>
      <c r="M183" s="495" t="s">
        <v>6438</v>
      </c>
    </row>
    <row r="184" spans="1:14" ht="18.95" customHeight="1" thickBot="1" x14ac:dyDescent="0.2">
      <c r="C184" s="716" t="s">
        <v>6591</v>
      </c>
    </row>
    <row r="185" spans="1:14" ht="20.25" customHeight="1" x14ac:dyDescent="0.15">
      <c r="B185" s="717" t="s">
        <v>6440</v>
      </c>
      <c r="C185" s="718" t="s">
        <v>4564</v>
      </c>
      <c r="D185" s="718" t="s">
        <v>6442</v>
      </c>
      <c r="E185" s="718" t="s">
        <v>6443</v>
      </c>
      <c r="F185" s="718" t="s">
        <v>6444</v>
      </c>
      <c r="G185" s="719" t="s">
        <v>6445</v>
      </c>
      <c r="H185" s="735"/>
      <c r="I185" s="721" t="s">
        <v>6445</v>
      </c>
      <c r="J185" s="718" t="s">
        <v>6444</v>
      </c>
      <c r="K185" s="718" t="s">
        <v>6442</v>
      </c>
      <c r="L185" s="718" t="s">
        <v>6443</v>
      </c>
      <c r="M185" s="718" t="s">
        <v>4564</v>
      </c>
      <c r="N185" s="722" t="s">
        <v>6440</v>
      </c>
    </row>
    <row r="186" spans="1:14" s="755" customFormat="1" ht="20.25" customHeight="1" x14ac:dyDescent="0.15">
      <c r="A186" s="754"/>
      <c r="B186" s="802">
        <v>1</v>
      </c>
      <c r="C186" s="803" t="s">
        <v>6592</v>
      </c>
      <c r="D186" s="804" t="s">
        <v>4635</v>
      </c>
      <c r="E186" s="804" t="s">
        <v>4635</v>
      </c>
      <c r="F186" s="804" t="s">
        <v>6460</v>
      </c>
      <c r="G186" s="805"/>
      <c r="H186" s="749"/>
      <c r="I186" s="811"/>
      <c r="J186" s="804" t="s">
        <v>6473</v>
      </c>
      <c r="K186" s="804" t="s">
        <v>4635</v>
      </c>
      <c r="L186" s="804" t="s">
        <v>4635</v>
      </c>
      <c r="M186" s="803" t="s">
        <v>6593</v>
      </c>
      <c r="N186" s="809">
        <v>41</v>
      </c>
    </row>
    <row r="187" spans="1:14" s="755" customFormat="1" ht="20.25" customHeight="1" x14ac:dyDescent="0.15">
      <c r="A187" s="754"/>
      <c r="B187" s="802">
        <v>2</v>
      </c>
      <c r="C187" s="803" t="s">
        <v>6594</v>
      </c>
      <c r="D187" s="804" t="s">
        <v>4635</v>
      </c>
      <c r="E187" s="804" t="s">
        <v>4635</v>
      </c>
      <c r="F187" s="804" t="s">
        <v>6460</v>
      </c>
      <c r="G187" s="805"/>
      <c r="H187" s="749"/>
      <c r="I187" s="811"/>
      <c r="J187" s="804" t="s">
        <v>6473</v>
      </c>
      <c r="K187" s="804" t="s">
        <v>4635</v>
      </c>
      <c r="L187" s="804" t="s">
        <v>4635</v>
      </c>
      <c r="M187" s="803" t="s">
        <v>6595</v>
      </c>
      <c r="N187" s="809">
        <v>42</v>
      </c>
    </row>
    <row r="188" spans="1:14" s="755" customFormat="1" ht="20.25" customHeight="1" x14ac:dyDescent="0.15">
      <c r="A188" s="754"/>
      <c r="B188" s="802">
        <v>3</v>
      </c>
      <c r="C188" s="803" t="s">
        <v>6596</v>
      </c>
      <c r="D188" s="804" t="s">
        <v>4635</v>
      </c>
      <c r="E188" s="804" t="s">
        <v>4635</v>
      </c>
      <c r="F188" s="804" t="s">
        <v>6473</v>
      </c>
      <c r="G188" s="805"/>
      <c r="H188" s="749"/>
      <c r="I188" s="811"/>
      <c r="J188" s="804" t="s">
        <v>6473</v>
      </c>
      <c r="K188" s="804" t="s">
        <v>4635</v>
      </c>
      <c r="L188" s="804" t="s">
        <v>4635</v>
      </c>
      <c r="M188" s="803" t="s">
        <v>6597</v>
      </c>
      <c r="N188" s="809">
        <v>43</v>
      </c>
    </row>
    <row r="189" spans="1:14" s="755" customFormat="1" ht="20.25" customHeight="1" x14ac:dyDescent="0.15">
      <c r="A189" s="754"/>
      <c r="B189" s="745">
        <v>4</v>
      </c>
      <c r="C189" s="746" t="s">
        <v>6598</v>
      </c>
      <c r="D189" s="747" t="s">
        <v>4635</v>
      </c>
      <c r="E189" s="747" t="s">
        <v>565</v>
      </c>
      <c r="F189" s="747"/>
      <c r="G189" s="748"/>
      <c r="H189" s="749"/>
      <c r="I189" s="811"/>
      <c r="J189" s="804" t="s">
        <v>6473</v>
      </c>
      <c r="K189" s="804" t="s">
        <v>4635</v>
      </c>
      <c r="L189" s="804" t="s">
        <v>4635</v>
      </c>
      <c r="M189" s="803" t="s">
        <v>6599</v>
      </c>
      <c r="N189" s="809">
        <v>44</v>
      </c>
    </row>
    <row r="190" spans="1:14" s="755" customFormat="1" ht="20.25" customHeight="1" x14ac:dyDescent="0.15">
      <c r="A190" s="754"/>
      <c r="B190" s="802">
        <v>5</v>
      </c>
      <c r="C190" s="803" t="s">
        <v>6600</v>
      </c>
      <c r="D190" s="804" t="s">
        <v>4635</v>
      </c>
      <c r="E190" s="804" t="s">
        <v>4635</v>
      </c>
      <c r="F190" s="804" t="s">
        <v>6473</v>
      </c>
      <c r="G190" s="805"/>
      <c r="H190" s="749"/>
      <c r="I190" s="750"/>
      <c r="J190" s="747"/>
      <c r="K190" s="747" t="s">
        <v>4635</v>
      </c>
      <c r="L190" s="747" t="s">
        <v>565</v>
      </c>
      <c r="M190" s="746" t="s">
        <v>6601</v>
      </c>
      <c r="N190" s="751">
        <v>45</v>
      </c>
    </row>
    <row r="191" spans="1:14" s="755" customFormat="1" ht="20.25" customHeight="1" x14ac:dyDescent="0.15">
      <c r="A191" s="754"/>
      <c r="B191" s="802">
        <v>6</v>
      </c>
      <c r="C191" s="803" t="s">
        <v>6602</v>
      </c>
      <c r="D191" s="804" t="s">
        <v>4635</v>
      </c>
      <c r="E191" s="804" t="s">
        <v>4635</v>
      </c>
      <c r="F191" s="804" t="s">
        <v>6473</v>
      </c>
      <c r="G191" s="805"/>
      <c r="H191" s="749"/>
      <c r="I191" s="811"/>
      <c r="J191" s="804" t="s">
        <v>6473</v>
      </c>
      <c r="K191" s="804" t="s">
        <v>4635</v>
      </c>
      <c r="L191" s="804" t="s">
        <v>4635</v>
      </c>
      <c r="M191" s="803" t="s">
        <v>6603</v>
      </c>
      <c r="N191" s="809">
        <v>46</v>
      </c>
    </row>
    <row r="192" spans="1:14" s="755" customFormat="1" ht="20.25" customHeight="1" x14ac:dyDescent="0.15">
      <c r="A192" s="754"/>
      <c r="B192" s="802">
        <v>7</v>
      </c>
      <c r="C192" s="803" t="s">
        <v>6604</v>
      </c>
      <c r="D192" s="804" t="s">
        <v>4635</v>
      </c>
      <c r="E192" s="804" t="s">
        <v>4635</v>
      </c>
      <c r="F192" s="804" t="s">
        <v>6473</v>
      </c>
      <c r="G192" s="805"/>
      <c r="H192" s="749"/>
      <c r="I192" s="811"/>
      <c r="J192" s="804" t="s">
        <v>6473</v>
      </c>
      <c r="K192" s="804" t="s">
        <v>4635</v>
      </c>
      <c r="L192" s="804" t="s">
        <v>4635</v>
      </c>
      <c r="M192" s="803" t="s">
        <v>6605</v>
      </c>
      <c r="N192" s="809">
        <v>47</v>
      </c>
    </row>
    <row r="193" spans="1:14" s="755" customFormat="1" ht="11.25" customHeight="1" x14ac:dyDescent="0.15">
      <c r="A193" s="754"/>
      <c r="B193" s="745">
        <v>8</v>
      </c>
      <c r="C193" s="756" t="s">
        <v>6606</v>
      </c>
      <c r="D193" s="747" t="s">
        <v>4635</v>
      </c>
      <c r="E193" s="747" t="s">
        <v>565</v>
      </c>
      <c r="F193" s="747"/>
      <c r="G193" s="748"/>
      <c r="H193" s="749"/>
      <c r="I193" s="750"/>
      <c r="J193" s="747"/>
      <c r="K193" s="747" t="s">
        <v>4635</v>
      </c>
      <c r="L193" s="747" t="s">
        <v>565</v>
      </c>
      <c r="M193" s="746" t="s">
        <v>6607</v>
      </c>
      <c r="N193" s="751">
        <v>48</v>
      </c>
    </row>
    <row r="194" spans="1:14" s="755" customFormat="1" ht="20.25" customHeight="1" x14ac:dyDescent="0.15">
      <c r="A194" s="754"/>
      <c r="B194" s="745">
        <v>9</v>
      </c>
      <c r="C194" s="746" t="s">
        <v>6608</v>
      </c>
      <c r="D194" s="747" t="s">
        <v>4635</v>
      </c>
      <c r="E194" s="747" t="s">
        <v>565</v>
      </c>
      <c r="F194" s="747"/>
      <c r="G194" s="748"/>
      <c r="H194" s="749"/>
      <c r="I194" s="811"/>
      <c r="J194" s="804" t="s">
        <v>6473</v>
      </c>
      <c r="K194" s="804" t="s">
        <v>4635</v>
      </c>
      <c r="L194" s="804" t="s">
        <v>4635</v>
      </c>
      <c r="M194" s="803" t="s">
        <v>6609</v>
      </c>
      <c r="N194" s="809">
        <v>49</v>
      </c>
    </row>
    <row r="195" spans="1:14" s="755" customFormat="1" ht="20.25" customHeight="1" x14ac:dyDescent="0.15">
      <c r="A195" s="754"/>
      <c r="B195" s="802">
        <v>10</v>
      </c>
      <c r="C195" s="803" t="s">
        <v>6610</v>
      </c>
      <c r="D195" s="804" t="s">
        <v>4635</v>
      </c>
      <c r="E195" s="804" t="s">
        <v>4635</v>
      </c>
      <c r="F195" s="804" t="s">
        <v>6473</v>
      </c>
      <c r="G195" s="805"/>
      <c r="H195" s="749"/>
      <c r="I195" s="811"/>
      <c r="J195" s="804" t="s">
        <v>6450</v>
      </c>
      <c r="K195" s="804" t="s">
        <v>4635</v>
      </c>
      <c r="L195" s="804" t="s">
        <v>4635</v>
      </c>
      <c r="M195" s="803" t="s">
        <v>6611</v>
      </c>
      <c r="N195" s="809">
        <v>50</v>
      </c>
    </row>
    <row r="196" spans="1:14" s="755" customFormat="1" ht="20.25" customHeight="1" x14ac:dyDescent="0.15">
      <c r="A196" s="754"/>
      <c r="B196" s="745">
        <v>11</v>
      </c>
      <c r="C196" s="746" t="s">
        <v>6612</v>
      </c>
      <c r="D196" s="747" t="s">
        <v>4635</v>
      </c>
      <c r="E196" s="747" t="s">
        <v>565</v>
      </c>
      <c r="F196" s="747"/>
      <c r="G196" s="748"/>
      <c r="H196" s="749"/>
      <c r="I196" s="811"/>
      <c r="J196" s="804" t="s">
        <v>6450</v>
      </c>
      <c r="K196" s="804" t="s">
        <v>4635</v>
      </c>
      <c r="L196" s="804" t="s">
        <v>4635</v>
      </c>
      <c r="M196" s="803" t="s">
        <v>6613</v>
      </c>
      <c r="N196" s="809">
        <v>51</v>
      </c>
    </row>
    <row r="197" spans="1:14" s="755" customFormat="1" ht="20.25" customHeight="1" x14ac:dyDescent="0.15">
      <c r="A197" s="754"/>
      <c r="B197" s="745">
        <v>12</v>
      </c>
      <c r="C197" s="746" t="s">
        <v>6614</v>
      </c>
      <c r="D197" s="747" t="s">
        <v>4635</v>
      </c>
      <c r="E197" s="747" t="s">
        <v>565</v>
      </c>
      <c r="F197" s="747"/>
      <c r="G197" s="748"/>
      <c r="H197" s="749"/>
      <c r="I197" s="811"/>
      <c r="J197" s="804" t="s">
        <v>6450</v>
      </c>
      <c r="K197" s="804" t="s">
        <v>4635</v>
      </c>
      <c r="L197" s="804" t="s">
        <v>4635</v>
      </c>
      <c r="M197" s="803" t="s">
        <v>6615</v>
      </c>
      <c r="N197" s="809">
        <v>52</v>
      </c>
    </row>
    <row r="198" spans="1:14" s="755" customFormat="1" ht="20.25" customHeight="1" x14ac:dyDescent="0.15">
      <c r="A198" s="754"/>
      <c r="B198" s="745">
        <v>13</v>
      </c>
      <c r="C198" s="746" t="s">
        <v>6616</v>
      </c>
      <c r="D198" s="747" t="s">
        <v>4635</v>
      </c>
      <c r="E198" s="747" t="s">
        <v>565</v>
      </c>
      <c r="F198" s="747"/>
      <c r="G198" s="748"/>
      <c r="H198" s="749"/>
      <c r="I198" s="811"/>
      <c r="J198" s="804" t="s">
        <v>6450</v>
      </c>
      <c r="K198" s="804" t="s">
        <v>4635</v>
      </c>
      <c r="L198" s="804" t="s">
        <v>4635</v>
      </c>
      <c r="M198" s="803" t="s">
        <v>6617</v>
      </c>
      <c r="N198" s="809">
        <v>53</v>
      </c>
    </row>
    <row r="199" spans="1:14" s="755" customFormat="1" ht="12" customHeight="1" x14ac:dyDescent="0.15">
      <c r="A199" s="754"/>
      <c r="B199" s="745">
        <v>14</v>
      </c>
      <c r="C199" s="746" t="s">
        <v>6618</v>
      </c>
      <c r="D199" s="747" t="s">
        <v>4635</v>
      </c>
      <c r="E199" s="747" t="s">
        <v>565</v>
      </c>
      <c r="F199" s="747"/>
      <c r="G199" s="748"/>
      <c r="H199" s="749"/>
      <c r="I199" s="750"/>
      <c r="J199" s="747"/>
      <c r="K199" s="747" t="s">
        <v>565</v>
      </c>
      <c r="L199" s="747" t="s">
        <v>565</v>
      </c>
      <c r="M199" s="747"/>
      <c r="N199" s="751">
        <v>54</v>
      </c>
    </row>
    <row r="200" spans="1:14" s="755" customFormat="1" ht="20.25" customHeight="1" x14ac:dyDescent="0.15">
      <c r="A200" s="754"/>
      <c r="B200" s="802">
        <v>15</v>
      </c>
      <c r="C200" s="803" t="s">
        <v>6619</v>
      </c>
      <c r="D200" s="804" t="s">
        <v>4635</v>
      </c>
      <c r="E200" s="804" t="s">
        <v>4635</v>
      </c>
      <c r="F200" s="804" t="s">
        <v>6473</v>
      </c>
      <c r="G200" s="805"/>
      <c r="H200" s="749"/>
      <c r="I200" s="811"/>
      <c r="J200" s="804" t="s">
        <v>6450</v>
      </c>
      <c r="K200" s="804" t="s">
        <v>4635</v>
      </c>
      <c r="L200" s="804" t="s">
        <v>4635</v>
      </c>
      <c r="M200" s="803" t="s">
        <v>6620</v>
      </c>
      <c r="N200" s="809">
        <v>55</v>
      </c>
    </row>
    <row r="201" spans="1:14" s="755" customFormat="1" ht="20.25" customHeight="1" x14ac:dyDescent="0.15">
      <c r="A201" s="754"/>
      <c r="B201" s="802">
        <v>16</v>
      </c>
      <c r="C201" s="803" t="s">
        <v>6621</v>
      </c>
      <c r="D201" s="804" t="s">
        <v>4635</v>
      </c>
      <c r="E201" s="804" t="s">
        <v>4635</v>
      </c>
      <c r="F201" s="804" t="s">
        <v>6473</v>
      </c>
      <c r="G201" s="805"/>
      <c r="H201" s="749"/>
      <c r="I201" s="757"/>
      <c r="J201" s="1221"/>
      <c r="K201" s="747" t="s">
        <v>565</v>
      </c>
      <c r="L201" s="747" t="s">
        <v>565</v>
      </c>
      <c r="M201" s="825"/>
      <c r="N201" s="1222">
        <v>56</v>
      </c>
    </row>
    <row r="202" spans="1:14" s="755" customFormat="1" ht="20.25" customHeight="1" x14ac:dyDescent="0.15">
      <c r="A202" s="754"/>
      <c r="B202" s="802">
        <v>17</v>
      </c>
      <c r="C202" s="803" t="s">
        <v>6622</v>
      </c>
      <c r="D202" s="804" t="s">
        <v>4635</v>
      </c>
      <c r="E202" s="804" t="s">
        <v>4635</v>
      </c>
      <c r="F202" s="804" t="s">
        <v>6473</v>
      </c>
      <c r="G202" s="805"/>
      <c r="H202" s="749"/>
      <c r="I202" s="811"/>
      <c r="J202" s="804" t="s">
        <v>6473</v>
      </c>
      <c r="K202" s="804" t="s">
        <v>4635</v>
      </c>
      <c r="L202" s="804" t="s">
        <v>4635</v>
      </c>
      <c r="M202" s="803" t="s">
        <v>6623</v>
      </c>
      <c r="N202" s="809">
        <v>57</v>
      </c>
    </row>
    <row r="203" spans="1:14" s="755" customFormat="1" ht="20.25" customHeight="1" x14ac:dyDescent="0.15">
      <c r="A203" s="754"/>
      <c r="B203" s="802">
        <v>18</v>
      </c>
      <c r="C203" s="803" t="s">
        <v>6624</v>
      </c>
      <c r="D203" s="804" t="s">
        <v>4635</v>
      </c>
      <c r="E203" s="804" t="s">
        <v>4635</v>
      </c>
      <c r="F203" s="804" t="s">
        <v>6450</v>
      </c>
      <c r="G203" s="805"/>
      <c r="H203" s="749"/>
      <c r="I203" s="811"/>
      <c r="J203" s="804" t="s">
        <v>6473</v>
      </c>
      <c r="K203" s="804" t="s">
        <v>4635</v>
      </c>
      <c r="L203" s="804" t="s">
        <v>4635</v>
      </c>
      <c r="M203" s="803" t="s">
        <v>6625</v>
      </c>
      <c r="N203" s="809">
        <v>58</v>
      </c>
    </row>
    <row r="204" spans="1:14" s="755" customFormat="1" ht="20.25" customHeight="1" x14ac:dyDescent="0.15">
      <c r="A204" s="754"/>
      <c r="B204" s="802">
        <v>19</v>
      </c>
      <c r="C204" s="803" t="s">
        <v>6626</v>
      </c>
      <c r="D204" s="804" t="s">
        <v>4635</v>
      </c>
      <c r="E204" s="804" t="s">
        <v>4635</v>
      </c>
      <c r="F204" s="804" t="s">
        <v>6450</v>
      </c>
      <c r="G204" s="805"/>
      <c r="H204" s="749"/>
      <c r="I204" s="811"/>
      <c r="J204" s="804" t="s">
        <v>6460</v>
      </c>
      <c r="K204" s="804" t="s">
        <v>4635</v>
      </c>
      <c r="L204" s="804" t="s">
        <v>4635</v>
      </c>
      <c r="M204" s="803" t="s">
        <v>6627</v>
      </c>
      <c r="N204" s="809">
        <v>59</v>
      </c>
    </row>
    <row r="205" spans="1:14" s="755" customFormat="1" ht="20.25" customHeight="1" x14ac:dyDescent="0.15">
      <c r="A205" s="754"/>
      <c r="B205" s="802">
        <v>20</v>
      </c>
      <c r="C205" s="803" t="s">
        <v>6628</v>
      </c>
      <c r="D205" s="804" t="s">
        <v>4635</v>
      </c>
      <c r="E205" s="804" t="s">
        <v>4635</v>
      </c>
      <c r="F205" s="804" t="s">
        <v>6450</v>
      </c>
      <c r="G205" s="805"/>
      <c r="H205" s="749"/>
      <c r="I205" s="811"/>
      <c r="J205" s="804" t="s">
        <v>6460</v>
      </c>
      <c r="K205" s="804" t="s">
        <v>4635</v>
      </c>
      <c r="L205" s="804" t="s">
        <v>4635</v>
      </c>
      <c r="M205" s="803" t="s">
        <v>6629</v>
      </c>
      <c r="N205" s="809">
        <v>60</v>
      </c>
    </row>
    <row r="206" spans="1:14" s="755" customFormat="1" ht="20.25" customHeight="1" x14ac:dyDescent="0.15">
      <c r="A206" s="754"/>
      <c r="B206" s="802">
        <v>21</v>
      </c>
      <c r="C206" s="803" t="s">
        <v>6630</v>
      </c>
      <c r="D206" s="804" t="s">
        <v>4635</v>
      </c>
      <c r="E206" s="804" t="s">
        <v>4635</v>
      </c>
      <c r="F206" s="804" t="s">
        <v>6473</v>
      </c>
      <c r="G206" s="805"/>
      <c r="H206" s="749"/>
      <c r="I206" s="811"/>
      <c r="J206" s="804" t="s">
        <v>6460</v>
      </c>
      <c r="K206" s="804" t="s">
        <v>4635</v>
      </c>
      <c r="L206" s="804" t="s">
        <v>4635</v>
      </c>
      <c r="M206" s="803" t="s">
        <v>6631</v>
      </c>
      <c r="N206" s="809">
        <v>61</v>
      </c>
    </row>
    <row r="207" spans="1:14" s="755" customFormat="1" ht="20.25" customHeight="1" x14ac:dyDescent="0.15">
      <c r="A207" s="754"/>
      <c r="B207" s="802">
        <v>22</v>
      </c>
      <c r="C207" s="803" t="s">
        <v>6632</v>
      </c>
      <c r="D207" s="804" t="s">
        <v>4635</v>
      </c>
      <c r="E207" s="804" t="s">
        <v>4635</v>
      </c>
      <c r="F207" s="804" t="s">
        <v>6450</v>
      </c>
      <c r="G207" s="805"/>
      <c r="H207" s="749"/>
      <c r="I207" s="750"/>
      <c r="J207" s="747"/>
      <c r="K207" s="747" t="s">
        <v>565</v>
      </c>
      <c r="L207" s="747" t="s">
        <v>565</v>
      </c>
      <c r="M207" s="747"/>
      <c r="N207" s="751">
        <v>62</v>
      </c>
    </row>
    <row r="208" spans="1:14" s="755" customFormat="1" ht="20.25" customHeight="1" x14ac:dyDescent="0.15">
      <c r="A208" s="754"/>
      <c r="B208" s="802">
        <v>23</v>
      </c>
      <c r="C208" s="803" t="s">
        <v>6633</v>
      </c>
      <c r="D208" s="804" t="s">
        <v>4635</v>
      </c>
      <c r="E208" s="804" t="s">
        <v>4635</v>
      </c>
      <c r="F208" s="804" t="s">
        <v>6450</v>
      </c>
      <c r="G208" s="805"/>
      <c r="H208" s="749"/>
      <c r="I208" s="750"/>
      <c r="J208" s="747"/>
      <c r="K208" s="747" t="s">
        <v>565</v>
      </c>
      <c r="L208" s="747" t="s">
        <v>565</v>
      </c>
      <c r="M208" s="747"/>
      <c r="N208" s="751">
        <v>63</v>
      </c>
    </row>
    <row r="209" spans="1:14" s="755" customFormat="1" ht="15.75" customHeight="1" x14ac:dyDescent="0.15">
      <c r="A209" s="754"/>
      <c r="B209" s="745">
        <v>24</v>
      </c>
      <c r="C209" s="747"/>
      <c r="D209" s="747" t="s">
        <v>565</v>
      </c>
      <c r="E209" s="747" t="s">
        <v>565</v>
      </c>
      <c r="F209" s="747"/>
      <c r="G209" s="748"/>
      <c r="H209" s="749"/>
      <c r="I209" s="750"/>
      <c r="J209" s="747"/>
      <c r="K209" s="747" t="s">
        <v>565</v>
      </c>
      <c r="L209" s="747" t="s">
        <v>565</v>
      </c>
      <c r="M209" s="747"/>
      <c r="N209" s="751">
        <v>64</v>
      </c>
    </row>
    <row r="210" spans="1:14" s="755" customFormat="1" ht="20.25" customHeight="1" x14ac:dyDescent="0.15">
      <c r="A210" s="754"/>
      <c r="B210" s="802">
        <v>25</v>
      </c>
      <c r="C210" s="803" t="s">
        <v>6634</v>
      </c>
      <c r="D210" s="804" t="s">
        <v>4635</v>
      </c>
      <c r="E210" s="804" t="s">
        <v>4635</v>
      </c>
      <c r="F210" s="804" t="s">
        <v>6450</v>
      </c>
      <c r="G210" s="805"/>
      <c r="H210" s="749"/>
      <c r="I210" s="750"/>
      <c r="J210" s="747"/>
      <c r="K210" s="747" t="s">
        <v>565</v>
      </c>
      <c r="L210" s="747" t="s">
        <v>565</v>
      </c>
      <c r="M210" s="747"/>
      <c r="N210" s="751">
        <v>65</v>
      </c>
    </row>
    <row r="211" spans="1:14" s="755" customFormat="1" ht="20.25" customHeight="1" x14ac:dyDescent="0.15">
      <c r="A211" s="754"/>
      <c r="B211" s="802">
        <v>26</v>
      </c>
      <c r="C211" s="803" t="s">
        <v>6635</v>
      </c>
      <c r="D211" s="804" t="s">
        <v>4635</v>
      </c>
      <c r="E211" s="804" t="s">
        <v>4635</v>
      </c>
      <c r="F211" s="804" t="s">
        <v>6473</v>
      </c>
      <c r="G211" s="805"/>
      <c r="H211" s="749"/>
      <c r="I211" s="750"/>
      <c r="J211" s="747"/>
      <c r="K211" s="747" t="s">
        <v>565</v>
      </c>
      <c r="L211" s="747" t="s">
        <v>565</v>
      </c>
      <c r="M211" s="747"/>
      <c r="N211" s="751">
        <v>66</v>
      </c>
    </row>
    <row r="212" spans="1:14" s="755" customFormat="1" ht="20.25" customHeight="1" x14ac:dyDescent="0.15">
      <c r="A212" s="754"/>
      <c r="B212" s="802">
        <v>27</v>
      </c>
      <c r="C212" s="803" t="s">
        <v>6636</v>
      </c>
      <c r="D212" s="804" t="s">
        <v>4635</v>
      </c>
      <c r="E212" s="804" t="s">
        <v>4635</v>
      </c>
      <c r="F212" s="804" t="s">
        <v>6473</v>
      </c>
      <c r="G212" s="805"/>
      <c r="H212" s="749"/>
      <c r="I212" s="750"/>
      <c r="J212" s="747"/>
      <c r="K212" s="747" t="s">
        <v>565</v>
      </c>
      <c r="L212" s="747" t="s">
        <v>565</v>
      </c>
      <c r="M212" s="747"/>
      <c r="N212" s="751">
        <v>67</v>
      </c>
    </row>
    <row r="213" spans="1:14" s="755" customFormat="1" ht="21" x14ac:dyDescent="0.15">
      <c r="A213" s="754"/>
      <c r="B213" s="802">
        <v>28</v>
      </c>
      <c r="C213" s="803" t="s">
        <v>6637</v>
      </c>
      <c r="D213" s="804" t="s">
        <v>4635</v>
      </c>
      <c r="E213" s="804" t="s">
        <v>4635</v>
      </c>
      <c r="F213" s="804" t="s">
        <v>6460</v>
      </c>
      <c r="G213" s="805"/>
      <c r="H213" s="749"/>
      <c r="I213" s="750"/>
      <c r="J213" s="747"/>
      <c r="K213" s="747" t="s">
        <v>565</v>
      </c>
      <c r="L213" s="747" t="s">
        <v>565</v>
      </c>
      <c r="M213" s="747"/>
      <c r="N213" s="751">
        <v>68</v>
      </c>
    </row>
    <row r="214" spans="1:14" s="755" customFormat="1" ht="9" customHeight="1" x14ac:dyDescent="0.15">
      <c r="A214" s="754"/>
      <c r="B214" s="745">
        <v>29</v>
      </c>
      <c r="C214" s="747"/>
      <c r="D214" s="747" t="s">
        <v>565</v>
      </c>
      <c r="E214" s="747" t="s">
        <v>565</v>
      </c>
      <c r="F214" s="747"/>
      <c r="G214" s="748"/>
      <c r="H214" s="749"/>
      <c r="I214" s="750"/>
      <c r="J214" s="747"/>
      <c r="K214" s="747" t="s">
        <v>565</v>
      </c>
      <c r="L214" s="747" t="s">
        <v>565</v>
      </c>
      <c r="M214" s="747"/>
      <c r="N214" s="751">
        <v>69</v>
      </c>
    </row>
    <row r="215" spans="1:14" s="755" customFormat="1" ht="9" customHeight="1" x14ac:dyDescent="0.15">
      <c r="A215" s="754"/>
      <c r="B215" s="745">
        <v>30</v>
      </c>
      <c r="C215" s="747"/>
      <c r="D215" s="747" t="s">
        <v>565</v>
      </c>
      <c r="E215" s="747" t="s">
        <v>565</v>
      </c>
      <c r="F215" s="747"/>
      <c r="G215" s="748"/>
      <c r="H215" s="749"/>
      <c r="I215" s="750"/>
      <c r="J215" s="747"/>
      <c r="K215" s="747" t="s">
        <v>565</v>
      </c>
      <c r="L215" s="747" t="s">
        <v>565</v>
      </c>
      <c r="M215" s="747"/>
      <c r="N215" s="751">
        <v>70</v>
      </c>
    </row>
    <row r="216" spans="1:14" s="755" customFormat="1" ht="9" customHeight="1" x14ac:dyDescent="0.15">
      <c r="A216" s="754"/>
      <c r="B216" s="745">
        <v>31</v>
      </c>
      <c r="C216" s="747"/>
      <c r="D216" s="747" t="s">
        <v>565</v>
      </c>
      <c r="E216" s="747" t="s">
        <v>565</v>
      </c>
      <c r="F216" s="747"/>
      <c r="G216" s="748"/>
      <c r="H216" s="749"/>
      <c r="I216" s="750"/>
      <c r="J216" s="747"/>
      <c r="K216" s="747" t="s">
        <v>565</v>
      </c>
      <c r="L216" s="747" t="s">
        <v>565</v>
      </c>
      <c r="M216" s="747"/>
      <c r="N216" s="751">
        <v>71</v>
      </c>
    </row>
    <row r="217" spans="1:14" s="755" customFormat="1" ht="9" customHeight="1" x14ac:dyDescent="0.15">
      <c r="A217" s="754"/>
      <c r="B217" s="745">
        <v>32</v>
      </c>
      <c r="C217" s="747"/>
      <c r="D217" s="747" t="s">
        <v>565</v>
      </c>
      <c r="E217" s="747" t="s">
        <v>565</v>
      </c>
      <c r="F217" s="747"/>
      <c r="G217" s="748"/>
      <c r="H217" s="749"/>
      <c r="I217" s="750"/>
      <c r="J217" s="747"/>
      <c r="K217" s="747" t="s">
        <v>565</v>
      </c>
      <c r="L217" s="747" t="s">
        <v>565</v>
      </c>
      <c r="M217" s="747"/>
      <c r="N217" s="751">
        <v>72</v>
      </c>
    </row>
    <row r="218" spans="1:14" s="755" customFormat="1" ht="9" customHeight="1" x14ac:dyDescent="0.15">
      <c r="A218" s="754"/>
      <c r="B218" s="745">
        <v>33</v>
      </c>
      <c r="C218" s="747"/>
      <c r="D218" s="747" t="s">
        <v>565</v>
      </c>
      <c r="E218" s="747" t="s">
        <v>565</v>
      </c>
      <c r="F218" s="747"/>
      <c r="G218" s="748"/>
      <c r="H218" s="749"/>
      <c r="I218" s="750"/>
      <c r="J218" s="747"/>
      <c r="K218" s="747" t="s">
        <v>565</v>
      </c>
      <c r="L218" s="747" t="s">
        <v>565</v>
      </c>
      <c r="M218" s="747"/>
      <c r="N218" s="751">
        <v>73</v>
      </c>
    </row>
    <row r="219" spans="1:14" s="755" customFormat="1" ht="9" customHeight="1" x14ac:dyDescent="0.15">
      <c r="A219" s="754"/>
      <c r="B219" s="745">
        <v>34</v>
      </c>
      <c r="C219" s="747"/>
      <c r="D219" s="747" t="s">
        <v>565</v>
      </c>
      <c r="E219" s="747" t="s">
        <v>565</v>
      </c>
      <c r="F219" s="747"/>
      <c r="G219" s="748"/>
      <c r="H219" s="749"/>
      <c r="I219" s="750"/>
      <c r="J219" s="747"/>
      <c r="K219" s="747" t="s">
        <v>565</v>
      </c>
      <c r="L219" s="747" t="s">
        <v>565</v>
      </c>
      <c r="M219" s="747"/>
      <c r="N219" s="751">
        <v>74</v>
      </c>
    </row>
    <row r="220" spans="1:14" s="755" customFormat="1" ht="9" customHeight="1" x14ac:dyDescent="0.15">
      <c r="A220" s="754"/>
      <c r="B220" s="745">
        <v>35</v>
      </c>
      <c r="C220" s="747"/>
      <c r="D220" s="747" t="s">
        <v>565</v>
      </c>
      <c r="E220" s="747" t="s">
        <v>565</v>
      </c>
      <c r="F220" s="747"/>
      <c r="G220" s="748"/>
      <c r="H220" s="749"/>
      <c r="I220" s="750"/>
      <c r="J220" s="747"/>
      <c r="K220" s="747" t="s">
        <v>565</v>
      </c>
      <c r="L220" s="747" t="s">
        <v>565</v>
      </c>
      <c r="M220" s="747"/>
      <c r="N220" s="751">
        <v>75</v>
      </c>
    </row>
    <row r="221" spans="1:14" s="755" customFormat="1" ht="9" customHeight="1" x14ac:dyDescent="0.15">
      <c r="A221" s="754"/>
      <c r="B221" s="745">
        <v>36</v>
      </c>
      <c r="C221" s="747"/>
      <c r="D221" s="747" t="s">
        <v>565</v>
      </c>
      <c r="E221" s="747" t="s">
        <v>565</v>
      </c>
      <c r="F221" s="747"/>
      <c r="G221" s="748"/>
      <c r="H221" s="749"/>
      <c r="I221" s="750"/>
      <c r="J221" s="747"/>
      <c r="K221" s="747" t="s">
        <v>565</v>
      </c>
      <c r="L221" s="747" t="s">
        <v>565</v>
      </c>
      <c r="M221" s="747"/>
      <c r="N221" s="751">
        <v>76</v>
      </c>
    </row>
    <row r="222" spans="1:14" s="755" customFormat="1" ht="9" customHeight="1" x14ac:dyDescent="0.15">
      <c r="A222" s="754"/>
      <c r="B222" s="745">
        <v>37</v>
      </c>
      <c r="C222" s="747"/>
      <c r="D222" s="747" t="s">
        <v>565</v>
      </c>
      <c r="E222" s="747" t="s">
        <v>565</v>
      </c>
      <c r="F222" s="747"/>
      <c r="G222" s="748"/>
      <c r="H222" s="749"/>
      <c r="I222" s="750"/>
      <c r="J222" s="747"/>
      <c r="K222" s="747" t="s">
        <v>565</v>
      </c>
      <c r="L222" s="747" t="s">
        <v>565</v>
      </c>
      <c r="M222" s="747"/>
      <c r="N222" s="751">
        <v>77</v>
      </c>
    </row>
    <row r="223" spans="1:14" s="755" customFormat="1" ht="9" customHeight="1" x14ac:dyDescent="0.15">
      <c r="A223" s="754"/>
      <c r="B223" s="745">
        <v>38</v>
      </c>
      <c r="C223" s="747"/>
      <c r="D223" s="747" t="s">
        <v>565</v>
      </c>
      <c r="E223" s="747" t="s">
        <v>565</v>
      </c>
      <c r="F223" s="747"/>
      <c r="G223" s="748"/>
      <c r="H223" s="749"/>
      <c r="I223" s="750"/>
      <c r="J223" s="747"/>
      <c r="K223" s="747" t="s">
        <v>565</v>
      </c>
      <c r="L223" s="747" t="s">
        <v>565</v>
      </c>
      <c r="M223" s="747"/>
      <c r="N223" s="751">
        <v>78</v>
      </c>
    </row>
    <row r="224" spans="1:14" s="755" customFormat="1" ht="9" customHeight="1" x14ac:dyDescent="0.15">
      <c r="A224" s="754"/>
      <c r="B224" s="745">
        <v>39</v>
      </c>
      <c r="C224" s="747"/>
      <c r="D224" s="747" t="s">
        <v>565</v>
      </c>
      <c r="E224" s="747" t="s">
        <v>565</v>
      </c>
      <c r="F224" s="747"/>
      <c r="G224" s="748"/>
      <c r="H224" s="749"/>
      <c r="I224" s="750"/>
      <c r="J224" s="747"/>
      <c r="K224" s="747" t="s">
        <v>565</v>
      </c>
      <c r="L224" s="747" t="s">
        <v>565</v>
      </c>
      <c r="M224" s="747"/>
      <c r="N224" s="751">
        <v>79</v>
      </c>
    </row>
    <row r="225" spans="1:14" s="755" customFormat="1" ht="9" customHeight="1" thickBot="1" x14ac:dyDescent="0.2">
      <c r="A225" s="754"/>
      <c r="B225" s="768">
        <v>40</v>
      </c>
      <c r="C225" s="769"/>
      <c r="D225" s="769" t="s">
        <v>565</v>
      </c>
      <c r="E225" s="769" t="s">
        <v>565</v>
      </c>
      <c r="F225" s="769"/>
      <c r="G225" s="770"/>
      <c r="H225" s="771"/>
      <c r="I225" s="772"/>
      <c r="J225" s="769"/>
      <c r="K225" s="769" t="s">
        <v>565</v>
      </c>
      <c r="L225" s="769" t="s">
        <v>565</v>
      </c>
      <c r="M225" s="769"/>
      <c r="N225" s="773">
        <v>80</v>
      </c>
    </row>
    <row r="226" spans="1:14" s="755" customFormat="1" ht="20.25" customHeight="1" x14ac:dyDescent="0.15">
      <c r="A226" s="754"/>
      <c r="B226" s="774"/>
      <c r="C226" s="774"/>
      <c r="D226" s="774"/>
      <c r="E226" s="774"/>
      <c r="F226" s="774"/>
      <c r="G226" s="774"/>
      <c r="H226" s="774"/>
      <c r="I226" s="774" t="s">
        <v>6484</v>
      </c>
      <c r="J226" s="775">
        <f>SUM(G186:G225,I186:I225)</f>
        <v>0</v>
      </c>
      <c r="K226" s="774"/>
      <c r="L226" s="774"/>
      <c r="M226" s="774"/>
      <c r="N226" s="774"/>
    </row>
    <row r="227" spans="1:14" s="755" customFormat="1" ht="20.25" customHeight="1" x14ac:dyDescent="0.15">
      <c r="A227" s="754"/>
      <c r="B227" s="774"/>
      <c r="C227" s="774"/>
      <c r="D227" s="774"/>
      <c r="E227" s="774"/>
      <c r="F227" s="774"/>
      <c r="G227" s="774"/>
      <c r="H227" s="774"/>
      <c r="I227" s="774"/>
      <c r="J227" s="774"/>
      <c r="K227" s="774"/>
      <c r="L227" s="774"/>
      <c r="M227" s="774"/>
      <c r="N227" s="774"/>
    </row>
    <row r="228" spans="1:14" s="755" customFormat="1" ht="20.25" customHeight="1" x14ac:dyDescent="0.15">
      <c r="A228" s="754"/>
      <c r="B228" s="774"/>
      <c r="C228" s="776" t="s">
        <v>6638</v>
      </c>
      <c r="D228" s="774"/>
      <c r="E228" s="774"/>
      <c r="F228" s="774"/>
      <c r="G228" s="774"/>
      <c r="H228" s="774"/>
      <c r="I228" s="774"/>
      <c r="J228" s="774" t="s">
        <v>6437</v>
      </c>
      <c r="K228" s="777"/>
      <c r="L228" s="777"/>
      <c r="M228" s="495" t="s">
        <v>6438</v>
      </c>
      <c r="N228" s="774"/>
    </row>
    <row r="229" spans="1:14" s="755" customFormat="1" ht="20.25" customHeight="1" thickBot="1" x14ac:dyDescent="0.2">
      <c r="A229" s="754"/>
      <c r="B229" s="774"/>
      <c r="C229" s="776" t="s">
        <v>6639</v>
      </c>
      <c r="D229" s="774"/>
      <c r="E229" s="774"/>
      <c r="F229" s="774"/>
      <c r="G229" s="774"/>
      <c r="H229" s="774"/>
      <c r="I229" s="774"/>
      <c r="J229" s="774"/>
      <c r="K229" s="774"/>
      <c r="L229" s="774"/>
      <c r="M229" s="774"/>
      <c r="N229" s="774"/>
    </row>
    <row r="230" spans="1:14" s="755" customFormat="1" ht="20.25" customHeight="1" x14ac:dyDescent="0.15">
      <c r="A230" s="754"/>
      <c r="B230" s="778" t="s">
        <v>6440</v>
      </c>
      <c r="C230" s="779" t="s">
        <v>4564</v>
      </c>
      <c r="D230" s="779" t="s">
        <v>6442</v>
      </c>
      <c r="E230" s="779" t="s">
        <v>6443</v>
      </c>
      <c r="F230" s="779" t="s">
        <v>6444</v>
      </c>
      <c r="G230" s="780" t="s">
        <v>6445</v>
      </c>
      <c r="H230" s="781"/>
      <c r="I230" s="782" t="s">
        <v>6445</v>
      </c>
      <c r="J230" s="779" t="s">
        <v>6444</v>
      </c>
      <c r="K230" s="779" t="s">
        <v>6442</v>
      </c>
      <c r="L230" s="779" t="s">
        <v>6443</v>
      </c>
      <c r="M230" s="779" t="s">
        <v>4564</v>
      </c>
      <c r="N230" s="783" t="s">
        <v>6440</v>
      </c>
    </row>
    <row r="231" spans="1:14" s="755" customFormat="1" ht="20.25" customHeight="1" x14ac:dyDescent="0.15">
      <c r="A231" s="754"/>
      <c r="B231" s="802">
        <v>1</v>
      </c>
      <c r="C231" s="803" t="s">
        <v>6640</v>
      </c>
      <c r="D231" s="804" t="s">
        <v>4635</v>
      </c>
      <c r="E231" s="804" t="s">
        <v>4635</v>
      </c>
      <c r="F231" s="804" t="s">
        <v>6460</v>
      </c>
      <c r="G231" s="805"/>
      <c r="H231" s="749"/>
      <c r="I231" s="811"/>
      <c r="J231" s="804" t="s">
        <v>6473</v>
      </c>
      <c r="K231" s="804" t="s">
        <v>4635</v>
      </c>
      <c r="L231" s="804" t="s">
        <v>4635</v>
      </c>
      <c r="M231" s="803" t="s">
        <v>6641</v>
      </c>
      <c r="N231" s="809">
        <v>41</v>
      </c>
    </row>
    <row r="232" spans="1:14" s="755" customFormat="1" ht="20.25" customHeight="1" x14ac:dyDescent="0.15">
      <c r="A232" s="754"/>
      <c r="B232" s="802">
        <v>2</v>
      </c>
      <c r="C232" s="803" t="s">
        <v>6642</v>
      </c>
      <c r="D232" s="804" t="s">
        <v>4635</v>
      </c>
      <c r="E232" s="804" t="s">
        <v>4635</v>
      </c>
      <c r="F232" s="804" t="s">
        <v>6460</v>
      </c>
      <c r="G232" s="805"/>
      <c r="H232" s="749"/>
      <c r="I232" s="811"/>
      <c r="J232" s="804" t="s">
        <v>6473</v>
      </c>
      <c r="K232" s="804" t="s">
        <v>4635</v>
      </c>
      <c r="L232" s="804" t="s">
        <v>4635</v>
      </c>
      <c r="M232" s="803" t="s">
        <v>6643</v>
      </c>
      <c r="N232" s="809">
        <v>42</v>
      </c>
    </row>
    <row r="233" spans="1:14" s="755" customFormat="1" ht="20.25" customHeight="1" x14ac:dyDescent="0.15">
      <c r="A233" s="754"/>
      <c r="B233" s="802">
        <v>3</v>
      </c>
      <c r="C233" s="803" t="s">
        <v>6644</v>
      </c>
      <c r="D233" s="804" t="s">
        <v>4635</v>
      </c>
      <c r="E233" s="804" t="s">
        <v>4635</v>
      </c>
      <c r="F233" s="804" t="s">
        <v>6473</v>
      </c>
      <c r="G233" s="805"/>
      <c r="H233" s="749"/>
      <c r="I233" s="811"/>
      <c r="J233" s="804" t="s">
        <v>6473</v>
      </c>
      <c r="K233" s="804" t="s">
        <v>4635</v>
      </c>
      <c r="L233" s="804" t="s">
        <v>4635</v>
      </c>
      <c r="M233" s="803" t="s">
        <v>6645</v>
      </c>
      <c r="N233" s="809">
        <v>43</v>
      </c>
    </row>
    <row r="234" spans="1:14" s="755" customFormat="1" ht="20.25" customHeight="1" x14ac:dyDescent="0.15">
      <c r="A234" s="754"/>
      <c r="B234" s="745">
        <v>4</v>
      </c>
      <c r="C234" s="746" t="s">
        <v>6646</v>
      </c>
      <c r="D234" s="747" t="s">
        <v>4635</v>
      </c>
      <c r="E234" s="747" t="s">
        <v>565</v>
      </c>
      <c r="F234" s="747"/>
      <c r="G234" s="748"/>
      <c r="H234" s="749"/>
      <c r="I234" s="811"/>
      <c r="J234" s="804" t="s">
        <v>6473</v>
      </c>
      <c r="K234" s="804" t="s">
        <v>4635</v>
      </c>
      <c r="L234" s="804" t="s">
        <v>4635</v>
      </c>
      <c r="M234" s="803" t="s">
        <v>6647</v>
      </c>
      <c r="N234" s="809">
        <v>44</v>
      </c>
    </row>
    <row r="235" spans="1:14" s="755" customFormat="1" ht="20.25" customHeight="1" x14ac:dyDescent="0.15">
      <c r="A235" s="754"/>
      <c r="B235" s="802">
        <v>5</v>
      </c>
      <c r="C235" s="803" t="s">
        <v>6648</v>
      </c>
      <c r="D235" s="804" t="s">
        <v>4635</v>
      </c>
      <c r="E235" s="804" t="s">
        <v>4635</v>
      </c>
      <c r="F235" s="804" t="s">
        <v>6473</v>
      </c>
      <c r="G235" s="805"/>
      <c r="H235" s="749"/>
      <c r="I235" s="750"/>
      <c r="J235" s="747"/>
      <c r="K235" s="747" t="s">
        <v>4635</v>
      </c>
      <c r="L235" s="747" t="s">
        <v>565</v>
      </c>
      <c r="M235" s="746" t="s">
        <v>6649</v>
      </c>
      <c r="N235" s="751">
        <v>45</v>
      </c>
    </row>
    <row r="236" spans="1:14" s="755" customFormat="1" ht="20.25" customHeight="1" x14ac:dyDescent="0.15">
      <c r="A236" s="754"/>
      <c r="B236" s="802">
        <v>6</v>
      </c>
      <c r="C236" s="803" t="s">
        <v>6650</v>
      </c>
      <c r="D236" s="804" t="s">
        <v>4635</v>
      </c>
      <c r="E236" s="804" t="s">
        <v>4635</v>
      </c>
      <c r="F236" s="804" t="s">
        <v>6473</v>
      </c>
      <c r="G236" s="805"/>
      <c r="H236" s="749"/>
      <c r="I236" s="811"/>
      <c r="J236" s="804" t="s">
        <v>6473</v>
      </c>
      <c r="K236" s="804" t="s">
        <v>4635</v>
      </c>
      <c r="L236" s="804" t="s">
        <v>4635</v>
      </c>
      <c r="M236" s="803" t="s">
        <v>6651</v>
      </c>
      <c r="N236" s="809">
        <v>46</v>
      </c>
    </row>
    <row r="237" spans="1:14" s="755" customFormat="1" ht="20.25" customHeight="1" x14ac:dyDescent="0.15">
      <c r="A237" s="754"/>
      <c r="B237" s="802">
        <v>7</v>
      </c>
      <c r="C237" s="803" t="s">
        <v>6652</v>
      </c>
      <c r="D237" s="804" t="s">
        <v>4635</v>
      </c>
      <c r="E237" s="804" t="s">
        <v>4635</v>
      </c>
      <c r="F237" s="804" t="s">
        <v>6473</v>
      </c>
      <c r="G237" s="805"/>
      <c r="H237" s="749"/>
      <c r="I237" s="811"/>
      <c r="J237" s="804" t="s">
        <v>6473</v>
      </c>
      <c r="K237" s="804" t="s">
        <v>4635</v>
      </c>
      <c r="L237" s="804" t="s">
        <v>4635</v>
      </c>
      <c r="M237" s="803" t="s">
        <v>6653</v>
      </c>
      <c r="N237" s="809">
        <v>47</v>
      </c>
    </row>
    <row r="238" spans="1:14" s="755" customFormat="1" ht="20.25" customHeight="1" x14ac:dyDescent="0.15">
      <c r="A238" s="754"/>
      <c r="B238" s="745">
        <v>8</v>
      </c>
      <c r="C238" s="756" t="s">
        <v>6654</v>
      </c>
      <c r="D238" s="747" t="s">
        <v>4635</v>
      </c>
      <c r="E238" s="747" t="s">
        <v>565</v>
      </c>
      <c r="F238" s="747"/>
      <c r="G238" s="748"/>
      <c r="H238" s="749"/>
      <c r="I238" s="750"/>
      <c r="J238" s="747"/>
      <c r="K238" s="747" t="s">
        <v>4635</v>
      </c>
      <c r="L238" s="747" t="s">
        <v>565</v>
      </c>
      <c r="M238" s="746" t="s">
        <v>6655</v>
      </c>
      <c r="N238" s="751">
        <v>48</v>
      </c>
    </row>
    <row r="239" spans="1:14" s="755" customFormat="1" ht="20.25" customHeight="1" x14ac:dyDescent="0.15">
      <c r="A239" s="754"/>
      <c r="B239" s="745">
        <v>9</v>
      </c>
      <c r="C239" s="746" t="s">
        <v>6656</v>
      </c>
      <c r="D239" s="747" t="s">
        <v>4635</v>
      </c>
      <c r="E239" s="747" t="s">
        <v>565</v>
      </c>
      <c r="F239" s="747"/>
      <c r="G239" s="748"/>
      <c r="H239" s="749"/>
      <c r="I239" s="811"/>
      <c r="J239" s="804" t="s">
        <v>6450</v>
      </c>
      <c r="K239" s="804" t="s">
        <v>4635</v>
      </c>
      <c r="L239" s="804" t="s">
        <v>4635</v>
      </c>
      <c r="M239" s="803" t="s">
        <v>6657</v>
      </c>
      <c r="N239" s="809">
        <v>49</v>
      </c>
    </row>
    <row r="240" spans="1:14" s="755" customFormat="1" ht="20.25" customHeight="1" x14ac:dyDescent="0.15">
      <c r="A240" s="754"/>
      <c r="B240" s="802">
        <v>10</v>
      </c>
      <c r="C240" s="803" t="s">
        <v>6658</v>
      </c>
      <c r="D240" s="804" t="s">
        <v>4635</v>
      </c>
      <c r="E240" s="804" t="s">
        <v>4635</v>
      </c>
      <c r="F240" s="804" t="s">
        <v>6473</v>
      </c>
      <c r="G240" s="805"/>
      <c r="H240" s="749"/>
      <c r="I240" s="811"/>
      <c r="J240" s="804" t="s">
        <v>6450</v>
      </c>
      <c r="K240" s="804" t="s">
        <v>4635</v>
      </c>
      <c r="L240" s="804" t="s">
        <v>4635</v>
      </c>
      <c r="M240" s="803" t="s">
        <v>6659</v>
      </c>
      <c r="N240" s="809">
        <v>50</v>
      </c>
    </row>
    <row r="241" spans="1:14" s="755" customFormat="1" ht="20.25" customHeight="1" x14ac:dyDescent="0.15">
      <c r="A241" s="754"/>
      <c r="B241" s="745">
        <v>11</v>
      </c>
      <c r="C241" s="746" t="s">
        <v>6660</v>
      </c>
      <c r="D241" s="747" t="s">
        <v>4635</v>
      </c>
      <c r="E241" s="747" t="s">
        <v>565</v>
      </c>
      <c r="F241" s="747"/>
      <c r="G241" s="748"/>
      <c r="H241" s="749"/>
      <c r="I241" s="811"/>
      <c r="J241" s="804" t="s">
        <v>6450</v>
      </c>
      <c r="K241" s="804" t="s">
        <v>4635</v>
      </c>
      <c r="L241" s="804" t="s">
        <v>4635</v>
      </c>
      <c r="M241" s="803" t="s">
        <v>6661</v>
      </c>
      <c r="N241" s="809">
        <v>51</v>
      </c>
    </row>
    <row r="242" spans="1:14" s="755" customFormat="1" ht="20.25" customHeight="1" x14ac:dyDescent="0.15">
      <c r="A242" s="754"/>
      <c r="B242" s="745">
        <v>12</v>
      </c>
      <c r="C242" s="746" t="s">
        <v>6662</v>
      </c>
      <c r="D242" s="747" t="s">
        <v>4635</v>
      </c>
      <c r="E242" s="747" t="s">
        <v>565</v>
      </c>
      <c r="F242" s="747"/>
      <c r="G242" s="748"/>
      <c r="H242" s="749"/>
      <c r="I242" s="811"/>
      <c r="J242" s="804" t="s">
        <v>6450</v>
      </c>
      <c r="K242" s="804" t="s">
        <v>4635</v>
      </c>
      <c r="L242" s="804" t="s">
        <v>4635</v>
      </c>
      <c r="M242" s="803" t="s">
        <v>6663</v>
      </c>
      <c r="N242" s="809">
        <v>52</v>
      </c>
    </row>
    <row r="243" spans="1:14" s="755" customFormat="1" ht="12" customHeight="1" x14ac:dyDescent="0.15">
      <c r="A243" s="754"/>
      <c r="B243" s="745">
        <v>13</v>
      </c>
      <c r="C243" s="746" t="s">
        <v>6664</v>
      </c>
      <c r="D243" s="747" t="s">
        <v>4635</v>
      </c>
      <c r="E243" s="747" t="s">
        <v>565</v>
      </c>
      <c r="F243" s="747"/>
      <c r="G243" s="748"/>
      <c r="H243" s="749"/>
      <c r="I243" s="750"/>
      <c r="J243" s="747"/>
      <c r="K243" s="747" t="s">
        <v>565</v>
      </c>
      <c r="L243" s="747" t="s">
        <v>565</v>
      </c>
      <c r="M243" s="747"/>
      <c r="N243" s="751">
        <v>53</v>
      </c>
    </row>
    <row r="244" spans="1:14" s="755" customFormat="1" ht="20.25" customHeight="1" x14ac:dyDescent="0.15">
      <c r="A244" s="754"/>
      <c r="B244" s="745">
        <v>14</v>
      </c>
      <c r="C244" s="746" t="s">
        <v>6665</v>
      </c>
      <c r="D244" s="747" t="s">
        <v>4635</v>
      </c>
      <c r="E244" s="747" t="s">
        <v>565</v>
      </c>
      <c r="F244" s="747"/>
      <c r="G244" s="748"/>
      <c r="H244" s="749"/>
      <c r="I244" s="811"/>
      <c r="J244" s="804" t="s">
        <v>6450</v>
      </c>
      <c r="K244" s="804" t="s">
        <v>4635</v>
      </c>
      <c r="L244" s="804" t="s">
        <v>4635</v>
      </c>
      <c r="M244" s="803" t="s">
        <v>6666</v>
      </c>
      <c r="N244" s="809">
        <v>54</v>
      </c>
    </row>
    <row r="245" spans="1:14" s="755" customFormat="1" ht="20.25" customHeight="1" x14ac:dyDescent="0.15">
      <c r="A245" s="754"/>
      <c r="B245" s="802">
        <v>15</v>
      </c>
      <c r="C245" s="803" t="s">
        <v>6667</v>
      </c>
      <c r="D245" s="804" t="s">
        <v>4635</v>
      </c>
      <c r="E245" s="804" t="s">
        <v>4635</v>
      </c>
      <c r="F245" s="804" t="s">
        <v>6473</v>
      </c>
      <c r="G245" s="805"/>
      <c r="H245" s="749"/>
      <c r="I245" s="750"/>
      <c r="J245" s="747"/>
      <c r="K245" s="747" t="s">
        <v>565</v>
      </c>
      <c r="L245" s="747" t="s">
        <v>565</v>
      </c>
      <c r="M245" s="747"/>
      <c r="N245" s="751">
        <v>55</v>
      </c>
    </row>
    <row r="246" spans="1:14" s="755" customFormat="1" ht="20.25" customHeight="1" x14ac:dyDescent="0.15">
      <c r="A246" s="754"/>
      <c r="B246" s="802">
        <v>16</v>
      </c>
      <c r="C246" s="803" t="s">
        <v>6668</v>
      </c>
      <c r="D246" s="804" t="s">
        <v>4635</v>
      </c>
      <c r="E246" s="804" t="s">
        <v>4635</v>
      </c>
      <c r="F246" s="804" t="s">
        <v>6473</v>
      </c>
      <c r="G246" s="805"/>
      <c r="H246" s="749"/>
      <c r="I246" s="757"/>
      <c r="J246" s="1221"/>
      <c r="K246" s="747" t="s">
        <v>565</v>
      </c>
      <c r="L246" s="747" t="s">
        <v>565</v>
      </c>
      <c r="M246" s="825"/>
      <c r="N246" s="1222">
        <v>56</v>
      </c>
    </row>
    <row r="247" spans="1:14" s="755" customFormat="1" ht="20.25" customHeight="1" x14ac:dyDescent="0.15">
      <c r="A247" s="754"/>
      <c r="B247" s="802">
        <v>17</v>
      </c>
      <c r="C247" s="803" t="s">
        <v>6669</v>
      </c>
      <c r="D247" s="804" t="s">
        <v>4635</v>
      </c>
      <c r="E247" s="804" t="s">
        <v>4635</v>
      </c>
      <c r="F247" s="804" t="s">
        <v>6473</v>
      </c>
      <c r="G247" s="805"/>
      <c r="H247" s="749"/>
      <c r="I247" s="811"/>
      <c r="J247" s="804" t="s">
        <v>6473</v>
      </c>
      <c r="K247" s="804" t="s">
        <v>4635</v>
      </c>
      <c r="L247" s="804" t="s">
        <v>4635</v>
      </c>
      <c r="M247" s="803" t="s">
        <v>6670</v>
      </c>
      <c r="N247" s="809">
        <v>57</v>
      </c>
    </row>
    <row r="248" spans="1:14" s="755" customFormat="1" ht="20.25" customHeight="1" x14ac:dyDescent="0.15">
      <c r="A248" s="754"/>
      <c r="B248" s="802">
        <v>18</v>
      </c>
      <c r="C248" s="803" t="s">
        <v>6671</v>
      </c>
      <c r="D248" s="804" t="s">
        <v>4635</v>
      </c>
      <c r="E248" s="804" t="s">
        <v>4635</v>
      </c>
      <c r="F248" s="804" t="s">
        <v>6473</v>
      </c>
      <c r="G248" s="805"/>
      <c r="H248" s="749"/>
      <c r="I248" s="811"/>
      <c r="J248" s="804" t="s">
        <v>6473</v>
      </c>
      <c r="K248" s="804" t="s">
        <v>4635</v>
      </c>
      <c r="L248" s="804" t="s">
        <v>4635</v>
      </c>
      <c r="M248" s="803" t="s">
        <v>6672</v>
      </c>
      <c r="N248" s="809">
        <v>58</v>
      </c>
    </row>
    <row r="249" spans="1:14" s="755" customFormat="1" ht="20.25" customHeight="1" x14ac:dyDescent="0.15">
      <c r="A249" s="754"/>
      <c r="B249" s="802">
        <v>19</v>
      </c>
      <c r="C249" s="803" t="s">
        <v>6673</v>
      </c>
      <c r="D249" s="804" t="s">
        <v>4635</v>
      </c>
      <c r="E249" s="804" t="s">
        <v>4635</v>
      </c>
      <c r="F249" s="804" t="s">
        <v>6473</v>
      </c>
      <c r="G249" s="805"/>
      <c r="H249" s="749"/>
      <c r="I249" s="811"/>
      <c r="J249" s="804" t="s">
        <v>6460</v>
      </c>
      <c r="K249" s="804" t="s">
        <v>4635</v>
      </c>
      <c r="L249" s="804" t="s">
        <v>4635</v>
      </c>
      <c r="M249" s="803" t="s">
        <v>6674</v>
      </c>
      <c r="N249" s="809">
        <v>59</v>
      </c>
    </row>
    <row r="250" spans="1:14" s="755" customFormat="1" ht="20.25" customHeight="1" x14ac:dyDescent="0.15">
      <c r="A250" s="754"/>
      <c r="B250" s="802">
        <v>20</v>
      </c>
      <c r="C250" s="803" t="s">
        <v>6675</v>
      </c>
      <c r="D250" s="804" t="s">
        <v>4635</v>
      </c>
      <c r="E250" s="804" t="s">
        <v>4635</v>
      </c>
      <c r="F250" s="804" t="s">
        <v>6473</v>
      </c>
      <c r="G250" s="805"/>
      <c r="H250" s="749"/>
      <c r="I250" s="811"/>
      <c r="J250" s="804" t="s">
        <v>6460</v>
      </c>
      <c r="K250" s="804" t="s">
        <v>4635</v>
      </c>
      <c r="L250" s="804" t="s">
        <v>4635</v>
      </c>
      <c r="M250" s="803" t="s">
        <v>6676</v>
      </c>
      <c r="N250" s="809">
        <v>60</v>
      </c>
    </row>
    <row r="251" spans="1:14" s="755" customFormat="1" ht="20.25" customHeight="1" x14ac:dyDescent="0.15">
      <c r="A251" s="754"/>
      <c r="B251" s="802">
        <v>21</v>
      </c>
      <c r="C251" s="803" t="s">
        <v>6677</v>
      </c>
      <c r="D251" s="804" t="s">
        <v>4635</v>
      </c>
      <c r="E251" s="804" t="s">
        <v>4635</v>
      </c>
      <c r="F251" s="804" t="s">
        <v>6473</v>
      </c>
      <c r="G251" s="805"/>
      <c r="H251" s="749"/>
      <c r="I251" s="811"/>
      <c r="J251" s="804" t="s">
        <v>6460</v>
      </c>
      <c r="K251" s="804" t="s">
        <v>4635</v>
      </c>
      <c r="L251" s="804" t="s">
        <v>4635</v>
      </c>
      <c r="M251" s="803" t="s">
        <v>6678</v>
      </c>
      <c r="N251" s="809">
        <v>61</v>
      </c>
    </row>
    <row r="252" spans="1:14" s="755" customFormat="1" ht="20.25" customHeight="1" x14ac:dyDescent="0.15">
      <c r="A252" s="754"/>
      <c r="B252" s="802">
        <v>22</v>
      </c>
      <c r="C252" s="803" t="s">
        <v>6679</v>
      </c>
      <c r="D252" s="804" t="s">
        <v>4635</v>
      </c>
      <c r="E252" s="804" t="s">
        <v>4635</v>
      </c>
      <c r="F252" s="804" t="s">
        <v>6450</v>
      </c>
      <c r="G252" s="805"/>
      <c r="H252" s="749"/>
      <c r="I252" s="750"/>
      <c r="J252" s="747"/>
      <c r="K252" s="747" t="s">
        <v>565</v>
      </c>
      <c r="L252" s="747" t="s">
        <v>565</v>
      </c>
      <c r="M252" s="747"/>
      <c r="N252" s="751">
        <v>62</v>
      </c>
    </row>
    <row r="253" spans="1:14" s="755" customFormat="1" ht="20.25" customHeight="1" x14ac:dyDescent="0.15">
      <c r="A253" s="754"/>
      <c r="B253" s="802">
        <v>23</v>
      </c>
      <c r="C253" s="803" t="s">
        <v>6680</v>
      </c>
      <c r="D253" s="804" t="s">
        <v>4635</v>
      </c>
      <c r="E253" s="804" t="s">
        <v>4635</v>
      </c>
      <c r="F253" s="804" t="s">
        <v>6450</v>
      </c>
      <c r="G253" s="805"/>
      <c r="H253" s="749"/>
      <c r="I253" s="750"/>
      <c r="J253" s="747"/>
      <c r="K253" s="747" t="s">
        <v>565</v>
      </c>
      <c r="L253" s="747" t="s">
        <v>565</v>
      </c>
      <c r="M253" s="747"/>
      <c r="N253" s="751">
        <v>63</v>
      </c>
    </row>
    <row r="254" spans="1:14" s="755" customFormat="1" ht="20.25" customHeight="1" x14ac:dyDescent="0.15">
      <c r="A254" s="754"/>
      <c r="B254" s="802">
        <v>24</v>
      </c>
      <c r="C254" s="803" t="s">
        <v>6681</v>
      </c>
      <c r="D254" s="804" t="s">
        <v>4635</v>
      </c>
      <c r="E254" s="804" t="s">
        <v>4635</v>
      </c>
      <c r="F254" s="804" t="s">
        <v>6450</v>
      </c>
      <c r="G254" s="805"/>
      <c r="H254" s="749"/>
      <c r="I254" s="750"/>
      <c r="J254" s="747"/>
      <c r="K254" s="747" t="s">
        <v>565</v>
      </c>
      <c r="L254" s="747" t="s">
        <v>565</v>
      </c>
      <c r="M254" s="747"/>
      <c r="N254" s="751">
        <v>64</v>
      </c>
    </row>
    <row r="255" spans="1:14" s="755" customFormat="1" ht="20.25" customHeight="1" x14ac:dyDescent="0.15">
      <c r="A255" s="754"/>
      <c r="B255" s="802">
        <v>25</v>
      </c>
      <c r="C255" s="803" t="s">
        <v>6682</v>
      </c>
      <c r="D255" s="804" t="s">
        <v>4635</v>
      </c>
      <c r="E255" s="804" t="s">
        <v>4635</v>
      </c>
      <c r="F255" s="804" t="s">
        <v>6450</v>
      </c>
      <c r="G255" s="805"/>
      <c r="H255" s="749"/>
      <c r="I255" s="750"/>
      <c r="J255" s="747"/>
      <c r="K255" s="747" t="s">
        <v>565</v>
      </c>
      <c r="L255" s="747" t="s">
        <v>565</v>
      </c>
      <c r="M255" s="747"/>
      <c r="N255" s="751">
        <v>65</v>
      </c>
    </row>
    <row r="256" spans="1:14" s="755" customFormat="1" ht="20.25" customHeight="1" x14ac:dyDescent="0.15">
      <c r="A256" s="754"/>
      <c r="B256" s="802">
        <v>26</v>
      </c>
      <c r="C256" s="803" t="s">
        <v>6683</v>
      </c>
      <c r="D256" s="804" t="s">
        <v>4635</v>
      </c>
      <c r="E256" s="804" t="s">
        <v>4635</v>
      </c>
      <c r="F256" s="804" t="s">
        <v>6473</v>
      </c>
      <c r="G256" s="805"/>
      <c r="H256" s="749"/>
      <c r="I256" s="750"/>
      <c r="J256" s="747"/>
      <c r="K256" s="747" t="s">
        <v>565</v>
      </c>
      <c r="L256" s="747" t="s">
        <v>565</v>
      </c>
      <c r="M256" s="747"/>
      <c r="N256" s="751">
        <v>66</v>
      </c>
    </row>
    <row r="257" spans="1:14" s="755" customFormat="1" ht="20.25" customHeight="1" x14ac:dyDescent="0.15">
      <c r="A257" s="754"/>
      <c r="B257" s="802">
        <v>27</v>
      </c>
      <c r="C257" s="803" t="s">
        <v>6684</v>
      </c>
      <c r="D257" s="804" t="s">
        <v>4635</v>
      </c>
      <c r="E257" s="804" t="s">
        <v>4635</v>
      </c>
      <c r="F257" s="804" t="s">
        <v>6473</v>
      </c>
      <c r="G257" s="805"/>
      <c r="H257" s="749"/>
      <c r="I257" s="750"/>
      <c r="J257" s="747"/>
      <c r="K257" s="747" t="s">
        <v>565</v>
      </c>
      <c r="L257" s="747" t="s">
        <v>565</v>
      </c>
      <c r="M257" s="747"/>
      <c r="N257" s="751">
        <v>67</v>
      </c>
    </row>
    <row r="258" spans="1:14" s="755" customFormat="1" ht="21" x14ac:dyDescent="0.15">
      <c r="A258" s="754"/>
      <c r="B258" s="802">
        <v>28</v>
      </c>
      <c r="C258" s="803" t="s">
        <v>6685</v>
      </c>
      <c r="D258" s="804" t="s">
        <v>4635</v>
      </c>
      <c r="E258" s="804" t="s">
        <v>4635</v>
      </c>
      <c r="F258" s="804" t="s">
        <v>6460</v>
      </c>
      <c r="G258" s="805"/>
      <c r="H258" s="749"/>
      <c r="I258" s="750"/>
      <c r="J258" s="747"/>
      <c r="K258" s="747" t="s">
        <v>565</v>
      </c>
      <c r="L258" s="747" t="s">
        <v>565</v>
      </c>
      <c r="M258" s="747"/>
      <c r="N258" s="751">
        <v>68</v>
      </c>
    </row>
    <row r="259" spans="1:14" s="755" customFormat="1" ht="9" customHeight="1" x14ac:dyDescent="0.15">
      <c r="A259" s="754"/>
      <c r="B259" s="745">
        <v>29</v>
      </c>
      <c r="C259" s="747"/>
      <c r="D259" s="747" t="s">
        <v>565</v>
      </c>
      <c r="E259" s="747" t="s">
        <v>565</v>
      </c>
      <c r="F259" s="747"/>
      <c r="G259" s="748"/>
      <c r="H259" s="749"/>
      <c r="I259" s="750"/>
      <c r="J259" s="747"/>
      <c r="K259" s="747" t="s">
        <v>565</v>
      </c>
      <c r="L259" s="747" t="s">
        <v>565</v>
      </c>
      <c r="M259" s="747"/>
      <c r="N259" s="751">
        <v>69</v>
      </c>
    </row>
    <row r="260" spans="1:14" s="755" customFormat="1" ht="9" customHeight="1" x14ac:dyDescent="0.15">
      <c r="A260" s="754"/>
      <c r="B260" s="745">
        <v>30</v>
      </c>
      <c r="C260" s="747"/>
      <c r="D260" s="747" t="s">
        <v>565</v>
      </c>
      <c r="E260" s="747" t="s">
        <v>565</v>
      </c>
      <c r="F260" s="747"/>
      <c r="G260" s="748"/>
      <c r="H260" s="749"/>
      <c r="I260" s="750"/>
      <c r="J260" s="747"/>
      <c r="K260" s="747" t="s">
        <v>565</v>
      </c>
      <c r="L260" s="747" t="s">
        <v>565</v>
      </c>
      <c r="M260" s="747"/>
      <c r="N260" s="751">
        <v>70</v>
      </c>
    </row>
    <row r="261" spans="1:14" s="755" customFormat="1" ht="9" customHeight="1" x14ac:dyDescent="0.15">
      <c r="A261" s="754"/>
      <c r="B261" s="745">
        <v>31</v>
      </c>
      <c r="C261" s="747"/>
      <c r="D261" s="747" t="s">
        <v>565</v>
      </c>
      <c r="E261" s="747" t="s">
        <v>565</v>
      </c>
      <c r="F261" s="747"/>
      <c r="G261" s="748"/>
      <c r="H261" s="749"/>
      <c r="I261" s="750"/>
      <c r="J261" s="747"/>
      <c r="K261" s="747" t="s">
        <v>565</v>
      </c>
      <c r="L261" s="747" t="s">
        <v>565</v>
      </c>
      <c r="M261" s="747"/>
      <c r="N261" s="751">
        <v>71</v>
      </c>
    </row>
    <row r="262" spans="1:14" s="755" customFormat="1" ht="9" customHeight="1" x14ac:dyDescent="0.15">
      <c r="A262" s="754"/>
      <c r="B262" s="745">
        <v>32</v>
      </c>
      <c r="C262" s="747"/>
      <c r="D262" s="747" t="s">
        <v>565</v>
      </c>
      <c r="E262" s="747" t="s">
        <v>565</v>
      </c>
      <c r="F262" s="747"/>
      <c r="G262" s="748"/>
      <c r="H262" s="749"/>
      <c r="I262" s="750"/>
      <c r="J262" s="747"/>
      <c r="K262" s="747" t="s">
        <v>565</v>
      </c>
      <c r="L262" s="747" t="s">
        <v>565</v>
      </c>
      <c r="M262" s="747"/>
      <c r="N262" s="751">
        <v>72</v>
      </c>
    </row>
    <row r="263" spans="1:14" s="755" customFormat="1" ht="9" customHeight="1" x14ac:dyDescent="0.15">
      <c r="A263" s="754"/>
      <c r="B263" s="745">
        <v>33</v>
      </c>
      <c r="C263" s="747"/>
      <c r="D263" s="747" t="s">
        <v>565</v>
      </c>
      <c r="E263" s="747" t="s">
        <v>565</v>
      </c>
      <c r="F263" s="747"/>
      <c r="G263" s="748"/>
      <c r="H263" s="749"/>
      <c r="I263" s="750"/>
      <c r="J263" s="747"/>
      <c r="K263" s="747" t="s">
        <v>565</v>
      </c>
      <c r="L263" s="747" t="s">
        <v>565</v>
      </c>
      <c r="M263" s="747"/>
      <c r="N263" s="751">
        <v>73</v>
      </c>
    </row>
    <row r="264" spans="1:14" s="755" customFormat="1" ht="9" customHeight="1" x14ac:dyDescent="0.15">
      <c r="A264" s="754"/>
      <c r="B264" s="745">
        <v>34</v>
      </c>
      <c r="C264" s="747"/>
      <c r="D264" s="747" t="s">
        <v>565</v>
      </c>
      <c r="E264" s="747" t="s">
        <v>565</v>
      </c>
      <c r="F264" s="747"/>
      <c r="G264" s="748"/>
      <c r="H264" s="749"/>
      <c r="I264" s="750"/>
      <c r="J264" s="747"/>
      <c r="K264" s="747" t="s">
        <v>565</v>
      </c>
      <c r="L264" s="747" t="s">
        <v>565</v>
      </c>
      <c r="M264" s="747"/>
      <c r="N264" s="751">
        <v>74</v>
      </c>
    </row>
    <row r="265" spans="1:14" s="755" customFormat="1" ht="9" customHeight="1" x14ac:dyDescent="0.15">
      <c r="A265" s="754"/>
      <c r="B265" s="745">
        <v>35</v>
      </c>
      <c r="C265" s="747"/>
      <c r="D265" s="747" t="s">
        <v>565</v>
      </c>
      <c r="E265" s="747" t="s">
        <v>565</v>
      </c>
      <c r="F265" s="747"/>
      <c r="G265" s="748"/>
      <c r="H265" s="749"/>
      <c r="I265" s="750"/>
      <c r="J265" s="747"/>
      <c r="K265" s="747" t="s">
        <v>565</v>
      </c>
      <c r="L265" s="747" t="s">
        <v>565</v>
      </c>
      <c r="M265" s="747"/>
      <c r="N265" s="751">
        <v>75</v>
      </c>
    </row>
    <row r="266" spans="1:14" s="755" customFormat="1" ht="9" customHeight="1" x14ac:dyDescent="0.15">
      <c r="A266" s="754"/>
      <c r="B266" s="745">
        <v>36</v>
      </c>
      <c r="C266" s="747"/>
      <c r="D266" s="747" t="s">
        <v>565</v>
      </c>
      <c r="E266" s="747" t="s">
        <v>565</v>
      </c>
      <c r="F266" s="747"/>
      <c r="G266" s="748"/>
      <c r="H266" s="749"/>
      <c r="I266" s="750"/>
      <c r="J266" s="747"/>
      <c r="K266" s="747" t="s">
        <v>565</v>
      </c>
      <c r="L266" s="747" t="s">
        <v>565</v>
      </c>
      <c r="M266" s="747"/>
      <c r="N266" s="751">
        <v>76</v>
      </c>
    </row>
    <row r="267" spans="1:14" s="755" customFormat="1" ht="9" customHeight="1" x14ac:dyDescent="0.15">
      <c r="A267" s="754"/>
      <c r="B267" s="745">
        <v>37</v>
      </c>
      <c r="C267" s="747"/>
      <c r="D267" s="747" t="s">
        <v>565</v>
      </c>
      <c r="E267" s="747" t="s">
        <v>565</v>
      </c>
      <c r="F267" s="747"/>
      <c r="G267" s="748"/>
      <c r="H267" s="749"/>
      <c r="I267" s="750"/>
      <c r="J267" s="747"/>
      <c r="K267" s="747" t="s">
        <v>565</v>
      </c>
      <c r="L267" s="747" t="s">
        <v>565</v>
      </c>
      <c r="M267" s="747"/>
      <c r="N267" s="751">
        <v>77</v>
      </c>
    </row>
    <row r="268" spans="1:14" s="755" customFormat="1" ht="9" customHeight="1" x14ac:dyDescent="0.15">
      <c r="A268" s="754"/>
      <c r="B268" s="745">
        <v>38</v>
      </c>
      <c r="C268" s="747"/>
      <c r="D268" s="747" t="s">
        <v>565</v>
      </c>
      <c r="E268" s="747" t="s">
        <v>565</v>
      </c>
      <c r="F268" s="747"/>
      <c r="G268" s="748"/>
      <c r="H268" s="749"/>
      <c r="I268" s="750"/>
      <c r="J268" s="747"/>
      <c r="K268" s="747" t="s">
        <v>565</v>
      </c>
      <c r="L268" s="747" t="s">
        <v>565</v>
      </c>
      <c r="M268" s="747"/>
      <c r="N268" s="751">
        <v>78</v>
      </c>
    </row>
    <row r="269" spans="1:14" s="755" customFormat="1" ht="9" customHeight="1" x14ac:dyDescent="0.15">
      <c r="A269" s="754"/>
      <c r="B269" s="745">
        <v>39</v>
      </c>
      <c r="C269" s="747"/>
      <c r="D269" s="747" t="s">
        <v>565</v>
      </c>
      <c r="E269" s="747" t="s">
        <v>565</v>
      </c>
      <c r="F269" s="747"/>
      <c r="G269" s="748"/>
      <c r="H269" s="749"/>
      <c r="I269" s="750"/>
      <c r="J269" s="747"/>
      <c r="K269" s="747" t="s">
        <v>565</v>
      </c>
      <c r="L269" s="747" t="s">
        <v>565</v>
      </c>
      <c r="M269" s="747"/>
      <c r="N269" s="751">
        <v>79</v>
      </c>
    </row>
    <row r="270" spans="1:14" s="755" customFormat="1" ht="9" customHeight="1" thickBot="1" x14ac:dyDescent="0.2">
      <c r="A270" s="754"/>
      <c r="B270" s="768">
        <v>40</v>
      </c>
      <c r="C270" s="769"/>
      <c r="D270" s="769" t="s">
        <v>565</v>
      </c>
      <c r="E270" s="769" t="s">
        <v>565</v>
      </c>
      <c r="F270" s="769"/>
      <c r="G270" s="770"/>
      <c r="H270" s="771"/>
      <c r="I270" s="772"/>
      <c r="J270" s="769"/>
      <c r="K270" s="769" t="s">
        <v>565</v>
      </c>
      <c r="L270" s="769" t="s">
        <v>565</v>
      </c>
      <c r="M270" s="769"/>
      <c r="N270" s="773">
        <v>80</v>
      </c>
    </row>
    <row r="271" spans="1:14" s="755" customFormat="1" ht="20.25" customHeight="1" x14ac:dyDescent="0.15">
      <c r="A271" s="754"/>
      <c r="B271" s="774"/>
      <c r="C271" s="774"/>
      <c r="D271" s="774"/>
      <c r="E271" s="774"/>
      <c r="F271" s="774"/>
      <c r="G271" s="774"/>
      <c r="H271" s="774"/>
      <c r="I271" s="774" t="s">
        <v>6484</v>
      </c>
      <c r="J271" s="775">
        <f>SUM(G231:G270,I231:I270)</f>
        <v>0</v>
      </c>
      <c r="K271" s="774"/>
      <c r="L271" s="774"/>
      <c r="M271" s="774"/>
      <c r="N271" s="774"/>
    </row>
    <row r="272" spans="1:14" s="755" customFormat="1" ht="9.75" customHeight="1" x14ac:dyDescent="0.15">
      <c r="A272" s="754"/>
      <c r="B272" s="774"/>
      <c r="C272" s="774"/>
      <c r="D272" s="774"/>
      <c r="E272" s="774"/>
      <c r="F272" s="774"/>
      <c r="G272" s="774"/>
      <c r="H272" s="774"/>
      <c r="I272" s="774"/>
      <c r="J272" s="774"/>
      <c r="K272" s="774"/>
      <c r="L272" s="774"/>
      <c r="M272" s="774"/>
      <c r="N272" s="774"/>
    </row>
    <row r="273" spans="1:17" s="755" customFormat="1" ht="20.25" customHeight="1" x14ac:dyDescent="0.15">
      <c r="A273" s="754"/>
      <c r="B273" s="774"/>
      <c r="C273" s="776" t="s">
        <v>6686</v>
      </c>
      <c r="D273" s="774"/>
      <c r="E273" s="774"/>
      <c r="F273" s="774"/>
      <c r="G273" s="774"/>
      <c r="H273" s="774"/>
      <c r="I273" s="774"/>
      <c r="J273" s="774" t="s">
        <v>6437</v>
      </c>
      <c r="K273" s="777"/>
      <c r="L273" s="777"/>
      <c r="M273" s="495" t="s">
        <v>6438</v>
      </c>
      <c r="N273" s="774"/>
    </row>
    <row r="274" spans="1:17" s="755" customFormat="1" ht="20.25" customHeight="1" thickBot="1" x14ac:dyDescent="0.2">
      <c r="A274" s="754"/>
      <c r="B274" s="774"/>
      <c r="C274" s="776" t="s">
        <v>6687</v>
      </c>
      <c r="D274" s="774"/>
      <c r="E274" s="774"/>
      <c r="F274" s="774"/>
      <c r="G274" s="774"/>
      <c r="H274" s="774"/>
      <c r="I274" s="774"/>
      <c r="J274" s="774"/>
      <c r="K274" s="774"/>
      <c r="L274" s="774"/>
      <c r="M274" s="774"/>
      <c r="N274" s="774"/>
    </row>
    <row r="275" spans="1:17" s="755" customFormat="1" ht="20.25" customHeight="1" x14ac:dyDescent="0.15">
      <c r="A275" s="754"/>
      <c r="B275" s="778" t="s">
        <v>6440</v>
      </c>
      <c r="C275" s="779" t="s">
        <v>4564</v>
      </c>
      <c r="D275" s="779" t="s">
        <v>6442</v>
      </c>
      <c r="E275" s="779" t="s">
        <v>6443</v>
      </c>
      <c r="F275" s="779" t="s">
        <v>6444</v>
      </c>
      <c r="G275" s="780" t="s">
        <v>6445</v>
      </c>
      <c r="H275" s="781"/>
      <c r="I275" s="782" t="s">
        <v>6445</v>
      </c>
      <c r="J275" s="779" t="s">
        <v>6444</v>
      </c>
      <c r="K275" s="779" t="s">
        <v>6442</v>
      </c>
      <c r="L275" s="779" t="s">
        <v>6443</v>
      </c>
      <c r="M275" s="779" t="s">
        <v>4564</v>
      </c>
      <c r="N275" s="783" t="s">
        <v>6440</v>
      </c>
    </row>
    <row r="276" spans="1:17" s="755" customFormat="1" ht="20.25" customHeight="1" x14ac:dyDescent="0.15">
      <c r="A276" s="754"/>
      <c r="B276" s="745">
        <v>1</v>
      </c>
      <c r="C276" s="746"/>
      <c r="D276" s="747" t="s">
        <v>565</v>
      </c>
      <c r="E276" s="747" t="s">
        <v>565</v>
      </c>
      <c r="F276" s="747"/>
      <c r="G276" s="748"/>
      <c r="H276" s="749"/>
      <c r="I276" s="808"/>
      <c r="J276" s="804">
        <v>50</v>
      </c>
      <c r="K276" s="804" t="s">
        <v>4635</v>
      </c>
      <c r="L276" s="804" t="s">
        <v>4635</v>
      </c>
      <c r="M276" s="803" t="s">
        <v>6688</v>
      </c>
      <c r="N276" s="809">
        <v>41</v>
      </c>
      <c r="O276" s="755" t="s">
        <v>6689</v>
      </c>
    </row>
    <row r="277" spans="1:17" s="755" customFormat="1" ht="20.25" customHeight="1" x14ac:dyDescent="0.15">
      <c r="A277" s="754"/>
      <c r="B277" s="745">
        <v>2</v>
      </c>
      <c r="C277" s="746"/>
      <c r="D277" s="747" t="s">
        <v>565</v>
      </c>
      <c r="E277" s="747" t="s">
        <v>565</v>
      </c>
      <c r="F277" s="747"/>
      <c r="G277" s="748"/>
      <c r="H277" s="749"/>
      <c r="I277" s="811"/>
      <c r="J277" s="804">
        <v>35</v>
      </c>
      <c r="K277" s="804" t="s">
        <v>4635</v>
      </c>
      <c r="L277" s="804" t="s">
        <v>4635</v>
      </c>
      <c r="M277" s="803" t="s">
        <v>6690</v>
      </c>
      <c r="N277" s="809">
        <v>42</v>
      </c>
    </row>
    <row r="278" spans="1:17" s="755" customFormat="1" ht="20.25" customHeight="1" x14ac:dyDescent="0.15">
      <c r="A278" s="754"/>
      <c r="B278" s="802">
        <v>3</v>
      </c>
      <c r="C278" s="803" t="s">
        <v>6691</v>
      </c>
      <c r="D278" s="804" t="s">
        <v>4635</v>
      </c>
      <c r="E278" s="804" t="s">
        <v>4635</v>
      </c>
      <c r="F278" s="804" t="s">
        <v>6460</v>
      </c>
      <c r="G278" s="805"/>
      <c r="H278" s="749"/>
      <c r="I278" s="811"/>
      <c r="J278" s="804">
        <v>35</v>
      </c>
      <c r="K278" s="804" t="s">
        <v>4635</v>
      </c>
      <c r="L278" s="804" t="s">
        <v>4635</v>
      </c>
      <c r="M278" s="803" t="s">
        <v>6692</v>
      </c>
      <c r="N278" s="809">
        <v>43</v>
      </c>
    </row>
    <row r="279" spans="1:17" s="755" customFormat="1" ht="20.25" customHeight="1" x14ac:dyDescent="0.15">
      <c r="A279" s="754"/>
      <c r="B279" s="745">
        <v>4</v>
      </c>
      <c r="C279" s="746"/>
      <c r="D279" s="747" t="s">
        <v>565</v>
      </c>
      <c r="E279" s="747" t="s">
        <v>565</v>
      </c>
      <c r="F279" s="747"/>
      <c r="G279" s="758"/>
      <c r="H279" s="749"/>
      <c r="I279" s="811"/>
      <c r="J279" s="804">
        <v>35</v>
      </c>
      <c r="K279" s="804" t="s">
        <v>4635</v>
      </c>
      <c r="L279" s="804" t="s">
        <v>4635</v>
      </c>
      <c r="M279" s="803" t="s">
        <v>6693</v>
      </c>
      <c r="N279" s="809">
        <v>44</v>
      </c>
    </row>
    <row r="280" spans="1:17" s="755" customFormat="1" ht="20.25" customHeight="1" x14ac:dyDescent="0.15">
      <c r="A280" s="754"/>
      <c r="B280" s="745">
        <v>5</v>
      </c>
      <c r="C280" s="746"/>
      <c r="D280" s="747" t="s">
        <v>565</v>
      </c>
      <c r="E280" s="747" t="s">
        <v>565</v>
      </c>
      <c r="F280" s="747"/>
      <c r="G280" s="758"/>
      <c r="H280" s="749"/>
      <c r="I280" s="811"/>
      <c r="J280" s="804">
        <v>50</v>
      </c>
      <c r="K280" s="804" t="s">
        <v>4635</v>
      </c>
      <c r="L280" s="804" t="s">
        <v>4635</v>
      </c>
      <c r="M280" s="803" t="s">
        <v>6694</v>
      </c>
      <c r="N280" s="809">
        <v>45</v>
      </c>
    </row>
    <row r="281" spans="1:17" s="755" customFormat="1" ht="20.25" customHeight="1" x14ac:dyDescent="0.15">
      <c r="A281" s="754"/>
      <c r="B281" s="745">
        <v>6</v>
      </c>
      <c r="C281" s="746"/>
      <c r="D281" s="747" t="s">
        <v>565</v>
      </c>
      <c r="E281" s="747" t="s">
        <v>565</v>
      </c>
      <c r="F281" s="747"/>
      <c r="G281" s="758"/>
      <c r="H281" s="749"/>
      <c r="I281" s="811"/>
      <c r="J281" s="804">
        <v>50</v>
      </c>
      <c r="K281" s="804" t="s">
        <v>4635</v>
      </c>
      <c r="L281" s="804" t="s">
        <v>4635</v>
      </c>
      <c r="M281" s="803" t="s">
        <v>6695</v>
      </c>
      <c r="N281" s="809">
        <v>46</v>
      </c>
    </row>
    <row r="282" spans="1:17" s="755" customFormat="1" ht="10.5" customHeight="1" x14ac:dyDescent="0.15">
      <c r="A282" s="754"/>
      <c r="B282" s="745">
        <v>7</v>
      </c>
      <c r="C282" s="747"/>
      <c r="D282" s="747" t="s">
        <v>565</v>
      </c>
      <c r="E282" s="747" t="s">
        <v>565</v>
      </c>
      <c r="F282" s="747"/>
      <c r="G282" s="758"/>
      <c r="H282" s="749"/>
      <c r="I282" s="750"/>
      <c r="J282" s="747"/>
      <c r="K282" s="747" t="s">
        <v>565</v>
      </c>
      <c r="L282" s="747" t="s">
        <v>565</v>
      </c>
      <c r="M282" s="747"/>
      <c r="N282" s="751">
        <v>47</v>
      </c>
    </row>
    <row r="283" spans="1:17" s="755" customFormat="1" ht="10.5" customHeight="1" x14ac:dyDescent="0.15">
      <c r="A283" s="754"/>
      <c r="B283" s="745">
        <v>8</v>
      </c>
      <c r="C283" s="784"/>
      <c r="D283" s="747" t="s">
        <v>565</v>
      </c>
      <c r="E283" s="747" t="s">
        <v>565</v>
      </c>
      <c r="F283" s="747"/>
      <c r="G283" s="758"/>
      <c r="H283" s="749"/>
      <c r="I283" s="750"/>
      <c r="J283" s="747"/>
      <c r="K283" s="747" t="s">
        <v>565</v>
      </c>
      <c r="L283" s="747" t="s">
        <v>565</v>
      </c>
      <c r="M283" s="747"/>
      <c r="N283" s="751">
        <v>48</v>
      </c>
    </row>
    <row r="284" spans="1:17" s="755" customFormat="1" ht="10.5" customHeight="1" x14ac:dyDescent="0.15">
      <c r="A284" s="754"/>
      <c r="B284" s="745">
        <v>9</v>
      </c>
      <c r="C284" s="747"/>
      <c r="D284" s="747" t="s">
        <v>565</v>
      </c>
      <c r="E284" s="747" t="s">
        <v>565</v>
      </c>
      <c r="F284" s="747"/>
      <c r="G284" s="758"/>
      <c r="H284" s="749"/>
      <c r="I284" s="750"/>
      <c r="J284" s="747"/>
      <c r="K284" s="747" t="s">
        <v>565</v>
      </c>
      <c r="L284" s="747" t="s">
        <v>565</v>
      </c>
      <c r="M284" s="747"/>
      <c r="N284" s="751">
        <v>49</v>
      </c>
    </row>
    <row r="285" spans="1:17" s="755" customFormat="1" ht="20.25" customHeight="1" x14ac:dyDescent="0.15">
      <c r="A285" s="754"/>
      <c r="B285" s="802">
        <v>10</v>
      </c>
      <c r="C285" s="803" t="s">
        <v>6696</v>
      </c>
      <c r="D285" s="804" t="s">
        <v>4635</v>
      </c>
      <c r="E285" s="804" t="s">
        <v>4635</v>
      </c>
      <c r="F285" s="804" t="s">
        <v>6473</v>
      </c>
      <c r="G285" s="816"/>
      <c r="H285" s="749"/>
      <c r="I285" s="811"/>
      <c r="J285" s="804">
        <v>35</v>
      </c>
      <c r="K285" s="804" t="s">
        <v>4635</v>
      </c>
      <c r="L285" s="804" t="s">
        <v>4635</v>
      </c>
      <c r="M285" s="803" t="s">
        <v>6697</v>
      </c>
      <c r="N285" s="809">
        <v>50</v>
      </c>
    </row>
    <row r="286" spans="1:17" s="755" customFormat="1" ht="20.25" customHeight="1" x14ac:dyDescent="0.15">
      <c r="A286" s="754"/>
      <c r="B286" s="802">
        <v>11</v>
      </c>
      <c r="C286" s="803" t="s">
        <v>6698</v>
      </c>
      <c r="D286" s="804" t="s">
        <v>4635</v>
      </c>
      <c r="E286" s="804" t="s">
        <v>4635</v>
      </c>
      <c r="F286" s="804" t="s">
        <v>6473</v>
      </c>
      <c r="G286" s="816"/>
      <c r="H286" s="749"/>
      <c r="I286" s="750"/>
      <c r="J286" s="747"/>
      <c r="K286" s="747" t="s">
        <v>565</v>
      </c>
      <c r="L286" s="747" t="s">
        <v>565</v>
      </c>
      <c r="M286" s="747"/>
      <c r="N286" s="751">
        <v>51</v>
      </c>
    </row>
    <row r="287" spans="1:17" s="755" customFormat="1" ht="20.25" customHeight="1" x14ac:dyDescent="0.15">
      <c r="A287" s="754"/>
      <c r="B287" s="745">
        <v>12</v>
      </c>
      <c r="C287" s="746"/>
      <c r="D287" s="747" t="s">
        <v>565</v>
      </c>
      <c r="E287" s="747" t="s">
        <v>565</v>
      </c>
      <c r="F287" s="747"/>
      <c r="G287" s="758"/>
      <c r="H287" s="749"/>
      <c r="I287" s="811"/>
      <c r="J287" s="804">
        <v>35</v>
      </c>
      <c r="K287" s="804" t="s">
        <v>4635</v>
      </c>
      <c r="L287" s="804" t="s">
        <v>4635</v>
      </c>
      <c r="M287" s="803" t="s">
        <v>6699</v>
      </c>
      <c r="N287" s="809">
        <v>52</v>
      </c>
      <c r="Q287" s="753"/>
    </row>
    <row r="288" spans="1:17" s="755" customFormat="1" ht="20.25" customHeight="1" x14ac:dyDescent="0.15">
      <c r="A288" s="754"/>
      <c r="B288" s="745">
        <v>13</v>
      </c>
      <c r="C288" s="746"/>
      <c r="D288" s="747" t="s">
        <v>565</v>
      </c>
      <c r="E288" s="747" t="s">
        <v>565</v>
      </c>
      <c r="F288" s="747"/>
      <c r="G288" s="758"/>
      <c r="H288" s="749"/>
      <c r="I288" s="811"/>
      <c r="J288" s="804">
        <v>35</v>
      </c>
      <c r="K288" s="804" t="s">
        <v>4635</v>
      </c>
      <c r="L288" s="804" t="s">
        <v>4635</v>
      </c>
      <c r="M288" s="803" t="s">
        <v>6700</v>
      </c>
      <c r="N288" s="809">
        <v>53</v>
      </c>
    </row>
    <row r="289" spans="1:14" s="755" customFormat="1" ht="20.25" customHeight="1" x14ac:dyDescent="0.15">
      <c r="A289" s="754"/>
      <c r="B289" s="745">
        <v>14</v>
      </c>
      <c r="C289" s="746"/>
      <c r="D289" s="747" t="s">
        <v>565</v>
      </c>
      <c r="E289" s="747" t="s">
        <v>565</v>
      </c>
      <c r="F289" s="747"/>
      <c r="G289" s="758"/>
      <c r="H289" s="749"/>
      <c r="I289" s="811"/>
      <c r="J289" s="804">
        <v>35</v>
      </c>
      <c r="K289" s="804" t="s">
        <v>4635</v>
      </c>
      <c r="L289" s="804" t="s">
        <v>4635</v>
      </c>
      <c r="M289" s="803" t="s">
        <v>6701</v>
      </c>
      <c r="N289" s="809">
        <v>54</v>
      </c>
    </row>
    <row r="290" spans="1:14" s="755" customFormat="1" ht="8.25" customHeight="1" x14ac:dyDescent="0.15">
      <c r="A290" s="754"/>
      <c r="B290" s="745">
        <v>15</v>
      </c>
      <c r="C290" s="746"/>
      <c r="D290" s="747" t="s">
        <v>565</v>
      </c>
      <c r="E290" s="747" t="s">
        <v>565</v>
      </c>
      <c r="F290" s="747"/>
      <c r="G290" s="758"/>
      <c r="H290" s="749"/>
      <c r="I290" s="750"/>
      <c r="J290" s="747"/>
      <c r="K290" s="747" t="s">
        <v>565</v>
      </c>
      <c r="L290" s="747" t="s">
        <v>565</v>
      </c>
      <c r="M290" s="747"/>
      <c r="N290" s="751">
        <v>55</v>
      </c>
    </row>
    <row r="291" spans="1:14" s="755" customFormat="1" ht="20.25" customHeight="1" x14ac:dyDescent="0.15">
      <c r="A291" s="754"/>
      <c r="B291" s="745">
        <v>16</v>
      </c>
      <c r="C291" s="746"/>
      <c r="D291" s="747" t="s">
        <v>565</v>
      </c>
      <c r="E291" s="747" t="s">
        <v>565</v>
      </c>
      <c r="F291" s="747"/>
      <c r="G291" s="758"/>
      <c r="H291" s="749"/>
      <c r="I291" s="811"/>
      <c r="J291" s="804">
        <v>100</v>
      </c>
      <c r="K291" s="804" t="s">
        <v>4635</v>
      </c>
      <c r="L291" s="804" t="s">
        <v>4635</v>
      </c>
      <c r="M291" s="803" t="s">
        <v>6702</v>
      </c>
      <c r="N291" s="809">
        <v>56</v>
      </c>
    </row>
    <row r="292" spans="1:14" s="755" customFormat="1" ht="6.75" customHeight="1" x14ac:dyDescent="0.15">
      <c r="A292" s="754"/>
      <c r="B292" s="745">
        <v>17</v>
      </c>
      <c r="C292" s="746"/>
      <c r="D292" s="747" t="s">
        <v>565</v>
      </c>
      <c r="E292" s="747" t="s">
        <v>565</v>
      </c>
      <c r="F292" s="747"/>
      <c r="G292" s="758"/>
      <c r="H292" s="749"/>
      <c r="I292" s="750"/>
      <c r="J292" s="747"/>
      <c r="K292" s="747" t="s">
        <v>565</v>
      </c>
      <c r="L292" s="747" t="s">
        <v>565</v>
      </c>
      <c r="M292" s="747"/>
      <c r="N292" s="751">
        <v>57</v>
      </c>
    </row>
    <row r="293" spans="1:14" s="755" customFormat="1" ht="20.25" customHeight="1" x14ac:dyDescent="0.15">
      <c r="A293" s="754"/>
      <c r="B293" s="802">
        <v>18</v>
      </c>
      <c r="C293" s="803" t="s">
        <v>6703</v>
      </c>
      <c r="D293" s="804" t="s">
        <v>4635</v>
      </c>
      <c r="E293" s="804" t="s">
        <v>4635</v>
      </c>
      <c r="F293" s="804" t="s">
        <v>6473</v>
      </c>
      <c r="G293" s="805"/>
      <c r="H293" s="749"/>
      <c r="I293" s="811"/>
      <c r="J293" s="804">
        <v>100</v>
      </c>
      <c r="K293" s="804" t="s">
        <v>4635</v>
      </c>
      <c r="L293" s="804" t="s">
        <v>4635</v>
      </c>
      <c r="M293" s="803" t="s">
        <v>6704</v>
      </c>
      <c r="N293" s="809">
        <v>58</v>
      </c>
    </row>
    <row r="294" spans="1:14" s="755" customFormat="1" ht="20.25" customHeight="1" x14ac:dyDescent="0.15">
      <c r="A294" s="754"/>
      <c r="B294" s="745">
        <v>19</v>
      </c>
      <c r="C294" s="784"/>
      <c r="D294" s="747" t="s">
        <v>565</v>
      </c>
      <c r="E294" s="747" t="s">
        <v>6542</v>
      </c>
      <c r="F294" s="747"/>
      <c r="G294" s="1176"/>
      <c r="H294" s="749"/>
      <c r="I294" s="811"/>
      <c r="J294" s="804">
        <v>50</v>
      </c>
      <c r="K294" s="804" t="s">
        <v>4635</v>
      </c>
      <c r="L294" s="804" t="s">
        <v>4635</v>
      </c>
      <c r="M294" s="803" t="s">
        <v>6705</v>
      </c>
      <c r="N294" s="809">
        <v>59</v>
      </c>
    </row>
    <row r="295" spans="1:14" s="755" customFormat="1" ht="13.5" customHeight="1" x14ac:dyDescent="0.15">
      <c r="A295" s="754"/>
      <c r="B295" s="745">
        <v>20</v>
      </c>
      <c r="C295" s="746"/>
      <c r="D295" s="747" t="s">
        <v>565</v>
      </c>
      <c r="E295" s="747" t="s">
        <v>565</v>
      </c>
      <c r="F295" s="747"/>
      <c r="G295" s="758"/>
      <c r="H295" s="749"/>
      <c r="I295" s="750"/>
      <c r="J295" s="747"/>
      <c r="K295" s="747" t="s">
        <v>565</v>
      </c>
      <c r="L295" s="747" t="s">
        <v>565</v>
      </c>
      <c r="M295" s="747"/>
      <c r="N295" s="751">
        <v>60</v>
      </c>
    </row>
    <row r="296" spans="1:14" s="755" customFormat="1" ht="13.5" customHeight="1" x14ac:dyDescent="0.15">
      <c r="A296" s="754"/>
      <c r="B296" s="745">
        <v>21</v>
      </c>
      <c r="C296" s="746"/>
      <c r="D296" s="747" t="s">
        <v>565</v>
      </c>
      <c r="E296" s="747" t="s">
        <v>565</v>
      </c>
      <c r="F296" s="747"/>
      <c r="G296" s="758"/>
      <c r="H296" s="749"/>
      <c r="I296" s="750"/>
      <c r="J296" s="747"/>
      <c r="K296" s="747" t="s">
        <v>565</v>
      </c>
      <c r="L296" s="747" t="s">
        <v>565</v>
      </c>
      <c r="M296" s="747"/>
      <c r="N296" s="751">
        <v>61</v>
      </c>
    </row>
    <row r="297" spans="1:14" s="755" customFormat="1" ht="13.5" customHeight="1" x14ac:dyDescent="0.15">
      <c r="A297" s="754"/>
      <c r="B297" s="745">
        <v>22</v>
      </c>
      <c r="C297" s="784"/>
      <c r="D297" s="747" t="s">
        <v>565</v>
      </c>
      <c r="E297" s="747" t="s">
        <v>6542</v>
      </c>
      <c r="F297" s="747"/>
      <c r="G297" s="758"/>
      <c r="H297" s="749"/>
      <c r="I297" s="750"/>
      <c r="J297" s="747"/>
      <c r="K297" s="747" t="s">
        <v>565</v>
      </c>
      <c r="L297" s="747" t="s">
        <v>565</v>
      </c>
      <c r="M297" s="747"/>
      <c r="N297" s="751">
        <v>62</v>
      </c>
    </row>
    <row r="298" spans="1:14" s="755" customFormat="1" ht="13.5" customHeight="1" x14ac:dyDescent="0.15">
      <c r="A298" s="754"/>
      <c r="B298" s="745">
        <v>23</v>
      </c>
      <c r="C298" s="746"/>
      <c r="D298" s="747" t="s">
        <v>565</v>
      </c>
      <c r="E298" s="747" t="s">
        <v>565</v>
      </c>
      <c r="F298" s="747"/>
      <c r="G298" s="758"/>
      <c r="H298" s="749"/>
      <c r="I298" s="750"/>
      <c r="J298" s="747"/>
      <c r="K298" s="747" t="s">
        <v>565</v>
      </c>
      <c r="L298" s="747" t="s">
        <v>565</v>
      </c>
      <c r="M298" s="747"/>
      <c r="N298" s="751">
        <v>63</v>
      </c>
    </row>
    <row r="299" spans="1:14" s="755" customFormat="1" ht="13.5" customHeight="1" x14ac:dyDescent="0.15">
      <c r="A299" s="754"/>
      <c r="B299" s="745">
        <v>24</v>
      </c>
      <c r="C299" s="746"/>
      <c r="D299" s="747" t="s">
        <v>565</v>
      </c>
      <c r="E299" s="747" t="s">
        <v>565</v>
      </c>
      <c r="F299" s="747"/>
      <c r="G299" s="758"/>
      <c r="H299" s="749"/>
      <c r="I299" s="750"/>
      <c r="J299" s="747"/>
      <c r="K299" s="747" t="s">
        <v>565</v>
      </c>
      <c r="L299" s="747" t="s">
        <v>565</v>
      </c>
      <c r="M299" s="747"/>
      <c r="N299" s="751">
        <v>64</v>
      </c>
    </row>
    <row r="300" spans="1:14" s="755" customFormat="1" ht="31.5" x14ac:dyDescent="0.15">
      <c r="A300" s="754"/>
      <c r="B300" s="802">
        <v>25</v>
      </c>
      <c r="C300" s="803" t="s">
        <v>6706</v>
      </c>
      <c r="D300" s="804" t="s">
        <v>4635</v>
      </c>
      <c r="E300" s="804" t="s">
        <v>4635</v>
      </c>
      <c r="F300" s="804" t="s">
        <v>6473</v>
      </c>
      <c r="G300" s="805"/>
      <c r="H300" s="749"/>
      <c r="I300" s="750"/>
      <c r="J300" s="747"/>
      <c r="K300" s="747" t="s">
        <v>565</v>
      </c>
      <c r="L300" s="747" t="s">
        <v>565</v>
      </c>
      <c r="M300" s="747"/>
      <c r="N300" s="751">
        <v>65</v>
      </c>
    </row>
    <row r="301" spans="1:14" s="755" customFormat="1" ht="20.25" customHeight="1" x14ac:dyDescent="0.15">
      <c r="A301" s="754"/>
      <c r="B301" s="802">
        <v>26</v>
      </c>
      <c r="C301" s="803" t="s">
        <v>6707</v>
      </c>
      <c r="D301" s="804" t="s">
        <v>4635</v>
      </c>
      <c r="E301" s="804" t="s">
        <v>4635</v>
      </c>
      <c r="F301" s="804" t="s">
        <v>6473</v>
      </c>
      <c r="G301" s="805"/>
      <c r="H301" s="749"/>
      <c r="I301" s="750"/>
      <c r="J301" s="747"/>
      <c r="K301" s="747" t="s">
        <v>565</v>
      </c>
      <c r="L301" s="747" t="s">
        <v>565</v>
      </c>
      <c r="M301" s="747"/>
      <c r="N301" s="751">
        <v>66</v>
      </c>
    </row>
    <row r="302" spans="1:14" s="755" customFormat="1" ht="20.25" customHeight="1" x14ac:dyDescent="0.15">
      <c r="A302" s="754"/>
      <c r="B302" s="802">
        <v>27</v>
      </c>
      <c r="C302" s="803" t="s">
        <v>6708</v>
      </c>
      <c r="D302" s="804" t="s">
        <v>4635</v>
      </c>
      <c r="E302" s="804" t="s">
        <v>4635</v>
      </c>
      <c r="F302" s="804" t="s">
        <v>6473</v>
      </c>
      <c r="G302" s="805"/>
      <c r="H302" s="749"/>
      <c r="I302" s="750"/>
      <c r="J302" s="747"/>
      <c r="K302" s="747" t="s">
        <v>565</v>
      </c>
      <c r="L302" s="747" t="s">
        <v>565</v>
      </c>
      <c r="M302" s="747"/>
      <c r="N302" s="751">
        <v>67</v>
      </c>
    </row>
    <row r="303" spans="1:14" s="755" customFormat="1" ht="20.25" customHeight="1" x14ac:dyDescent="0.15">
      <c r="A303" s="754"/>
      <c r="B303" s="802">
        <v>28</v>
      </c>
      <c r="C303" s="803" t="s">
        <v>6709</v>
      </c>
      <c r="D303" s="804" t="s">
        <v>4635</v>
      </c>
      <c r="E303" s="804" t="s">
        <v>4635</v>
      </c>
      <c r="F303" s="804" t="s">
        <v>6473</v>
      </c>
      <c r="G303" s="805"/>
      <c r="H303" s="749"/>
      <c r="I303" s="750"/>
      <c r="J303" s="747"/>
      <c r="K303" s="747" t="s">
        <v>565</v>
      </c>
      <c r="L303" s="747" t="s">
        <v>565</v>
      </c>
      <c r="M303" s="747"/>
      <c r="N303" s="751">
        <v>68</v>
      </c>
    </row>
    <row r="304" spans="1:14" s="755" customFormat="1" ht="20.25" customHeight="1" x14ac:dyDescent="0.15">
      <c r="A304" s="754"/>
      <c r="B304" s="802">
        <v>29</v>
      </c>
      <c r="C304" s="803" t="s">
        <v>6710</v>
      </c>
      <c r="D304" s="804" t="s">
        <v>4635</v>
      </c>
      <c r="E304" s="804" t="s">
        <v>4635</v>
      </c>
      <c r="F304" s="804" t="s">
        <v>6460</v>
      </c>
      <c r="G304" s="805"/>
      <c r="H304" s="749"/>
      <c r="I304" s="750"/>
      <c r="J304" s="747"/>
      <c r="K304" s="747" t="s">
        <v>565</v>
      </c>
      <c r="L304" s="747" t="s">
        <v>565</v>
      </c>
      <c r="M304" s="747"/>
      <c r="N304" s="751">
        <v>69</v>
      </c>
    </row>
    <row r="305" spans="1:14" s="755" customFormat="1" ht="20.25" customHeight="1" x14ac:dyDescent="0.15">
      <c r="A305" s="754"/>
      <c r="B305" s="802">
        <v>30</v>
      </c>
      <c r="C305" s="803" t="s">
        <v>6711</v>
      </c>
      <c r="D305" s="804" t="s">
        <v>4635</v>
      </c>
      <c r="E305" s="804" t="s">
        <v>4635</v>
      </c>
      <c r="F305" s="804" t="s">
        <v>6460</v>
      </c>
      <c r="G305" s="805"/>
      <c r="H305" s="749"/>
      <c r="I305" s="750"/>
      <c r="J305" s="747"/>
      <c r="K305" s="747" t="s">
        <v>565</v>
      </c>
      <c r="L305" s="747" t="s">
        <v>565</v>
      </c>
      <c r="M305" s="747"/>
      <c r="N305" s="751">
        <v>70</v>
      </c>
    </row>
    <row r="306" spans="1:14" s="755" customFormat="1" ht="20.25" customHeight="1" x14ac:dyDescent="0.15">
      <c r="A306" s="754"/>
      <c r="B306" s="802">
        <v>31</v>
      </c>
      <c r="C306" s="803" t="s">
        <v>6712</v>
      </c>
      <c r="D306" s="804" t="s">
        <v>4635</v>
      </c>
      <c r="E306" s="804" t="s">
        <v>4635</v>
      </c>
      <c r="F306" s="804" t="s">
        <v>6460</v>
      </c>
      <c r="G306" s="805"/>
      <c r="H306" s="749"/>
      <c r="I306" s="750"/>
      <c r="J306" s="747"/>
      <c r="K306" s="747" t="s">
        <v>565</v>
      </c>
      <c r="L306" s="747" t="s">
        <v>565</v>
      </c>
      <c r="M306" s="747"/>
      <c r="N306" s="751">
        <v>71</v>
      </c>
    </row>
    <row r="307" spans="1:14" s="755" customFormat="1" ht="20.25" customHeight="1" x14ac:dyDescent="0.15">
      <c r="A307" s="754" t="s">
        <v>6713</v>
      </c>
      <c r="B307" s="802">
        <v>32</v>
      </c>
      <c r="C307" s="803" t="s">
        <v>6714</v>
      </c>
      <c r="D307" s="804" t="s">
        <v>4635</v>
      </c>
      <c r="E307" s="804" t="s">
        <v>4635</v>
      </c>
      <c r="F307" s="817" t="s">
        <v>6450</v>
      </c>
      <c r="G307" s="816"/>
      <c r="H307" s="749"/>
      <c r="I307" s="750"/>
      <c r="J307" s="747"/>
      <c r="K307" s="747" t="s">
        <v>565</v>
      </c>
      <c r="L307" s="747" t="s">
        <v>565</v>
      </c>
      <c r="M307" s="747"/>
      <c r="N307" s="751">
        <v>72</v>
      </c>
    </row>
    <row r="308" spans="1:14" s="755" customFormat="1" ht="20.25" customHeight="1" x14ac:dyDescent="0.15">
      <c r="A308" s="754"/>
      <c r="B308" s="802">
        <v>33</v>
      </c>
      <c r="C308" s="803" t="s">
        <v>6715</v>
      </c>
      <c r="D308" s="804" t="s">
        <v>4635</v>
      </c>
      <c r="E308" s="804" t="s">
        <v>4635</v>
      </c>
      <c r="F308" s="804" t="s">
        <v>6473</v>
      </c>
      <c r="G308" s="805"/>
      <c r="H308" s="749"/>
      <c r="I308" s="750"/>
      <c r="J308" s="747"/>
      <c r="K308" s="747" t="s">
        <v>565</v>
      </c>
      <c r="L308" s="747" t="s">
        <v>565</v>
      </c>
      <c r="M308" s="747"/>
      <c r="N308" s="751">
        <v>73</v>
      </c>
    </row>
    <row r="309" spans="1:14" s="755" customFormat="1" ht="20.25" customHeight="1" x14ac:dyDescent="0.15">
      <c r="A309" s="754"/>
      <c r="B309" s="818">
        <v>34</v>
      </c>
      <c r="C309" s="803" t="s">
        <v>6716</v>
      </c>
      <c r="D309" s="804" t="s">
        <v>4635</v>
      </c>
      <c r="E309" s="804" t="s">
        <v>4635</v>
      </c>
      <c r="F309" s="804" t="s">
        <v>6717</v>
      </c>
      <c r="G309" s="805"/>
      <c r="H309" s="785"/>
      <c r="I309" s="750"/>
      <c r="J309" s="747"/>
      <c r="K309" s="747" t="s">
        <v>565</v>
      </c>
      <c r="L309" s="747" t="s">
        <v>565</v>
      </c>
      <c r="M309" s="747"/>
      <c r="N309" s="751">
        <v>74</v>
      </c>
    </row>
    <row r="310" spans="1:14" s="755" customFormat="1" ht="9" customHeight="1" x14ac:dyDescent="0.15">
      <c r="A310" s="754"/>
      <c r="B310" s="745">
        <v>35</v>
      </c>
      <c r="C310" s="747"/>
      <c r="D310" s="747" t="s">
        <v>565</v>
      </c>
      <c r="E310" s="747" t="s">
        <v>565</v>
      </c>
      <c r="F310" s="747"/>
      <c r="G310" s="748"/>
      <c r="H310" s="749"/>
      <c r="I310" s="750"/>
      <c r="J310" s="747"/>
      <c r="K310" s="747" t="s">
        <v>565</v>
      </c>
      <c r="L310" s="747" t="s">
        <v>565</v>
      </c>
      <c r="M310" s="747"/>
      <c r="N310" s="751">
        <v>75</v>
      </c>
    </row>
    <row r="311" spans="1:14" s="755" customFormat="1" ht="9" customHeight="1" x14ac:dyDescent="0.15">
      <c r="A311" s="754"/>
      <c r="B311" s="745">
        <v>36</v>
      </c>
      <c r="C311" s="747"/>
      <c r="D311" s="747" t="s">
        <v>565</v>
      </c>
      <c r="E311" s="747" t="s">
        <v>565</v>
      </c>
      <c r="F311" s="747"/>
      <c r="G311" s="748"/>
      <c r="H311" s="749"/>
      <c r="I311" s="750"/>
      <c r="J311" s="747"/>
      <c r="K311" s="747" t="s">
        <v>565</v>
      </c>
      <c r="L311" s="747" t="s">
        <v>565</v>
      </c>
      <c r="M311" s="747"/>
      <c r="N311" s="751">
        <v>76</v>
      </c>
    </row>
    <row r="312" spans="1:14" s="755" customFormat="1" ht="9" customHeight="1" x14ac:dyDescent="0.15">
      <c r="A312" s="754"/>
      <c r="B312" s="745">
        <v>37</v>
      </c>
      <c r="C312" s="747"/>
      <c r="D312" s="747" t="s">
        <v>565</v>
      </c>
      <c r="E312" s="747" t="s">
        <v>565</v>
      </c>
      <c r="F312" s="747"/>
      <c r="G312" s="748"/>
      <c r="H312" s="749"/>
      <c r="I312" s="750"/>
      <c r="J312" s="747"/>
      <c r="K312" s="747" t="s">
        <v>565</v>
      </c>
      <c r="L312" s="747" t="s">
        <v>565</v>
      </c>
      <c r="M312" s="747"/>
      <c r="N312" s="751">
        <v>77</v>
      </c>
    </row>
    <row r="313" spans="1:14" s="755" customFormat="1" ht="9" customHeight="1" x14ac:dyDescent="0.15">
      <c r="A313" s="754"/>
      <c r="B313" s="745">
        <v>38</v>
      </c>
      <c r="C313" s="747"/>
      <c r="D313" s="747" t="s">
        <v>565</v>
      </c>
      <c r="E313" s="747" t="s">
        <v>565</v>
      </c>
      <c r="F313" s="747"/>
      <c r="G313" s="748"/>
      <c r="H313" s="749"/>
      <c r="I313" s="750"/>
      <c r="J313" s="747"/>
      <c r="K313" s="747" t="s">
        <v>565</v>
      </c>
      <c r="L313" s="747" t="s">
        <v>565</v>
      </c>
      <c r="M313" s="747"/>
      <c r="N313" s="751">
        <v>78</v>
      </c>
    </row>
    <row r="314" spans="1:14" s="755" customFormat="1" ht="9" customHeight="1" x14ac:dyDescent="0.15">
      <c r="A314" s="754"/>
      <c r="B314" s="745">
        <v>39</v>
      </c>
      <c r="C314" s="747"/>
      <c r="D314" s="747" t="s">
        <v>565</v>
      </c>
      <c r="E314" s="747" t="s">
        <v>565</v>
      </c>
      <c r="F314" s="747"/>
      <c r="G314" s="748"/>
      <c r="H314" s="749"/>
      <c r="I314" s="750"/>
      <c r="J314" s="747"/>
      <c r="K314" s="747" t="s">
        <v>565</v>
      </c>
      <c r="L314" s="747" t="s">
        <v>565</v>
      </c>
      <c r="M314" s="747"/>
      <c r="N314" s="751">
        <v>79</v>
      </c>
    </row>
    <row r="315" spans="1:14" s="755" customFormat="1" ht="9" customHeight="1" thickBot="1" x14ac:dyDescent="0.2">
      <c r="A315" s="754"/>
      <c r="B315" s="768">
        <v>40</v>
      </c>
      <c r="C315" s="769"/>
      <c r="D315" s="769" t="s">
        <v>565</v>
      </c>
      <c r="E315" s="769" t="s">
        <v>565</v>
      </c>
      <c r="F315" s="769"/>
      <c r="G315" s="770"/>
      <c r="H315" s="771"/>
      <c r="I315" s="772"/>
      <c r="J315" s="769"/>
      <c r="K315" s="769" t="s">
        <v>565</v>
      </c>
      <c r="L315" s="769" t="s">
        <v>565</v>
      </c>
      <c r="M315" s="769"/>
      <c r="N315" s="773">
        <v>80</v>
      </c>
    </row>
    <row r="316" spans="1:14" s="755" customFormat="1" ht="20.25" customHeight="1" x14ac:dyDescent="0.15">
      <c r="A316" s="754"/>
      <c r="B316" s="774"/>
      <c r="C316" s="774"/>
      <c r="D316" s="774"/>
      <c r="E316" s="774"/>
      <c r="F316" s="774"/>
      <c r="G316" s="774"/>
      <c r="H316" s="774"/>
      <c r="I316" s="774" t="s">
        <v>6484</v>
      </c>
      <c r="J316" s="775">
        <f>SUM(G276:G315,I276:I315)</f>
        <v>0</v>
      </c>
      <c r="K316" s="774"/>
      <c r="L316" s="774"/>
      <c r="M316" s="774"/>
      <c r="N316" s="774"/>
    </row>
    <row r="317" spans="1:14" s="755" customFormat="1" ht="14.25" customHeight="1" x14ac:dyDescent="0.15">
      <c r="A317" s="754"/>
      <c r="B317" s="774"/>
      <c r="C317" s="774"/>
      <c r="D317" s="774"/>
      <c r="E317" s="774"/>
      <c r="F317" s="774"/>
      <c r="G317" s="774"/>
      <c r="H317" s="774"/>
      <c r="I317" s="774"/>
      <c r="J317" s="774"/>
      <c r="K317" s="774"/>
      <c r="L317" s="774"/>
      <c r="M317" s="774"/>
      <c r="N317" s="774"/>
    </row>
    <row r="318" spans="1:14" s="755" customFormat="1" ht="20.25" customHeight="1" x14ac:dyDescent="0.15">
      <c r="A318" s="754"/>
      <c r="B318" s="774"/>
      <c r="C318" s="776" t="s">
        <v>6718</v>
      </c>
      <c r="D318" s="774"/>
      <c r="E318" s="774"/>
      <c r="F318" s="774"/>
      <c r="G318" s="774"/>
      <c r="H318" s="774"/>
      <c r="I318" s="774"/>
      <c r="J318" s="774" t="s">
        <v>6437</v>
      </c>
      <c r="K318" s="777"/>
      <c r="L318" s="777"/>
      <c r="M318" s="495" t="s">
        <v>6438</v>
      </c>
      <c r="N318" s="774"/>
    </row>
    <row r="319" spans="1:14" s="755" customFormat="1" ht="20.25" customHeight="1" thickBot="1" x14ac:dyDescent="0.2">
      <c r="A319" s="754"/>
      <c r="B319" s="774"/>
      <c r="C319" s="776" t="s">
        <v>6719</v>
      </c>
      <c r="D319" s="774"/>
      <c r="E319" s="774"/>
      <c r="F319" s="774"/>
      <c r="G319" s="774"/>
      <c r="H319" s="774"/>
      <c r="I319" s="774"/>
      <c r="J319" s="774"/>
      <c r="K319" s="774"/>
      <c r="L319" s="774"/>
      <c r="M319" s="774"/>
      <c r="N319" s="774"/>
    </row>
    <row r="320" spans="1:14" s="755" customFormat="1" ht="20.25" customHeight="1" x14ac:dyDescent="0.15">
      <c r="A320" s="754"/>
      <c r="B320" s="778" t="s">
        <v>6440</v>
      </c>
      <c r="C320" s="779" t="s">
        <v>4564</v>
      </c>
      <c r="D320" s="779" t="s">
        <v>6442</v>
      </c>
      <c r="E320" s="779" t="s">
        <v>6443</v>
      </c>
      <c r="F320" s="779" t="s">
        <v>6444</v>
      </c>
      <c r="G320" s="780" t="s">
        <v>6445</v>
      </c>
      <c r="H320" s="781"/>
      <c r="I320" s="782" t="s">
        <v>6445</v>
      </c>
      <c r="J320" s="779" t="s">
        <v>6444</v>
      </c>
      <c r="K320" s="779" t="s">
        <v>6442</v>
      </c>
      <c r="L320" s="779" t="s">
        <v>6443</v>
      </c>
      <c r="M320" s="779" t="s">
        <v>4564</v>
      </c>
      <c r="N320" s="783" t="s">
        <v>6440</v>
      </c>
    </row>
    <row r="321" spans="1:16" s="755" customFormat="1" ht="20.25" customHeight="1" x14ac:dyDescent="0.15">
      <c r="A321" s="754"/>
      <c r="B321" s="745">
        <v>1</v>
      </c>
      <c r="C321" s="746"/>
      <c r="D321" s="747" t="s">
        <v>565</v>
      </c>
      <c r="E321" s="747" t="s">
        <v>565</v>
      </c>
      <c r="F321" s="747"/>
      <c r="G321" s="748"/>
      <c r="H321" s="749"/>
      <c r="I321" s="810"/>
      <c r="J321" s="804" t="s">
        <v>6473</v>
      </c>
      <c r="K321" s="804" t="s">
        <v>4635</v>
      </c>
      <c r="L321" s="804" t="s">
        <v>4635</v>
      </c>
      <c r="M321" s="803" t="s">
        <v>6720</v>
      </c>
      <c r="N321" s="809">
        <v>41</v>
      </c>
      <c r="O321" s="755" t="s">
        <v>6689</v>
      </c>
    </row>
    <row r="322" spans="1:16" s="755" customFormat="1" ht="12" customHeight="1" x14ac:dyDescent="0.15">
      <c r="A322" s="754"/>
      <c r="B322" s="745">
        <v>2</v>
      </c>
      <c r="C322" s="746"/>
      <c r="D322" s="747" t="s">
        <v>565</v>
      </c>
      <c r="E322" s="747" t="s">
        <v>565</v>
      </c>
      <c r="F322" s="747"/>
      <c r="G322" s="748"/>
      <c r="H322" s="749"/>
      <c r="I322" s="750"/>
      <c r="J322" s="747"/>
      <c r="K322" s="747" t="s">
        <v>565</v>
      </c>
      <c r="L322" s="747" t="s">
        <v>565</v>
      </c>
      <c r="M322" s="747"/>
      <c r="N322" s="751">
        <v>42</v>
      </c>
    </row>
    <row r="323" spans="1:16" s="755" customFormat="1" ht="20.25" customHeight="1" x14ac:dyDescent="0.15">
      <c r="A323" s="754"/>
      <c r="B323" s="802">
        <v>3</v>
      </c>
      <c r="C323" s="803" t="s">
        <v>6721</v>
      </c>
      <c r="D323" s="804" t="s">
        <v>4635</v>
      </c>
      <c r="E323" s="804" t="s">
        <v>4635</v>
      </c>
      <c r="F323" s="804" t="s">
        <v>6460</v>
      </c>
      <c r="G323" s="805"/>
      <c r="H323" s="749"/>
      <c r="I323" s="808"/>
      <c r="J323" s="804" t="s">
        <v>6473</v>
      </c>
      <c r="K323" s="804" t="s">
        <v>4635</v>
      </c>
      <c r="L323" s="804" t="s">
        <v>4635</v>
      </c>
      <c r="M323" s="803" t="s">
        <v>6722</v>
      </c>
      <c r="N323" s="809">
        <v>43</v>
      </c>
    </row>
    <row r="324" spans="1:16" s="755" customFormat="1" ht="20.25" customHeight="1" x14ac:dyDescent="0.15">
      <c r="A324" s="754"/>
      <c r="B324" s="745">
        <v>4</v>
      </c>
      <c r="C324" s="746"/>
      <c r="D324" s="747" t="s">
        <v>565</v>
      </c>
      <c r="E324" s="747" t="s">
        <v>565</v>
      </c>
      <c r="F324" s="747"/>
      <c r="G324" s="748"/>
      <c r="H324" s="749"/>
      <c r="I324" s="808"/>
      <c r="J324" s="804" t="s">
        <v>6473</v>
      </c>
      <c r="K324" s="804" t="s">
        <v>4635</v>
      </c>
      <c r="L324" s="804" t="s">
        <v>4635</v>
      </c>
      <c r="M324" s="803" t="s">
        <v>6723</v>
      </c>
      <c r="N324" s="809">
        <v>44</v>
      </c>
    </row>
    <row r="325" spans="1:16" s="755" customFormat="1" ht="20.25" customHeight="1" x14ac:dyDescent="0.15">
      <c r="A325" s="754"/>
      <c r="B325" s="745">
        <v>5</v>
      </c>
      <c r="C325" s="746"/>
      <c r="D325" s="747" t="s">
        <v>565</v>
      </c>
      <c r="E325" s="747" t="s">
        <v>565</v>
      </c>
      <c r="F325" s="747"/>
      <c r="G325" s="748"/>
      <c r="H325" s="749"/>
      <c r="I325" s="811"/>
      <c r="J325" s="804" t="s">
        <v>6473</v>
      </c>
      <c r="K325" s="804" t="s">
        <v>4635</v>
      </c>
      <c r="L325" s="804" t="s">
        <v>4635</v>
      </c>
      <c r="M325" s="803" t="s">
        <v>6724</v>
      </c>
      <c r="N325" s="809">
        <v>45</v>
      </c>
    </row>
    <row r="326" spans="1:16" s="755" customFormat="1" ht="20.25" customHeight="1" x14ac:dyDescent="0.15">
      <c r="A326" s="754"/>
      <c r="B326" s="745">
        <v>6</v>
      </c>
      <c r="C326" s="746"/>
      <c r="D326" s="747" t="s">
        <v>565</v>
      </c>
      <c r="E326" s="747" t="s">
        <v>565</v>
      </c>
      <c r="F326" s="747"/>
      <c r="G326" s="748"/>
      <c r="H326" s="749"/>
      <c r="I326" s="811"/>
      <c r="J326" s="804" t="s">
        <v>6450</v>
      </c>
      <c r="K326" s="804" t="s">
        <v>4635</v>
      </c>
      <c r="L326" s="804" t="s">
        <v>4635</v>
      </c>
      <c r="M326" s="803" t="s">
        <v>6725</v>
      </c>
      <c r="N326" s="809">
        <v>46</v>
      </c>
    </row>
    <row r="327" spans="1:16" s="755" customFormat="1" ht="20.25" customHeight="1" x14ac:dyDescent="0.15">
      <c r="A327" s="754"/>
      <c r="B327" s="745">
        <v>7</v>
      </c>
      <c r="C327" s="746"/>
      <c r="D327" s="747" t="s">
        <v>565</v>
      </c>
      <c r="E327" s="747" t="s">
        <v>565</v>
      </c>
      <c r="F327" s="747"/>
      <c r="G327" s="748"/>
      <c r="H327" s="749"/>
      <c r="I327" s="811"/>
      <c r="J327" s="804" t="s">
        <v>6473</v>
      </c>
      <c r="K327" s="804" t="s">
        <v>4635</v>
      </c>
      <c r="L327" s="804" t="s">
        <v>4635</v>
      </c>
      <c r="M327" s="803" t="s">
        <v>6726</v>
      </c>
      <c r="N327" s="809">
        <v>47</v>
      </c>
    </row>
    <row r="328" spans="1:16" s="755" customFormat="1" ht="20.25" customHeight="1" x14ac:dyDescent="0.15">
      <c r="A328" s="754"/>
      <c r="B328" s="745">
        <v>8</v>
      </c>
      <c r="C328" s="746"/>
      <c r="D328" s="747" t="s">
        <v>565</v>
      </c>
      <c r="E328" s="747" t="s">
        <v>565</v>
      </c>
      <c r="F328" s="747"/>
      <c r="G328" s="748"/>
      <c r="H328" s="749"/>
      <c r="I328" s="811"/>
      <c r="J328" s="804" t="s">
        <v>6450</v>
      </c>
      <c r="K328" s="804" t="s">
        <v>4635</v>
      </c>
      <c r="L328" s="804" t="s">
        <v>4635</v>
      </c>
      <c r="M328" s="803" t="s">
        <v>6727</v>
      </c>
      <c r="N328" s="809">
        <v>48</v>
      </c>
    </row>
    <row r="329" spans="1:16" s="755" customFormat="1" ht="20.25" customHeight="1" x14ac:dyDescent="0.15">
      <c r="A329" s="754"/>
      <c r="B329" s="745">
        <v>9</v>
      </c>
      <c r="C329" s="746"/>
      <c r="D329" s="747" t="s">
        <v>565</v>
      </c>
      <c r="E329" s="747" t="s">
        <v>565</v>
      </c>
      <c r="F329" s="747"/>
      <c r="G329" s="748"/>
      <c r="H329" s="749"/>
      <c r="I329" s="811"/>
      <c r="J329" s="804" t="s">
        <v>6473</v>
      </c>
      <c r="K329" s="804" t="s">
        <v>4635</v>
      </c>
      <c r="L329" s="804" t="s">
        <v>4635</v>
      </c>
      <c r="M329" s="803" t="s">
        <v>6728</v>
      </c>
      <c r="N329" s="809">
        <v>49</v>
      </c>
    </row>
    <row r="330" spans="1:16" s="755" customFormat="1" ht="20.25" customHeight="1" x14ac:dyDescent="0.15">
      <c r="A330" s="754"/>
      <c r="B330" s="745">
        <v>10</v>
      </c>
      <c r="C330" s="746"/>
      <c r="D330" s="747" t="s">
        <v>565</v>
      </c>
      <c r="E330" s="747" t="s">
        <v>565</v>
      </c>
      <c r="F330" s="747"/>
      <c r="G330" s="748"/>
      <c r="H330" s="749"/>
      <c r="I330" s="811"/>
      <c r="J330" s="804" t="s">
        <v>6450</v>
      </c>
      <c r="K330" s="804" t="s">
        <v>4635</v>
      </c>
      <c r="L330" s="804" t="s">
        <v>4635</v>
      </c>
      <c r="M330" s="803" t="s">
        <v>6729</v>
      </c>
      <c r="N330" s="809">
        <v>50</v>
      </c>
    </row>
    <row r="331" spans="1:16" s="755" customFormat="1" ht="20.25" customHeight="1" x14ac:dyDescent="0.15">
      <c r="A331" s="754"/>
      <c r="B331" s="745">
        <v>11</v>
      </c>
      <c r="C331" s="746"/>
      <c r="D331" s="747" t="s">
        <v>565</v>
      </c>
      <c r="E331" s="747" t="s">
        <v>565</v>
      </c>
      <c r="F331" s="747"/>
      <c r="G331" s="748"/>
      <c r="H331" s="749"/>
      <c r="I331" s="811"/>
      <c r="J331" s="804" t="s">
        <v>6473</v>
      </c>
      <c r="K331" s="804" t="s">
        <v>4635</v>
      </c>
      <c r="L331" s="804" t="s">
        <v>4635</v>
      </c>
      <c r="M331" s="803" t="s">
        <v>6730</v>
      </c>
      <c r="N331" s="809">
        <v>51</v>
      </c>
    </row>
    <row r="332" spans="1:16" s="755" customFormat="1" ht="20.25" customHeight="1" x14ac:dyDescent="0.15">
      <c r="A332" s="754"/>
      <c r="B332" s="745">
        <v>12</v>
      </c>
      <c r="C332" s="746"/>
      <c r="D332" s="747" t="s">
        <v>565</v>
      </c>
      <c r="E332" s="747" t="s">
        <v>565</v>
      </c>
      <c r="F332" s="747"/>
      <c r="G332" s="748"/>
      <c r="H332" s="749"/>
      <c r="I332" s="811"/>
      <c r="J332" s="804" t="s">
        <v>6450</v>
      </c>
      <c r="K332" s="804" t="s">
        <v>4635</v>
      </c>
      <c r="L332" s="804" t="s">
        <v>4635</v>
      </c>
      <c r="M332" s="803" t="s">
        <v>6731</v>
      </c>
      <c r="N332" s="809">
        <v>52</v>
      </c>
    </row>
    <row r="333" spans="1:16" s="755" customFormat="1" ht="20.25" customHeight="1" x14ac:dyDescent="0.15">
      <c r="A333" s="754"/>
      <c r="B333" s="824">
        <v>13</v>
      </c>
      <c r="C333" s="825"/>
      <c r="D333" s="747" t="s">
        <v>565</v>
      </c>
      <c r="E333" s="747" t="s">
        <v>6542</v>
      </c>
      <c r="F333" s="747"/>
      <c r="G333" s="758"/>
      <c r="H333" s="749"/>
      <c r="I333" s="811"/>
      <c r="J333" s="804" t="s">
        <v>6450</v>
      </c>
      <c r="K333" s="804" t="s">
        <v>4635</v>
      </c>
      <c r="L333" s="804" t="s">
        <v>4635</v>
      </c>
      <c r="M333" s="803" t="s">
        <v>6732</v>
      </c>
      <c r="N333" s="809">
        <v>53</v>
      </c>
      <c r="P333" s="753"/>
    </row>
    <row r="334" spans="1:16" s="755" customFormat="1" ht="20.25" customHeight="1" x14ac:dyDescent="0.15">
      <c r="A334" s="754"/>
      <c r="B334" s="745">
        <v>14</v>
      </c>
      <c r="C334" s="746"/>
      <c r="D334" s="747" t="s">
        <v>565</v>
      </c>
      <c r="E334" s="747" t="s">
        <v>565</v>
      </c>
      <c r="F334" s="747"/>
      <c r="G334" s="748"/>
      <c r="H334" s="749"/>
      <c r="I334" s="811"/>
      <c r="J334" s="804" t="s">
        <v>6450</v>
      </c>
      <c r="K334" s="804" t="s">
        <v>4635</v>
      </c>
      <c r="L334" s="804" t="s">
        <v>4635</v>
      </c>
      <c r="M334" s="803" t="s">
        <v>6733</v>
      </c>
      <c r="N334" s="809">
        <v>54</v>
      </c>
    </row>
    <row r="335" spans="1:16" s="755" customFormat="1" ht="10.5" customHeight="1" x14ac:dyDescent="0.15">
      <c r="A335" s="754"/>
      <c r="B335" s="745">
        <v>15</v>
      </c>
      <c r="C335" s="746"/>
      <c r="D335" s="747" t="s">
        <v>565</v>
      </c>
      <c r="E335" s="747" t="s">
        <v>565</v>
      </c>
      <c r="F335" s="747"/>
      <c r="G335" s="748"/>
      <c r="H335" s="749"/>
      <c r="I335" s="750"/>
      <c r="J335" s="747"/>
      <c r="K335" s="747" t="s">
        <v>565</v>
      </c>
      <c r="L335" s="747" t="s">
        <v>565</v>
      </c>
      <c r="M335" s="747"/>
      <c r="N335" s="751">
        <v>55</v>
      </c>
    </row>
    <row r="336" spans="1:16" s="755" customFormat="1" ht="20.25" customHeight="1" x14ac:dyDescent="0.15">
      <c r="A336" s="754"/>
      <c r="B336" s="824">
        <v>16</v>
      </c>
      <c r="C336" s="825"/>
      <c r="D336" s="747" t="s">
        <v>565</v>
      </c>
      <c r="E336" s="747" t="s">
        <v>6542</v>
      </c>
      <c r="F336" s="747"/>
      <c r="G336" s="758"/>
      <c r="H336" s="749"/>
      <c r="I336" s="811"/>
      <c r="J336" s="804" t="s">
        <v>6450</v>
      </c>
      <c r="K336" s="804" t="s">
        <v>4635</v>
      </c>
      <c r="L336" s="804" t="s">
        <v>4635</v>
      </c>
      <c r="M336" s="803" t="s">
        <v>6734</v>
      </c>
      <c r="N336" s="809">
        <v>56</v>
      </c>
    </row>
    <row r="337" spans="1:14" s="755" customFormat="1" ht="20.25" customHeight="1" x14ac:dyDescent="0.15">
      <c r="A337" s="754"/>
      <c r="B337" s="745">
        <v>17</v>
      </c>
      <c r="C337" s="746"/>
      <c r="D337" s="747" t="s">
        <v>565</v>
      </c>
      <c r="E337" s="747" t="s">
        <v>565</v>
      </c>
      <c r="F337" s="747"/>
      <c r="G337" s="748"/>
      <c r="H337" s="749"/>
      <c r="I337" s="811"/>
      <c r="J337" s="804" t="s">
        <v>6473</v>
      </c>
      <c r="K337" s="804" t="s">
        <v>4635</v>
      </c>
      <c r="L337" s="804" t="s">
        <v>4635</v>
      </c>
      <c r="M337" s="803" t="s">
        <v>6735</v>
      </c>
      <c r="N337" s="809">
        <v>57</v>
      </c>
    </row>
    <row r="338" spans="1:14" s="755" customFormat="1" ht="20.25" customHeight="1" x14ac:dyDescent="0.15">
      <c r="A338" s="754"/>
      <c r="B338" s="745">
        <v>18</v>
      </c>
      <c r="C338" s="746"/>
      <c r="D338" s="747" t="s">
        <v>565</v>
      </c>
      <c r="E338" s="747" t="s">
        <v>565</v>
      </c>
      <c r="F338" s="747"/>
      <c r="G338" s="748"/>
      <c r="H338" s="749"/>
      <c r="I338" s="811"/>
      <c r="J338" s="804" t="s">
        <v>6460</v>
      </c>
      <c r="K338" s="804" t="s">
        <v>4635</v>
      </c>
      <c r="L338" s="804" t="s">
        <v>4635</v>
      </c>
      <c r="M338" s="803" t="s">
        <v>6736</v>
      </c>
      <c r="N338" s="809">
        <v>58</v>
      </c>
    </row>
    <row r="339" spans="1:14" s="755" customFormat="1" ht="20.25" customHeight="1" x14ac:dyDescent="0.15">
      <c r="A339" s="754"/>
      <c r="B339" s="824">
        <v>19</v>
      </c>
      <c r="C339" s="825"/>
      <c r="D339" s="747" t="s">
        <v>565</v>
      </c>
      <c r="E339" s="747" t="s">
        <v>6542</v>
      </c>
      <c r="F339" s="747"/>
      <c r="G339" s="758"/>
      <c r="H339" s="749"/>
      <c r="I339" s="811"/>
      <c r="J339" s="804" t="s">
        <v>6473</v>
      </c>
      <c r="K339" s="804" t="s">
        <v>4635</v>
      </c>
      <c r="L339" s="804" t="s">
        <v>4635</v>
      </c>
      <c r="M339" s="803" t="s">
        <v>6737</v>
      </c>
      <c r="N339" s="809">
        <v>59</v>
      </c>
    </row>
    <row r="340" spans="1:14" s="755" customFormat="1" ht="9" customHeight="1" x14ac:dyDescent="0.15">
      <c r="A340" s="754"/>
      <c r="B340" s="745">
        <v>20</v>
      </c>
      <c r="C340" s="747"/>
      <c r="D340" s="747" t="s">
        <v>565</v>
      </c>
      <c r="E340" s="747" t="s">
        <v>565</v>
      </c>
      <c r="F340" s="747"/>
      <c r="G340" s="748"/>
      <c r="H340" s="749"/>
      <c r="I340" s="750"/>
      <c r="J340" s="747"/>
      <c r="K340" s="747" t="s">
        <v>565</v>
      </c>
      <c r="L340" s="747" t="s">
        <v>565</v>
      </c>
      <c r="M340" s="747"/>
      <c r="N340" s="751">
        <v>60</v>
      </c>
    </row>
    <row r="341" spans="1:14" s="755" customFormat="1" ht="9" customHeight="1" x14ac:dyDescent="0.15">
      <c r="A341" s="754"/>
      <c r="B341" s="745">
        <v>21</v>
      </c>
      <c r="C341" s="747"/>
      <c r="D341" s="747" t="s">
        <v>565</v>
      </c>
      <c r="E341" s="747" t="s">
        <v>565</v>
      </c>
      <c r="F341" s="747"/>
      <c r="G341" s="748"/>
      <c r="H341" s="749"/>
      <c r="I341" s="750"/>
      <c r="J341" s="747"/>
      <c r="K341" s="747" t="s">
        <v>565</v>
      </c>
      <c r="L341" s="747" t="s">
        <v>565</v>
      </c>
      <c r="M341" s="747"/>
      <c r="N341" s="751">
        <v>61</v>
      </c>
    </row>
    <row r="342" spans="1:14" s="755" customFormat="1" ht="9" customHeight="1" x14ac:dyDescent="0.15">
      <c r="A342" s="754"/>
      <c r="B342" s="745">
        <v>22</v>
      </c>
      <c r="C342" s="747"/>
      <c r="D342" s="747" t="s">
        <v>565</v>
      </c>
      <c r="E342" s="747" t="s">
        <v>565</v>
      </c>
      <c r="F342" s="747"/>
      <c r="G342" s="748"/>
      <c r="H342" s="749"/>
      <c r="I342" s="750"/>
      <c r="J342" s="747"/>
      <c r="K342" s="747" t="s">
        <v>565</v>
      </c>
      <c r="L342" s="747" t="s">
        <v>565</v>
      </c>
      <c r="M342" s="747"/>
      <c r="N342" s="751">
        <v>62</v>
      </c>
    </row>
    <row r="343" spans="1:14" s="755" customFormat="1" ht="9" customHeight="1" x14ac:dyDescent="0.15">
      <c r="A343" s="754"/>
      <c r="B343" s="745">
        <v>23</v>
      </c>
      <c r="C343" s="747"/>
      <c r="D343" s="747" t="s">
        <v>565</v>
      </c>
      <c r="E343" s="747" t="s">
        <v>565</v>
      </c>
      <c r="F343" s="747"/>
      <c r="G343" s="748"/>
      <c r="H343" s="749"/>
      <c r="I343" s="750"/>
      <c r="J343" s="747"/>
      <c r="K343" s="747" t="s">
        <v>565</v>
      </c>
      <c r="L343" s="747" t="s">
        <v>565</v>
      </c>
      <c r="M343" s="747"/>
      <c r="N343" s="751">
        <v>63</v>
      </c>
    </row>
    <row r="344" spans="1:14" s="755" customFormat="1" ht="9" customHeight="1" x14ac:dyDescent="0.15">
      <c r="A344" s="754"/>
      <c r="B344" s="745">
        <v>24</v>
      </c>
      <c r="C344" s="747"/>
      <c r="D344" s="747" t="s">
        <v>565</v>
      </c>
      <c r="E344" s="747" t="s">
        <v>565</v>
      </c>
      <c r="F344" s="747"/>
      <c r="G344" s="748"/>
      <c r="H344" s="749"/>
      <c r="I344" s="750"/>
      <c r="J344" s="747"/>
      <c r="K344" s="747" t="s">
        <v>565</v>
      </c>
      <c r="L344" s="747" t="s">
        <v>565</v>
      </c>
      <c r="M344" s="747"/>
      <c r="N344" s="751">
        <v>64</v>
      </c>
    </row>
    <row r="345" spans="1:14" s="755" customFormat="1" ht="21" x14ac:dyDescent="0.15">
      <c r="A345" s="754"/>
      <c r="B345" s="802">
        <v>25</v>
      </c>
      <c r="C345" s="803" t="s">
        <v>6738</v>
      </c>
      <c r="D345" s="804" t="s">
        <v>4635</v>
      </c>
      <c r="E345" s="804" t="s">
        <v>4635</v>
      </c>
      <c r="F345" s="804" t="s">
        <v>6473</v>
      </c>
      <c r="G345" s="805"/>
      <c r="H345" s="749"/>
      <c r="I345" s="750"/>
      <c r="J345" s="747"/>
      <c r="K345" s="747" t="s">
        <v>565</v>
      </c>
      <c r="L345" s="747" t="s">
        <v>565</v>
      </c>
      <c r="M345" s="747"/>
      <c r="N345" s="751">
        <v>65</v>
      </c>
    </row>
    <row r="346" spans="1:14" s="755" customFormat="1" ht="20.25" customHeight="1" x14ac:dyDescent="0.15">
      <c r="A346" s="754"/>
      <c r="B346" s="802">
        <v>26</v>
      </c>
      <c r="C346" s="803" t="s">
        <v>6739</v>
      </c>
      <c r="D346" s="804" t="s">
        <v>4635</v>
      </c>
      <c r="E346" s="804" t="s">
        <v>4635</v>
      </c>
      <c r="F346" s="804" t="s">
        <v>6473</v>
      </c>
      <c r="G346" s="805"/>
      <c r="H346" s="749"/>
      <c r="I346" s="750"/>
      <c r="J346" s="747"/>
      <c r="K346" s="747" t="s">
        <v>565</v>
      </c>
      <c r="L346" s="747" t="s">
        <v>565</v>
      </c>
      <c r="M346" s="747"/>
      <c r="N346" s="751">
        <v>66</v>
      </c>
    </row>
    <row r="347" spans="1:14" s="755" customFormat="1" ht="9" customHeight="1" x14ac:dyDescent="0.15">
      <c r="A347" s="754"/>
      <c r="B347" s="745">
        <v>27</v>
      </c>
      <c r="C347" s="747"/>
      <c r="D347" s="747" t="s">
        <v>565</v>
      </c>
      <c r="E347" s="747" t="s">
        <v>565</v>
      </c>
      <c r="F347" s="747"/>
      <c r="G347" s="758"/>
      <c r="H347" s="749"/>
      <c r="I347" s="750"/>
      <c r="J347" s="747"/>
      <c r="K347" s="747" t="s">
        <v>565</v>
      </c>
      <c r="L347" s="747" t="s">
        <v>565</v>
      </c>
      <c r="M347" s="747"/>
      <c r="N347" s="751">
        <v>67</v>
      </c>
    </row>
    <row r="348" spans="1:14" s="755" customFormat="1" ht="20.25" customHeight="1" x14ac:dyDescent="0.15">
      <c r="A348" s="754"/>
      <c r="B348" s="802">
        <v>28</v>
      </c>
      <c r="C348" s="803" t="s">
        <v>6740</v>
      </c>
      <c r="D348" s="804" t="s">
        <v>4635</v>
      </c>
      <c r="E348" s="804" t="s">
        <v>4635</v>
      </c>
      <c r="F348" s="804" t="s">
        <v>6473</v>
      </c>
      <c r="G348" s="805"/>
      <c r="H348" s="749"/>
      <c r="I348" s="750"/>
      <c r="J348" s="747"/>
      <c r="K348" s="747" t="s">
        <v>565</v>
      </c>
      <c r="L348" s="747" t="s">
        <v>565</v>
      </c>
      <c r="M348" s="747"/>
      <c r="N348" s="751">
        <v>68</v>
      </c>
    </row>
    <row r="349" spans="1:14" s="755" customFormat="1" ht="20.25" customHeight="1" x14ac:dyDescent="0.15">
      <c r="A349" s="754"/>
      <c r="B349" s="802">
        <v>29</v>
      </c>
      <c r="C349" s="803" t="s">
        <v>6741</v>
      </c>
      <c r="D349" s="804" t="s">
        <v>4635</v>
      </c>
      <c r="E349" s="804" t="s">
        <v>4635</v>
      </c>
      <c r="F349" s="804" t="s">
        <v>6460</v>
      </c>
      <c r="G349" s="805"/>
      <c r="H349" s="749"/>
      <c r="I349" s="750"/>
      <c r="J349" s="747"/>
      <c r="K349" s="747" t="s">
        <v>565</v>
      </c>
      <c r="L349" s="747" t="s">
        <v>565</v>
      </c>
      <c r="M349" s="747"/>
      <c r="N349" s="751">
        <v>69</v>
      </c>
    </row>
    <row r="350" spans="1:14" s="755" customFormat="1" ht="20.25" customHeight="1" x14ac:dyDescent="0.15">
      <c r="A350" s="754"/>
      <c r="B350" s="802">
        <v>30</v>
      </c>
      <c r="C350" s="803" t="s">
        <v>6742</v>
      </c>
      <c r="D350" s="804" t="s">
        <v>4635</v>
      </c>
      <c r="E350" s="804" t="s">
        <v>4635</v>
      </c>
      <c r="F350" s="804" t="s">
        <v>6460</v>
      </c>
      <c r="G350" s="805"/>
      <c r="H350" s="749"/>
      <c r="I350" s="750"/>
      <c r="J350" s="747"/>
      <c r="K350" s="747" t="s">
        <v>565</v>
      </c>
      <c r="L350" s="747" t="s">
        <v>565</v>
      </c>
      <c r="M350" s="747"/>
      <c r="N350" s="751">
        <v>70</v>
      </c>
    </row>
    <row r="351" spans="1:14" s="755" customFormat="1" ht="20.25" customHeight="1" x14ac:dyDescent="0.15">
      <c r="A351" s="754"/>
      <c r="B351" s="802">
        <v>31</v>
      </c>
      <c r="C351" s="803" t="s">
        <v>6743</v>
      </c>
      <c r="D351" s="804" t="s">
        <v>4635</v>
      </c>
      <c r="E351" s="804" t="s">
        <v>4635</v>
      </c>
      <c r="F351" s="804" t="s">
        <v>6460</v>
      </c>
      <c r="G351" s="805"/>
      <c r="H351" s="749"/>
      <c r="I351" s="750"/>
      <c r="J351" s="747"/>
      <c r="K351" s="747" t="s">
        <v>565</v>
      </c>
      <c r="L351" s="747" t="s">
        <v>565</v>
      </c>
      <c r="M351" s="747"/>
      <c r="N351" s="751">
        <v>71</v>
      </c>
    </row>
    <row r="352" spans="1:14" s="755" customFormat="1" ht="20.25" customHeight="1" x14ac:dyDescent="0.15">
      <c r="A352" s="754" t="s">
        <v>6713</v>
      </c>
      <c r="B352" s="802">
        <v>32</v>
      </c>
      <c r="C352" s="803" t="s">
        <v>6744</v>
      </c>
      <c r="D352" s="804" t="s">
        <v>4635</v>
      </c>
      <c r="E352" s="804" t="s">
        <v>4635</v>
      </c>
      <c r="F352" s="817" t="s">
        <v>6450</v>
      </c>
      <c r="G352" s="816"/>
      <c r="H352" s="749"/>
      <c r="I352" s="750"/>
      <c r="J352" s="747"/>
      <c r="K352" s="747" t="s">
        <v>565</v>
      </c>
      <c r="L352" s="747" t="s">
        <v>565</v>
      </c>
      <c r="M352" s="747"/>
      <c r="N352" s="751">
        <v>72</v>
      </c>
    </row>
    <row r="353" spans="1:14" s="755" customFormat="1" ht="20.25" customHeight="1" x14ac:dyDescent="0.15">
      <c r="A353" s="754"/>
      <c r="B353" s="802">
        <v>33</v>
      </c>
      <c r="C353" s="803" t="s">
        <v>6745</v>
      </c>
      <c r="D353" s="804" t="s">
        <v>4635</v>
      </c>
      <c r="E353" s="804" t="s">
        <v>4635</v>
      </c>
      <c r="F353" s="804" t="s">
        <v>6473</v>
      </c>
      <c r="G353" s="805"/>
      <c r="H353" s="749"/>
      <c r="I353" s="750"/>
      <c r="J353" s="747"/>
      <c r="K353" s="747" t="s">
        <v>565</v>
      </c>
      <c r="L353" s="747" t="s">
        <v>565</v>
      </c>
      <c r="M353" s="747"/>
      <c r="N353" s="751">
        <v>73</v>
      </c>
    </row>
    <row r="354" spans="1:14" s="755" customFormat="1" ht="20.25" customHeight="1" x14ac:dyDescent="0.15">
      <c r="A354" s="754"/>
      <c r="B354" s="818">
        <v>34</v>
      </c>
      <c r="C354" s="803" t="s">
        <v>6746</v>
      </c>
      <c r="D354" s="804" t="s">
        <v>27</v>
      </c>
      <c r="E354" s="804" t="s">
        <v>27</v>
      </c>
      <c r="F354" s="804" t="s">
        <v>6717</v>
      </c>
      <c r="G354" s="805"/>
      <c r="H354" s="749"/>
      <c r="I354" s="750"/>
      <c r="J354" s="747"/>
      <c r="K354" s="747" t="s">
        <v>565</v>
      </c>
      <c r="L354" s="747" t="s">
        <v>565</v>
      </c>
      <c r="M354" s="747"/>
      <c r="N354" s="751">
        <v>74</v>
      </c>
    </row>
    <row r="355" spans="1:14" s="755" customFormat="1" ht="9" customHeight="1" x14ac:dyDescent="0.15">
      <c r="A355" s="754"/>
      <c r="B355" s="745">
        <v>35</v>
      </c>
      <c r="C355" s="747"/>
      <c r="D355" s="747" t="s">
        <v>565</v>
      </c>
      <c r="E355" s="747" t="s">
        <v>565</v>
      </c>
      <c r="F355" s="747"/>
      <c r="G355" s="748"/>
      <c r="H355" s="749"/>
      <c r="I355" s="750"/>
      <c r="J355" s="747"/>
      <c r="K355" s="747" t="s">
        <v>565</v>
      </c>
      <c r="L355" s="747" t="s">
        <v>565</v>
      </c>
      <c r="M355" s="747"/>
      <c r="N355" s="751">
        <v>75</v>
      </c>
    </row>
    <row r="356" spans="1:14" s="755" customFormat="1" ht="9" customHeight="1" x14ac:dyDescent="0.15">
      <c r="A356" s="754"/>
      <c r="B356" s="745">
        <v>36</v>
      </c>
      <c r="C356" s="747"/>
      <c r="D356" s="747" t="s">
        <v>565</v>
      </c>
      <c r="E356" s="747" t="s">
        <v>565</v>
      </c>
      <c r="F356" s="747"/>
      <c r="G356" s="748"/>
      <c r="H356" s="749"/>
      <c r="I356" s="750"/>
      <c r="J356" s="747"/>
      <c r="K356" s="747" t="s">
        <v>565</v>
      </c>
      <c r="L356" s="747" t="s">
        <v>565</v>
      </c>
      <c r="M356" s="747"/>
      <c r="N356" s="751">
        <v>76</v>
      </c>
    </row>
    <row r="357" spans="1:14" s="755" customFormat="1" ht="9" customHeight="1" x14ac:dyDescent="0.15">
      <c r="A357" s="754"/>
      <c r="B357" s="745">
        <v>37</v>
      </c>
      <c r="C357" s="747"/>
      <c r="D357" s="747" t="s">
        <v>565</v>
      </c>
      <c r="E357" s="747" t="s">
        <v>565</v>
      </c>
      <c r="F357" s="747"/>
      <c r="G357" s="748"/>
      <c r="H357" s="749"/>
      <c r="I357" s="750"/>
      <c r="J357" s="747"/>
      <c r="K357" s="747" t="s">
        <v>565</v>
      </c>
      <c r="L357" s="747" t="s">
        <v>565</v>
      </c>
      <c r="M357" s="747"/>
      <c r="N357" s="751">
        <v>77</v>
      </c>
    </row>
    <row r="358" spans="1:14" s="755" customFormat="1" ht="9" customHeight="1" x14ac:dyDescent="0.15">
      <c r="A358" s="754"/>
      <c r="B358" s="745">
        <v>38</v>
      </c>
      <c r="C358" s="747"/>
      <c r="D358" s="747" t="s">
        <v>565</v>
      </c>
      <c r="E358" s="747" t="s">
        <v>565</v>
      </c>
      <c r="F358" s="747"/>
      <c r="G358" s="748"/>
      <c r="H358" s="749"/>
      <c r="I358" s="750"/>
      <c r="J358" s="747"/>
      <c r="K358" s="747" t="s">
        <v>565</v>
      </c>
      <c r="L358" s="747" t="s">
        <v>565</v>
      </c>
      <c r="M358" s="747"/>
      <c r="N358" s="751">
        <v>78</v>
      </c>
    </row>
    <row r="359" spans="1:14" s="755" customFormat="1" ht="9" customHeight="1" x14ac:dyDescent="0.15">
      <c r="A359" s="754"/>
      <c r="B359" s="745">
        <v>39</v>
      </c>
      <c r="C359" s="747"/>
      <c r="D359" s="747" t="s">
        <v>565</v>
      </c>
      <c r="E359" s="747" t="s">
        <v>565</v>
      </c>
      <c r="F359" s="747"/>
      <c r="G359" s="748"/>
      <c r="H359" s="749"/>
      <c r="I359" s="750"/>
      <c r="J359" s="747"/>
      <c r="K359" s="747" t="s">
        <v>565</v>
      </c>
      <c r="L359" s="747" t="s">
        <v>565</v>
      </c>
      <c r="M359" s="747"/>
      <c r="N359" s="751">
        <v>79</v>
      </c>
    </row>
    <row r="360" spans="1:14" s="755" customFormat="1" ht="9" customHeight="1" thickBot="1" x14ac:dyDescent="0.2">
      <c r="A360" s="754"/>
      <c r="B360" s="768">
        <v>40</v>
      </c>
      <c r="C360" s="769"/>
      <c r="D360" s="769" t="s">
        <v>565</v>
      </c>
      <c r="E360" s="769" t="s">
        <v>565</v>
      </c>
      <c r="F360" s="769"/>
      <c r="G360" s="770"/>
      <c r="H360" s="771"/>
      <c r="I360" s="772"/>
      <c r="J360" s="769"/>
      <c r="K360" s="769" t="s">
        <v>565</v>
      </c>
      <c r="L360" s="769" t="s">
        <v>565</v>
      </c>
      <c r="M360" s="769"/>
      <c r="N360" s="773">
        <v>80</v>
      </c>
    </row>
    <row r="361" spans="1:14" s="755" customFormat="1" ht="20.25" customHeight="1" x14ac:dyDescent="0.15">
      <c r="A361" s="754"/>
      <c r="B361" s="774"/>
      <c r="C361" s="774"/>
      <c r="D361" s="774"/>
      <c r="E361" s="774"/>
      <c r="F361" s="774"/>
      <c r="G361" s="774"/>
      <c r="H361" s="774"/>
      <c r="I361" s="774" t="s">
        <v>6484</v>
      </c>
      <c r="J361" s="775">
        <f>SUM(G321:G360,I321:I360)</f>
        <v>0</v>
      </c>
      <c r="K361" s="774"/>
      <c r="L361" s="774"/>
      <c r="M361" s="774"/>
      <c r="N361" s="774"/>
    </row>
    <row r="362" spans="1:14" s="755" customFormat="1" ht="20.25" customHeight="1" x14ac:dyDescent="0.15">
      <c r="A362" s="754"/>
      <c r="B362" s="774"/>
      <c r="C362" s="776" t="s">
        <v>6747</v>
      </c>
      <c r="D362" s="774"/>
      <c r="E362" s="774"/>
      <c r="F362" s="774"/>
      <c r="G362" s="774"/>
      <c r="H362" s="774"/>
      <c r="I362" s="774"/>
      <c r="J362" s="774" t="s">
        <v>6437</v>
      </c>
      <c r="K362" s="777"/>
      <c r="L362" s="777"/>
      <c r="M362" s="495" t="s">
        <v>6438</v>
      </c>
      <c r="N362" s="774"/>
    </row>
    <row r="363" spans="1:14" s="755" customFormat="1" ht="20.25" customHeight="1" thickBot="1" x14ac:dyDescent="0.2">
      <c r="A363" s="754"/>
      <c r="B363" s="774"/>
      <c r="C363" s="786" t="s">
        <v>6748</v>
      </c>
      <c r="D363" s="774"/>
      <c r="E363" s="774"/>
      <c r="F363" s="774"/>
      <c r="G363" s="774"/>
      <c r="H363" s="774"/>
      <c r="I363" s="774"/>
      <c r="J363" s="774"/>
      <c r="K363" s="774"/>
      <c r="L363" s="774"/>
      <c r="M363" s="774"/>
      <c r="N363" s="774"/>
    </row>
    <row r="364" spans="1:14" s="755" customFormat="1" ht="20.25" customHeight="1" x14ac:dyDescent="0.15">
      <c r="A364" s="754"/>
      <c r="B364" s="787" t="s">
        <v>6440</v>
      </c>
      <c r="C364" s="788" t="s">
        <v>4564</v>
      </c>
      <c r="D364" s="788" t="s">
        <v>6442</v>
      </c>
      <c r="E364" s="788" t="s">
        <v>6443</v>
      </c>
      <c r="F364" s="788" t="s">
        <v>6444</v>
      </c>
      <c r="G364" s="789" t="s">
        <v>6445</v>
      </c>
      <c r="H364" s="781"/>
      <c r="I364" s="790" t="s">
        <v>6445</v>
      </c>
      <c r="J364" s="788" t="s">
        <v>6444</v>
      </c>
      <c r="K364" s="788" t="s">
        <v>6442</v>
      </c>
      <c r="L364" s="788" t="s">
        <v>6443</v>
      </c>
      <c r="M364" s="788" t="s">
        <v>4564</v>
      </c>
      <c r="N364" s="791" t="s">
        <v>6440</v>
      </c>
    </row>
    <row r="365" spans="1:14" s="755" customFormat="1" ht="9.75" customHeight="1" x14ac:dyDescent="0.15">
      <c r="A365" s="754"/>
      <c r="B365" s="792" t="s">
        <v>6749</v>
      </c>
      <c r="C365" s="793"/>
      <c r="D365" s="793" t="s">
        <v>565</v>
      </c>
      <c r="E365" s="793" t="s">
        <v>565</v>
      </c>
      <c r="F365" s="793" t="s">
        <v>565</v>
      </c>
      <c r="G365" s="794"/>
      <c r="H365" s="749"/>
      <c r="I365" s="795"/>
      <c r="J365" s="793" t="s">
        <v>6450</v>
      </c>
      <c r="K365" s="793" t="s">
        <v>565</v>
      </c>
      <c r="L365" s="793" t="s">
        <v>565</v>
      </c>
      <c r="M365" s="793"/>
      <c r="N365" s="796" t="s">
        <v>6750</v>
      </c>
    </row>
    <row r="366" spans="1:14" s="755" customFormat="1" ht="9.75" customHeight="1" x14ac:dyDescent="0.15">
      <c r="A366" s="754"/>
      <c r="B366" s="792" t="s">
        <v>6751</v>
      </c>
      <c r="C366" s="793"/>
      <c r="D366" s="793" t="s">
        <v>565</v>
      </c>
      <c r="E366" s="793" t="s">
        <v>565</v>
      </c>
      <c r="F366" s="793" t="s">
        <v>565</v>
      </c>
      <c r="G366" s="794"/>
      <c r="H366" s="749"/>
      <c r="I366" s="795"/>
      <c r="J366" s="793" t="s">
        <v>6450</v>
      </c>
      <c r="K366" s="793" t="s">
        <v>565</v>
      </c>
      <c r="L366" s="793" t="s">
        <v>565</v>
      </c>
      <c r="M366" s="793"/>
      <c r="N366" s="796" t="s">
        <v>6752</v>
      </c>
    </row>
    <row r="367" spans="1:14" s="755" customFormat="1" ht="9.75" customHeight="1" x14ac:dyDescent="0.15">
      <c r="A367" s="754"/>
      <c r="B367" s="792" t="s">
        <v>6753</v>
      </c>
      <c r="C367" s="793"/>
      <c r="D367" s="793" t="s">
        <v>565</v>
      </c>
      <c r="E367" s="793" t="s">
        <v>565</v>
      </c>
      <c r="F367" s="793" t="s">
        <v>565</v>
      </c>
      <c r="G367" s="794"/>
      <c r="H367" s="749"/>
      <c r="I367" s="795"/>
      <c r="J367" s="793" t="s">
        <v>6450</v>
      </c>
      <c r="K367" s="793" t="s">
        <v>565</v>
      </c>
      <c r="L367" s="793" t="s">
        <v>565</v>
      </c>
      <c r="M367" s="793"/>
      <c r="N367" s="796" t="s">
        <v>6754</v>
      </c>
    </row>
    <row r="368" spans="1:14" s="755" customFormat="1" ht="9.75" customHeight="1" x14ac:dyDescent="0.15">
      <c r="A368" s="754"/>
      <c r="B368" s="792" t="s">
        <v>6755</v>
      </c>
      <c r="C368" s="793"/>
      <c r="D368" s="793" t="s">
        <v>565</v>
      </c>
      <c r="E368" s="793" t="s">
        <v>565</v>
      </c>
      <c r="F368" s="793" t="s">
        <v>565</v>
      </c>
      <c r="G368" s="794"/>
      <c r="H368" s="749"/>
      <c r="I368" s="795"/>
      <c r="J368" s="793" t="s">
        <v>6450</v>
      </c>
      <c r="K368" s="793" t="s">
        <v>565</v>
      </c>
      <c r="L368" s="793" t="s">
        <v>565</v>
      </c>
      <c r="M368" s="793"/>
      <c r="N368" s="796" t="s">
        <v>6756</v>
      </c>
    </row>
    <row r="369" spans="1:14" s="755" customFormat="1" ht="9.75" customHeight="1" x14ac:dyDescent="0.15">
      <c r="A369" s="754"/>
      <c r="B369" s="792" t="s">
        <v>6757</v>
      </c>
      <c r="C369" s="793"/>
      <c r="D369" s="793" t="s">
        <v>565</v>
      </c>
      <c r="E369" s="793" t="s">
        <v>565</v>
      </c>
      <c r="F369" s="793" t="s">
        <v>565</v>
      </c>
      <c r="G369" s="794"/>
      <c r="H369" s="749"/>
      <c r="I369" s="795"/>
      <c r="J369" s="793" t="s">
        <v>6450</v>
      </c>
      <c r="K369" s="793" t="s">
        <v>565</v>
      </c>
      <c r="L369" s="793" t="s">
        <v>565</v>
      </c>
      <c r="M369" s="793"/>
      <c r="N369" s="796" t="s">
        <v>6758</v>
      </c>
    </row>
    <row r="370" spans="1:14" s="755" customFormat="1" ht="9.75" customHeight="1" x14ac:dyDescent="0.15">
      <c r="A370" s="754"/>
      <c r="B370" s="792" t="s">
        <v>6759</v>
      </c>
      <c r="C370" s="793"/>
      <c r="D370" s="793" t="s">
        <v>565</v>
      </c>
      <c r="E370" s="793" t="s">
        <v>565</v>
      </c>
      <c r="F370" s="793" t="s">
        <v>565</v>
      </c>
      <c r="G370" s="794"/>
      <c r="H370" s="749"/>
      <c r="I370" s="795"/>
      <c r="J370" s="793" t="s">
        <v>6450</v>
      </c>
      <c r="K370" s="793" t="s">
        <v>565</v>
      </c>
      <c r="L370" s="793" t="s">
        <v>565</v>
      </c>
      <c r="M370" s="793"/>
      <c r="N370" s="796" t="s">
        <v>6760</v>
      </c>
    </row>
    <row r="371" spans="1:14" s="755" customFormat="1" ht="9.75" customHeight="1" x14ac:dyDescent="0.15">
      <c r="A371" s="754"/>
      <c r="B371" s="792" t="s">
        <v>6761</v>
      </c>
      <c r="C371" s="793"/>
      <c r="D371" s="793" t="s">
        <v>565</v>
      </c>
      <c r="E371" s="793" t="s">
        <v>565</v>
      </c>
      <c r="F371" s="793" t="s">
        <v>565</v>
      </c>
      <c r="G371" s="794"/>
      <c r="H371" s="749"/>
      <c r="I371" s="795"/>
      <c r="J371" s="793" t="s">
        <v>6450</v>
      </c>
      <c r="K371" s="793" t="s">
        <v>565</v>
      </c>
      <c r="L371" s="793" t="s">
        <v>565</v>
      </c>
      <c r="M371" s="793"/>
      <c r="N371" s="796" t="s">
        <v>6762</v>
      </c>
    </row>
    <row r="372" spans="1:14" s="755" customFormat="1" ht="9.75" customHeight="1" x14ac:dyDescent="0.15">
      <c r="A372" s="754"/>
      <c r="B372" s="792" t="s">
        <v>6763</v>
      </c>
      <c r="C372" s="793"/>
      <c r="D372" s="793" t="s">
        <v>565</v>
      </c>
      <c r="E372" s="793" t="s">
        <v>565</v>
      </c>
      <c r="F372" s="793" t="s">
        <v>565</v>
      </c>
      <c r="G372" s="794"/>
      <c r="H372" s="749"/>
      <c r="I372" s="795"/>
      <c r="J372" s="793" t="s">
        <v>6450</v>
      </c>
      <c r="K372" s="793" t="s">
        <v>565</v>
      </c>
      <c r="L372" s="793" t="s">
        <v>565</v>
      </c>
      <c r="M372" s="793"/>
      <c r="N372" s="796" t="s">
        <v>6764</v>
      </c>
    </row>
    <row r="373" spans="1:14" s="755" customFormat="1" ht="9.75" customHeight="1" x14ac:dyDescent="0.15">
      <c r="A373" s="754"/>
      <c r="B373" s="792" t="s">
        <v>6765</v>
      </c>
      <c r="C373" s="793"/>
      <c r="D373" s="793" t="s">
        <v>565</v>
      </c>
      <c r="E373" s="793" t="s">
        <v>565</v>
      </c>
      <c r="F373" s="793" t="s">
        <v>565</v>
      </c>
      <c r="G373" s="794"/>
      <c r="H373" s="749"/>
      <c r="I373" s="795"/>
      <c r="J373" s="793" t="s">
        <v>6450</v>
      </c>
      <c r="K373" s="793" t="s">
        <v>565</v>
      </c>
      <c r="L373" s="793" t="s">
        <v>565</v>
      </c>
      <c r="M373" s="793"/>
      <c r="N373" s="796" t="s">
        <v>6766</v>
      </c>
    </row>
    <row r="374" spans="1:14" s="755" customFormat="1" ht="9.75" customHeight="1" x14ac:dyDescent="0.15">
      <c r="A374" s="754"/>
      <c r="B374" s="792" t="s">
        <v>6767</v>
      </c>
      <c r="C374" s="793"/>
      <c r="D374" s="793" t="s">
        <v>565</v>
      </c>
      <c r="E374" s="793" t="s">
        <v>565</v>
      </c>
      <c r="F374" s="793" t="s">
        <v>565</v>
      </c>
      <c r="G374" s="794"/>
      <c r="H374" s="749"/>
      <c r="I374" s="795"/>
      <c r="J374" s="793" t="s">
        <v>6450</v>
      </c>
      <c r="K374" s="793" t="s">
        <v>565</v>
      </c>
      <c r="L374" s="793" t="s">
        <v>565</v>
      </c>
      <c r="M374" s="793"/>
      <c r="N374" s="796" t="s">
        <v>6768</v>
      </c>
    </row>
    <row r="375" spans="1:14" s="755" customFormat="1" ht="9.75" customHeight="1" x14ac:dyDescent="0.15">
      <c r="A375" s="754"/>
      <c r="B375" s="792" t="s">
        <v>6769</v>
      </c>
      <c r="C375" s="793"/>
      <c r="D375" s="793" t="s">
        <v>565</v>
      </c>
      <c r="E375" s="793" t="s">
        <v>565</v>
      </c>
      <c r="F375" s="793" t="s">
        <v>565</v>
      </c>
      <c r="G375" s="794"/>
      <c r="H375" s="749"/>
      <c r="I375" s="795"/>
      <c r="J375" s="793" t="s">
        <v>6450</v>
      </c>
      <c r="K375" s="793" t="s">
        <v>565</v>
      </c>
      <c r="L375" s="793" t="s">
        <v>565</v>
      </c>
      <c r="M375" s="793"/>
      <c r="N375" s="796" t="s">
        <v>6770</v>
      </c>
    </row>
    <row r="376" spans="1:14" s="755" customFormat="1" ht="9.75" customHeight="1" x14ac:dyDescent="0.15">
      <c r="A376" s="754"/>
      <c r="B376" s="792" t="s">
        <v>6771</v>
      </c>
      <c r="C376" s="793"/>
      <c r="D376" s="793" t="s">
        <v>565</v>
      </c>
      <c r="E376" s="793" t="s">
        <v>565</v>
      </c>
      <c r="F376" s="793" t="s">
        <v>565</v>
      </c>
      <c r="G376" s="794"/>
      <c r="H376" s="749"/>
      <c r="I376" s="795"/>
      <c r="J376" s="793" t="s">
        <v>6450</v>
      </c>
      <c r="K376" s="793" t="s">
        <v>565</v>
      </c>
      <c r="L376" s="793" t="s">
        <v>565</v>
      </c>
      <c r="M376" s="793"/>
      <c r="N376" s="796" t="s">
        <v>6772</v>
      </c>
    </row>
    <row r="377" spans="1:14" s="755" customFormat="1" ht="9.75" customHeight="1" x14ac:dyDescent="0.15">
      <c r="A377" s="754"/>
      <c r="B377" s="792" t="s">
        <v>6773</v>
      </c>
      <c r="C377" s="793"/>
      <c r="D377" s="793" t="s">
        <v>565</v>
      </c>
      <c r="E377" s="793" t="s">
        <v>565</v>
      </c>
      <c r="F377" s="793" t="s">
        <v>565</v>
      </c>
      <c r="G377" s="794"/>
      <c r="H377" s="749"/>
      <c r="I377" s="795"/>
      <c r="J377" s="793" t="s">
        <v>6450</v>
      </c>
      <c r="K377" s="793" t="s">
        <v>565</v>
      </c>
      <c r="L377" s="793" t="s">
        <v>565</v>
      </c>
      <c r="M377" s="793"/>
      <c r="N377" s="796" t="s">
        <v>6774</v>
      </c>
    </row>
    <row r="378" spans="1:14" s="755" customFormat="1" ht="9.75" customHeight="1" x14ac:dyDescent="0.15">
      <c r="A378" s="754"/>
      <c r="B378" s="792" t="s">
        <v>6775</v>
      </c>
      <c r="C378" s="793"/>
      <c r="D378" s="793" t="s">
        <v>565</v>
      </c>
      <c r="E378" s="793" t="s">
        <v>565</v>
      </c>
      <c r="F378" s="793" t="s">
        <v>565</v>
      </c>
      <c r="G378" s="794"/>
      <c r="H378" s="749"/>
      <c r="I378" s="795"/>
      <c r="J378" s="793" t="s">
        <v>6450</v>
      </c>
      <c r="K378" s="793" t="s">
        <v>565</v>
      </c>
      <c r="L378" s="793" t="s">
        <v>565</v>
      </c>
      <c r="M378" s="793"/>
      <c r="N378" s="796" t="s">
        <v>6776</v>
      </c>
    </row>
    <row r="379" spans="1:14" s="755" customFormat="1" ht="9.75" customHeight="1" x14ac:dyDescent="0.15">
      <c r="A379" s="754"/>
      <c r="B379" s="792" t="s">
        <v>6777</v>
      </c>
      <c r="C379" s="793"/>
      <c r="D379" s="793" t="s">
        <v>565</v>
      </c>
      <c r="E379" s="793" t="s">
        <v>565</v>
      </c>
      <c r="F379" s="793" t="s">
        <v>565</v>
      </c>
      <c r="G379" s="794"/>
      <c r="H379" s="749"/>
      <c r="I379" s="795"/>
      <c r="J379" s="793" t="s">
        <v>6450</v>
      </c>
      <c r="K379" s="793" t="s">
        <v>565</v>
      </c>
      <c r="L379" s="793" t="s">
        <v>565</v>
      </c>
      <c r="M379" s="793"/>
      <c r="N379" s="796" t="s">
        <v>6778</v>
      </c>
    </row>
    <row r="380" spans="1:14" s="755" customFormat="1" ht="9.75" customHeight="1" x14ac:dyDescent="0.15">
      <c r="A380" s="754"/>
      <c r="B380" s="792" t="s">
        <v>6779</v>
      </c>
      <c r="C380" s="793"/>
      <c r="D380" s="793" t="s">
        <v>565</v>
      </c>
      <c r="E380" s="793" t="s">
        <v>565</v>
      </c>
      <c r="F380" s="793" t="s">
        <v>565</v>
      </c>
      <c r="G380" s="794"/>
      <c r="H380" s="749"/>
      <c r="I380" s="795"/>
      <c r="J380" s="793" t="s">
        <v>6450</v>
      </c>
      <c r="K380" s="793" t="s">
        <v>565</v>
      </c>
      <c r="L380" s="793" t="s">
        <v>565</v>
      </c>
      <c r="M380" s="793"/>
      <c r="N380" s="796" t="s">
        <v>6780</v>
      </c>
    </row>
    <row r="381" spans="1:14" s="755" customFormat="1" ht="9.75" customHeight="1" x14ac:dyDescent="0.15">
      <c r="A381" s="754"/>
      <c r="B381" s="792" t="s">
        <v>6781</v>
      </c>
      <c r="C381" s="793"/>
      <c r="D381" s="793" t="s">
        <v>565</v>
      </c>
      <c r="E381" s="793" t="s">
        <v>565</v>
      </c>
      <c r="F381" s="793" t="s">
        <v>565</v>
      </c>
      <c r="G381" s="794"/>
      <c r="H381" s="749"/>
      <c r="I381" s="795"/>
      <c r="J381" s="793" t="s">
        <v>6450</v>
      </c>
      <c r="K381" s="793" t="s">
        <v>565</v>
      </c>
      <c r="L381" s="793" t="s">
        <v>565</v>
      </c>
      <c r="M381" s="793"/>
      <c r="N381" s="796" t="s">
        <v>6782</v>
      </c>
    </row>
    <row r="382" spans="1:14" s="755" customFormat="1" ht="9.75" customHeight="1" x14ac:dyDescent="0.15">
      <c r="A382" s="754"/>
      <c r="B382" s="792" t="s">
        <v>6783</v>
      </c>
      <c r="C382" s="793"/>
      <c r="D382" s="793" t="s">
        <v>565</v>
      </c>
      <c r="E382" s="793" t="s">
        <v>565</v>
      </c>
      <c r="F382" s="793" t="s">
        <v>565</v>
      </c>
      <c r="G382" s="794"/>
      <c r="H382" s="749"/>
      <c r="I382" s="795"/>
      <c r="J382" s="793" t="s">
        <v>6450</v>
      </c>
      <c r="K382" s="793" t="s">
        <v>565</v>
      </c>
      <c r="L382" s="793" t="s">
        <v>565</v>
      </c>
      <c r="M382" s="793"/>
      <c r="N382" s="796" t="s">
        <v>6784</v>
      </c>
    </row>
    <row r="383" spans="1:14" s="755" customFormat="1" ht="9.75" customHeight="1" x14ac:dyDescent="0.15">
      <c r="A383" s="754"/>
      <c r="B383" s="792" t="s">
        <v>6785</v>
      </c>
      <c r="C383" s="793"/>
      <c r="D383" s="793" t="s">
        <v>565</v>
      </c>
      <c r="E383" s="793" t="s">
        <v>565</v>
      </c>
      <c r="F383" s="793" t="s">
        <v>565</v>
      </c>
      <c r="G383" s="794"/>
      <c r="H383" s="749"/>
      <c r="I383" s="795"/>
      <c r="J383" s="793" t="s">
        <v>6450</v>
      </c>
      <c r="K383" s="793" t="s">
        <v>565</v>
      </c>
      <c r="L383" s="793" t="s">
        <v>565</v>
      </c>
      <c r="M383" s="793"/>
      <c r="N383" s="796" t="s">
        <v>6786</v>
      </c>
    </row>
    <row r="384" spans="1:14" s="755" customFormat="1" ht="9.75" customHeight="1" x14ac:dyDescent="0.15">
      <c r="A384" s="754"/>
      <c r="B384" s="792" t="s">
        <v>6787</v>
      </c>
      <c r="C384" s="793"/>
      <c r="D384" s="793" t="s">
        <v>565</v>
      </c>
      <c r="E384" s="793" t="s">
        <v>565</v>
      </c>
      <c r="F384" s="793" t="s">
        <v>565</v>
      </c>
      <c r="G384" s="794"/>
      <c r="H384" s="749"/>
      <c r="I384" s="795"/>
      <c r="J384" s="793" t="s">
        <v>6450</v>
      </c>
      <c r="K384" s="793" t="s">
        <v>565</v>
      </c>
      <c r="L384" s="793" t="s">
        <v>565</v>
      </c>
      <c r="M384" s="793"/>
      <c r="N384" s="796" t="s">
        <v>6788</v>
      </c>
    </row>
    <row r="385" spans="1:14" s="755" customFormat="1" ht="9.75" customHeight="1" x14ac:dyDescent="0.15">
      <c r="A385" s="754"/>
      <c r="B385" s="792" t="s">
        <v>6789</v>
      </c>
      <c r="C385" s="793"/>
      <c r="D385" s="793" t="s">
        <v>565</v>
      </c>
      <c r="E385" s="793" t="s">
        <v>565</v>
      </c>
      <c r="F385" s="793" t="s">
        <v>565</v>
      </c>
      <c r="G385" s="794"/>
      <c r="H385" s="749"/>
      <c r="I385" s="795"/>
      <c r="J385" s="793" t="s">
        <v>565</v>
      </c>
      <c r="K385" s="793" t="s">
        <v>565</v>
      </c>
      <c r="L385" s="793" t="s">
        <v>565</v>
      </c>
      <c r="M385" s="793"/>
      <c r="N385" s="796" t="s">
        <v>6790</v>
      </c>
    </row>
    <row r="386" spans="1:14" s="755" customFormat="1" ht="9.75" customHeight="1" x14ac:dyDescent="0.15">
      <c r="A386" s="754"/>
      <c r="B386" s="792" t="s">
        <v>6791</v>
      </c>
      <c r="C386" s="793"/>
      <c r="D386" s="793" t="s">
        <v>565</v>
      </c>
      <c r="E386" s="793" t="s">
        <v>565</v>
      </c>
      <c r="F386" s="793" t="s">
        <v>565</v>
      </c>
      <c r="G386" s="794"/>
      <c r="H386" s="749"/>
      <c r="I386" s="795"/>
      <c r="J386" s="793" t="s">
        <v>565</v>
      </c>
      <c r="K386" s="793" t="s">
        <v>565</v>
      </c>
      <c r="L386" s="793" t="s">
        <v>565</v>
      </c>
      <c r="M386" s="793"/>
      <c r="N386" s="796" t="s">
        <v>6792</v>
      </c>
    </row>
    <row r="387" spans="1:14" s="755" customFormat="1" ht="9.75" customHeight="1" x14ac:dyDescent="0.15">
      <c r="A387" s="754"/>
      <c r="B387" s="792" t="s">
        <v>6793</v>
      </c>
      <c r="C387" s="793"/>
      <c r="D387" s="793" t="s">
        <v>565</v>
      </c>
      <c r="E387" s="793" t="s">
        <v>565</v>
      </c>
      <c r="F387" s="793" t="s">
        <v>565</v>
      </c>
      <c r="G387" s="794"/>
      <c r="H387" s="749"/>
      <c r="I387" s="795"/>
      <c r="J387" s="793" t="s">
        <v>565</v>
      </c>
      <c r="K387" s="793" t="s">
        <v>565</v>
      </c>
      <c r="L387" s="793" t="s">
        <v>565</v>
      </c>
      <c r="M387" s="793"/>
      <c r="N387" s="796" t="s">
        <v>6794</v>
      </c>
    </row>
    <row r="388" spans="1:14" s="755" customFormat="1" ht="9.75" customHeight="1" x14ac:dyDescent="0.15">
      <c r="A388" s="754"/>
      <c r="B388" s="792" t="s">
        <v>6795</v>
      </c>
      <c r="C388" s="793"/>
      <c r="D388" s="793" t="s">
        <v>565</v>
      </c>
      <c r="E388" s="793" t="s">
        <v>565</v>
      </c>
      <c r="F388" s="793" t="s">
        <v>565</v>
      </c>
      <c r="G388" s="794"/>
      <c r="H388" s="749"/>
      <c r="I388" s="795"/>
      <c r="J388" s="793" t="s">
        <v>565</v>
      </c>
      <c r="K388" s="793" t="s">
        <v>565</v>
      </c>
      <c r="L388" s="793" t="s">
        <v>565</v>
      </c>
      <c r="M388" s="793"/>
      <c r="N388" s="796" t="s">
        <v>6796</v>
      </c>
    </row>
    <row r="389" spans="1:14" s="755" customFormat="1" ht="9.75" customHeight="1" x14ac:dyDescent="0.15">
      <c r="A389" s="754"/>
      <c r="B389" s="792" t="s">
        <v>6797</v>
      </c>
      <c r="C389" s="793"/>
      <c r="D389" s="793" t="s">
        <v>565</v>
      </c>
      <c r="E389" s="793" t="s">
        <v>565</v>
      </c>
      <c r="F389" s="793" t="s">
        <v>565</v>
      </c>
      <c r="G389" s="794"/>
      <c r="H389" s="749"/>
      <c r="I389" s="795"/>
      <c r="J389" s="793" t="s">
        <v>565</v>
      </c>
      <c r="K389" s="793" t="s">
        <v>565</v>
      </c>
      <c r="L389" s="793" t="s">
        <v>565</v>
      </c>
      <c r="M389" s="793"/>
      <c r="N389" s="796" t="s">
        <v>6798</v>
      </c>
    </row>
    <row r="390" spans="1:14" s="755" customFormat="1" ht="9.75" customHeight="1" x14ac:dyDescent="0.15">
      <c r="A390" s="754"/>
      <c r="B390" s="792" t="s">
        <v>6799</v>
      </c>
      <c r="C390" s="793"/>
      <c r="D390" s="793" t="s">
        <v>565</v>
      </c>
      <c r="E390" s="793" t="s">
        <v>565</v>
      </c>
      <c r="F390" s="793" t="s">
        <v>565</v>
      </c>
      <c r="G390" s="794"/>
      <c r="H390" s="749"/>
      <c r="I390" s="795"/>
      <c r="J390" s="793" t="s">
        <v>565</v>
      </c>
      <c r="K390" s="793" t="s">
        <v>565</v>
      </c>
      <c r="L390" s="793" t="s">
        <v>565</v>
      </c>
      <c r="M390" s="793"/>
      <c r="N390" s="796" t="s">
        <v>6800</v>
      </c>
    </row>
    <row r="391" spans="1:14" s="755" customFormat="1" ht="9.75" customHeight="1" x14ac:dyDescent="0.15">
      <c r="A391" s="754"/>
      <c r="B391" s="792" t="s">
        <v>6801</v>
      </c>
      <c r="C391" s="793"/>
      <c r="D391" s="793" t="s">
        <v>565</v>
      </c>
      <c r="E391" s="793" t="s">
        <v>565</v>
      </c>
      <c r="F391" s="793" t="s">
        <v>565</v>
      </c>
      <c r="G391" s="794"/>
      <c r="H391" s="749"/>
      <c r="I391" s="795"/>
      <c r="J391" s="793" t="s">
        <v>565</v>
      </c>
      <c r="K391" s="793" t="s">
        <v>565</v>
      </c>
      <c r="L391" s="793" t="s">
        <v>565</v>
      </c>
      <c r="M391" s="793"/>
      <c r="N391" s="796" t="s">
        <v>6802</v>
      </c>
    </row>
    <row r="392" spans="1:14" s="755" customFormat="1" ht="9.75" customHeight="1" x14ac:dyDescent="0.15">
      <c r="A392" s="754"/>
      <c r="B392" s="792" t="s">
        <v>6803</v>
      </c>
      <c r="C392" s="793"/>
      <c r="D392" s="793" t="s">
        <v>565</v>
      </c>
      <c r="E392" s="793" t="s">
        <v>565</v>
      </c>
      <c r="F392" s="793" t="s">
        <v>565</v>
      </c>
      <c r="G392" s="794"/>
      <c r="H392" s="749"/>
      <c r="I392" s="795"/>
      <c r="J392" s="793" t="s">
        <v>6450</v>
      </c>
      <c r="K392" s="793" t="s">
        <v>565</v>
      </c>
      <c r="L392" s="793" t="s">
        <v>565</v>
      </c>
      <c r="M392" s="793"/>
      <c r="N392" s="796" t="s">
        <v>6804</v>
      </c>
    </row>
    <row r="393" spans="1:14" s="755" customFormat="1" ht="9.75" customHeight="1" x14ac:dyDescent="0.15">
      <c r="A393" s="754"/>
      <c r="B393" s="792" t="s">
        <v>6805</v>
      </c>
      <c r="C393" s="793"/>
      <c r="D393" s="793" t="s">
        <v>565</v>
      </c>
      <c r="E393" s="793" t="s">
        <v>565</v>
      </c>
      <c r="F393" s="793" t="s">
        <v>565</v>
      </c>
      <c r="G393" s="794"/>
      <c r="H393" s="749"/>
      <c r="I393" s="795"/>
      <c r="J393" s="793" t="s">
        <v>6450</v>
      </c>
      <c r="K393" s="793" t="s">
        <v>565</v>
      </c>
      <c r="L393" s="793" t="s">
        <v>565</v>
      </c>
      <c r="M393" s="793"/>
      <c r="N393" s="796" t="s">
        <v>6806</v>
      </c>
    </row>
    <row r="394" spans="1:14" s="755" customFormat="1" ht="9.75" customHeight="1" x14ac:dyDescent="0.15">
      <c r="A394" s="754"/>
      <c r="B394" s="792" t="s">
        <v>6807</v>
      </c>
      <c r="C394" s="793"/>
      <c r="D394" s="793" t="s">
        <v>565</v>
      </c>
      <c r="E394" s="793" t="s">
        <v>565</v>
      </c>
      <c r="F394" s="793" t="s">
        <v>565</v>
      </c>
      <c r="G394" s="794"/>
      <c r="H394" s="749"/>
      <c r="I394" s="795"/>
      <c r="J394" s="793" t="s">
        <v>6450</v>
      </c>
      <c r="K394" s="793" t="s">
        <v>565</v>
      </c>
      <c r="L394" s="793" t="s">
        <v>565</v>
      </c>
      <c r="M394" s="793"/>
      <c r="N394" s="796" t="s">
        <v>6808</v>
      </c>
    </row>
    <row r="395" spans="1:14" s="755" customFormat="1" ht="9.75" customHeight="1" x14ac:dyDescent="0.15">
      <c r="A395" s="754"/>
      <c r="B395" s="792" t="s">
        <v>6809</v>
      </c>
      <c r="C395" s="793"/>
      <c r="D395" s="793" t="s">
        <v>565</v>
      </c>
      <c r="E395" s="793" t="s">
        <v>565</v>
      </c>
      <c r="F395" s="793" t="s">
        <v>565</v>
      </c>
      <c r="G395" s="794"/>
      <c r="H395" s="749"/>
      <c r="I395" s="795"/>
      <c r="J395" s="793" t="s">
        <v>6450</v>
      </c>
      <c r="K395" s="793" t="s">
        <v>565</v>
      </c>
      <c r="L395" s="793" t="s">
        <v>565</v>
      </c>
      <c r="M395" s="793"/>
      <c r="N395" s="796" t="s">
        <v>6810</v>
      </c>
    </row>
    <row r="396" spans="1:14" s="755" customFormat="1" ht="9.75" customHeight="1" x14ac:dyDescent="0.15">
      <c r="A396" s="754"/>
      <c r="B396" s="792" t="s">
        <v>6811</v>
      </c>
      <c r="C396" s="793"/>
      <c r="D396" s="793" t="s">
        <v>565</v>
      </c>
      <c r="E396" s="793" t="s">
        <v>565</v>
      </c>
      <c r="F396" s="793" t="s">
        <v>565</v>
      </c>
      <c r="G396" s="794"/>
      <c r="H396" s="749"/>
      <c r="I396" s="795"/>
      <c r="J396" s="793" t="s">
        <v>6450</v>
      </c>
      <c r="K396" s="793" t="s">
        <v>565</v>
      </c>
      <c r="L396" s="793" t="s">
        <v>565</v>
      </c>
      <c r="M396" s="793"/>
      <c r="N396" s="796" t="s">
        <v>6812</v>
      </c>
    </row>
    <row r="397" spans="1:14" s="755" customFormat="1" ht="9.75" customHeight="1" x14ac:dyDescent="0.15">
      <c r="A397" s="754"/>
      <c r="B397" s="792" t="s">
        <v>6813</v>
      </c>
      <c r="C397" s="793"/>
      <c r="D397" s="793" t="s">
        <v>565</v>
      </c>
      <c r="E397" s="793" t="s">
        <v>565</v>
      </c>
      <c r="F397" s="793" t="s">
        <v>565</v>
      </c>
      <c r="G397" s="794"/>
      <c r="H397" s="749"/>
      <c r="I397" s="795"/>
      <c r="J397" s="793" t="s">
        <v>6450</v>
      </c>
      <c r="K397" s="793" t="s">
        <v>565</v>
      </c>
      <c r="L397" s="793" t="s">
        <v>565</v>
      </c>
      <c r="M397" s="793"/>
      <c r="N397" s="796" t="s">
        <v>6814</v>
      </c>
    </row>
    <row r="398" spans="1:14" s="755" customFormat="1" ht="9.75" customHeight="1" x14ac:dyDescent="0.15">
      <c r="A398" s="754"/>
      <c r="B398" s="792" t="s">
        <v>6815</v>
      </c>
      <c r="C398" s="793"/>
      <c r="D398" s="793" t="s">
        <v>565</v>
      </c>
      <c r="E398" s="793" t="s">
        <v>565</v>
      </c>
      <c r="F398" s="793" t="s">
        <v>565</v>
      </c>
      <c r="G398" s="794"/>
      <c r="H398" s="749"/>
      <c r="I398" s="795"/>
      <c r="J398" s="793" t="s">
        <v>6450</v>
      </c>
      <c r="K398" s="793" t="s">
        <v>565</v>
      </c>
      <c r="L398" s="793" t="s">
        <v>565</v>
      </c>
      <c r="M398" s="793"/>
      <c r="N398" s="796" t="s">
        <v>6816</v>
      </c>
    </row>
    <row r="399" spans="1:14" s="755" customFormat="1" ht="9.75" customHeight="1" x14ac:dyDescent="0.15">
      <c r="A399" s="754"/>
      <c r="B399" s="792" t="s">
        <v>6817</v>
      </c>
      <c r="C399" s="793"/>
      <c r="D399" s="793" t="s">
        <v>565</v>
      </c>
      <c r="E399" s="793" t="s">
        <v>565</v>
      </c>
      <c r="F399" s="793" t="s">
        <v>565</v>
      </c>
      <c r="G399" s="794"/>
      <c r="H399" s="749"/>
      <c r="I399" s="795"/>
      <c r="J399" s="793" t="s">
        <v>6450</v>
      </c>
      <c r="K399" s="793" t="s">
        <v>565</v>
      </c>
      <c r="L399" s="793" t="s">
        <v>565</v>
      </c>
      <c r="M399" s="793"/>
      <c r="N399" s="796" t="s">
        <v>6818</v>
      </c>
    </row>
    <row r="400" spans="1:14" s="755" customFormat="1" ht="9.75" customHeight="1" x14ac:dyDescent="0.15">
      <c r="A400" s="754"/>
      <c r="B400" s="792" t="s">
        <v>6819</v>
      </c>
      <c r="C400" s="793"/>
      <c r="D400" s="793" t="s">
        <v>565</v>
      </c>
      <c r="E400" s="793" t="s">
        <v>565</v>
      </c>
      <c r="F400" s="793" t="s">
        <v>565</v>
      </c>
      <c r="G400" s="794"/>
      <c r="H400" s="749"/>
      <c r="I400" s="795"/>
      <c r="J400" s="793" t="s">
        <v>6450</v>
      </c>
      <c r="K400" s="793" t="s">
        <v>565</v>
      </c>
      <c r="L400" s="793" t="s">
        <v>565</v>
      </c>
      <c r="M400" s="793"/>
      <c r="N400" s="796" t="s">
        <v>6820</v>
      </c>
    </row>
    <row r="401" spans="1:14" s="755" customFormat="1" ht="9.75" customHeight="1" x14ac:dyDescent="0.15">
      <c r="A401" s="754"/>
      <c r="B401" s="792" t="s">
        <v>6821</v>
      </c>
      <c r="C401" s="793"/>
      <c r="D401" s="793" t="s">
        <v>565</v>
      </c>
      <c r="E401" s="793" t="s">
        <v>565</v>
      </c>
      <c r="F401" s="793" t="s">
        <v>565</v>
      </c>
      <c r="G401" s="794"/>
      <c r="H401" s="749"/>
      <c r="I401" s="795"/>
      <c r="J401" s="793" t="s">
        <v>6450</v>
      </c>
      <c r="K401" s="793" t="s">
        <v>565</v>
      </c>
      <c r="L401" s="793" t="s">
        <v>565</v>
      </c>
      <c r="M401" s="793"/>
      <c r="N401" s="796" t="s">
        <v>6822</v>
      </c>
    </row>
    <row r="402" spans="1:14" s="755" customFormat="1" ht="9.75" customHeight="1" x14ac:dyDescent="0.15">
      <c r="A402" s="754"/>
      <c r="B402" s="792" t="s">
        <v>6823</v>
      </c>
      <c r="C402" s="793"/>
      <c r="D402" s="793" t="s">
        <v>565</v>
      </c>
      <c r="E402" s="793" t="s">
        <v>565</v>
      </c>
      <c r="F402" s="793" t="s">
        <v>565</v>
      </c>
      <c r="G402" s="794"/>
      <c r="H402" s="749"/>
      <c r="I402" s="795"/>
      <c r="J402" s="793" t="s">
        <v>6450</v>
      </c>
      <c r="K402" s="793" t="s">
        <v>565</v>
      </c>
      <c r="L402" s="793" t="s">
        <v>565</v>
      </c>
      <c r="M402" s="793"/>
      <c r="N402" s="796" t="s">
        <v>6824</v>
      </c>
    </row>
    <row r="403" spans="1:14" s="755" customFormat="1" ht="9.75" customHeight="1" x14ac:dyDescent="0.15">
      <c r="A403" s="754"/>
      <c r="B403" s="792" t="s">
        <v>6825</v>
      </c>
      <c r="C403" s="793"/>
      <c r="D403" s="793" t="s">
        <v>565</v>
      </c>
      <c r="E403" s="793" t="s">
        <v>565</v>
      </c>
      <c r="F403" s="793" t="s">
        <v>565</v>
      </c>
      <c r="G403" s="794"/>
      <c r="H403" s="749"/>
      <c r="I403" s="795"/>
      <c r="J403" s="793" t="s">
        <v>6450</v>
      </c>
      <c r="K403" s="793" t="s">
        <v>565</v>
      </c>
      <c r="L403" s="793" t="s">
        <v>565</v>
      </c>
      <c r="M403" s="793"/>
      <c r="N403" s="796" t="s">
        <v>6826</v>
      </c>
    </row>
    <row r="404" spans="1:14" s="755" customFormat="1" ht="9.75" customHeight="1" x14ac:dyDescent="0.15">
      <c r="A404" s="754"/>
      <c r="B404" s="792" t="s">
        <v>6827</v>
      </c>
      <c r="C404" s="793"/>
      <c r="D404" s="793" t="s">
        <v>565</v>
      </c>
      <c r="E404" s="793" t="s">
        <v>565</v>
      </c>
      <c r="F404" s="793" t="s">
        <v>565</v>
      </c>
      <c r="G404" s="794"/>
      <c r="H404" s="749"/>
      <c r="I404" s="795"/>
      <c r="J404" s="793" t="s">
        <v>6450</v>
      </c>
      <c r="K404" s="793" t="s">
        <v>565</v>
      </c>
      <c r="L404" s="793" t="s">
        <v>565</v>
      </c>
      <c r="M404" s="793"/>
      <c r="N404" s="796" t="s">
        <v>6828</v>
      </c>
    </row>
    <row r="405" spans="1:14" s="755" customFormat="1" ht="20.25" customHeight="1" x14ac:dyDescent="0.15">
      <c r="A405" s="754"/>
      <c r="B405" s="819" t="s">
        <v>6829</v>
      </c>
      <c r="C405" s="820" t="s">
        <v>6830</v>
      </c>
      <c r="D405" s="821" t="s">
        <v>4635</v>
      </c>
      <c r="E405" s="821" t="s">
        <v>4635</v>
      </c>
      <c r="F405" s="821" t="s">
        <v>6450</v>
      </c>
      <c r="G405" s="822"/>
      <c r="H405" s="749"/>
      <c r="I405" s="795"/>
      <c r="J405" s="793" t="s">
        <v>6450</v>
      </c>
      <c r="K405" s="793" t="s">
        <v>565</v>
      </c>
      <c r="L405" s="793" t="s">
        <v>565</v>
      </c>
      <c r="M405" s="793"/>
      <c r="N405" s="796" t="s">
        <v>6831</v>
      </c>
    </row>
    <row r="406" spans="1:14" s="755" customFormat="1" ht="20.25" customHeight="1" x14ac:dyDescent="0.15">
      <c r="A406" s="754"/>
      <c r="B406" s="819" t="s">
        <v>6832</v>
      </c>
      <c r="C406" s="820" t="s">
        <v>6833</v>
      </c>
      <c r="D406" s="821" t="s">
        <v>4635</v>
      </c>
      <c r="E406" s="821" t="s">
        <v>4635</v>
      </c>
      <c r="F406" s="821" t="s">
        <v>6450</v>
      </c>
      <c r="G406" s="823"/>
      <c r="H406" s="749"/>
      <c r="I406" s="795"/>
      <c r="J406" s="793" t="s">
        <v>6450</v>
      </c>
      <c r="K406" s="793" t="s">
        <v>565</v>
      </c>
      <c r="L406" s="793" t="s">
        <v>565</v>
      </c>
      <c r="M406" s="793"/>
      <c r="N406" s="796" t="s">
        <v>6834</v>
      </c>
    </row>
    <row r="407" spans="1:14" s="755" customFormat="1" ht="20.25" customHeight="1" x14ac:dyDescent="0.15">
      <c r="A407" s="754"/>
      <c r="B407" s="819" t="s">
        <v>6835</v>
      </c>
      <c r="C407" s="820" t="s">
        <v>6836</v>
      </c>
      <c r="D407" s="821" t="s">
        <v>4635</v>
      </c>
      <c r="E407" s="821" t="s">
        <v>4635</v>
      </c>
      <c r="F407" s="821" t="s">
        <v>6450</v>
      </c>
      <c r="G407" s="823"/>
      <c r="H407" s="749"/>
      <c r="I407" s="795"/>
      <c r="J407" s="793" t="s">
        <v>6450</v>
      </c>
      <c r="K407" s="793" t="s">
        <v>565</v>
      </c>
      <c r="L407" s="793" t="s">
        <v>565</v>
      </c>
      <c r="M407" s="793"/>
      <c r="N407" s="796" t="s">
        <v>6837</v>
      </c>
    </row>
    <row r="408" spans="1:14" s="755" customFormat="1" ht="13.5" customHeight="1" x14ac:dyDescent="0.15">
      <c r="A408" s="754"/>
      <c r="B408" s="792" t="s">
        <v>6838</v>
      </c>
      <c r="C408" s="793" t="s">
        <v>6839</v>
      </c>
      <c r="D408" s="793" t="s">
        <v>4635</v>
      </c>
      <c r="E408" s="793" t="s">
        <v>565</v>
      </c>
      <c r="F408" s="793" t="s">
        <v>565</v>
      </c>
      <c r="G408" s="794"/>
      <c r="H408" s="749"/>
      <c r="I408" s="795"/>
      <c r="J408" s="793" t="s">
        <v>6450</v>
      </c>
      <c r="K408" s="793" t="s">
        <v>565</v>
      </c>
      <c r="L408" s="793" t="s">
        <v>565</v>
      </c>
      <c r="M408" s="793"/>
      <c r="N408" s="796" t="s">
        <v>6840</v>
      </c>
    </row>
    <row r="409" spans="1:14" s="755" customFormat="1" ht="13.5" customHeight="1" x14ac:dyDescent="0.15">
      <c r="A409" s="754"/>
      <c r="B409" s="792" t="s">
        <v>6841</v>
      </c>
      <c r="C409" s="793" t="s">
        <v>6842</v>
      </c>
      <c r="D409" s="793" t="s">
        <v>4635</v>
      </c>
      <c r="E409" s="793" t="s">
        <v>565</v>
      </c>
      <c r="F409" s="793" t="s">
        <v>565</v>
      </c>
      <c r="G409" s="794"/>
      <c r="H409" s="749"/>
      <c r="I409" s="795"/>
      <c r="J409" s="793" t="s">
        <v>6450</v>
      </c>
      <c r="K409" s="793" t="s">
        <v>565</v>
      </c>
      <c r="L409" s="793" t="s">
        <v>565</v>
      </c>
      <c r="M409" s="793"/>
      <c r="N409" s="796" t="s">
        <v>6843</v>
      </c>
    </row>
    <row r="410" spans="1:14" s="755" customFormat="1" ht="13.5" customHeight="1" x14ac:dyDescent="0.15">
      <c r="A410" s="754"/>
      <c r="B410" s="792" t="s">
        <v>6844</v>
      </c>
      <c r="C410" s="793" t="s">
        <v>6845</v>
      </c>
      <c r="D410" s="793" t="s">
        <v>4635</v>
      </c>
      <c r="E410" s="793" t="s">
        <v>565</v>
      </c>
      <c r="F410" s="793" t="s">
        <v>565</v>
      </c>
      <c r="G410" s="794"/>
      <c r="H410" s="749"/>
      <c r="I410" s="795"/>
      <c r="J410" s="793" t="s">
        <v>6450</v>
      </c>
      <c r="K410" s="793" t="s">
        <v>565</v>
      </c>
      <c r="L410" s="793" t="s">
        <v>565</v>
      </c>
      <c r="M410" s="793"/>
      <c r="N410" s="796" t="s">
        <v>6846</v>
      </c>
    </row>
    <row r="411" spans="1:14" s="755" customFormat="1" ht="12" customHeight="1" x14ac:dyDescent="0.15">
      <c r="A411" s="754"/>
      <c r="B411" s="792" t="s">
        <v>6847</v>
      </c>
      <c r="C411" s="793"/>
      <c r="D411" s="793" t="s">
        <v>565</v>
      </c>
      <c r="E411" s="793" t="s">
        <v>565</v>
      </c>
      <c r="F411" s="793" t="s">
        <v>565</v>
      </c>
      <c r="G411" s="794"/>
      <c r="H411" s="749"/>
      <c r="I411" s="795"/>
      <c r="J411" s="793" t="s">
        <v>6450</v>
      </c>
      <c r="K411" s="793" t="s">
        <v>565</v>
      </c>
      <c r="L411" s="793" t="s">
        <v>565</v>
      </c>
      <c r="M411" s="793"/>
      <c r="N411" s="796" t="s">
        <v>6848</v>
      </c>
    </row>
    <row r="412" spans="1:14" s="755" customFormat="1" ht="12" customHeight="1" x14ac:dyDescent="0.15">
      <c r="A412" s="754"/>
      <c r="B412" s="792" t="s">
        <v>6849</v>
      </c>
      <c r="C412" s="793"/>
      <c r="D412" s="793" t="s">
        <v>565</v>
      </c>
      <c r="E412" s="793" t="s">
        <v>565</v>
      </c>
      <c r="F412" s="793" t="s">
        <v>565</v>
      </c>
      <c r="G412" s="794"/>
      <c r="H412" s="749"/>
      <c r="I412" s="795"/>
      <c r="J412" s="793" t="s">
        <v>6450</v>
      </c>
      <c r="K412" s="793" t="s">
        <v>565</v>
      </c>
      <c r="L412" s="793" t="s">
        <v>565</v>
      </c>
      <c r="M412" s="793"/>
      <c r="N412" s="796" t="s">
        <v>6850</v>
      </c>
    </row>
    <row r="413" spans="1:14" s="755" customFormat="1" ht="12" customHeight="1" x14ac:dyDescent="0.15">
      <c r="A413" s="754"/>
      <c r="B413" s="792" t="s">
        <v>6851</v>
      </c>
      <c r="C413" s="793"/>
      <c r="D413" s="793" t="s">
        <v>565</v>
      </c>
      <c r="E413" s="793" t="s">
        <v>565</v>
      </c>
      <c r="F413" s="793" t="s">
        <v>565</v>
      </c>
      <c r="G413" s="794"/>
      <c r="H413" s="749"/>
      <c r="I413" s="795"/>
      <c r="J413" s="793" t="s">
        <v>6450</v>
      </c>
      <c r="K413" s="793" t="s">
        <v>565</v>
      </c>
      <c r="L413" s="793" t="s">
        <v>565</v>
      </c>
      <c r="M413" s="793"/>
      <c r="N413" s="796" t="s">
        <v>6852</v>
      </c>
    </row>
    <row r="414" spans="1:14" s="755" customFormat="1" ht="12" customHeight="1" x14ac:dyDescent="0.15">
      <c r="A414" s="754"/>
      <c r="B414" s="792" t="s">
        <v>6853</v>
      </c>
      <c r="C414" s="793"/>
      <c r="D414" s="793" t="s">
        <v>565</v>
      </c>
      <c r="E414" s="793" t="s">
        <v>565</v>
      </c>
      <c r="F414" s="793" t="s">
        <v>565</v>
      </c>
      <c r="G414" s="794"/>
      <c r="H414" s="749"/>
      <c r="I414" s="795"/>
      <c r="J414" s="793" t="s">
        <v>6450</v>
      </c>
      <c r="K414" s="793" t="s">
        <v>565</v>
      </c>
      <c r="L414" s="793" t="s">
        <v>565</v>
      </c>
      <c r="M414" s="793"/>
      <c r="N414" s="796" t="s">
        <v>6854</v>
      </c>
    </row>
    <row r="415" spans="1:14" s="755" customFormat="1" ht="12" customHeight="1" x14ac:dyDescent="0.15">
      <c r="A415" s="754"/>
      <c r="B415" s="792" t="s">
        <v>6855</v>
      </c>
      <c r="C415" s="793"/>
      <c r="D415" s="793" t="s">
        <v>565</v>
      </c>
      <c r="E415" s="793" t="s">
        <v>565</v>
      </c>
      <c r="F415" s="793" t="s">
        <v>6450</v>
      </c>
      <c r="G415" s="794"/>
      <c r="H415" s="749"/>
      <c r="I415" s="795"/>
      <c r="J415" s="793" t="s">
        <v>6450</v>
      </c>
      <c r="K415" s="793" t="s">
        <v>565</v>
      </c>
      <c r="L415" s="793" t="s">
        <v>565</v>
      </c>
      <c r="M415" s="793"/>
      <c r="N415" s="796" t="s">
        <v>6856</v>
      </c>
    </row>
    <row r="416" spans="1:14" s="755" customFormat="1" ht="12" customHeight="1" x14ac:dyDescent="0.15">
      <c r="A416" s="754"/>
      <c r="B416" s="792" t="s">
        <v>6857</v>
      </c>
      <c r="C416" s="793"/>
      <c r="D416" s="793" t="s">
        <v>565</v>
      </c>
      <c r="E416" s="793" t="s">
        <v>565</v>
      </c>
      <c r="F416" s="793" t="s">
        <v>6450</v>
      </c>
      <c r="G416" s="794"/>
      <c r="H416" s="749"/>
      <c r="I416" s="795"/>
      <c r="J416" s="793" t="s">
        <v>6450</v>
      </c>
      <c r="K416" s="793" t="s">
        <v>565</v>
      </c>
      <c r="L416" s="793" t="s">
        <v>565</v>
      </c>
      <c r="M416" s="793"/>
      <c r="N416" s="796" t="s">
        <v>6858</v>
      </c>
    </row>
    <row r="417" spans="1:15" s="755" customFormat="1" ht="12" customHeight="1" x14ac:dyDescent="0.15">
      <c r="A417" s="754"/>
      <c r="B417" s="792" t="s">
        <v>6859</v>
      </c>
      <c r="C417" s="793"/>
      <c r="D417" s="793" t="s">
        <v>565</v>
      </c>
      <c r="E417" s="793" t="s">
        <v>565</v>
      </c>
      <c r="F417" s="793" t="s">
        <v>6450</v>
      </c>
      <c r="G417" s="794"/>
      <c r="H417" s="749"/>
      <c r="I417" s="795"/>
      <c r="J417" s="793" t="s">
        <v>6450</v>
      </c>
      <c r="K417" s="793" t="s">
        <v>565</v>
      </c>
      <c r="L417" s="793" t="s">
        <v>565</v>
      </c>
      <c r="M417" s="793"/>
      <c r="N417" s="796" t="s">
        <v>6860</v>
      </c>
    </row>
    <row r="418" spans="1:15" s="755" customFormat="1" ht="12" customHeight="1" x14ac:dyDescent="0.15">
      <c r="A418" s="754"/>
      <c r="B418" s="792" t="s">
        <v>6861</v>
      </c>
      <c r="C418" s="793"/>
      <c r="D418" s="793" t="s">
        <v>565</v>
      </c>
      <c r="E418" s="793" t="s">
        <v>565</v>
      </c>
      <c r="F418" s="793" t="s">
        <v>6450</v>
      </c>
      <c r="G418" s="794"/>
      <c r="H418" s="749"/>
      <c r="I418" s="795"/>
      <c r="J418" s="793" t="s">
        <v>6450</v>
      </c>
      <c r="K418" s="793" t="s">
        <v>565</v>
      </c>
      <c r="L418" s="793" t="s">
        <v>565</v>
      </c>
      <c r="M418" s="793"/>
      <c r="N418" s="796" t="s">
        <v>6862</v>
      </c>
    </row>
    <row r="419" spans="1:15" s="755" customFormat="1" ht="12" customHeight="1" x14ac:dyDescent="0.15">
      <c r="A419" s="754"/>
      <c r="B419" s="792" t="s">
        <v>6863</v>
      </c>
      <c r="C419" s="793"/>
      <c r="D419" s="793" t="s">
        <v>565</v>
      </c>
      <c r="E419" s="793" t="s">
        <v>565</v>
      </c>
      <c r="F419" s="793" t="s">
        <v>6450</v>
      </c>
      <c r="G419" s="794"/>
      <c r="H419" s="749"/>
      <c r="I419" s="795"/>
      <c r="J419" s="793" t="s">
        <v>565</v>
      </c>
      <c r="K419" s="793" t="s">
        <v>565</v>
      </c>
      <c r="L419" s="793" t="s">
        <v>565</v>
      </c>
      <c r="M419" s="793"/>
      <c r="N419" s="796" t="s">
        <v>6864</v>
      </c>
    </row>
    <row r="420" spans="1:15" s="755" customFormat="1" ht="12" customHeight="1" x14ac:dyDescent="0.15">
      <c r="A420" s="754"/>
      <c r="B420" s="792" t="s">
        <v>6865</v>
      </c>
      <c r="C420" s="793"/>
      <c r="D420" s="793" t="s">
        <v>565</v>
      </c>
      <c r="E420" s="793" t="s">
        <v>565</v>
      </c>
      <c r="F420" s="793" t="s">
        <v>6450</v>
      </c>
      <c r="G420" s="794"/>
      <c r="H420" s="749"/>
      <c r="I420" s="795"/>
      <c r="J420" s="793" t="s">
        <v>565</v>
      </c>
      <c r="K420" s="793" t="s">
        <v>565</v>
      </c>
      <c r="L420" s="793" t="s">
        <v>565</v>
      </c>
      <c r="M420" s="793"/>
      <c r="N420" s="796" t="s">
        <v>6866</v>
      </c>
    </row>
    <row r="421" spans="1:15" s="755" customFormat="1" ht="12" customHeight="1" x14ac:dyDescent="0.15">
      <c r="A421" s="754"/>
      <c r="B421" s="792" t="s">
        <v>6867</v>
      </c>
      <c r="C421" s="793"/>
      <c r="D421" s="793" t="s">
        <v>565</v>
      </c>
      <c r="E421" s="793" t="s">
        <v>565</v>
      </c>
      <c r="F421" s="793" t="s">
        <v>6450</v>
      </c>
      <c r="G421" s="794"/>
      <c r="H421" s="749"/>
      <c r="I421" s="795"/>
      <c r="J421" s="793" t="s">
        <v>565</v>
      </c>
      <c r="K421" s="793" t="s">
        <v>565</v>
      </c>
      <c r="L421" s="793" t="s">
        <v>565</v>
      </c>
      <c r="M421" s="793"/>
      <c r="N421" s="796" t="s">
        <v>6868</v>
      </c>
    </row>
    <row r="422" spans="1:15" s="755" customFormat="1" ht="12" customHeight="1" x14ac:dyDescent="0.15">
      <c r="A422" s="754"/>
      <c r="B422" s="792" t="s">
        <v>6869</v>
      </c>
      <c r="C422" s="793"/>
      <c r="D422" s="793" t="s">
        <v>565</v>
      </c>
      <c r="E422" s="793" t="s">
        <v>565</v>
      </c>
      <c r="F422" s="793" t="s">
        <v>6450</v>
      </c>
      <c r="G422" s="794"/>
      <c r="H422" s="749"/>
      <c r="I422" s="795"/>
      <c r="J422" s="793" t="s">
        <v>565</v>
      </c>
      <c r="K422" s="793" t="s">
        <v>565</v>
      </c>
      <c r="L422" s="793" t="s">
        <v>565</v>
      </c>
      <c r="M422" s="793"/>
      <c r="N422" s="796" t="s">
        <v>6870</v>
      </c>
    </row>
    <row r="423" spans="1:15" s="755" customFormat="1" ht="12" customHeight="1" x14ac:dyDescent="0.15">
      <c r="A423" s="754"/>
      <c r="B423" s="792" t="s">
        <v>6871</v>
      </c>
      <c r="C423" s="793"/>
      <c r="D423" s="793" t="s">
        <v>565</v>
      </c>
      <c r="E423" s="793" t="s">
        <v>565</v>
      </c>
      <c r="F423" s="793" t="s">
        <v>6450</v>
      </c>
      <c r="G423" s="794"/>
      <c r="H423" s="749"/>
      <c r="I423" s="795"/>
      <c r="J423" s="793" t="s">
        <v>565</v>
      </c>
      <c r="K423" s="793" t="s">
        <v>565</v>
      </c>
      <c r="L423" s="793" t="s">
        <v>565</v>
      </c>
      <c r="M423" s="793"/>
      <c r="N423" s="796" t="s">
        <v>6872</v>
      </c>
    </row>
    <row r="424" spans="1:15" s="755" customFormat="1" ht="12" customHeight="1" thickBot="1" x14ac:dyDescent="0.2">
      <c r="A424" s="754"/>
      <c r="B424" s="797" t="s">
        <v>6873</v>
      </c>
      <c r="C424" s="798"/>
      <c r="D424" s="798" t="s">
        <v>565</v>
      </c>
      <c r="E424" s="798" t="s">
        <v>565</v>
      </c>
      <c r="F424" s="798" t="s">
        <v>6450</v>
      </c>
      <c r="G424" s="799"/>
      <c r="H424" s="749"/>
      <c r="I424" s="800"/>
      <c r="J424" s="798" t="s">
        <v>565</v>
      </c>
      <c r="K424" s="798" t="s">
        <v>565</v>
      </c>
      <c r="L424" s="798" t="s">
        <v>565</v>
      </c>
      <c r="M424" s="798"/>
      <c r="N424" s="801" t="s">
        <v>6874</v>
      </c>
    </row>
    <row r="425" spans="1:15" s="755" customFormat="1" ht="20.25" customHeight="1" x14ac:dyDescent="0.15">
      <c r="A425" s="754"/>
      <c r="B425" s="774"/>
      <c r="C425" s="774"/>
      <c r="D425" s="774"/>
      <c r="E425" s="774"/>
      <c r="F425" s="774"/>
      <c r="G425" s="774"/>
      <c r="H425" s="774"/>
      <c r="I425" s="774" t="s">
        <v>6484</v>
      </c>
      <c r="J425" s="775">
        <f>SUM(G365:G424,I365:I424)</f>
        <v>0</v>
      </c>
      <c r="K425" s="774"/>
      <c r="L425" s="774"/>
      <c r="M425" s="774"/>
      <c r="N425" s="774"/>
    </row>
    <row r="426" spans="1:15" s="755" customFormat="1" ht="20.25" customHeight="1" x14ac:dyDescent="0.15">
      <c r="A426" s="754"/>
      <c r="B426" s="774"/>
      <c r="C426" s="774"/>
      <c r="D426" s="774"/>
      <c r="E426" s="774"/>
      <c r="F426" s="774"/>
      <c r="G426" s="774"/>
      <c r="H426" s="774"/>
      <c r="I426" s="774"/>
      <c r="J426" s="774"/>
      <c r="K426" s="774"/>
      <c r="L426" s="774"/>
      <c r="M426" s="774"/>
      <c r="N426" s="774"/>
    </row>
    <row r="427" spans="1:15" s="755" customFormat="1" ht="20.25" customHeight="1" x14ac:dyDescent="0.15">
      <c r="A427" s="754"/>
      <c r="B427" s="774"/>
      <c r="C427" s="776" t="s">
        <v>6875</v>
      </c>
      <c r="D427" s="774"/>
      <c r="E427" s="774"/>
      <c r="F427" s="774"/>
      <c r="G427" s="774"/>
      <c r="H427" s="774"/>
      <c r="I427" s="774"/>
      <c r="J427" s="774" t="s">
        <v>6437</v>
      </c>
      <c r="K427" s="777"/>
      <c r="L427" s="777"/>
      <c r="M427" s="495" t="s">
        <v>6438</v>
      </c>
      <c r="N427" s="774"/>
    </row>
    <row r="428" spans="1:15" s="755" customFormat="1" ht="20.25" customHeight="1" thickBot="1" x14ac:dyDescent="0.2">
      <c r="A428" s="754"/>
      <c r="B428" s="774"/>
      <c r="C428" s="786" t="s">
        <v>6876</v>
      </c>
      <c r="D428" s="774"/>
      <c r="E428" s="774"/>
      <c r="F428" s="774"/>
      <c r="G428" s="774"/>
      <c r="H428" s="774"/>
      <c r="I428" s="774"/>
      <c r="J428" s="774"/>
      <c r="K428" s="774"/>
      <c r="L428" s="774"/>
      <c r="M428" s="774"/>
      <c r="N428" s="774"/>
    </row>
    <row r="429" spans="1:15" s="755" customFormat="1" ht="20.25" customHeight="1" x14ac:dyDescent="0.15">
      <c r="A429" s="754"/>
      <c r="B429" s="787" t="s">
        <v>6440</v>
      </c>
      <c r="C429" s="788" t="s">
        <v>4564</v>
      </c>
      <c r="D429" s="788" t="s">
        <v>6442</v>
      </c>
      <c r="E429" s="788" t="s">
        <v>6443</v>
      </c>
      <c r="F429" s="788" t="s">
        <v>6444</v>
      </c>
      <c r="G429" s="789" t="s">
        <v>6445</v>
      </c>
      <c r="H429" s="781"/>
      <c r="I429" s="790" t="s">
        <v>6445</v>
      </c>
      <c r="J429" s="788" t="s">
        <v>6444</v>
      </c>
      <c r="K429" s="788" t="s">
        <v>6442</v>
      </c>
      <c r="L429" s="788" t="s">
        <v>6443</v>
      </c>
      <c r="M429" s="788" t="s">
        <v>4564</v>
      </c>
      <c r="N429" s="791" t="s">
        <v>6440</v>
      </c>
    </row>
    <row r="430" spans="1:15" s="755" customFormat="1" ht="20.25" customHeight="1" x14ac:dyDescent="0.15">
      <c r="A430" s="754"/>
      <c r="B430" s="745" t="s">
        <v>6749</v>
      </c>
      <c r="C430" s="747"/>
      <c r="D430" s="747" t="s">
        <v>565</v>
      </c>
      <c r="E430" s="747"/>
      <c r="F430" s="747" t="s">
        <v>6877</v>
      </c>
      <c r="G430" s="748"/>
      <c r="H430" s="749"/>
      <c r="I430" s="750"/>
      <c r="J430" s="747" t="s">
        <v>6877</v>
      </c>
      <c r="K430" s="747" t="s">
        <v>565</v>
      </c>
      <c r="L430" s="747"/>
      <c r="M430" s="747"/>
      <c r="N430" s="751" t="s">
        <v>6751</v>
      </c>
    </row>
    <row r="431" spans="1:15" s="755" customFormat="1" ht="20.25" customHeight="1" x14ac:dyDescent="0.15">
      <c r="A431" s="754"/>
      <c r="B431" s="745" t="s">
        <v>6753</v>
      </c>
      <c r="C431" s="747"/>
      <c r="D431" s="747" t="s">
        <v>565</v>
      </c>
      <c r="E431" s="747" t="s">
        <v>565</v>
      </c>
      <c r="F431" s="747" t="s">
        <v>565</v>
      </c>
      <c r="G431" s="748"/>
      <c r="H431" s="749"/>
      <c r="I431" s="750"/>
      <c r="J431" s="747" t="s">
        <v>6877</v>
      </c>
      <c r="K431" s="747" t="s">
        <v>565</v>
      </c>
      <c r="L431" s="747"/>
      <c r="M431" s="747"/>
      <c r="N431" s="751" t="s">
        <v>6755</v>
      </c>
    </row>
    <row r="432" spans="1:15" s="755" customFormat="1" ht="20.25" customHeight="1" x14ac:dyDescent="0.15">
      <c r="A432" s="754"/>
      <c r="B432" s="745" t="s">
        <v>6757</v>
      </c>
      <c r="C432" s="747"/>
      <c r="D432" s="747" t="s">
        <v>565</v>
      </c>
      <c r="E432" s="747" t="s">
        <v>565</v>
      </c>
      <c r="F432" s="747" t="s">
        <v>565</v>
      </c>
      <c r="G432" s="748"/>
      <c r="H432" s="749"/>
      <c r="I432" s="808"/>
      <c r="J432" s="804" t="s">
        <v>6450</v>
      </c>
      <c r="K432" s="804" t="s">
        <v>4635</v>
      </c>
      <c r="L432" s="804" t="s">
        <v>4635</v>
      </c>
      <c r="M432" s="803" t="s">
        <v>6878</v>
      </c>
      <c r="N432" s="809" t="s">
        <v>6827</v>
      </c>
      <c r="O432" s="755" t="s">
        <v>6689</v>
      </c>
    </row>
    <row r="433" spans="1:15" s="755" customFormat="1" ht="20.25" customHeight="1" x14ac:dyDescent="0.15">
      <c r="A433" s="754"/>
      <c r="B433" s="745" t="s">
        <v>6759</v>
      </c>
      <c r="C433" s="747"/>
      <c r="D433" s="747" t="s">
        <v>565</v>
      </c>
      <c r="E433" s="747" t="s">
        <v>565</v>
      </c>
      <c r="F433" s="747" t="s">
        <v>565</v>
      </c>
      <c r="G433" s="748"/>
      <c r="H433" s="749"/>
      <c r="I433" s="750"/>
      <c r="J433" s="747" t="s">
        <v>565</v>
      </c>
      <c r="K433" s="747" t="s">
        <v>565</v>
      </c>
      <c r="L433" s="747"/>
      <c r="M433" s="747"/>
      <c r="N433" s="751" t="s">
        <v>6829</v>
      </c>
    </row>
    <row r="434" spans="1:15" s="755" customFormat="1" ht="20.25" customHeight="1" x14ac:dyDescent="0.15">
      <c r="A434" s="754"/>
      <c r="B434" s="745" t="s">
        <v>6761</v>
      </c>
      <c r="C434" s="747"/>
      <c r="D434" s="747" t="s">
        <v>565</v>
      </c>
      <c r="E434" s="747" t="s">
        <v>565</v>
      </c>
      <c r="F434" s="747" t="s">
        <v>565</v>
      </c>
      <c r="G434" s="748"/>
      <c r="H434" s="749"/>
      <c r="I434" s="811"/>
      <c r="J434" s="804" t="s">
        <v>6450</v>
      </c>
      <c r="K434" s="804" t="s">
        <v>4635</v>
      </c>
      <c r="L434" s="804" t="s">
        <v>4635</v>
      </c>
      <c r="M434" s="803" t="s">
        <v>6879</v>
      </c>
      <c r="N434" s="809" t="s">
        <v>6832</v>
      </c>
      <c r="O434" s="755" t="s">
        <v>6880</v>
      </c>
    </row>
    <row r="435" spans="1:15" s="755" customFormat="1" ht="20.25" customHeight="1" x14ac:dyDescent="0.15">
      <c r="A435" s="754"/>
      <c r="B435" s="745" t="s">
        <v>6763</v>
      </c>
      <c r="C435" s="747"/>
      <c r="D435" s="747" t="s">
        <v>565</v>
      </c>
      <c r="E435" s="747" t="s">
        <v>565</v>
      </c>
      <c r="F435" s="747" t="s">
        <v>565</v>
      </c>
      <c r="G435" s="748"/>
      <c r="H435" s="749"/>
      <c r="I435" s="811"/>
      <c r="J435" s="804" t="s">
        <v>6450</v>
      </c>
      <c r="K435" s="804" t="s">
        <v>4635</v>
      </c>
      <c r="L435" s="804" t="s">
        <v>4635</v>
      </c>
      <c r="M435" s="803" t="s">
        <v>6881</v>
      </c>
      <c r="N435" s="809" t="s">
        <v>6835</v>
      </c>
      <c r="O435" s="755" t="s">
        <v>6880</v>
      </c>
    </row>
    <row r="436" spans="1:15" s="755" customFormat="1" ht="14.25" customHeight="1" x14ac:dyDescent="0.15">
      <c r="A436" s="754"/>
      <c r="B436" s="745" t="s">
        <v>6765</v>
      </c>
      <c r="C436" s="747"/>
      <c r="D436" s="747" t="s">
        <v>565</v>
      </c>
      <c r="E436" s="747" t="s">
        <v>565</v>
      </c>
      <c r="F436" s="747" t="s">
        <v>565</v>
      </c>
      <c r="G436" s="748"/>
      <c r="H436" s="749"/>
      <c r="I436" s="750"/>
      <c r="J436" s="747" t="s">
        <v>565</v>
      </c>
      <c r="K436" s="747" t="s">
        <v>4635</v>
      </c>
      <c r="L436" s="747" t="s">
        <v>565</v>
      </c>
      <c r="M436" s="747" t="s">
        <v>6882</v>
      </c>
      <c r="N436" s="751" t="s">
        <v>6838</v>
      </c>
    </row>
    <row r="437" spans="1:15" s="755" customFormat="1" ht="14.25" customHeight="1" x14ac:dyDescent="0.15">
      <c r="A437" s="754"/>
      <c r="B437" s="745" t="s">
        <v>6767</v>
      </c>
      <c r="C437" s="747"/>
      <c r="D437" s="747" t="s">
        <v>565</v>
      </c>
      <c r="E437" s="747" t="s">
        <v>565</v>
      </c>
      <c r="F437" s="747" t="s">
        <v>565</v>
      </c>
      <c r="G437" s="748"/>
      <c r="H437" s="749"/>
      <c r="I437" s="750"/>
      <c r="J437" s="747" t="s">
        <v>565</v>
      </c>
      <c r="K437" s="747" t="s">
        <v>4635</v>
      </c>
      <c r="L437" s="747" t="s">
        <v>565</v>
      </c>
      <c r="M437" s="747" t="s">
        <v>6883</v>
      </c>
      <c r="N437" s="751" t="s">
        <v>6841</v>
      </c>
    </row>
    <row r="438" spans="1:15" s="755" customFormat="1" ht="14.25" customHeight="1" x14ac:dyDescent="0.15">
      <c r="A438" s="754"/>
      <c r="B438" s="745" t="s">
        <v>6769</v>
      </c>
      <c r="C438" s="747"/>
      <c r="D438" s="747" t="s">
        <v>565</v>
      </c>
      <c r="E438" s="747" t="s">
        <v>565</v>
      </c>
      <c r="F438" s="747" t="s">
        <v>565</v>
      </c>
      <c r="G438" s="748"/>
      <c r="H438" s="749"/>
      <c r="I438" s="750"/>
      <c r="J438" s="747" t="s">
        <v>565</v>
      </c>
      <c r="K438" s="747" t="s">
        <v>565</v>
      </c>
      <c r="L438" s="747" t="s">
        <v>565</v>
      </c>
      <c r="M438" s="747"/>
      <c r="N438" s="751" t="s">
        <v>6844</v>
      </c>
    </row>
    <row r="439" spans="1:15" s="755" customFormat="1" ht="14.25" customHeight="1" x14ac:dyDescent="0.15">
      <c r="A439" s="754"/>
      <c r="B439" s="745" t="s">
        <v>6771</v>
      </c>
      <c r="C439" s="747"/>
      <c r="D439" s="747" t="s">
        <v>565</v>
      </c>
      <c r="E439" s="747" t="s">
        <v>565</v>
      </c>
      <c r="F439" s="747" t="s">
        <v>565</v>
      </c>
      <c r="G439" s="748"/>
      <c r="H439" s="749"/>
      <c r="I439" s="750"/>
      <c r="J439" s="747" t="s">
        <v>565</v>
      </c>
      <c r="K439" s="747" t="s">
        <v>4635</v>
      </c>
      <c r="L439" s="747" t="s">
        <v>565</v>
      </c>
      <c r="M439" s="747" t="s">
        <v>6884</v>
      </c>
      <c r="N439" s="751" t="s">
        <v>6847</v>
      </c>
    </row>
    <row r="440" spans="1:15" s="755" customFormat="1" ht="20.25" customHeight="1" x14ac:dyDescent="0.15">
      <c r="A440" s="754"/>
      <c r="B440" s="745" t="s">
        <v>6773</v>
      </c>
      <c r="C440" s="747"/>
      <c r="D440" s="747" t="s">
        <v>565</v>
      </c>
      <c r="E440" s="747" t="s">
        <v>565</v>
      </c>
      <c r="F440" s="747" t="s">
        <v>565</v>
      </c>
      <c r="G440" s="748"/>
      <c r="H440" s="749"/>
      <c r="I440" s="811"/>
      <c r="J440" s="804" t="s">
        <v>6460</v>
      </c>
      <c r="K440" s="804" t="s">
        <v>4635</v>
      </c>
      <c r="L440" s="804" t="s">
        <v>4635</v>
      </c>
      <c r="M440" s="803" t="s">
        <v>6885</v>
      </c>
      <c r="N440" s="809" t="s">
        <v>6849</v>
      </c>
      <c r="O440" s="755" t="s">
        <v>6880</v>
      </c>
    </row>
    <row r="441" spans="1:15" s="755" customFormat="1" ht="15" customHeight="1" x14ac:dyDescent="0.15">
      <c r="A441" s="754"/>
      <c r="B441" s="745" t="s">
        <v>6775</v>
      </c>
      <c r="C441" s="747"/>
      <c r="D441" s="747" t="s">
        <v>565</v>
      </c>
      <c r="E441" s="747" t="s">
        <v>565</v>
      </c>
      <c r="F441" s="747" t="s">
        <v>565</v>
      </c>
      <c r="G441" s="748"/>
      <c r="H441" s="749"/>
      <c r="I441" s="750"/>
      <c r="J441" s="747" t="s">
        <v>565</v>
      </c>
      <c r="K441" s="747" t="s">
        <v>565</v>
      </c>
      <c r="L441" s="747" t="s">
        <v>565</v>
      </c>
      <c r="M441" s="747"/>
      <c r="N441" s="751" t="s">
        <v>6851</v>
      </c>
    </row>
    <row r="442" spans="1:15" s="755" customFormat="1" ht="15" customHeight="1" x14ac:dyDescent="0.15">
      <c r="A442" s="754"/>
      <c r="B442" s="745" t="s">
        <v>6777</v>
      </c>
      <c r="C442" s="747"/>
      <c r="D442" s="747" t="s">
        <v>565</v>
      </c>
      <c r="E442" s="747" t="s">
        <v>565</v>
      </c>
      <c r="F442" s="747" t="s">
        <v>565</v>
      </c>
      <c r="G442" s="748"/>
      <c r="H442" s="749"/>
      <c r="I442" s="750"/>
      <c r="J442" s="747" t="s">
        <v>565</v>
      </c>
      <c r="K442" s="747" t="s">
        <v>565</v>
      </c>
      <c r="L442" s="747" t="s">
        <v>565</v>
      </c>
      <c r="M442" s="747"/>
      <c r="N442" s="751" t="s">
        <v>6853</v>
      </c>
    </row>
    <row r="443" spans="1:15" s="755" customFormat="1" ht="15" customHeight="1" x14ac:dyDescent="0.15">
      <c r="A443" s="754"/>
      <c r="B443" s="745" t="s">
        <v>6779</v>
      </c>
      <c r="C443" s="747"/>
      <c r="D443" s="747" t="s">
        <v>565</v>
      </c>
      <c r="E443" s="747" t="s">
        <v>565</v>
      </c>
      <c r="F443" s="747" t="s">
        <v>565</v>
      </c>
      <c r="G443" s="748"/>
      <c r="H443" s="749"/>
      <c r="I443" s="750"/>
      <c r="J443" s="747" t="s">
        <v>6450</v>
      </c>
      <c r="K443" s="747" t="s">
        <v>565</v>
      </c>
      <c r="L443" s="747" t="s">
        <v>565</v>
      </c>
      <c r="M443" s="747"/>
      <c r="N443" s="751" t="s">
        <v>6855</v>
      </c>
    </row>
    <row r="444" spans="1:15" s="755" customFormat="1" ht="15" customHeight="1" x14ac:dyDescent="0.15">
      <c r="A444" s="754"/>
      <c r="B444" s="745" t="s">
        <v>6781</v>
      </c>
      <c r="C444" s="747"/>
      <c r="D444" s="747" t="s">
        <v>565</v>
      </c>
      <c r="E444" s="747" t="s">
        <v>565</v>
      </c>
      <c r="F444" s="747" t="s">
        <v>565</v>
      </c>
      <c r="G444" s="748"/>
      <c r="H444" s="749"/>
      <c r="I444" s="750"/>
      <c r="J444" s="747" t="s">
        <v>6450</v>
      </c>
      <c r="K444" s="747" t="s">
        <v>565</v>
      </c>
      <c r="L444" s="747" t="s">
        <v>565</v>
      </c>
      <c r="M444" s="747"/>
      <c r="N444" s="751" t="s">
        <v>6857</v>
      </c>
    </row>
    <row r="445" spans="1:15" s="755" customFormat="1" ht="15" customHeight="1" x14ac:dyDescent="0.15">
      <c r="A445" s="754"/>
      <c r="B445" s="745" t="s">
        <v>6783</v>
      </c>
      <c r="C445" s="747"/>
      <c r="D445" s="747" t="s">
        <v>565</v>
      </c>
      <c r="E445" s="747" t="s">
        <v>565</v>
      </c>
      <c r="F445" s="747" t="s">
        <v>565</v>
      </c>
      <c r="G445" s="748"/>
      <c r="H445" s="749"/>
      <c r="I445" s="750"/>
      <c r="J445" s="747" t="s">
        <v>6450</v>
      </c>
      <c r="K445" s="747" t="s">
        <v>565</v>
      </c>
      <c r="L445" s="747" t="s">
        <v>565</v>
      </c>
      <c r="M445" s="747"/>
      <c r="N445" s="751" t="s">
        <v>6859</v>
      </c>
    </row>
    <row r="446" spans="1:15" s="755" customFormat="1" ht="15" customHeight="1" x14ac:dyDescent="0.15">
      <c r="A446" s="754"/>
      <c r="B446" s="745" t="s">
        <v>6785</v>
      </c>
      <c r="C446" s="747"/>
      <c r="D446" s="747" t="s">
        <v>565</v>
      </c>
      <c r="E446" s="747" t="s">
        <v>565</v>
      </c>
      <c r="F446" s="747" t="s">
        <v>565</v>
      </c>
      <c r="G446" s="748"/>
      <c r="H446" s="749"/>
      <c r="I446" s="750"/>
      <c r="J446" s="747" t="s">
        <v>6450</v>
      </c>
      <c r="K446" s="747" t="s">
        <v>565</v>
      </c>
      <c r="L446" s="747" t="s">
        <v>565</v>
      </c>
      <c r="M446" s="747"/>
      <c r="N446" s="751" t="s">
        <v>6861</v>
      </c>
    </row>
    <row r="447" spans="1:15" s="755" customFormat="1" ht="15" customHeight="1" x14ac:dyDescent="0.15">
      <c r="A447" s="754"/>
      <c r="B447" s="745" t="s">
        <v>6787</v>
      </c>
      <c r="C447" s="747"/>
      <c r="D447" s="747" t="s">
        <v>565</v>
      </c>
      <c r="E447" s="747" t="s">
        <v>565</v>
      </c>
      <c r="F447" s="747" t="s">
        <v>565</v>
      </c>
      <c r="G447" s="748"/>
      <c r="H447" s="749"/>
      <c r="I447" s="750"/>
      <c r="J447" s="747" t="s">
        <v>6450</v>
      </c>
      <c r="K447" s="747" t="s">
        <v>565</v>
      </c>
      <c r="L447" s="747" t="s">
        <v>565</v>
      </c>
      <c r="M447" s="747"/>
      <c r="N447" s="751" t="s">
        <v>6863</v>
      </c>
    </row>
    <row r="448" spans="1:15" s="755" customFormat="1" ht="15" customHeight="1" x14ac:dyDescent="0.15">
      <c r="A448" s="754"/>
      <c r="B448" s="745" t="s">
        <v>6789</v>
      </c>
      <c r="C448" s="747"/>
      <c r="D448" s="747" t="s">
        <v>565</v>
      </c>
      <c r="E448" s="747" t="s">
        <v>565</v>
      </c>
      <c r="F448" s="747" t="s">
        <v>565</v>
      </c>
      <c r="G448" s="748"/>
      <c r="H448" s="749"/>
      <c r="I448" s="750"/>
      <c r="J448" s="747" t="s">
        <v>6450</v>
      </c>
      <c r="K448" s="747" t="s">
        <v>565</v>
      </c>
      <c r="L448" s="747" t="s">
        <v>565</v>
      </c>
      <c r="M448" s="747"/>
      <c r="N448" s="751" t="s">
        <v>6865</v>
      </c>
    </row>
    <row r="449" spans="1:14" s="755" customFormat="1" ht="15" customHeight="1" x14ac:dyDescent="0.15">
      <c r="A449" s="754"/>
      <c r="B449" s="745" t="s">
        <v>6791</v>
      </c>
      <c r="C449" s="747"/>
      <c r="D449" s="747" t="s">
        <v>565</v>
      </c>
      <c r="E449" s="747" t="s">
        <v>565</v>
      </c>
      <c r="F449" s="747" t="s">
        <v>6473</v>
      </c>
      <c r="G449" s="748"/>
      <c r="H449" s="749"/>
      <c r="I449" s="750"/>
      <c r="J449" s="747" t="s">
        <v>6450</v>
      </c>
      <c r="K449" s="747" t="s">
        <v>565</v>
      </c>
      <c r="L449" s="747" t="s">
        <v>565</v>
      </c>
      <c r="M449" s="747"/>
      <c r="N449" s="751" t="s">
        <v>6867</v>
      </c>
    </row>
    <row r="450" spans="1:14" s="755" customFormat="1" ht="15" customHeight="1" x14ac:dyDescent="0.15">
      <c r="A450" s="754"/>
      <c r="B450" s="745" t="s">
        <v>6793</v>
      </c>
      <c r="C450" s="747"/>
      <c r="D450" s="747" t="s">
        <v>565</v>
      </c>
      <c r="E450" s="747" t="s">
        <v>565</v>
      </c>
      <c r="F450" s="747" t="s">
        <v>6473</v>
      </c>
      <c r="G450" s="748"/>
      <c r="H450" s="749"/>
      <c r="I450" s="750"/>
      <c r="J450" s="747" t="s">
        <v>6450</v>
      </c>
      <c r="K450" s="747" t="s">
        <v>565</v>
      </c>
      <c r="L450" s="747" t="s">
        <v>565</v>
      </c>
      <c r="M450" s="747"/>
      <c r="N450" s="751" t="s">
        <v>6869</v>
      </c>
    </row>
    <row r="451" spans="1:14" s="755" customFormat="1" ht="15" customHeight="1" x14ac:dyDescent="0.15">
      <c r="A451" s="754"/>
      <c r="B451" s="745" t="s">
        <v>6795</v>
      </c>
      <c r="C451" s="747"/>
      <c r="D451" s="747" t="s">
        <v>565</v>
      </c>
      <c r="E451" s="747" t="s">
        <v>565</v>
      </c>
      <c r="F451" s="747" t="s">
        <v>6473</v>
      </c>
      <c r="G451" s="748"/>
      <c r="H451" s="749"/>
      <c r="I451" s="750"/>
      <c r="J451" s="747" t="s">
        <v>6450</v>
      </c>
      <c r="K451" s="747" t="s">
        <v>565</v>
      </c>
      <c r="L451" s="747" t="s">
        <v>565</v>
      </c>
      <c r="M451" s="747"/>
      <c r="N451" s="751" t="s">
        <v>6871</v>
      </c>
    </row>
    <row r="452" spans="1:14" s="755" customFormat="1" ht="15" customHeight="1" x14ac:dyDescent="0.15">
      <c r="A452" s="754"/>
      <c r="B452" s="745" t="s">
        <v>6797</v>
      </c>
      <c r="C452" s="747"/>
      <c r="D452" s="747" t="s">
        <v>565</v>
      </c>
      <c r="E452" s="747" t="s">
        <v>565</v>
      </c>
      <c r="F452" s="747" t="s">
        <v>6473</v>
      </c>
      <c r="G452" s="748"/>
      <c r="H452" s="749"/>
      <c r="I452" s="750"/>
      <c r="J452" s="747" t="s">
        <v>6450</v>
      </c>
      <c r="K452" s="747" t="s">
        <v>565</v>
      </c>
      <c r="L452" s="747" t="s">
        <v>565</v>
      </c>
      <c r="M452" s="747"/>
      <c r="N452" s="751" t="s">
        <v>6873</v>
      </c>
    </row>
    <row r="453" spans="1:14" s="755" customFormat="1" ht="15" customHeight="1" x14ac:dyDescent="0.15">
      <c r="A453" s="754"/>
      <c r="B453" s="745" t="s">
        <v>6799</v>
      </c>
      <c r="C453" s="747"/>
      <c r="D453" s="747" t="s">
        <v>565</v>
      </c>
      <c r="E453" s="747" t="s">
        <v>565</v>
      </c>
      <c r="F453" s="747" t="s">
        <v>6473</v>
      </c>
      <c r="G453" s="748"/>
      <c r="H453" s="749"/>
      <c r="I453" s="750"/>
      <c r="J453" s="747" t="s">
        <v>6450</v>
      </c>
      <c r="K453" s="747" t="s">
        <v>565</v>
      </c>
      <c r="L453" s="747" t="s">
        <v>565</v>
      </c>
      <c r="M453" s="747"/>
      <c r="N453" s="751" t="s">
        <v>6750</v>
      </c>
    </row>
    <row r="454" spans="1:14" s="755" customFormat="1" ht="15" customHeight="1" x14ac:dyDescent="0.15">
      <c r="A454" s="754"/>
      <c r="B454" s="745" t="s">
        <v>6801</v>
      </c>
      <c r="C454" s="747"/>
      <c r="D454" s="747" t="s">
        <v>565</v>
      </c>
      <c r="E454" s="747" t="s">
        <v>565</v>
      </c>
      <c r="F454" s="747" t="s">
        <v>6473</v>
      </c>
      <c r="G454" s="748"/>
      <c r="H454" s="749"/>
      <c r="I454" s="750"/>
      <c r="J454" s="747" t="s">
        <v>6450</v>
      </c>
      <c r="K454" s="747" t="s">
        <v>565</v>
      </c>
      <c r="L454" s="747" t="s">
        <v>565</v>
      </c>
      <c r="M454" s="747"/>
      <c r="N454" s="751" t="s">
        <v>6752</v>
      </c>
    </row>
    <row r="455" spans="1:14" s="755" customFormat="1" ht="15" customHeight="1" x14ac:dyDescent="0.15">
      <c r="A455" s="754"/>
      <c r="B455" s="745" t="s">
        <v>6803</v>
      </c>
      <c r="C455" s="747"/>
      <c r="D455" s="747" t="s">
        <v>565</v>
      </c>
      <c r="E455" s="747" t="s">
        <v>565</v>
      </c>
      <c r="F455" s="747" t="s">
        <v>6473</v>
      </c>
      <c r="G455" s="748"/>
      <c r="H455" s="749"/>
      <c r="I455" s="750"/>
      <c r="J455" s="747" t="s">
        <v>6450</v>
      </c>
      <c r="K455" s="747" t="s">
        <v>565</v>
      </c>
      <c r="L455" s="747" t="s">
        <v>565</v>
      </c>
      <c r="M455" s="747"/>
      <c r="N455" s="751" t="s">
        <v>6754</v>
      </c>
    </row>
    <row r="456" spans="1:14" s="755" customFormat="1" ht="15" customHeight="1" x14ac:dyDescent="0.15">
      <c r="A456" s="754"/>
      <c r="B456" s="745" t="s">
        <v>6805</v>
      </c>
      <c r="C456" s="747"/>
      <c r="D456" s="747" t="s">
        <v>565</v>
      </c>
      <c r="E456" s="747" t="s">
        <v>565</v>
      </c>
      <c r="F456" s="747" t="s">
        <v>6473</v>
      </c>
      <c r="G456" s="748"/>
      <c r="H456" s="749"/>
      <c r="I456" s="750"/>
      <c r="J456" s="747" t="s">
        <v>6450</v>
      </c>
      <c r="K456" s="747" t="s">
        <v>565</v>
      </c>
      <c r="L456" s="747" t="s">
        <v>565</v>
      </c>
      <c r="M456" s="747"/>
      <c r="N456" s="751" t="s">
        <v>6756</v>
      </c>
    </row>
    <row r="457" spans="1:14" s="755" customFormat="1" ht="15" customHeight="1" x14ac:dyDescent="0.15">
      <c r="A457" s="754"/>
      <c r="B457" s="745" t="s">
        <v>6807</v>
      </c>
      <c r="C457" s="747"/>
      <c r="D457" s="747" t="s">
        <v>565</v>
      </c>
      <c r="E457" s="747" t="s">
        <v>565</v>
      </c>
      <c r="F457" s="747" t="s">
        <v>6473</v>
      </c>
      <c r="G457" s="748"/>
      <c r="H457" s="749"/>
      <c r="I457" s="750"/>
      <c r="J457" s="747" t="s">
        <v>6450</v>
      </c>
      <c r="K457" s="747" t="s">
        <v>565</v>
      </c>
      <c r="L457" s="747" t="s">
        <v>565</v>
      </c>
      <c r="M457" s="747"/>
      <c r="N457" s="751" t="s">
        <v>6758</v>
      </c>
    </row>
    <row r="458" spans="1:14" s="755" customFormat="1" ht="15" customHeight="1" x14ac:dyDescent="0.15">
      <c r="A458" s="754"/>
      <c r="B458" s="745" t="s">
        <v>6809</v>
      </c>
      <c r="C458" s="747"/>
      <c r="D458" s="747" t="s">
        <v>565</v>
      </c>
      <c r="E458" s="747" t="s">
        <v>565</v>
      </c>
      <c r="F458" s="747" t="s">
        <v>6473</v>
      </c>
      <c r="G458" s="748"/>
      <c r="H458" s="749"/>
      <c r="I458" s="750"/>
      <c r="J458" s="747" t="s">
        <v>6450</v>
      </c>
      <c r="K458" s="747" t="s">
        <v>565</v>
      </c>
      <c r="L458" s="747" t="s">
        <v>565</v>
      </c>
      <c r="M458" s="747"/>
      <c r="N458" s="751" t="s">
        <v>6760</v>
      </c>
    </row>
    <row r="459" spans="1:14" s="755" customFormat="1" ht="15" customHeight="1" x14ac:dyDescent="0.15">
      <c r="A459" s="754"/>
      <c r="B459" s="745" t="s">
        <v>6811</v>
      </c>
      <c r="C459" s="747"/>
      <c r="D459" s="747" t="s">
        <v>565</v>
      </c>
      <c r="E459" s="747" t="s">
        <v>565</v>
      </c>
      <c r="F459" s="747" t="s">
        <v>6473</v>
      </c>
      <c r="G459" s="748"/>
      <c r="H459" s="749"/>
      <c r="I459" s="750"/>
      <c r="J459" s="747" t="s">
        <v>6450</v>
      </c>
      <c r="K459" s="747" t="s">
        <v>565</v>
      </c>
      <c r="L459" s="747" t="s">
        <v>565</v>
      </c>
      <c r="M459" s="747"/>
      <c r="N459" s="751" t="s">
        <v>6762</v>
      </c>
    </row>
    <row r="460" spans="1:14" s="755" customFormat="1" ht="15" customHeight="1" x14ac:dyDescent="0.15">
      <c r="A460" s="754"/>
      <c r="B460" s="745" t="s">
        <v>6813</v>
      </c>
      <c r="C460" s="747"/>
      <c r="D460" s="747" t="s">
        <v>565</v>
      </c>
      <c r="E460" s="747" t="s">
        <v>565</v>
      </c>
      <c r="F460" s="747" t="s">
        <v>6473</v>
      </c>
      <c r="G460" s="748"/>
      <c r="H460" s="749"/>
      <c r="I460" s="750"/>
      <c r="J460" s="747" t="s">
        <v>6450</v>
      </c>
      <c r="K460" s="747" t="s">
        <v>565</v>
      </c>
      <c r="L460" s="747" t="s">
        <v>565</v>
      </c>
      <c r="M460" s="747"/>
      <c r="N460" s="751" t="s">
        <v>6764</v>
      </c>
    </row>
    <row r="461" spans="1:14" s="755" customFormat="1" ht="15" customHeight="1" x14ac:dyDescent="0.15">
      <c r="A461" s="754"/>
      <c r="B461" s="745" t="s">
        <v>6815</v>
      </c>
      <c r="C461" s="747"/>
      <c r="D461" s="747" t="s">
        <v>565</v>
      </c>
      <c r="E461" s="747" t="s">
        <v>565</v>
      </c>
      <c r="F461" s="747" t="s">
        <v>6473</v>
      </c>
      <c r="G461" s="748"/>
      <c r="H461" s="749"/>
      <c r="I461" s="750"/>
      <c r="J461" s="747" t="s">
        <v>6450</v>
      </c>
      <c r="K461" s="747" t="s">
        <v>565</v>
      </c>
      <c r="L461" s="747" t="s">
        <v>565</v>
      </c>
      <c r="M461" s="747"/>
      <c r="N461" s="751" t="s">
        <v>6766</v>
      </c>
    </row>
    <row r="462" spans="1:14" s="755" customFormat="1" ht="15" customHeight="1" x14ac:dyDescent="0.15">
      <c r="A462" s="754"/>
      <c r="B462" s="745" t="s">
        <v>6817</v>
      </c>
      <c r="C462" s="747"/>
      <c r="D462" s="747" t="s">
        <v>565</v>
      </c>
      <c r="E462" s="747" t="s">
        <v>565</v>
      </c>
      <c r="F462" s="747" t="s">
        <v>6473</v>
      </c>
      <c r="G462" s="748"/>
      <c r="H462" s="749"/>
      <c r="I462" s="750"/>
      <c r="J462" s="747" t="s">
        <v>6450</v>
      </c>
      <c r="K462" s="747" t="s">
        <v>565</v>
      </c>
      <c r="L462" s="747" t="s">
        <v>565</v>
      </c>
      <c r="M462" s="747"/>
      <c r="N462" s="751" t="s">
        <v>6768</v>
      </c>
    </row>
    <row r="463" spans="1:14" s="755" customFormat="1" ht="15" customHeight="1" x14ac:dyDescent="0.15">
      <c r="A463" s="754"/>
      <c r="B463" s="745" t="s">
        <v>6819</v>
      </c>
      <c r="C463" s="747"/>
      <c r="D463" s="747" t="s">
        <v>565</v>
      </c>
      <c r="E463" s="747" t="s">
        <v>565</v>
      </c>
      <c r="F463" s="747" t="s">
        <v>6473</v>
      </c>
      <c r="G463" s="748"/>
      <c r="H463" s="749"/>
      <c r="I463" s="750"/>
      <c r="J463" s="747" t="s">
        <v>6450</v>
      </c>
      <c r="K463" s="747" t="s">
        <v>565</v>
      </c>
      <c r="L463" s="747" t="s">
        <v>565</v>
      </c>
      <c r="M463" s="747"/>
      <c r="N463" s="751" t="s">
        <v>6770</v>
      </c>
    </row>
    <row r="464" spans="1:14" s="755" customFormat="1" ht="15" customHeight="1" x14ac:dyDescent="0.15">
      <c r="A464" s="754"/>
      <c r="B464" s="745" t="s">
        <v>6821</v>
      </c>
      <c r="C464" s="747"/>
      <c r="D464" s="747" t="s">
        <v>565</v>
      </c>
      <c r="E464" s="747" t="s">
        <v>565</v>
      </c>
      <c r="F464" s="747" t="s">
        <v>6473</v>
      </c>
      <c r="G464" s="748"/>
      <c r="H464" s="749"/>
      <c r="I464" s="750"/>
      <c r="J464" s="747" t="s">
        <v>6450</v>
      </c>
      <c r="K464" s="747" t="s">
        <v>565</v>
      </c>
      <c r="L464" s="747" t="s">
        <v>565</v>
      </c>
      <c r="M464" s="747"/>
      <c r="N464" s="751" t="s">
        <v>6772</v>
      </c>
    </row>
    <row r="465" spans="1:14" s="755" customFormat="1" ht="15" customHeight="1" x14ac:dyDescent="0.15">
      <c r="A465" s="754"/>
      <c r="B465" s="745" t="s">
        <v>6823</v>
      </c>
      <c r="C465" s="747"/>
      <c r="D465" s="747" t="s">
        <v>565</v>
      </c>
      <c r="E465" s="747" t="s">
        <v>565</v>
      </c>
      <c r="F465" s="747" t="s">
        <v>6473</v>
      </c>
      <c r="G465" s="748"/>
      <c r="H465" s="749"/>
      <c r="I465" s="750"/>
      <c r="J465" s="747" t="s">
        <v>565</v>
      </c>
      <c r="K465" s="747" t="s">
        <v>4635</v>
      </c>
      <c r="L465" s="747" t="s">
        <v>565</v>
      </c>
      <c r="M465" s="746" t="s">
        <v>6886</v>
      </c>
      <c r="N465" s="751" t="s">
        <v>6774</v>
      </c>
    </row>
    <row r="466" spans="1:14" s="755" customFormat="1" ht="15" customHeight="1" thickBot="1" x14ac:dyDescent="0.2">
      <c r="A466" s="754"/>
      <c r="B466" s="768" t="s">
        <v>6825</v>
      </c>
      <c r="C466" s="769"/>
      <c r="D466" s="769" t="s">
        <v>565</v>
      </c>
      <c r="E466" s="769" t="s">
        <v>565</v>
      </c>
      <c r="F466" s="769" t="s">
        <v>6473</v>
      </c>
      <c r="G466" s="770"/>
      <c r="H466" s="771"/>
      <c r="I466" s="772"/>
      <c r="J466" s="769" t="s">
        <v>6450</v>
      </c>
      <c r="K466" s="769" t="s">
        <v>565</v>
      </c>
      <c r="L466" s="769" t="s">
        <v>565</v>
      </c>
      <c r="M466" s="769"/>
      <c r="N466" s="773" t="s">
        <v>6776</v>
      </c>
    </row>
    <row r="467" spans="1:14" s="755" customFormat="1" ht="20.25" customHeight="1" x14ac:dyDescent="0.15">
      <c r="A467" s="754"/>
      <c r="B467" s="774"/>
      <c r="C467" s="774"/>
      <c r="D467" s="774"/>
      <c r="E467" s="774"/>
      <c r="F467" s="774"/>
      <c r="G467" s="774"/>
      <c r="H467" s="774"/>
      <c r="I467" s="774" t="s">
        <v>6484</v>
      </c>
      <c r="J467" s="775">
        <f>SUM(G430:G466,I430:I466)</f>
        <v>0</v>
      </c>
      <c r="K467" s="774"/>
      <c r="L467" s="774"/>
      <c r="M467" s="774"/>
      <c r="N467" s="774"/>
    </row>
    <row r="468" spans="1:14" s="755" customFormat="1" ht="18.95" customHeight="1" x14ac:dyDescent="0.15">
      <c r="A468" s="754"/>
      <c r="B468" s="774"/>
      <c r="C468" s="774"/>
      <c r="D468" s="774"/>
      <c r="E468" s="774"/>
      <c r="F468" s="774"/>
      <c r="G468" s="774"/>
      <c r="H468" s="774"/>
      <c r="I468" s="774"/>
      <c r="J468" s="774"/>
      <c r="K468" s="774"/>
      <c r="L468" s="774"/>
      <c r="M468" s="774"/>
      <c r="N468" s="774"/>
    </row>
    <row r="469" spans="1:14" x14ac:dyDescent="0.15">
      <c r="G469" s="734">
        <f>SUM(G6:G467)</f>
        <v>0</v>
      </c>
      <c r="I469" s="734">
        <f>SUM(I6:I467)</f>
        <v>0</v>
      </c>
      <c r="J469" s="736">
        <f>G469+I469</f>
        <v>0</v>
      </c>
    </row>
  </sheetData>
  <mergeCells count="1">
    <mergeCell ref="B1:N1"/>
  </mergeCells>
  <phoneticPr fontId="11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_rels/item2.xml.rels><?xml version="1.0" encoding="UTF-8" standalone="no"?><Relationships xmlns="http://schemas.openxmlformats.org/package/2006/relationships"><Relationship Id="rId1" Target="itemProps2.xml" Type="http://schemas.openxmlformats.org/officeDocument/2006/relationships/customXmlProps"/></Relationships>
</file>

<file path=customXml/_rels/item3.xml.rels><?xml version="1.0" encoding="UTF-8" standalone="no"?><Relationships xmlns="http://schemas.openxmlformats.org/package/2006/relationships"><Relationship Id="rId1" Target="itemProps3.xml" Type="http://schemas.openxmlformats.org/officeDocument/2006/relationships/customXmlProps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customXml/itemProps3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29</vt:i4>
      </vt:variant>
      <vt:variant>
        <vt:lpstr>이름 지정된 범위</vt:lpstr>
      </vt:variant>
      <vt:variant>
        <vt:i4>13</vt:i4>
      </vt:variant>
    </vt:vector>
  </HeadingPairs>
  <TitlesOfParts>
    <vt:vector size="42" baseType="lpstr">
      <vt:lpstr>7층_랙별_계통_및_부하량</vt:lpstr>
      <vt:lpstr>6층_랙별_계통 및_부하량</vt:lpstr>
      <vt:lpstr>5층_랙별_계통 및_부하량</vt:lpstr>
      <vt:lpstr>4층_랙별_계통 및_부하량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2005-08-22T05:32:36Z</dcterms:created>
  <dc:creator>이현상</dc:creator>
  <cp:lastModifiedBy>HyunSang Lee</cp:lastModifiedBy>
  <dcterms:modified xsi:type="dcterms:W3CDTF">2023-12-27T11:00:50Z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